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5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6.xml" ContentType="application/vnd.openxmlformats-officedocument.drawing+xml"/>
  <Override PartName="/xl/charts/chart52.xml" ContentType="application/vnd.openxmlformats-officedocument.drawingml.chart+xml"/>
  <Override PartName="/xl/drawings/drawing7.xml" ContentType="application/vnd.openxmlformats-officedocument.drawing+xml"/>
  <Override PartName="/xl/charts/chart53.xml" ContentType="application/vnd.openxmlformats-officedocument.drawingml.chart+xml"/>
  <Override PartName="/xl/drawings/drawing8.xml" ContentType="application/vnd.openxmlformats-officedocument.drawing+xml"/>
  <Override PartName="/xl/charts/chart54.xml" ContentType="application/vnd.openxmlformats-officedocument.drawingml.chart+xml"/>
  <Override PartName="/xl/drawings/drawing9.xml" ContentType="application/vnd.openxmlformats-officedocument.drawing+xml"/>
  <Override PartName="/xl/charts/chart55.xml" ContentType="application/vnd.openxmlformats-officedocument.drawingml.chart+xml"/>
  <Override PartName="/xl/drawings/drawing10.xml" ContentType="application/vnd.openxmlformats-officedocument.drawing+xml"/>
  <Override PartName="/xl/charts/chart56.xml" ContentType="application/vnd.openxmlformats-officedocument.drawingml.chart+xml"/>
  <Override PartName="/xl/drawings/drawing11.xml" ContentType="application/vnd.openxmlformats-officedocument.drawing+xml"/>
  <Override PartName="/xl/charts/chart57.xml" ContentType="application/vnd.openxmlformats-officedocument.drawingml.chart+xml"/>
  <Override PartName="/xl/drawings/drawing12.xml" ContentType="application/vnd.openxmlformats-officedocument.drawing+xml"/>
  <Override PartName="/xl/charts/chart58.xml" ContentType="application/vnd.openxmlformats-officedocument.drawingml.chart+xml"/>
  <Override PartName="/xl/drawings/drawing13.xml" ContentType="application/vnd.openxmlformats-officedocument.drawing+xml"/>
  <Override PartName="/xl/charts/chart59.xml" ContentType="application/vnd.openxmlformats-officedocument.drawingml.chart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45" yWindow="0" windowWidth="24495" windowHeight="13320" activeTab="3"/>
  </bookViews>
  <sheets>
    <sheet name="data" sheetId="1" r:id="rId1"/>
    <sheet name="SumTbl" sheetId="2" r:id="rId2"/>
    <sheet name="SumTblValueOnly" sheetId="3" r:id="rId3"/>
    <sheet name="Energy" sheetId="11" r:id="rId4"/>
    <sheet name="BeachDem spawn" sheetId="25" r:id="rId5"/>
    <sheet name="Davoren Spawn" sheetId="26" r:id="rId6"/>
    <sheet name="Capelin charts" sheetId="5" r:id="rId7"/>
    <sheet name="% Gr-Sp Grphs" sheetId="15" r:id="rId8"/>
    <sheet name="Gr_Cond" sheetId="17" r:id="rId9"/>
    <sheet name="Sp_Cond" sheetId="18" r:id="rId10"/>
    <sheet name="F_Cond" sheetId="19" r:id="rId11"/>
    <sheet name="M_Cond" sheetId="20" r:id="rId12"/>
    <sheet name="Gr_Lgth" sheetId="23" r:id="rId13"/>
    <sheet name="Sp_Lgth" sheetId="24" r:id="rId14"/>
    <sheet name="F_Lgth" sheetId="22" r:id="rId15"/>
    <sheet name="M_Lgth" sheetId="21" r:id="rId16"/>
    <sheet name="diet + TempSum" sheetId="8" r:id="rId17"/>
  </sheets>
  <externalReferences>
    <externalReference r:id="rId18"/>
  </externalReferences>
  <definedNames>
    <definedName name="_xlnm._FilterDatabase" localSheetId="0" hidden="1">data!$A$1:$V$3404</definedName>
    <definedName name="_xlnm._FilterDatabase" localSheetId="3" hidden="1">Energy!$A$1:$F$2716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71" i="11" l="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50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6" i="11"/>
  <c r="Q217" i="11"/>
  <c r="Q218" i="11"/>
  <c r="Q219" i="11"/>
  <c r="Q220" i="11"/>
  <c r="Q221" i="11"/>
  <c r="Q222" i="11"/>
  <c r="Q223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153" i="11"/>
  <c r="Q154" i="11"/>
  <c r="Q155" i="11"/>
  <c r="Q156" i="11"/>
  <c r="Q152" i="11"/>
  <c r="Q151" i="11"/>
  <c r="Q150" i="11"/>
  <c r="M150" i="11"/>
  <c r="T151" i="11"/>
  <c r="T152" i="11"/>
  <c r="T153" i="11"/>
  <c r="T154" i="11"/>
  <c r="T155" i="11"/>
  <c r="T156" i="11"/>
  <c r="T160" i="11"/>
  <c r="T161" i="11"/>
  <c r="T162" i="11"/>
  <c r="T163" i="11"/>
  <c r="T164" i="11"/>
  <c r="T165" i="11"/>
  <c r="T166" i="11"/>
  <c r="T167" i="11"/>
  <c r="T168" i="11"/>
  <c r="T169" i="11"/>
  <c r="T17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X281" i="1"/>
  <c r="X282" i="1"/>
  <c r="X283" i="1"/>
  <c r="X28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1" i="1"/>
  <c r="X62" i="1"/>
  <c r="X63" i="1"/>
  <c r="X64" i="1"/>
  <c r="X65" i="1"/>
  <c r="X66" i="1"/>
  <c r="X68" i="1"/>
  <c r="X69" i="1"/>
  <c r="X70" i="1"/>
  <c r="X71" i="1"/>
  <c r="X72" i="1"/>
  <c r="X73" i="1"/>
  <c r="X74" i="1"/>
  <c r="X75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20" i="1"/>
  <c r="X122" i="1"/>
  <c r="X123" i="1"/>
  <c r="X124" i="1"/>
  <c r="X125" i="1"/>
  <c r="X126" i="1"/>
  <c r="X127" i="1"/>
  <c r="X129" i="1"/>
  <c r="X130" i="1"/>
  <c r="X132" i="1"/>
  <c r="X133" i="1"/>
  <c r="X134" i="1"/>
  <c r="X135" i="1"/>
  <c r="X136" i="1"/>
  <c r="X137" i="1"/>
  <c r="X138" i="1"/>
  <c r="X139" i="1"/>
  <c r="X140" i="1"/>
  <c r="X141" i="1"/>
  <c r="X142" i="1"/>
  <c r="X144" i="1"/>
  <c r="X145" i="1"/>
  <c r="X147" i="1"/>
  <c r="X148" i="1"/>
  <c r="X150" i="1"/>
  <c r="X151" i="1"/>
  <c r="X152" i="1"/>
  <c r="X153" i="1"/>
  <c r="X154" i="1"/>
  <c r="X155" i="1"/>
  <c r="X157" i="1"/>
  <c r="X158" i="1"/>
  <c r="X160" i="1"/>
  <c r="X161" i="1"/>
  <c r="X162" i="1"/>
  <c r="X164" i="1"/>
  <c r="X165" i="1"/>
  <c r="X166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7" i="1"/>
  <c r="X209" i="1"/>
  <c r="X236" i="1"/>
  <c r="X237" i="1"/>
  <c r="X238" i="1"/>
  <c r="X239" i="1"/>
  <c r="X240" i="1"/>
  <c r="X241" i="1"/>
  <c r="X242" i="1"/>
  <c r="X243" i="1"/>
  <c r="X245" i="1"/>
  <c r="X247" i="1"/>
  <c r="X248" i="1"/>
  <c r="X249" i="1"/>
  <c r="X250" i="1"/>
  <c r="X251" i="1"/>
  <c r="X252" i="1"/>
  <c r="X253" i="1"/>
  <c r="X254" i="1"/>
  <c r="X255" i="1"/>
  <c r="X258" i="1"/>
  <c r="X259" i="1"/>
  <c r="X261" i="1"/>
  <c r="X262" i="1"/>
  <c r="X263" i="1"/>
  <c r="X265" i="1"/>
  <c r="X266" i="1"/>
  <c r="X267" i="1"/>
  <c r="X268" i="1"/>
  <c r="X270" i="1"/>
  <c r="X271" i="1"/>
  <c r="X273" i="1"/>
  <c r="X274" i="1"/>
  <c r="X275" i="1"/>
  <c r="X276" i="1"/>
  <c r="X278" i="1"/>
  <c r="X279" i="1"/>
  <c r="X286" i="1"/>
  <c r="X287" i="1"/>
  <c r="X288" i="1"/>
  <c r="X289" i="1"/>
  <c r="X290" i="1"/>
  <c r="X291" i="1"/>
  <c r="X292" i="1"/>
  <c r="X293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7" i="1"/>
  <c r="X328" i="1"/>
  <c r="X329" i="1"/>
  <c r="X330" i="1"/>
  <c r="X331" i="1"/>
  <c r="X332" i="1"/>
  <c r="X333" i="1"/>
  <c r="X334" i="1"/>
  <c r="X335" i="1"/>
  <c r="X336" i="1"/>
  <c r="X339" i="1"/>
  <c r="X340" i="1"/>
  <c r="X341" i="1"/>
  <c r="X342" i="1"/>
  <c r="X343" i="1"/>
  <c r="X344" i="1"/>
  <c r="X345" i="1"/>
  <c r="X346" i="1"/>
  <c r="X347" i="1"/>
  <c r="X349" i="1"/>
  <c r="X350" i="1"/>
  <c r="X351" i="1"/>
  <c r="X353" i="1"/>
  <c r="X354" i="1"/>
  <c r="X356" i="1"/>
  <c r="X357" i="1"/>
  <c r="X358" i="1"/>
  <c r="X359" i="1"/>
  <c r="X361" i="1"/>
  <c r="X362" i="1"/>
  <c r="X363" i="1"/>
  <c r="X364" i="1"/>
  <c r="X365" i="1"/>
  <c r="X366" i="1"/>
  <c r="X367" i="1"/>
  <c r="X368" i="1"/>
  <c r="X369" i="1"/>
  <c r="X370" i="1"/>
  <c r="X371" i="1"/>
  <c r="X373" i="1"/>
  <c r="X374" i="1"/>
  <c r="X375" i="1"/>
  <c r="X376" i="1"/>
  <c r="X377" i="1"/>
  <c r="X378" i="1"/>
  <c r="X379" i="1"/>
  <c r="X381" i="1"/>
  <c r="X383" i="1"/>
  <c r="X384" i="1"/>
  <c r="X386" i="1"/>
  <c r="X387" i="1"/>
  <c r="X388" i="1"/>
  <c r="X390" i="1"/>
  <c r="X391" i="1"/>
  <c r="X392" i="1"/>
  <c r="X394" i="1"/>
  <c r="X395" i="1"/>
  <c r="X397" i="1"/>
  <c r="X398" i="1"/>
  <c r="X399" i="1"/>
  <c r="X401" i="1"/>
  <c r="X402" i="1"/>
  <c r="X403" i="1"/>
  <c r="X404" i="1"/>
  <c r="X405" i="1"/>
  <c r="X406" i="1"/>
  <c r="X407" i="1"/>
  <c r="X408" i="1"/>
  <c r="X409" i="1"/>
  <c r="X410" i="1"/>
  <c r="X412" i="1"/>
  <c r="X413" i="1"/>
  <c r="X414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31" i="1"/>
  <c r="X432" i="1"/>
  <c r="X433" i="1"/>
  <c r="X435" i="1"/>
  <c r="X436" i="1"/>
  <c r="X437" i="1"/>
  <c r="X438" i="1"/>
  <c r="X439" i="1"/>
  <c r="X440" i="1"/>
  <c r="X441" i="1"/>
  <c r="X442" i="1"/>
  <c r="X443" i="1"/>
  <c r="X445" i="1"/>
  <c r="X446" i="1"/>
  <c r="X447" i="1"/>
  <c r="X448" i="1"/>
  <c r="X449" i="1"/>
  <c r="X450" i="1"/>
  <c r="X451" i="1"/>
  <c r="X453" i="1"/>
  <c r="X460" i="1"/>
  <c r="X461" i="1"/>
  <c r="X463" i="1"/>
  <c r="X464" i="1"/>
  <c r="X465" i="1"/>
  <c r="X473" i="1"/>
  <c r="X474" i="1"/>
  <c r="X475" i="1"/>
  <c r="X478" i="1"/>
  <c r="X479" i="1"/>
  <c r="X481" i="1"/>
  <c r="X483" i="1"/>
  <c r="X488" i="1"/>
  <c r="X489" i="1"/>
  <c r="X490" i="1"/>
  <c r="X491" i="1"/>
  <c r="X492" i="1"/>
  <c r="X493" i="1"/>
  <c r="X495" i="1"/>
  <c r="X497" i="1"/>
  <c r="X498" i="1"/>
  <c r="X499" i="1"/>
  <c r="X501" i="1"/>
  <c r="X502" i="1"/>
  <c r="X503" i="1"/>
  <c r="X504" i="1"/>
  <c r="X507" i="1"/>
  <c r="X510" i="1"/>
  <c r="X511" i="1"/>
  <c r="X512" i="1"/>
  <c r="X514" i="1"/>
  <c r="X515" i="1"/>
  <c r="X516" i="1"/>
  <c r="X518" i="1"/>
  <c r="X519" i="1"/>
  <c r="X521" i="1"/>
  <c r="X522" i="1"/>
  <c r="X523" i="1"/>
  <c r="X525" i="1"/>
  <c r="X526" i="1"/>
  <c r="X529" i="1"/>
  <c r="X535" i="1"/>
  <c r="X537" i="1"/>
  <c r="X538" i="1"/>
  <c r="X541" i="1"/>
  <c r="X544" i="1"/>
  <c r="X545" i="1"/>
  <c r="X546" i="1"/>
  <c r="X548" i="1"/>
  <c r="X549" i="1"/>
  <c r="X550" i="1"/>
  <c r="X551" i="1"/>
  <c r="X553" i="1"/>
  <c r="X554" i="1"/>
  <c r="X555" i="1"/>
  <c r="X556" i="1"/>
  <c r="X558" i="1"/>
  <c r="X559" i="1"/>
  <c r="X563" i="1"/>
  <c r="X566" i="1"/>
  <c r="X568" i="1"/>
  <c r="X569" i="1"/>
  <c r="X570" i="1"/>
  <c r="X571" i="1"/>
  <c r="X573" i="1"/>
  <c r="X575" i="1"/>
  <c r="X580" i="1"/>
  <c r="X581" i="1"/>
  <c r="X582" i="1"/>
  <c r="X583" i="1"/>
  <c r="X584" i="1"/>
  <c r="X585" i="1"/>
  <c r="X587" i="1"/>
  <c r="X588" i="1"/>
  <c r="X589" i="1"/>
  <c r="X591" i="1"/>
  <c r="X593" i="1"/>
  <c r="X598" i="1"/>
  <c r="X599" i="1"/>
  <c r="X600" i="1"/>
  <c r="X603" i="1"/>
  <c r="X604" i="1"/>
  <c r="X609" i="1"/>
  <c r="X610" i="1"/>
  <c r="X611" i="1"/>
  <c r="X613" i="1"/>
  <c r="X614" i="1"/>
  <c r="X617" i="1"/>
  <c r="X620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3" i="1"/>
  <c r="X684" i="1"/>
  <c r="X685" i="1"/>
  <c r="X686" i="1"/>
  <c r="X687" i="1"/>
  <c r="X688" i="1"/>
  <c r="X689" i="1"/>
  <c r="X690" i="1"/>
  <c r="X692" i="1"/>
  <c r="X693" i="1"/>
  <c r="X695" i="1"/>
  <c r="X696" i="1"/>
  <c r="X697" i="1"/>
  <c r="X698" i="1"/>
  <c r="X700" i="1"/>
  <c r="X701" i="1"/>
  <c r="X702" i="1"/>
  <c r="X703" i="1"/>
  <c r="X704" i="1"/>
  <c r="X705" i="1"/>
  <c r="X707" i="1"/>
  <c r="X708" i="1"/>
  <c r="X710" i="1"/>
  <c r="X711" i="1"/>
  <c r="X712" i="1"/>
  <c r="X713" i="1"/>
  <c r="X714" i="1"/>
  <c r="X715" i="1"/>
  <c r="X716" i="1"/>
  <c r="X723" i="1"/>
  <c r="X724" i="1"/>
  <c r="X725" i="1"/>
  <c r="X726" i="1"/>
  <c r="X727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4" i="1"/>
  <c r="X745" i="1"/>
  <c r="X746" i="1"/>
  <c r="X752" i="1"/>
  <c r="X753" i="1"/>
  <c r="X754" i="1"/>
  <c r="X755" i="1"/>
  <c r="X756" i="1"/>
  <c r="X757" i="1"/>
  <c r="X758" i="1"/>
  <c r="X759" i="1"/>
  <c r="X760" i="1"/>
  <c r="X761" i="1"/>
  <c r="X762" i="1"/>
  <c r="X764" i="1"/>
  <c r="X765" i="1"/>
  <c r="X766" i="1"/>
  <c r="X767" i="1"/>
  <c r="X768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5" i="1"/>
  <c r="X788" i="1"/>
  <c r="X794" i="1"/>
  <c r="X798" i="1"/>
  <c r="X801" i="1"/>
  <c r="X806" i="1"/>
  <c r="X815" i="1"/>
  <c r="X819" i="1"/>
  <c r="X826" i="1"/>
  <c r="X828" i="1"/>
  <c r="X833" i="1"/>
  <c r="X836" i="1"/>
  <c r="X837" i="1"/>
  <c r="X840" i="1"/>
  <c r="X841" i="1"/>
  <c r="X842" i="1"/>
  <c r="X843" i="1"/>
  <c r="X844" i="1"/>
  <c r="X845" i="1"/>
  <c r="X848" i="1"/>
  <c r="X849" i="1"/>
  <c r="X850" i="1"/>
  <c r="X851" i="1"/>
  <c r="X856" i="1"/>
  <c r="X859" i="1"/>
  <c r="X860" i="1"/>
  <c r="X863" i="1"/>
  <c r="X875" i="1"/>
  <c r="X876" i="1"/>
  <c r="X879" i="1"/>
  <c r="X882" i="1"/>
  <c r="X883" i="1"/>
  <c r="X889" i="1"/>
  <c r="X890" i="1"/>
  <c r="X891" i="1"/>
  <c r="X892" i="1"/>
  <c r="X893" i="1"/>
  <c r="X895" i="1"/>
  <c r="X896" i="1"/>
  <c r="X897" i="1"/>
  <c r="X899" i="1"/>
  <c r="X900" i="1"/>
  <c r="X904" i="1"/>
  <c r="X906" i="1"/>
  <c r="X908" i="1"/>
  <c r="X909" i="1"/>
  <c r="X910" i="1"/>
  <c r="X911" i="1"/>
  <c r="X912" i="1"/>
  <c r="X914" i="1"/>
  <c r="X915" i="1"/>
  <c r="X916" i="1"/>
  <c r="X917" i="1"/>
  <c r="X919" i="1"/>
  <c r="X920" i="1"/>
  <c r="X921" i="1"/>
  <c r="X922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7" i="1"/>
  <c r="X958" i="1"/>
  <c r="X959" i="1"/>
  <c r="X960" i="1"/>
  <c r="X961" i="1"/>
  <c r="X962" i="1"/>
  <c r="X964" i="1"/>
  <c r="X965" i="1"/>
  <c r="X966" i="1"/>
  <c r="X967" i="1"/>
  <c r="X968" i="1"/>
  <c r="X969" i="1"/>
  <c r="X970" i="1"/>
  <c r="X971" i="1"/>
  <c r="X972" i="1"/>
  <c r="X973" i="1"/>
  <c r="X975" i="1"/>
  <c r="X976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3" i="1"/>
  <c r="X1024" i="1"/>
  <c r="X1025" i="1"/>
  <c r="X1026" i="1"/>
  <c r="X1027" i="1"/>
  <c r="X1028" i="1"/>
  <c r="X1029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7" i="1"/>
  <c r="X1069" i="1"/>
  <c r="X1070" i="1"/>
  <c r="X1071" i="1"/>
  <c r="X1072" i="1"/>
  <c r="X1073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3" i="1"/>
  <c r="X1094" i="1"/>
  <c r="X1096" i="1"/>
  <c r="X1097" i="1"/>
  <c r="X1098" i="1"/>
  <c r="X1099" i="1"/>
  <c r="X1101" i="1"/>
  <c r="X1102" i="1"/>
  <c r="X1103" i="1"/>
  <c r="X1104" i="1"/>
  <c r="X1105" i="1"/>
  <c r="X1106" i="1"/>
  <c r="X1107" i="1"/>
  <c r="X1108" i="1"/>
  <c r="X1110" i="1"/>
  <c r="X1111" i="1"/>
  <c r="X1113" i="1"/>
  <c r="X1114" i="1"/>
  <c r="X1115" i="1"/>
  <c r="X1116" i="1"/>
  <c r="X1117" i="1"/>
  <c r="X1118" i="1"/>
  <c r="X1119" i="1"/>
  <c r="X1120" i="1"/>
  <c r="X1122" i="1"/>
  <c r="X1123" i="1"/>
  <c r="X1125" i="1"/>
  <c r="X1126" i="1"/>
  <c r="X1127" i="1"/>
  <c r="X1128" i="1"/>
  <c r="X1130" i="1"/>
  <c r="X1131" i="1"/>
  <c r="X1132" i="1"/>
  <c r="X1133" i="1"/>
  <c r="X1134" i="1"/>
  <c r="X1135" i="1"/>
  <c r="X1136" i="1"/>
  <c r="X1137" i="1"/>
  <c r="X1139" i="1"/>
  <c r="X1140" i="1"/>
  <c r="X1141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4" i="1"/>
  <c r="X1165" i="1"/>
  <c r="X1166" i="1"/>
  <c r="X1167" i="1"/>
  <c r="X1168" i="1"/>
  <c r="X1169" i="1"/>
  <c r="X1171" i="1"/>
  <c r="X1172" i="1"/>
  <c r="X1173" i="1"/>
  <c r="X1174" i="1"/>
  <c r="X1175" i="1"/>
  <c r="X1176" i="1"/>
  <c r="X1177" i="1"/>
  <c r="X1178" i="1"/>
  <c r="X1180" i="1"/>
  <c r="X1182" i="1"/>
  <c r="X1183" i="1"/>
  <c r="X1184" i="1"/>
  <c r="X1185" i="1"/>
  <c r="X1186" i="1"/>
  <c r="X1187" i="1"/>
  <c r="X1188" i="1"/>
  <c r="X1189" i="1"/>
  <c r="X1193" i="1"/>
  <c r="X1194" i="1"/>
  <c r="X1195" i="1"/>
  <c r="X1196" i="1"/>
  <c r="X1197" i="1"/>
  <c r="X1198" i="1"/>
  <c r="X1199" i="1"/>
  <c r="X1200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4" i="1"/>
  <c r="X1225" i="1"/>
  <c r="X1226" i="1"/>
  <c r="X1227" i="1"/>
  <c r="X1229" i="1"/>
  <c r="X1230" i="1"/>
  <c r="X1231" i="1"/>
  <c r="X1232" i="1"/>
  <c r="X1234" i="1"/>
  <c r="X1235" i="1"/>
  <c r="X1236" i="1"/>
  <c r="X1238" i="1"/>
  <c r="X1239" i="1"/>
  <c r="X1240" i="1"/>
  <c r="X1242" i="1"/>
  <c r="X1244" i="1"/>
  <c r="X1246" i="1"/>
  <c r="X1247" i="1"/>
  <c r="X1248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9" i="1"/>
  <c r="X1280" i="1"/>
  <c r="X1281" i="1"/>
  <c r="X1282" i="1"/>
  <c r="X1283" i="1"/>
  <c r="X1284" i="1"/>
  <c r="X1290" i="1"/>
  <c r="X1291" i="1"/>
  <c r="X1293" i="1"/>
  <c r="X1294" i="1"/>
  <c r="X1295" i="1"/>
  <c r="X1296" i="1"/>
  <c r="X1297" i="1"/>
  <c r="X1299" i="1"/>
  <c r="X1300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6" i="1"/>
  <c r="X1317" i="1"/>
  <c r="X1318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9" i="1"/>
  <c r="X1370" i="1"/>
  <c r="X1372" i="1"/>
  <c r="X1373" i="1"/>
  <c r="X1376" i="1"/>
  <c r="X1377" i="1"/>
  <c r="X1379" i="1"/>
  <c r="X1380" i="1"/>
  <c r="X1381" i="1"/>
  <c r="X1382" i="1"/>
  <c r="X1383" i="1"/>
  <c r="X1384" i="1"/>
  <c r="X1385" i="1"/>
  <c r="X1386" i="1"/>
  <c r="X1387" i="1"/>
  <c r="X1388" i="1"/>
  <c r="X1389" i="1"/>
  <c r="X1391" i="1"/>
  <c r="X1392" i="1"/>
  <c r="X1394" i="1"/>
  <c r="X1395" i="1"/>
  <c r="X1396" i="1"/>
  <c r="X1397" i="1"/>
  <c r="X1398" i="1"/>
  <c r="X1399" i="1"/>
  <c r="X1400" i="1"/>
  <c r="X1401" i="1"/>
  <c r="X1403" i="1"/>
  <c r="X1404" i="1"/>
  <c r="X1405" i="1"/>
  <c r="X1406" i="1"/>
  <c r="X1407" i="1"/>
  <c r="X1408" i="1"/>
  <c r="X1409" i="1"/>
  <c r="X1411" i="1"/>
  <c r="X1412" i="1"/>
  <c r="X1413" i="1"/>
  <c r="X1414" i="1"/>
  <c r="X1415" i="1"/>
  <c r="X1416" i="1"/>
  <c r="X1417" i="1"/>
  <c r="X1418" i="1"/>
  <c r="X1419" i="1"/>
  <c r="X1420" i="1"/>
  <c r="X1421" i="1"/>
  <c r="X1423" i="1"/>
  <c r="X1424" i="1"/>
  <c r="X1425" i="1"/>
  <c r="X1426" i="1"/>
  <c r="X1427" i="1"/>
  <c r="X1428" i="1"/>
  <c r="X1430" i="1"/>
  <c r="X1431" i="1"/>
  <c r="X1432" i="1"/>
  <c r="X1433" i="1"/>
  <c r="X1434" i="1"/>
  <c r="X1435" i="1"/>
  <c r="X1437" i="1"/>
  <c r="X1438" i="1"/>
  <c r="X1439" i="1"/>
  <c r="X1440" i="1"/>
  <c r="X1441" i="1"/>
  <c r="X1443" i="1"/>
  <c r="X1444" i="1"/>
  <c r="X1445" i="1"/>
  <c r="X1446" i="1"/>
  <c r="X1447" i="1"/>
  <c r="X1448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3" i="1"/>
  <c r="X1464" i="1"/>
  <c r="X1465" i="1"/>
  <c r="X1466" i="1"/>
  <c r="X1467" i="1"/>
  <c r="X1468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90" i="1"/>
  <c r="X1591" i="1"/>
  <c r="X1592" i="1"/>
  <c r="X1593" i="1"/>
  <c r="X1594" i="1"/>
  <c r="X1595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4" i="1"/>
  <c r="X1635" i="1"/>
  <c r="X1636" i="1"/>
  <c r="X1637" i="1"/>
  <c r="X1638" i="1"/>
  <c r="X1639" i="1"/>
  <c r="X1640" i="1"/>
  <c r="X1641" i="1"/>
  <c r="X1642" i="1"/>
  <c r="X1643" i="1"/>
  <c r="X1644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5" i="1"/>
  <c r="X1766" i="1"/>
  <c r="X1767" i="1"/>
  <c r="X1768" i="1"/>
  <c r="X1769" i="1"/>
  <c r="X1770" i="1"/>
  <c r="X1771" i="1"/>
  <c r="X1772" i="1"/>
  <c r="X1773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9" i="1"/>
  <c r="X1850" i="1"/>
  <c r="X1851" i="1"/>
  <c r="X1852" i="1"/>
  <c r="X1854" i="1"/>
  <c r="X1855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9" i="1"/>
  <c r="X1940" i="1"/>
  <c r="X1941" i="1"/>
  <c r="X1942" i="1"/>
  <c r="X1943" i="1"/>
  <c r="X1944" i="1"/>
  <c r="X1945" i="1"/>
  <c r="X1948" i="1"/>
  <c r="X1949" i="1"/>
  <c r="X1950" i="1"/>
  <c r="X1951" i="1"/>
  <c r="X1952" i="1"/>
  <c r="X1954" i="1"/>
  <c r="X1955" i="1"/>
  <c r="X1956" i="1"/>
  <c r="X1957" i="1"/>
  <c r="X1958" i="1"/>
  <c r="X1959" i="1"/>
  <c r="X1960" i="1"/>
  <c r="X1961" i="1"/>
  <c r="X1963" i="1"/>
  <c r="X1964" i="1"/>
  <c r="X1965" i="1"/>
  <c r="X1968" i="1"/>
  <c r="X1969" i="1"/>
  <c r="X1970" i="1"/>
  <c r="X1971" i="1"/>
  <c r="X1972" i="1"/>
  <c r="X1973" i="1"/>
  <c r="X1975" i="1"/>
  <c r="X1976" i="1"/>
  <c r="X1977" i="1"/>
  <c r="X1980" i="1"/>
  <c r="X1981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8" i="1"/>
  <c r="X1999" i="1"/>
  <c r="X2000" i="1"/>
  <c r="X2001" i="1"/>
  <c r="X2003" i="1"/>
  <c r="X2004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2" i="1"/>
  <c r="X2043" i="1"/>
  <c r="X2044" i="1"/>
  <c r="X2045" i="1"/>
  <c r="X2046" i="1"/>
  <c r="X2050" i="1"/>
  <c r="X2052" i="1"/>
  <c r="X2054" i="1"/>
  <c r="X2055" i="1"/>
  <c r="X2060" i="1"/>
  <c r="X2063" i="1"/>
  <c r="X2064" i="1"/>
  <c r="X2066" i="1"/>
  <c r="X2067" i="1"/>
  <c r="X2068" i="1"/>
  <c r="X2070" i="1"/>
  <c r="X2071" i="1"/>
  <c r="X2072" i="1"/>
  <c r="X2073" i="1"/>
  <c r="X2074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2" i="1"/>
  <c r="X2103" i="1"/>
  <c r="X2104" i="1"/>
  <c r="X2105" i="1"/>
  <c r="X2106" i="1"/>
  <c r="X2107" i="1"/>
  <c r="X2109" i="1"/>
  <c r="X2110" i="1"/>
  <c r="X2112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5" i="1"/>
  <c r="X2166" i="1"/>
  <c r="X2167" i="1"/>
  <c r="X2168" i="1"/>
  <c r="X2169" i="1"/>
  <c r="X2170" i="1"/>
  <c r="X2172" i="1"/>
  <c r="X2173" i="1"/>
  <c r="X2174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2" i="1"/>
  <c r="X2223" i="1"/>
  <c r="X2224" i="1"/>
  <c r="X2225" i="1"/>
  <c r="X2226" i="1"/>
  <c r="X2227" i="1"/>
  <c r="X2228" i="1"/>
  <c r="X2229" i="1"/>
  <c r="X2231" i="1"/>
  <c r="X2232" i="1"/>
  <c r="X2233" i="1"/>
  <c r="X2234" i="1"/>
  <c r="X2235" i="1"/>
  <c r="X2237" i="1"/>
  <c r="X2238" i="1"/>
  <c r="X2239" i="1"/>
  <c r="X2240" i="1"/>
  <c r="X2241" i="1"/>
  <c r="X2243" i="1"/>
  <c r="X2246" i="1"/>
  <c r="X2248" i="1"/>
  <c r="X2250" i="1"/>
  <c r="X2251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5" i="1"/>
  <c r="X2346" i="1"/>
  <c r="X2347" i="1"/>
  <c r="X2348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2" i="1"/>
  <c r="X2373" i="1"/>
  <c r="X2374" i="1"/>
  <c r="X2375" i="1"/>
  <c r="X2376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7" i="1"/>
  <c r="X2458" i="1"/>
  <c r="X2459" i="1"/>
  <c r="X2460" i="1"/>
  <c r="X2461" i="1"/>
  <c r="X2462" i="1"/>
  <c r="X2463" i="1"/>
  <c r="X2465" i="1"/>
  <c r="X2466" i="1"/>
  <c r="X2468" i="1"/>
  <c r="X2469" i="1"/>
  <c r="X2470" i="1"/>
  <c r="X2471" i="1"/>
  <c r="X2472" i="1"/>
  <c r="X2474" i="1"/>
  <c r="X2475" i="1"/>
  <c r="X2476" i="1"/>
  <c r="X2477" i="1"/>
  <c r="X2479" i="1"/>
  <c r="X2480" i="1"/>
  <c r="X2481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500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6" i="1"/>
  <c r="X2617" i="1"/>
  <c r="X2620" i="1"/>
  <c r="X2621" i="1"/>
  <c r="X2623" i="1"/>
  <c r="X2624" i="1"/>
  <c r="X2625" i="1"/>
  <c r="X2626" i="1"/>
  <c r="X2627" i="1"/>
  <c r="X2628" i="1"/>
  <c r="X2630" i="1"/>
  <c r="X2631" i="1"/>
  <c r="X2633" i="1"/>
  <c r="X2634" i="1"/>
  <c r="X2635" i="1"/>
  <c r="X2636" i="1"/>
  <c r="X2637" i="1"/>
  <c r="X2639" i="1"/>
  <c r="X2640" i="1"/>
  <c r="X2641" i="1"/>
  <c r="X2642" i="1"/>
  <c r="X2643" i="1"/>
  <c r="X2644" i="1"/>
  <c r="X2645" i="1"/>
  <c r="X2646" i="1"/>
  <c r="X2647" i="1"/>
  <c r="X2649" i="1"/>
  <c r="X2650" i="1"/>
  <c r="X2651" i="1"/>
  <c r="X2652" i="1"/>
  <c r="X2653" i="1"/>
  <c r="X2654" i="1"/>
  <c r="X2655" i="1"/>
  <c r="X2656" i="1"/>
  <c r="X2657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1" i="1"/>
  <c r="X2682" i="1"/>
  <c r="X2683" i="1"/>
  <c r="X2685" i="1"/>
  <c r="X2686" i="1"/>
  <c r="X2688" i="1"/>
  <c r="X2689" i="1"/>
  <c r="X2690" i="1"/>
  <c r="X2691" i="1"/>
  <c r="X2692" i="1"/>
  <c r="X2698" i="1"/>
  <c r="X2699" i="1"/>
  <c r="X2702" i="1"/>
  <c r="X2704" i="1"/>
  <c r="X2706" i="1"/>
  <c r="X2712" i="1"/>
  <c r="X2713" i="1"/>
  <c r="X2717" i="1"/>
  <c r="X2718" i="1"/>
  <c r="X2719" i="1"/>
  <c r="X2720" i="1"/>
  <c r="X2721" i="1"/>
  <c r="X2723" i="1"/>
  <c r="X2733" i="1"/>
  <c r="X2735" i="1"/>
  <c r="X2736" i="1"/>
  <c r="X2737" i="1"/>
  <c r="X2741" i="1"/>
  <c r="X2742" i="1"/>
  <c r="X2750" i="1"/>
  <c r="X2751" i="1"/>
  <c r="X2755" i="1"/>
  <c r="X2756" i="1"/>
  <c r="X2758" i="1"/>
  <c r="X2760" i="1"/>
  <c r="X2784" i="1"/>
  <c r="X2785" i="1"/>
  <c r="X2786" i="1"/>
  <c r="X2787" i="1"/>
  <c r="X2788" i="1"/>
  <c r="X2790" i="1"/>
  <c r="X2791" i="1"/>
  <c r="X2792" i="1"/>
  <c r="X2793" i="1"/>
  <c r="X2795" i="1"/>
  <c r="X2796" i="1"/>
  <c r="X2797" i="1"/>
  <c r="X2798" i="1"/>
  <c r="X2802" i="1"/>
  <c r="X2805" i="1"/>
  <c r="X2810" i="1"/>
  <c r="X2811" i="1"/>
  <c r="X2813" i="1"/>
  <c r="X2816" i="1"/>
  <c r="X2817" i="1"/>
  <c r="X2818" i="1"/>
  <c r="X2819" i="1"/>
  <c r="X2820" i="1"/>
  <c r="X2821" i="1"/>
  <c r="X2825" i="1"/>
  <c r="X2826" i="1"/>
  <c r="X2827" i="1"/>
  <c r="X2828" i="1"/>
  <c r="X2829" i="1"/>
  <c r="X2830" i="1"/>
  <c r="X2831" i="1"/>
  <c r="X2832" i="1"/>
  <c r="X2833" i="1"/>
  <c r="X2834" i="1"/>
  <c r="X2837" i="1"/>
  <c r="X2838" i="1"/>
  <c r="X2839" i="1"/>
  <c r="X2840" i="1"/>
  <c r="X2841" i="1"/>
  <c r="X2843" i="1"/>
  <c r="X2844" i="1"/>
  <c r="X2845" i="1"/>
  <c r="X2847" i="1"/>
  <c r="X2848" i="1"/>
  <c r="X2850" i="1"/>
  <c r="X2852" i="1"/>
  <c r="X2854" i="1"/>
  <c r="X2855" i="1"/>
  <c r="X2856" i="1"/>
  <c r="X2857" i="1"/>
  <c r="X2858" i="1"/>
  <c r="X2859" i="1"/>
  <c r="X2861" i="1"/>
  <c r="X2862" i="1"/>
  <c r="X2864" i="1"/>
  <c r="X2865" i="1"/>
  <c r="X2866" i="1"/>
  <c r="X2867" i="1"/>
  <c r="X2871" i="1"/>
  <c r="X2872" i="1"/>
  <c r="X2874" i="1"/>
  <c r="X2875" i="1"/>
  <c r="X2877" i="1"/>
  <c r="X2878" i="1"/>
  <c r="X2880" i="1"/>
  <c r="X2884" i="1"/>
  <c r="X2885" i="1"/>
  <c r="X2886" i="1"/>
  <c r="X2887" i="1"/>
  <c r="X2888" i="1"/>
  <c r="X2890" i="1"/>
  <c r="X2891" i="1"/>
  <c r="X2892" i="1"/>
  <c r="X2893" i="1"/>
  <c r="X2895" i="1"/>
  <c r="X2901" i="1"/>
  <c r="X2902" i="1"/>
  <c r="X2903" i="1"/>
  <c r="X2904" i="1"/>
  <c r="X2905" i="1"/>
  <c r="X2906" i="1"/>
  <c r="X2907" i="1"/>
  <c r="X2908" i="1"/>
  <c r="X2909" i="1"/>
  <c r="X2910" i="1"/>
  <c r="X2912" i="1"/>
  <c r="X2913" i="1"/>
  <c r="X2914" i="1"/>
  <c r="X2915" i="1"/>
  <c r="X2916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5" i="1"/>
  <c r="X2938" i="1"/>
  <c r="X2940" i="1"/>
  <c r="X2941" i="1"/>
  <c r="X2954" i="1"/>
  <c r="X2955" i="1"/>
  <c r="X2956" i="1"/>
  <c r="X2957" i="1"/>
  <c r="X2963" i="1"/>
  <c r="X2965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6" i="1"/>
  <c r="X2987" i="1"/>
  <c r="X2988" i="1"/>
  <c r="X2989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9" i="1"/>
  <c r="X3030" i="1"/>
  <c r="X3034" i="1"/>
  <c r="X3035" i="1"/>
  <c r="X3037" i="1"/>
  <c r="X3038" i="1"/>
  <c r="X3039" i="1"/>
  <c r="X3040" i="1"/>
  <c r="X3042" i="1"/>
  <c r="X3043" i="1"/>
  <c r="X3044" i="1"/>
  <c r="X3045" i="1"/>
  <c r="X3046" i="1"/>
  <c r="X3047" i="1"/>
  <c r="X3048" i="1"/>
  <c r="X3050" i="1"/>
  <c r="X3051" i="1"/>
  <c r="X3052" i="1"/>
  <c r="X3053" i="1"/>
  <c r="X3054" i="1"/>
  <c r="X3055" i="1"/>
  <c r="X3056" i="1"/>
  <c r="X3057" i="1"/>
  <c r="X3058" i="1"/>
  <c r="X3059" i="1"/>
  <c r="X3062" i="1"/>
  <c r="X3063" i="1"/>
  <c r="X3064" i="1"/>
  <c r="X3066" i="1"/>
  <c r="X3067" i="1"/>
  <c r="X3068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7" i="1"/>
  <c r="X3098" i="1"/>
  <c r="X3099" i="1"/>
  <c r="X3100" i="1"/>
  <c r="X3101" i="1"/>
  <c r="X3102" i="1"/>
  <c r="X3103" i="1"/>
  <c r="X3104" i="1"/>
  <c r="X3106" i="1"/>
  <c r="X3107" i="1"/>
  <c r="X3108" i="1"/>
  <c r="X3109" i="1"/>
  <c r="X3110" i="1"/>
  <c r="X3111" i="1"/>
  <c r="X3114" i="1"/>
  <c r="X3116" i="1"/>
  <c r="X3117" i="1"/>
  <c r="X3119" i="1"/>
  <c r="X3121" i="1"/>
  <c r="X3122" i="1"/>
  <c r="X3123" i="1"/>
  <c r="X3124" i="1"/>
  <c r="X3125" i="1"/>
  <c r="X3126" i="1"/>
  <c r="X3127" i="1"/>
  <c r="X3128" i="1"/>
  <c r="X3130" i="1"/>
  <c r="X3131" i="1"/>
  <c r="X3132" i="1"/>
  <c r="X3134" i="1"/>
  <c r="X3135" i="1"/>
  <c r="X3136" i="1"/>
  <c r="X3137" i="1"/>
  <c r="X3138" i="1"/>
  <c r="X3139" i="1"/>
  <c r="X3140" i="1"/>
  <c r="X3141" i="1"/>
  <c r="X3142" i="1"/>
  <c r="X3143" i="1"/>
  <c r="X3144" i="1"/>
  <c r="X3147" i="1"/>
  <c r="X3148" i="1"/>
  <c r="X3151" i="1"/>
  <c r="X3152" i="1"/>
  <c r="X3154" i="1"/>
  <c r="X3155" i="1"/>
  <c r="X3156" i="1"/>
  <c r="X3157" i="1"/>
  <c r="X3158" i="1"/>
  <c r="X3159" i="1"/>
  <c r="X3160" i="1"/>
  <c r="X3161" i="1"/>
  <c r="X3165" i="1"/>
  <c r="X3166" i="1"/>
  <c r="X3168" i="1"/>
  <c r="X3172" i="1"/>
  <c r="X3174" i="1"/>
  <c r="X3175" i="1"/>
  <c r="X3176" i="1"/>
  <c r="X3178" i="1"/>
  <c r="X3179" i="1"/>
  <c r="X3180" i="1"/>
  <c r="X3181" i="1"/>
  <c r="X3188" i="1"/>
  <c r="X3190" i="1"/>
  <c r="X3191" i="1"/>
  <c r="X3192" i="1"/>
  <c r="X3193" i="1"/>
  <c r="X3194" i="1"/>
  <c r="X3196" i="1"/>
  <c r="X3197" i="1"/>
  <c r="X3198" i="1"/>
  <c r="X3199" i="1"/>
  <c r="X3200" i="1"/>
  <c r="X3201" i="1"/>
  <c r="X3203" i="1"/>
  <c r="X3204" i="1"/>
  <c r="X3205" i="1"/>
  <c r="X3206" i="1"/>
  <c r="X3207" i="1"/>
  <c r="X3209" i="1"/>
  <c r="X3211" i="1"/>
  <c r="X3213" i="1"/>
  <c r="X3214" i="1"/>
  <c r="X3215" i="1"/>
  <c r="X3216" i="1"/>
  <c r="X3217" i="1"/>
  <c r="X3218" i="1"/>
  <c r="X3219" i="1"/>
  <c r="X3221" i="1"/>
  <c r="X3222" i="1"/>
  <c r="X3223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4" i="1"/>
  <c r="X3255" i="1"/>
  <c r="X3257" i="1"/>
  <c r="X3258" i="1"/>
  <c r="X3259" i="1"/>
  <c r="X3261" i="1"/>
  <c r="X3262" i="1"/>
  <c r="X3263" i="1"/>
  <c r="X3264" i="1"/>
  <c r="X3265" i="1"/>
  <c r="X3267" i="1"/>
  <c r="X3268" i="1"/>
  <c r="X3269" i="1"/>
  <c r="X3271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7" i="1"/>
  <c r="X3288" i="1"/>
  <c r="X3289" i="1"/>
  <c r="X3290" i="1"/>
  <c r="X3291" i="1"/>
  <c r="X3292" i="1"/>
  <c r="X3294" i="1"/>
  <c r="X3295" i="1"/>
  <c r="X3296" i="1"/>
  <c r="X3297" i="1"/>
  <c r="X3298" i="1"/>
  <c r="X3300" i="1"/>
  <c r="X3301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8" i="1"/>
  <c r="X3319" i="1"/>
  <c r="X3320" i="1"/>
  <c r="X3321" i="1"/>
  <c r="X3322" i="1"/>
  <c r="X3323" i="1"/>
  <c r="X3326" i="1"/>
  <c r="X3327" i="1"/>
  <c r="X3328" i="1"/>
  <c r="X3329" i="1"/>
  <c r="X3330" i="1"/>
  <c r="X3331" i="1"/>
  <c r="X3336" i="1"/>
  <c r="X3341" i="1"/>
  <c r="X3342" i="1"/>
  <c r="X3343" i="1"/>
  <c r="X3347" i="1"/>
  <c r="X3354" i="1"/>
  <c r="X3365" i="1"/>
  <c r="X3381" i="1"/>
  <c r="X3394" i="1"/>
  <c r="AE167" i="11"/>
  <c r="AD167" i="11"/>
  <c r="AB167" i="11"/>
  <c r="AE166" i="11"/>
  <c r="AD166" i="11"/>
  <c r="AB166" i="11"/>
  <c r="AE165" i="11"/>
  <c r="AD165" i="11"/>
  <c r="AB165" i="11"/>
  <c r="N151" i="11"/>
  <c r="N158" i="11"/>
  <c r="N164" i="11"/>
  <c r="N168" i="11"/>
  <c r="N170" i="11"/>
  <c r="N173" i="11"/>
  <c r="N174" i="11"/>
  <c r="N175" i="11"/>
  <c r="N176" i="11"/>
  <c r="N177" i="11"/>
  <c r="N178" i="11"/>
  <c r="N179" i="11"/>
  <c r="N180" i="11"/>
  <c r="N197" i="11"/>
  <c r="N202" i="11"/>
  <c r="N204" i="11"/>
  <c r="N205" i="11"/>
  <c r="N209" i="11"/>
  <c r="N215" i="11"/>
  <c r="N216" i="11"/>
  <c r="N217" i="11"/>
  <c r="N221" i="11"/>
  <c r="N222" i="11"/>
  <c r="N224" i="11"/>
  <c r="N225" i="11"/>
  <c r="N226" i="11"/>
  <c r="N232" i="11"/>
  <c r="N241" i="11"/>
  <c r="N242" i="11"/>
  <c r="N243" i="11"/>
  <c r="N246" i="11"/>
  <c r="N247" i="11"/>
  <c r="N248" i="11"/>
  <c r="N249" i="11"/>
  <c r="N250" i="11"/>
  <c r="N251" i="11"/>
  <c r="N253" i="11"/>
  <c r="N254" i="11"/>
  <c r="N257" i="11"/>
  <c r="N258" i="11"/>
  <c r="N260" i="11"/>
  <c r="N261" i="11"/>
  <c r="N262" i="11"/>
  <c r="N263" i="11"/>
  <c r="N264" i="11"/>
  <c r="N265" i="11"/>
  <c r="N267" i="11"/>
  <c r="N269" i="11"/>
  <c r="N270" i="11"/>
  <c r="N271" i="11"/>
  <c r="N272" i="11"/>
  <c r="N274" i="11"/>
  <c r="N275" i="11"/>
  <c r="N276" i="11"/>
  <c r="N277" i="11"/>
  <c r="N278" i="11"/>
  <c r="N281" i="11"/>
  <c r="N282" i="11"/>
  <c r="N283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6" i="11"/>
  <c r="M217" i="11"/>
  <c r="M218" i="11"/>
  <c r="M219" i="11"/>
  <c r="M220" i="11"/>
  <c r="M221" i="11"/>
  <c r="M222" i="11"/>
  <c r="M223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3" i="11"/>
  <c r="N150" i="11"/>
  <c r="O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3" i="11"/>
  <c r="P174" i="11"/>
  <c r="P175" i="11"/>
  <c r="P176" i="11"/>
  <c r="P177" i="11"/>
  <c r="P178" i="11"/>
  <c r="P179" i="11"/>
  <c r="P180" i="11"/>
  <c r="P181" i="11"/>
  <c r="P182" i="11"/>
  <c r="P184" i="11"/>
  <c r="P186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9" i="11"/>
  <c r="P220" i="11"/>
  <c r="P221" i="11"/>
  <c r="P222" i="11"/>
  <c r="P223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4" i="11"/>
  <c r="P255" i="11"/>
  <c r="P256" i="11"/>
  <c r="P257" i="11"/>
  <c r="P258" i="11"/>
  <c r="P259" i="11"/>
  <c r="P260" i="11"/>
  <c r="P261" i="11"/>
  <c r="P263" i="11"/>
  <c r="P264" i="11"/>
  <c r="P265" i="11"/>
  <c r="P266" i="11"/>
  <c r="P267" i="11"/>
  <c r="P268" i="11"/>
  <c r="P269" i="11"/>
  <c r="P270" i="11"/>
  <c r="P271" i="11"/>
  <c r="P275" i="11"/>
  <c r="P276" i="11"/>
  <c r="P277" i="11"/>
  <c r="P278" i="11"/>
  <c r="P279" i="11"/>
  <c r="P280" i="11"/>
  <c r="P281" i="11"/>
  <c r="P150" i="11"/>
  <c r="O232" i="11"/>
  <c r="O234" i="11"/>
  <c r="O235" i="11"/>
  <c r="O236" i="11"/>
  <c r="O237" i="11"/>
  <c r="O238" i="11"/>
  <c r="O239" i="11"/>
  <c r="O240" i="11"/>
  <c r="O241" i="11"/>
  <c r="O242" i="11"/>
  <c r="O243" i="11"/>
  <c r="O244" i="11"/>
  <c r="O247" i="11"/>
  <c r="O248" i="11"/>
  <c r="O249" i="11"/>
  <c r="O250" i="11"/>
  <c r="O251" i="11"/>
  <c r="O252" i="11"/>
  <c r="O253" i="11"/>
  <c r="O254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3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202" i="11"/>
  <c r="O204" i="11"/>
  <c r="O206" i="11"/>
  <c r="O207" i="11"/>
  <c r="O208" i="11"/>
  <c r="O209" i="11"/>
  <c r="O210" i="11"/>
  <c r="O211" i="11"/>
  <c r="O212" i="11"/>
  <c r="O213" i="11"/>
  <c r="O214" i="11"/>
  <c r="O216" i="11"/>
  <c r="O217" i="11"/>
  <c r="O218" i="11"/>
  <c r="O219" i="11"/>
  <c r="O220" i="11"/>
  <c r="O221" i="11"/>
  <c r="O222" i="11"/>
  <c r="O223" i="11"/>
  <c r="O225" i="11"/>
  <c r="O226" i="11"/>
  <c r="O227" i="11"/>
  <c r="O228" i="11"/>
  <c r="O231" i="11"/>
  <c r="O157" i="11"/>
  <c r="O158" i="11"/>
  <c r="O159" i="11"/>
  <c r="O151" i="11"/>
  <c r="O152" i="11"/>
  <c r="O153" i="11"/>
  <c r="O154" i="11"/>
  <c r="O155" i="11"/>
  <c r="O156" i="11"/>
  <c r="G20" i="25"/>
  <c r="G21" i="25"/>
  <c r="G18" i="25"/>
  <c r="G19" i="25"/>
  <c r="P18" i="25"/>
  <c r="L17" i="25"/>
  <c r="C16" i="25"/>
  <c r="P19" i="25"/>
  <c r="P20" i="25"/>
  <c r="P21" i="25"/>
  <c r="H2690" i="11"/>
  <c r="Q29" i="11"/>
  <c r="H2691" i="11"/>
  <c r="H2692" i="11"/>
  <c r="H2693" i="11"/>
  <c r="N29" i="11"/>
  <c r="K29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V4" i="11" a="1"/>
  <c r="V4" i="11"/>
  <c r="W4" i="11"/>
  <c r="V5" i="11" a="1"/>
  <c r="V5" i="11"/>
  <c r="W5" i="11"/>
  <c r="V6" i="11" a="1"/>
  <c r="V6" i="11"/>
  <c r="W6" i="11"/>
  <c r="V7" i="11" a="1"/>
  <c r="V7" i="11"/>
  <c r="W7" i="11"/>
  <c r="V8" i="11" a="1"/>
  <c r="V8" i="11"/>
  <c r="W8" i="11"/>
  <c r="V9" i="11" a="1"/>
  <c r="V9" i="11"/>
  <c r="W9" i="11"/>
  <c r="V10" i="11" a="1"/>
  <c r="V10" i="11"/>
  <c r="W10" i="11"/>
  <c r="V11" i="11" a="1"/>
  <c r="V11" i="11"/>
  <c r="W11" i="11"/>
  <c r="V12" i="11" a="1"/>
  <c r="V12" i="11"/>
  <c r="W12" i="11"/>
  <c r="V13" i="11" a="1"/>
  <c r="V13" i="11"/>
  <c r="W13" i="11"/>
  <c r="V14" i="11" a="1"/>
  <c r="V14" i="11"/>
  <c r="W14" i="11"/>
  <c r="V15" i="11" a="1"/>
  <c r="V15" i="11"/>
  <c r="W15" i="11"/>
  <c r="V16" i="11" a="1"/>
  <c r="V16" i="11"/>
  <c r="W16" i="11"/>
  <c r="V17" i="11" a="1"/>
  <c r="V17" i="11"/>
  <c r="W17" i="11"/>
  <c r="V18" i="11" a="1"/>
  <c r="V18" i="11"/>
  <c r="W18" i="11"/>
  <c r="V19" i="11" a="1"/>
  <c r="V19" i="11"/>
  <c r="W19" i="11"/>
  <c r="V20" i="11" a="1"/>
  <c r="V20" i="11"/>
  <c r="W20" i="11"/>
  <c r="V21" i="11" a="1"/>
  <c r="V21" i="11"/>
  <c r="W21" i="11"/>
  <c r="V22" i="11" a="1"/>
  <c r="V22" i="11"/>
  <c r="W22" i="11"/>
  <c r="V23" i="11" a="1"/>
  <c r="V23" i="11"/>
  <c r="W23" i="11"/>
  <c r="V24" i="11" a="1"/>
  <c r="V24" i="11"/>
  <c r="W24" i="11"/>
  <c r="V25" i="11" a="1"/>
  <c r="V25" i="11"/>
  <c r="W25" i="11"/>
  <c r="V26" i="11" a="1"/>
  <c r="V26" i="11"/>
  <c r="W26" i="11"/>
  <c r="V27" i="11" a="1"/>
  <c r="V27" i="11"/>
  <c r="W27" i="11"/>
  <c r="V28" i="11" a="1"/>
  <c r="V28" i="11"/>
  <c r="W28" i="11"/>
  <c r="V3" i="11" a="1"/>
  <c r="V3" i="11"/>
  <c r="W3" i="11"/>
  <c r="R4" i="11" a="1"/>
  <c r="R4" i="11"/>
  <c r="S4" i="11"/>
  <c r="R5" i="11" a="1"/>
  <c r="R5" i="11"/>
  <c r="S5" i="11"/>
  <c r="R6" i="11" a="1"/>
  <c r="R6" i="11"/>
  <c r="S6" i="11"/>
  <c r="R7" i="11" a="1"/>
  <c r="R7" i="11"/>
  <c r="S7" i="11"/>
  <c r="R8" i="11" a="1"/>
  <c r="R8" i="11"/>
  <c r="S8" i="11"/>
  <c r="R9" i="11" a="1"/>
  <c r="R9" i="11"/>
  <c r="S9" i="11"/>
  <c r="R10" i="11" a="1"/>
  <c r="R10" i="11"/>
  <c r="S10" i="11"/>
  <c r="R11" i="11" a="1"/>
  <c r="R11" i="11"/>
  <c r="S11" i="11"/>
  <c r="R12" i="11" a="1"/>
  <c r="R12" i="11"/>
  <c r="S12" i="11"/>
  <c r="R14" i="11" a="1"/>
  <c r="R14" i="11"/>
  <c r="S14" i="11"/>
  <c r="R15" i="11" a="1"/>
  <c r="R15" i="11"/>
  <c r="S15" i="11"/>
  <c r="R16" i="11" a="1"/>
  <c r="R16" i="11"/>
  <c r="S16" i="11"/>
  <c r="R17" i="11" a="1"/>
  <c r="R17" i="11"/>
  <c r="S17" i="11"/>
  <c r="R18" i="11" a="1"/>
  <c r="R18" i="11"/>
  <c r="S18" i="11"/>
  <c r="R19" i="11" a="1"/>
  <c r="R19" i="11"/>
  <c r="S19" i="11"/>
  <c r="R20" i="11" a="1"/>
  <c r="R20" i="11"/>
  <c r="S20" i="11"/>
  <c r="R21" i="11" a="1"/>
  <c r="R21" i="11"/>
  <c r="S21" i="11"/>
  <c r="R22" i="11" a="1"/>
  <c r="R22" i="11"/>
  <c r="S22" i="11"/>
  <c r="R23" i="11" a="1"/>
  <c r="R23" i="11"/>
  <c r="S23" i="11"/>
  <c r="R24" i="11" a="1"/>
  <c r="R24" i="11"/>
  <c r="S24" i="11"/>
  <c r="R25" i="11" a="1"/>
  <c r="R25" i="11"/>
  <c r="S25" i="11"/>
  <c r="R26" i="11" a="1"/>
  <c r="R26" i="11"/>
  <c r="S26" i="11"/>
  <c r="R27" i="11" a="1"/>
  <c r="R27" i="11"/>
  <c r="S27" i="11"/>
  <c r="R28" i="11" a="1"/>
  <c r="R28" i="11"/>
  <c r="S28" i="11"/>
  <c r="R3" i="11" a="1"/>
  <c r="R3" i="11"/>
  <c r="S3" i="11"/>
  <c r="O4" i="11" a="1"/>
  <c r="O4" i="11"/>
  <c r="P4" i="11"/>
  <c r="O6" i="11" a="1"/>
  <c r="O6" i="11"/>
  <c r="P6" i="11"/>
  <c r="O7" i="11" a="1"/>
  <c r="O7" i="11"/>
  <c r="P7" i="11"/>
  <c r="O8" i="11" a="1"/>
  <c r="O8" i="11"/>
  <c r="P8" i="11"/>
  <c r="O9" i="11" a="1"/>
  <c r="O9" i="11"/>
  <c r="P9" i="11"/>
  <c r="O14" i="11" a="1"/>
  <c r="O14" i="11"/>
  <c r="P14" i="11"/>
  <c r="O16" i="11" a="1"/>
  <c r="O16" i="11"/>
  <c r="P16" i="11"/>
  <c r="O17" i="11" a="1"/>
  <c r="O17" i="11"/>
  <c r="P17" i="11"/>
  <c r="O19" i="11" a="1"/>
  <c r="O19" i="11"/>
  <c r="P19" i="11"/>
  <c r="O21" i="11" a="1"/>
  <c r="O21" i="11"/>
  <c r="P21" i="11"/>
  <c r="O22" i="11" a="1"/>
  <c r="O22" i="11"/>
  <c r="P22" i="11"/>
  <c r="O24" i="11" a="1"/>
  <c r="O24" i="11"/>
  <c r="P24" i="11"/>
  <c r="O25" i="11" a="1"/>
  <c r="O25" i="11"/>
  <c r="P25" i="11"/>
  <c r="O26" i="11" a="1"/>
  <c r="O26" i="11"/>
  <c r="P26" i="11"/>
  <c r="O27" i="11" a="1"/>
  <c r="O27" i="11"/>
  <c r="P27" i="11"/>
  <c r="O29" i="11" a="1"/>
  <c r="O29" i="11"/>
  <c r="P29" i="11"/>
  <c r="O3" i="11" a="1"/>
  <c r="O3" i="11"/>
  <c r="P3" i="11"/>
  <c r="L4" i="11" a="1"/>
  <c r="L4" i="11"/>
  <c r="M4" i="11"/>
  <c r="L5" i="11" a="1"/>
  <c r="L5" i="11"/>
  <c r="M5" i="11"/>
  <c r="L6" i="11" a="1"/>
  <c r="L6" i="11"/>
  <c r="M6" i="11"/>
  <c r="L7" i="11" a="1"/>
  <c r="L7" i="11"/>
  <c r="M7" i="11"/>
  <c r="L8" i="11" a="1"/>
  <c r="L8" i="11"/>
  <c r="M8" i="11"/>
  <c r="L9" i="11" a="1"/>
  <c r="L9" i="11"/>
  <c r="M9" i="11"/>
  <c r="L10" i="11" a="1"/>
  <c r="L10" i="11"/>
  <c r="M10" i="11"/>
  <c r="L11" i="11" a="1"/>
  <c r="L11" i="11"/>
  <c r="M11" i="11"/>
  <c r="L12" i="11" a="1"/>
  <c r="L12" i="11"/>
  <c r="M12" i="11"/>
  <c r="L13" i="11" a="1"/>
  <c r="L13" i="11"/>
  <c r="M13" i="11"/>
  <c r="L14" i="11" a="1"/>
  <c r="L14" i="11"/>
  <c r="M14" i="11"/>
  <c r="L15" i="11" a="1"/>
  <c r="L15" i="11"/>
  <c r="M15" i="11"/>
  <c r="L16" i="11" a="1"/>
  <c r="L16" i="11"/>
  <c r="M16" i="11"/>
  <c r="L17" i="11" a="1"/>
  <c r="L17" i="11"/>
  <c r="M17" i="11"/>
  <c r="L18" i="11" a="1"/>
  <c r="L18" i="11"/>
  <c r="M18" i="11"/>
  <c r="L19" i="11" a="1"/>
  <c r="L19" i="11"/>
  <c r="M19" i="11"/>
  <c r="L20" i="11" a="1"/>
  <c r="L20" i="11"/>
  <c r="M20" i="11"/>
  <c r="L21" i="11" a="1"/>
  <c r="L21" i="11"/>
  <c r="M21" i="11"/>
  <c r="L22" i="11" a="1"/>
  <c r="L22" i="11"/>
  <c r="M22" i="11"/>
  <c r="L23" i="11" a="1"/>
  <c r="L23" i="11"/>
  <c r="M23" i="11"/>
  <c r="L24" i="11" a="1"/>
  <c r="L24" i="11"/>
  <c r="M24" i="11"/>
  <c r="L25" i="11" a="1"/>
  <c r="L25" i="11"/>
  <c r="M25" i="11"/>
  <c r="L26" i="11" a="1"/>
  <c r="L26" i="11"/>
  <c r="M26" i="11"/>
  <c r="L27" i="11" a="1"/>
  <c r="L27" i="11"/>
  <c r="M27" i="11"/>
  <c r="L28" i="11" a="1"/>
  <c r="L28" i="11"/>
  <c r="M28" i="11"/>
  <c r="L3" i="11" a="1"/>
  <c r="L3" i="11"/>
  <c r="M3" i="11"/>
  <c r="L344" i="2" a="1"/>
  <c r="L344" i="2"/>
  <c r="L345" i="2" a="1"/>
  <c r="L345" i="2"/>
  <c r="L346" i="2" a="1"/>
  <c r="L346" i="2"/>
  <c r="L347" i="2" a="1"/>
  <c r="L347" i="2"/>
  <c r="L348" i="2" a="1"/>
  <c r="L348" i="2"/>
  <c r="L349" i="2" a="1"/>
  <c r="L349" i="2"/>
  <c r="L350" i="2" a="1"/>
  <c r="L350" i="2"/>
  <c r="L351" i="2" a="1"/>
  <c r="L351" i="2"/>
  <c r="L352" i="2" a="1"/>
  <c r="L352" i="2"/>
  <c r="L353" i="2" a="1"/>
  <c r="L353" i="2"/>
  <c r="L354" i="2" a="1"/>
  <c r="L354" i="2"/>
  <c r="L355" i="2" a="1"/>
  <c r="L355" i="2"/>
  <c r="L356" i="2" a="1"/>
  <c r="L356" i="2"/>
  <c r="L357" i="2" a="1"/>
  <c r="L357" i="2"/>
  <c r="L358" i="2" a="1"/>
  <c r="L358" i="2"/>
  <c r="L359" i="2" a="1"/>
  <c r="L359" i="2"/>
  <c r="L360" i="2" a="1"/>
  <c r="L360" i="2"/>
  <c r="L361" i="2" a="1"/>
  <c r="L361" i="2"/>
  <c r="L362" i="2" a="1"/>
  <c r="L362" i="2"/>
  <c r="L363" i="2" a="1"/>
  <c r="L363" i="2"/>
  <c r="L364" i="2" a="1"/>
  <c r="L364" i="2"/>
  <c r="L365" i="2" a="1"/>
  <c r="L365" i="2"/>
  <c r="L366" i="2" a="1"/>
  <c r="L366" i="2"/>
  <c r="L367" i="2" a="1"/>
  <c r="L367" i="2"/>
  <c r="L368" i="2" a="1"/>
  <c r="L368" i="2"/>
  <c r="L343" i="2" a="1"/>
  <c r="L343" i="2"/>
  <c r="I344" i="2" a="1"/>
  <c r="I344" i="2"/>
  <c r="I345" i="2" a="1"/>
  <c r="I345" i="2"/>
  <c r="I346" i="2" a="1"/>
  <c r="I346" i="2"/>
  <c r="I347" i="2" a="1"/>
  <c r="I347" i="2"/>
  <c r="I348" i="2" a="1"/>
  <c r="I348" i="2"/>
  <c r="I349" i="2" a="1"/>
  <c r="I349" i="2"/>
  <c r="I350" i="2" a="1"/>
  <c r="I350" i="2"/>
  <c r="I351" i="2" a="1"/>
  <c r="I351" i="2"/>
  <c r="I352" i="2" a="1"/>
  <c r="I352" i="2"/>
  <c r="I353" i="2" a="1"/>
  <c r="I353" i="2"/>
  <c r="I354" i="2" a="1"/>
  <c r="I354" i="2"/>
  <c r="I355" i="2" a="1"/>
  <c r="I355" i="2"/>
  <c r="I356" i="2" a="1"/>
  <c r="I356" i="2"/>
  <c r="I357" i="2" a="1"/>
  <c r="I357" i="2"/>
  <c r="I358" i="2" a="1"/>
  <c r="I358" i="2"/>
  <c r="I360" i="2" a="1"/>
  <c r="I360" i="2"/>
  <c r="I361" i="2" a="1"/>
  <c r="I361" i="2"/>
  <c r="I362" i="2" a="1"/>
  <c r="I362" i="2"/>
  <c r="I363" i="2" a="1"/>
  <c r="I363" i="2"/>
  <c r="I364" i="2" a="1"/>
  <c r="I364" i="2"/>
  <c r="I365" i="2" a="1"/>
  <c r="I365" i="2"/>
  <c r="I366" i="2" a="1"/>
  <c r="I366" i="2"/>
  <c r="I367" i="2" a="1"/>
  <c r="I367" i="2"/>
  <c r="I368" i="2" a="1"/>
  <c r="I368" i="2"/>
  <c r="I369" i="2" a="1"/>
  <c r="I369" i="2"/>
  <c r="F345" i="2" a="1"/>
  <c r="F345" i="2"/>
  <c r="F346" i="2" a="1"/>
  <c r="F346" i="2"/>
  <c r="F347" i="2" a="1"/>
  <c r="F347" i="2"/>
  <c r="F348" i="2" a="1"/>
  <c r="F348" i="2"/>
  <c r="F350" i="2" a="1"/>
  <c r="F350" i="2"/>
  <c r="F351" i="2" a="1"/>
  <c r="F351" i="2"/>
  <c r="F352" i="2" a="1"/>
  <c r="F352" i="2"/>
  <c r="F354" i="2" a="1"/>
  <c r="F354" i="2"/>
  <c r="F355" i="2" a="1"/>
  <c r="F355" i="2"/>
  <c r="F357" i="2" a="1"/>
  <c r="F357" i="2"/>
  <c r="F360" i="2" a="1"/>
  <c r="F360" i="2"/>
  <c r="F361" i="2" a="1"/>
  <c r="F361" i="2"/>
  <c r="F343" i="2" a="1"/>
  <c r="F343" i="2"/>
  <c r="C344" i="2" a="1"/>
  <c r="C344" i="2"/>
  <c r="C345" i="2" a="1"/>
  <c r="C345" i="2"/>
  <c r="C346" i="2" a="1"/>
  <c r="C346" i="2"/>
  <c r="C347" i="2" a="1"/>
  <c r="C347" i="2"/>
  <c r="C348" i="2" a="1"/>
  <c r="C348" i="2"/>
  <c r="C349" i="2" a="1"/>
  <c r="C349" i="2"/>
  <c r="C350" i="2" a="1"/>
  <c r="C350" i="2"/>
  <c r="C351" i="2" a="1"/>
  <c r="C351" i="2"/>
  <c r="C352" i="2" a="1"/>
  <c r="C352" i="2"/>
  <c r="C353" i="2" a="1"/>
  <c r="C353" i="2"/>
  <c r="C354" i="2" a="1"/>
  <c r="C354" i="2"/>
  <c r="C355" i="2" a="1"/>
  <c r="C355" i="2"/>
  <c r="C356" i="2" a="1"/>
  <c r="C356" i="2"/>
  <c r="C357" i="2" a="1"/>
  <c r="C357" i="2"/>
  <c r="C358" i="2" a="1"/>
  <c r="C358" i="2"/>
  <c r="C359" i="2" a="1"/>
  <c r="C359" i="2"/>
  <c r="C360" i="2" a="1"/>
  <c r="C360" i="2"/>
  <c r="C361" i="2" a="1"/>
  <c r="C361" i="2"/>
  <c r="C362" i="2" a="1"/>
  <c r="C362" i="2"/>
  <c r="C363" i="2" a="1"/>
  <c r="C363" i="2"/>
  <c r="C364" i="2" a="1"/>
  <c r="C364" i="2"/>
  <c r="C365" i="2" a="1"/>
  <c r="C365" i="2"/>
  <c r="C366" i="2" a="1"/>
  <c r="C366" i="2"/>
  <c r="C367" i="2" a="1"/>
  <c r="C367" i="2"/>
  <c r="C368" i="2" a="1"/>
  <c r="C368" i="2"/>
  <c r="C369" i="2" a="1"/>
  <c r="C369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43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43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C343" i="2" a="1"/>
  <c r="C343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3" i="11"/>
  <c r="L308" i="2" a="1"/>
  <c r="L308" i="2"/>
  <c r="L309" i="2" a="1"/>
  <c r="L309" i="2"/>
  <c r="L310" i="2" a="1"/>
  <c r="L310" i="2"/>
  <c r="L311" i="2" a="1"/>
  <c r="L311" i="2"/>
  <c r="L312" i="2" a="1"/>
  <c r="L312" i="2"/>
  <c r="L313" i="2" a="1"/>
  <c r="L313" i="2"/>
  <c r="L314" i="2" a="1"/>
  <c r="L314" i="2"/>
  <c r="L315" i="2" a="1"/>
  <c r="L315" i="2"/>
  <c r="L316" i="2" a="1"/>
  <c r="L316" i="2"/>
  <c r="L317" i="2" a="1"/>
  <c r="L317" i="2"/>
  <c r="L318" i="2" a="1"/>
  <c r="L318" i="2"/>
  <c r="L319" i="2" a="1"/>
  <c r="L319" i="2"/>
  <c r="L320" i="2" a="1"/>
  <c r="L320" i="2"/>
  <c r="L321" i="2" a="1"/>
  <c r="L321" i="2"/>
  <c r="L322" i="2" a="1"/>
  <c r="L322" i="2"/>
  <c r="L323" i="2" a="1"/>
  <c r="L323" i="2"/>
  <c r="L324" i="2" a="1"/>
  <c r="L324" i="2"/>
  <c r="L325" i="2" a="1"/>
  <c r="L325" i="2"/>
  <c r="L326" i="2" a="1"/>
  <c r="L326" i="2"/>
  <c r="L327" i="2" a="1"/>
  <c r="L327" i="2"/>
  <c r="L328" i="2" a="1"/>
  <c r="L328" i="2"/>
  <c r="L329" i="2" a="1"/>
  <c r="L329" i="2"/>
  <c r="L330" i="2" a="1"/>
  <c r="L330" i="2"/>
  <c r="L331" i="2" a="1"/>
  <c r="L331" i="2"/>
  <c r="L332" i="2" a="1"/>
  <c r="L332" i="2"/>
  <c r="I308" i="2" a="1"/>
  <c r="I308" i="2"/>
  <c r="I309" i="2" a="1"/>
  <c r="I309" i="2"/>
  <c r="I310" i="2" a="1"/>
  <c r="I310" i="2"/>
  <c r="I311" i="2" a="1"/>
  <c r="I311" i="2"/>
  <c r="I312" i="2" a="1"/>
  <c r="I312" i="2"/>
  <c r="I313" i="2" a="1"/>
  <c r="I313" i="2"/>
  <c r="I314" i="2" a="1"/>
  <c r="I314" i="2"/>
  <c r="I315" i="2" a="1"/>
  <c r="I315" i="2"/>
  <c r="I316" i="2" a="1"/>
  <c r="I316" i="2"/>
  <c r="I317" i="2" a="1"/>
  <c r="I317" i="2"/>
  <c r="I318" i="2" a="1"/>
  <c r="I318" i="2"/>
  <c r="I319" i="2" a="1"/>
  <c r="I319" i="2"/>
  <c r="I320" i="2" a="1"/>
  <c r="I320" i="2"/>
  <c r="I321" i="2" a="1"/>
  <c r="I321" i="2"/>
  <c r="I322" i="2" a="1"/>
  <c r="I322" i="2"/>
  <c r="I324" i="2" a="1"/>
  <c r="I324" i="2"/>
  <c r="I325" i="2" a="1"/>
  <c r="I325" i="2"/>
  <c r="I326" i="2" a="1"/>
  <c r="I326" i="2"/>
  <c r="I327" i="2" a="1"/>
  <c r="I327" i="2"/>
  <c r="I328" i="2" a="1"/>
  <c r="I328" i="2"/>
  <c r="I329" i="2" a="1"/>
  <c r="I329" i="2"/>
  <c r="I330" i="2" a="1"/>
  <c r="I330" i="2"/>
  <c r="I331" i="2" a="1"/>
  <c r="I331" i="2"/>
  <c r="I332" i="2" a="1"/>
  <c r="I332" i="2"/>
  <c r="I333" i="2" a="1"/>
  <c r="I333" i="2"/>
  <c r="L307" i="2" a="1"/>
  <c r="L307" i="2"/>
  <c r="K275" i="2" a="1"/>
  <c r="K275" i="2"/>
  <c r="K301" i="2" a="1"/>
  <c r="K301" i="2"/>
  <c r="K302" i="2" a="1"/>
  <c r="K302" i="2"/>
  <c r="K299" i="2" a="1"/>
  <c r="K299" i="2"/>
  <c r="K276" i="2" a="1"/>
  <c r="K276" i="2"/>
  <c r="K277" i="2" a="1"/>
  <c r="K277" i="2"/>
  <c r="K278" i="2" a="1"/>
  <c r="K278" i="2"/>
  <c r="K279" i="2" a="1"/>
  <c r="K279" i="2"/>
  <c r="K280" i="2" a="1"/>
  <c r="K280" i="2"/>
  <c r="K281" i="2" a="1"/>
  <c r="K281" i="2"/>
  <c r="K282" i="2" a="1"/>
  <c r="K282" i="2"/>
  <c r="K283" i="2" a="1"/>
  <c r="K283" i="2"/>
  <c r="K284" i="2" a="1"/>
  <c r="K284" i="2"/>
  <c r="K285" i="2" a="1"/>
  <c r="K285" i="2"/>
  <c r="K286" i="2" a="1"/>
  <c r="K286" i="2"/>
  <c r="K287" i="2" a="1"/>
  <c r="K287" i="2"/>
  <c r="K288" i="2" a="1"/>
  <c r="K288" i="2"/>
  <c r="K289" i="2" a="1"/>
  <c r="K289" i="2"/>
  <c r="K290" i="2" a="1"/>
  <c r="K290" i="2"/>
  <c r="K291" i="2" a="1"/>
  <c r="K291" i="2"/>
  <c r="K292" i="2" a="1"/>
  <c r="K292" i="2"/>
  <c r="K293" i="2" a="1"/>
  <c r="K293" i="2"/>
  <c r="K294" i="2" a="1"/>
  <c r="K294" i="2"/>
  <c r="K295" i="2" a="1"/>
  <c r="K295" i="2"/>
  <c r="K296" i="2" a="1"/>
  <c r="K296" i="2"/>
  <c r="K297" i="2" a="1"/>
  <c r="K297" i="2"/>
  <c r="K298" i="2" a="1"/>
  <c r="K298" i="2"/>
  <c r="E301" i="2" a="1"/>
  <c r="E301" i="2"/>
  <c r="E302" i="2" a="1"/>
  <c r="E302" i="2"/>
  <c r="E299" i="2" a="1"/>
  <c r="E299" i="2"/>
  <c r="E291" i="2" a="1"/>
  <c r="E291" i="2"/>
  <c r="E292" i="2" a="1"/>
  <c r="E292" i="2"/>
  <c r="E293" i="2" a="1"/>
  <c r="E293" i="2"/>
  <c r="E294" i="2" a="1"/>
  <c r="E294" i="2"/>
  <c r="E295" i="2" a="1"/>
  <c r="E295" i="2"/>
  <c r="E296" i="2" a="1"/>
  <c r="E296" i="2"/>
  <c r="E297" i="2" a="1"/>
  <c r="E297" i="2"/>
  <c r="E298" i="2" a="1"/>
  <c r="E298" i="2"/>
  <c r="E276" i="2" a="1"/>
  <c r="E276" i="2"/>
  <c r="E277" i="2" a="1"/>
  <c r="E277" i="2"/>
  <c r="E278" i="2" a="1"/>
  <c r="E278" i="2"/>
  <c r="E279" i="2" a="1"/>
  <c r="E279" i="2"/>
  <c r="E280" i="2" a="1"/>
  <c r="E280" i="2"/>
  <c r="E281" i="2" a="1"/>
  <c r="E281" i="2"/>
  <c r="E282" i="2" a="1"/>
  <c r="E282" i="2"/>
  <c r="E283" i="2" a="1"/>
  <c r="E283" i="2"/>
  <c r="E284" i="2" a="1"/>
  <c r="E284" i="2"/>
  <c r="E285" i="2" a="1"/>
  <c r="E285" i="2"/>
  <c r="E286" i="2" a="1"/>
  <c r="E286" i="2"/>
  <c r="E287" i="2" a="1"/>
  <c r="E287" i="2"/>
  <c r="E288" i="2" a="1"/>
  <c r="E288" i="2"/>
  <c r="E289" i="2" a="1"/>
  <c r="E289" i="2"/>
  <c r="E275" i="2" a="1"/>
  <c r="E275" i="2"/>
  <c r="E237" i="2" a="1"/>
  <c r="E237" i="2"/>
  <c r="K239" i="2" a="1"/>
  <c r="K239" i="2"/>
  <c r="K240" i="2" a="1"/>
  <c r="K240" i="2"/>
  <c r="K241" i="2" a="1"/>
  <c r="K241" i="2"/>
  <c r="K242" i="2" a="1"/>
  <c r="K242" i="2"/>
  <c r="K244" i="2" a="1"/>
  <c r="K244" i="2"/>
  <c r="K245" i="2" a="1"/>
  <c r="K245" i="2"/>
  <c r="K247" i="2" a="1"/>
  <c r="K247" i="2"/>
  <c r="K249" i="2" a="1"/>
  <c r="K249" i="2"/>
  <c r="K250" i="2" a="1"/>
  <c r="K250" i="2"/>
  <c r="K252" i="2" a="1"/>
  <c r="K252" i="2"/>
  <c r="K257" i="2" a="1"/>
  <c r="K257" i="2"/>
  <c r="K258" i="2" a="1"/>
  <c r="K258" i="2"/>
  <c r="K237" i="2" a="1"/>
  <c r="K237" i="2"/>
  <c r="E265" i="2" a="1"/>
  <c r="E265" i="2"/>
  <c r="E264" i="2" a="1"/>
  <c r="E264" i="2"/>
  <c r="E262" i="2" a="1"/>
  <c r="E262" i="2"/>
  <c r="E238" i="2" a="1"/>
  <c r="E238" i="2"/>
  <c r="E239" i="2" a="1"/>
  <c r="E239" i="2"/>
  <c r="E240" i="2" a="1"/>
  <c r="E240" i="2"/>
  <c r="E241" i="2" a="1"/>
  <c r="E241" i="2"/>
  <c r="E242" i="2" a="1"/>
  <c r="E242" i="2"/>
  <c r="E243" i="2" a="1"/>
  <c r="E243" i="2"/>
  <c r="E244" i="2" a="1"/>
  <c r="E244" i="2"/>
  <c r="E245" i="2" a="1"/>
  <c r="E245" i="2"/>
  <c r="E246" i="2" a="1"/>
  <c r="E246" i="2"/>
  <c r="E247" i="2" a="1"/>
  <c r="E247" i="2"/>
  <c r="E248" i="2" a="1"/>
  <c r="E248" i="2"/>
  <c r="E249" i="2" a="1"/>
  <c r="E249" i="2"/>
  <c r="E250" i="2" a="1"/>
  <c r="E250" i="2"/>
  <c r="E251" i="2" a="1"/>
  <c r="E251" i="2"/>
  <c r="E252" i="2" a="1"/>
  <c r="E252" i="2"/>
  <c r="E253" i="2" a="1"/>
  <c r="E253" i="2"/>
  <c r="E254" i="2" a="1"/>
  <c r="E254" i="2"/>
  <c r="E255" i="2" a="1"/>
  <c r="E255" i="2"/>
  <c r="E256" i="2" a="1"/>
  <c r="E256" i="2"/>
  <c r="E257" i="2" a="1"/>
  <c r="E257" i="2"/>
  <c r="E258" i="2" a="1"/>
  <c r="E258" i="2"/>
  <c r="E259" i="2" a="1"/>
  <c r="E259" i="2"/>
  <c r="E260" i="2" a="1"/>
  <c r="E260" i="2"/>
  <c r="E261" i="2" a="1"/>
  <c r="E261" i="2"/>
  <c r="C307" i="2" a="1"/>
  <c r="C307" i="2"/>
  <c r="F315" i="2" a="1"/>
  <c r="F315" i="2"/>
  <c r="F308" i="2" a="1"/>
  <c r="F308" i="2"/>
  <c r="F309" i="2" a="1"/>
  <c r="F309" i="2"/>
  <c r="F310" i="2" a="1"/>
  <c r="F310" i="2"/>
  <c r="F311" i="2" a="1"/>
  <c r="F311" i="2"/>
  <c r="F313" i="2" a="1"/>
  <c r="F313" i="2"/>
  <c r="F314" i="2" a="1"/>
  <c r="F314" i="2"/>
  <c r="F317" i="2" a="1"/>
  <c r="F317" i="2"/>
  <c r="F318" i="2" a="1"/>
  <c r="F318" i="2"/>
  <c r="F320" i="2" a="1"/>
  <c r="F320" i="2"/>
  <c r="F323" i="2" a="1"/>
  <c r="F323" i="2"/>
  <c r="F324" i="2" a="1"/>
  <c r="F324" i="2"/>
  <c r="F307" i="2" a="1"/>
  <c r="F307" i="2"/>
  <c r="C308" i="2" a="1"/>
  <c r="C308" i="2"/>
  <c r="C309" i="2" a="1"/>
  <c r="C309" i="2"/>
  <c r="C310" i="2" a="1"/>
  <c r="C310" i="2"/>
  <c r="C311" i="2" a="1"/>
  <c r="C311" i="2"/>
  <c r="C312" i="2" a="1"/>
  <c r="C312" i="2"/>
  <c r="C313" i="2" a="1"/>
  <c r="C313" i="2"/>
  <c r="C314" i="2" a="1"/>
  <c r="C314" i="2"/>
  <c r="C315" i="2" a="1"/>
  <c r="C315" i="2"/>
  <c r="C316" i="2" a="1"/>
  <c r="C316" i="2"/>
  <c r="C317" i="2" a="1"/>
  <c r="C317" i="2"/>
  <c r="C318" i="2" a="1"/>
  <c r="C318" i="2"/>
  <c r="C319" i="2" a="1"/>
  <c r="C319" i="2"/>
  <c r="C320" i="2" a="1"/>
  <c r="C320" i="2"/>
  <c r="C321" i="2" a="1"/>
  <c r="C321" i="2"/>
  <c r="C322" i="2" a="1"/>
  <c r="C322" i="2"/>
  <c r="C323" i="2" a="1"/>
  <c r="C323" i="2"/>
  <c r="C324" i="2" a="1"/>
  <c r="C324" i="2"/>
  <c r="C325" i="2" a="1"/>
  <c r="C325" i="2"/>
  <c r="C326" i="2" a="1"/>
  <c r="C326" i="2"/>
  <c r="C327" i="2" a="1"/>
  <c r="C327" i="2"/>
  <c r="C328" i="2" a="1"/>
  <c r="C328" i="2"/>
  <c r="C329" i="2" a="1"/>
  <c r="C329" i="2"/>
  <c r="C330" i="2" a="1"/>
  <c r="C330" i="2"/>
  <c r="C331" i="2" a="1"/>
  <c r="C331" i="2"/>
  <c r="C332" i="2" a="1"/>
  <c r="C332" i="2"/>
  <c r="C333" i="2" a="1"/>
  <c r="C333" i="2"/>
  <c r="J65" i="2" a="1"/>
  <c r="J65" i="2"/>
  <c r="L156" i="2" a="1"/>
  <c r="L156" i="2"/>
  <c r="K156" i="2"/>
  <c r="J156" i="2" a="1"/>
  <c r="J156" i="2"/>
  <c r="I156" i="2"/>
  <c r="G156" i="2" a="1"/>
  <c r="G156" i="2"/>
  <c r="F156" i="2"/>
  <c r="E156" i="2" a="1"/>
  <c r="E156" i="2"/>
  <c r="D156" i="2"/>
  <c r="D155" i="2"/>
  <c r="D283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75" i="2"/>
  <c r="D276" i="2"/>
  <c r="D277" i="2"/>
  <c r="D278" i="2"/>
  <c r="D279" i="2"/>
  <c r="D280" i="2"/>
  <c r="D281" i="2"/>
  <c r="D282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74" i="2"/>
  <c r="D275" i="2"/>
  <c r="J260" i="2"/>
  <c r="J259" i="2"/>
  <c r="J258" i="2"/>
  <c r="J257" i="2"/>
  <c r="J254" i="2"/>
  <c r="J253" i="2"/>
  <c r="J252" i="2"/>
  <c r="J251" i="2"/>
  <c r="J250" i="2"/>
  <c r="J249" i="2"/>
  <c r="J248" i="2"/>
  <c r="J247" i="2"/>
  <c r="J245" i="2"/>
  <c r="J244" i="2"/>
  <c r="J243" i="2"/>
  <c r="J242" i="2"/>
  <c r="J241" i="2"/>
  <c r="J240" i="2"/>
  <c r="J239" i="2"/>
  <c r="J238" i="2"/>
  <c r="J237" i="2"/>
  <c r="D237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39" i="2"/>
  <c r="D238" i="2"/>
  <c r="L299" i="2"/>
  <c r="F299" i="2"/>
  <c r="F262" i="2"/>
  <c r="F206" i="2" a="1"/>
  <c r="F206" i="2"/>
  <c r="D206" i="2"/>
  <c r="E206" i="2"/>
  <c r="G206" i="2"/>
  <c r="I206" i="2"/>
  <c r="J206" i="2"/>
  <c r="E82" i="2" a="1"/>
  <c r="E82" i="2"/>
  <c r="E81" i="2" a="1"/>
  <c r="E81" i="2"/>
  <c r="L199" i="2" a="1"/>
  <c r="L199" i="2"/>
  <c r="L197" i="2" a="1"/>
  <c r="L197" i="2"/>
  <c r="L192" i="2" a="1"/>
  <c r="L192" i="2"/>
  <c r="L187" i="2" a="1"/>
  <c r="L187" i="2"/>
  <c r="L182" i="2" a="1"/>
  <c r="L182" i="2"/>
  <c r="L177" i="2" a="1"/>
  <c r="L177" i="2"/>
  <c r="L172" i="2" a="1"/>
  <c r="L172" i="2"/>
  <c r="L167" i="2" a="1"/>
  <c r="L167" i="2"/>
  <c r="L162" i="2" a="1"/>
  <c r="L162" i="2"/>
  <c r="L157" i="2" a="1"/>
  <c r="L157" i="2"/>
  <c r="L152" i="2" a="1"/>
  <c r="L152" i="2"/>
  <c r="L147" i="2" a="1"/>
  <c r="L147" i="2"/>
  <c r="L142" i="2" a="1"/>
  <c r="L142" i="2"/>
  <c r="L137" i="2" a="1"/>
  <c r="L137" i="2"/>
  <c r="L132" i="2" a="1"/>
  <c r="L132" i="2"/>
  <c r="L127" i="2" a="1"/>
  <c r="L127" i="2"/>
  <c r="L122" i="2" a="1"/>
  <c r="L122" i="2"/>
  <c r="L117" i="2" a="1"/>
  <c r="L117" i="2"/>
  <c r="L112" i="2" a="1"/>
  <c r="L112" i="2"/>
  <c r="L107" i="2" a="1"/>
  <c r="L107" i="2"/>
  <c r="L102" i="2" a="1"/>
  <c r="L102" i="2"/>
  <c r="L97" i="2" a="1"/>
  <c r="L97" i="2"/>
  <c r="L92" i="2" a="1"/>
  <c r="L92" i="2"/>
  <c r="L196" i="2" a="1"/>
  <c r="L196" i="2"/>
  <c r="L186" i="2" a="1"/>
  <c r="L186" i="2"/>
  <c r="L191" i="2" a="1"/>
  <c r="L191" i="2"/>
  <c r="L181" i="2" a="1"/>
  <c r="L181" i="2"/>
  <c r="L176" i="2" a="1"/>
  <c r="L176" i="2"/>
  <c r="L171" i="2" a="1"/>
  <c r="L171" i="2"/>
  <c r="L166" i="2" a="1"/>
  <c r="L166" i="2"/>
  <c r="L161" i="2" a="1"/>
  <c r="L161" i="2"/>
  <c r="L151" i="2" a="1"/>
  <c r="L151" i="2"/>
  <c r="L146" i="2" a="1"/>
  <c r="L146" i="2"/>
  <c r="L141" i="2" a="1"/>
  <c r="L141" i="2"/>
  <c r="L136" i="2" a="1"/>
  <c r="L136" i="2"/>
  <c r="L131" i="2" a="1"/>
  <c r="L131" i="2"/>
  <c r="L126" i="2" a="1"/>
  <c r="L126" i="2"/>
  <c r="L116" i="2" a="1"/>
  <c r="L116" i="2"/>
  <c r="L111" i="2" a="1"/>
  <c r="L111" i="2"/>
  <c r="L106" i="2" a="1"/>
  <c r="L106" i="2"/>
  <c r="L101" i="2" a="1"/>
  <c r="L101" i="2"/>
  <c r="L96" i="2" a="1"/>
  <c r="L96" i="2"/>
  <c r="L91" i="2" a="1"/>
  <c r="L91" i="2"/>
  <c r="L189" i="2" a="1"/>
  <c r="L189" i="2"/>
  <c r="L184" i="2" a="1"/>
  <c r="L184" i="2"/>
  <c r="L179" i="2" a="1"/>
  <c r="L179" i="2"/>
  <c r="L174" i="2" a="1"/>
  <c r="L174" i="2"/>
  <c r="L164" i="2" a="1"/>
  <c r="L164" i="2"/>
  <c r="L159" i="2" a="1"/>
  <c r="L159" i="2"/>
  <c r="L149" i="2" a="1"/>
  <c r="L149" i="2"/>
  <c r="L139" i="2" a="1"/>
  <c r="L139" i="2"/>
  <c r="L134" i="2" a="1"/>
  <c r="L134" i="2"/>
  <c r="L124" i="2" a="1"/>
  <c r="L124" i="2"/>
  <c r="L99" i="2" a="1"/>
  <c r="L99" i="2"/>
  <c r="L94" i="2" a="1"/>
  <c r="L94" i="2"/>
  <c r="L198" i="2" a="1"/>
  <c r="L198" i="2"/>
  <c r="L193" i="2" a="1"/>
  <c r="L193" i="2"/>
  <c r="L188" i="2" a="1"/>
  <c r="L188" i="2"/>
  <c r="L183" i="2" a="1"/>
  <c r="L183" i="2"/>
  <c r="L178" i="2" a="1"/>
  <c r="L178" i="2"/>
  <c r="L173" i="2" a="1"/>
  <c r="L173" i="2"/>
  <c r="L168" i="2" a="1"/>
  <c r="L168" i="2"/>
  <c r="L163" i="2" a="1"/>
  <c r="L163" i="2"/>
  <c r="L158" i="2" a="1"/>
  <c r="L158" i="2"/>
  <c r="L153" i="2" a="1"/>
  <c r="L153" i="2"/>
  <c r="L148" i="2" a="1"/>
  <c r="L148" i="2"/>
  <c r="L143" i="2" a="1"/>
  <c r="L143" i="2"/>
  <c r="L138" i="2" a="1"/>
  <c r="L138" i="2"/>
  <c r="L133" i="2" a="1"/>
  <c r="L133" i="2"/>
  <c r="L128" i="2" a="1"/>
  <c r="L128" i="2"/>
  <c r="L123" i="2" a="1"/>
  <c r="L123" i="2"/>
  <c r="L118" i="2" a="1"/>
  <c r="L118" i="2"/>
  <c r="L113" i="2" a="1"/>
  <c r="L113" i="2"/>
  <c r="L108" i="2" a="1"/>
  <c r="L108" i="2"/>
  <c r="L103" i="2" a="1"/>
  <c r="L103" i="2"/>
  <c r="L98" i="2" a="1"/>
  <c r="L98" i="2"/>
  <c r="L93" i="2" a="1"/>
  <c r="L93" i="2"/>
  <c r="L88" i="2" a="1"/>
  <c r="L88" i="2"/>
  <c r="J197" i="2" a="1"/>
  <c r="J197" i="2"/>
  <c r="J192" i="2" a="1"/>
  <c r="J192" i="2"/>
  <c r="J187" i="2" a="1"/>
  <c r="J187" i="2"/>
  <c r="J182" i="2" a="1"/>
  <c r="J182" i="2"/>
  <c r="J177" i="2" a="1"/>
  <c r="J177" i="2"/>
  <c r="J172" i="2" a="1"/>
  <c r="J172" i="2"/>
  <c r="J167" i="2" a="1"/>
  <c r="J167" i="2"/>
  <c r="J162" i="2" a="1"/>
  <c r="J162" i="2"/>
  <c r="J157" i="2" a="1"/>
  <c r="J157" i="2"/>
  <c r="J152" i="2" a="1"/>
  <c r="J152" i="2"/>
  <c r="J147" i="2" a="1"/>
  <c r="J147" i="2"/>
  <c r="J142" i="2" a="1"/>
  <c r="J142" i="2"/>
  <c r="J137" i="2" a="1"/>
  <c r="J137" i="2"/>
  <c r="J132" i="2" a="1"/>
  <c r="J132" i="2"/>
  <c r="J127" i="2" a="1"/>
  <c r="J127" i="2"/>
  <c r="J122" i="2" a="1"/>
  <c r="J122" i="2"/>
  <c r="J117" i="2" a="1"/>
  <c r="J117" i="2"/>
  <c r="J112" i="2" a="1"/>
  <c r="J112" i="2"/>
  <c r="J107" i="2" a="1"/>
  <c r="J107" i="2"/>
  <c r="J102" i="2" a="1"/>
  <c r="J102" i="2"/>
  <c r="J97" i="2" a="1"/>
  <c r="J97" i="2"/>
  <c r="J92" i="2" a="1"/>
  <c r="J92" i="2"/>
  <c r="J191" i="2" a="1"/>
  <c r="J191" i="2"/>
  <c r="J196" i="2" a="1"/>
  <c r="J196" i="2"/>
  <c r="J186" i="2" a="1"/>
  <c r="J186" i="2"/>
  <c r="J181" i="2" a="1"/>
  <c r="J181" i="2"/>
  <c r="J176" i="2" a="1"/>
  <c r="J176" i="2"/>
  <c r="J171" i="2" a="1"/>
  <c r="J171" i="2"/>
  <c r="J166" i="2" a="1"/>
  <c r="J166" i="2"/>
  <c r="J161" i="2" a="1"/>
  <c r="J161" i="2"/>
  <c r="J151" i="2" a="1"/>
  <c r="J151" i="2"/>
  <c r="J146" i="2" a="1"/>
  <c r="J146" i="2"/>
  <c r="J141" i="2" a="1"/>
  <c r="J141" i="2"/>
  <c r="J136" i="2" a="1"/>
  <c r="J136" i="2"/>
  <c r="J131" i="2" a="1"/>
  <c r="J131" i="2"/>
  <c r="J126" i="2" a="1"/>
  <c r="J126" i="2"/>
  <c r="J116" i="2" a="1"/>
  <c r="J116" i="2"/>
  <c r="J111" i="2" a="1"/>
  <c r="J111" i="2"/>
  <c r="J106" i="2" a="1"/>
  <c r="J106" i="2"/>
  <c r="J101" i="2" a="1"/>
  <c r="J101" i="2"/>
  <c r="J96" i="2" a="1"/>
  <c r="J96" i="2"/>
  <c r="J91" i="2" a="1"/>
  <c r="J91" i="2"/>
  <c r="J199" i="2" a="1"/>
  <c r="J199" i="2"/>
  <c r="J189" i="2" a="1"/>
  <c r="J189" i="2"/>
  <c r="J184" i="2" a="1"/>
  <c r="J184" i="2"/>
  <c r="J179" i="2" a="1"/>
  <c r="J179" i="2"/>
  <c r="J174" i="2" a="1"/>
  <c r="J174" i="2"/>
  <c r="J164" i="2" a="1"/>
  <c r="J164" i="2"/>
  <c r="J159" i="2" a="1"/>
  <c r="J159" i="2"/>
  <c r="J149" i="2" a="1"/>
  <c r="J149" i="2"/>
  <c r="J139" i="2" a="1"/>
  <c r="J139" i="2"/>
  <c r="J134" i="2" a="1"/>
  <c r="J134" i="2"/>
  <c r="J124" i="2" a="1"/>
  <c r="J124" i="2"/>
  <c r="J99" i="2" a="1"/>
  <c r="J99" i="2"/>
  <c r="J94" i="2" a="1"/>
  <c r="J94" i="2"/>
  <c r="J198" i="2" a="1"/>
  <c r="J198" i="2"/>
  <c r="J193" i="2" a="1"/>
  <c r="J193" i="2"/>
  <c r="J188" i="2" a="1"/>
  <c r="J188" i="2"/>
  <c r="J183" i="2" a="1"/>
  <c r="J183" i="2"/>
  <c r="J178" i="2" a="1"/>
  <c r="J178" i="2"/>
  <c r="J173" i="2" a="1"/>
  <c r="J173" i="2"/>
  <c r="J163" i="2" a="1"/>
  <c r="J163" i="2"/>
  <c r="J168" i="2" a="1"/>
  <c r="J168" i="2"/>
  <c r="J158" i="2" a="1"/>
  <c r="J158" i="2"/>
  <c r="J153" i="2" a="1"/>
  <c r="J153" i="2"/>
  <c r="J148" i="2" a="1"/>
  <c r="J148" i="2"/>
  <c r="J143" i="2" a="1"/>
  <c r="J143" i="2"/>
  <c r="J138" i="2" a="1"/>
  <c r="J138" i="2"/>
  <c r="J133" i="2" a="1"/>
  <c r="J133" i="2"/>
  <c r="J128" i="2" a="1"/>
  <c r="J128" i="2"/>
  <c r="J123" i="2" a="1"/>
  <c r="J123" i="2"/>
  <c r="J118" i="2" a="1"/>
  <c r="J118" i="2"/>
  <c r="J113" i="2" a="1"/>
  <c r="J113" i="2"/>
  <c r="J108" i="2" a="1"/>
  <c r="J108" i="2"/>
  <c r="J103" i="2" a="1"/>
  <c r="J103" i="2"/>
  <c r="J98" i="2" a="1"/>
  <c r="J98" i="2"/>
  <c r="J93" i="2" a="1"/>
  <c r="J93" i="2"/>
  <c r="J88" i="2" a="1"/>
  <c r="J88" i="2"/>
  <c r="G197" i="2" a="1"/>
  <c r="G197" i="2"/>
  <c r="G192" i="2" a="1"/>
  <c r="G192" i="2"/>
  <c r="G187" i="2" a="1"/>
  <c r="G187" i="2"/>
  <c r="G182" i="2" a="1"/>
  <c r="G182" i="2"/>
  <c r="G177" i="2" a="1"/>
  <c r="G177" i="2"/>
  <c r="G172" i="2" a="1"/>
  <c r="G172" i="2"/>
  <c r="G167" i="2" a="1"/>
  <c r="G167" i="2"/>
  <c r="G162" i="2" a="1"/>
  <c r="G162" i="2"/>
  <c r="G157" i="2" a="1"/>
  <c r="G157" i="2"/>
  <c r="G152" i="2" a="1"/>
  <c r="G152" i="2"/>
  <c r="G147" i="2" a="1"/>
  <c r="G147" i="2"/>
  <c r="G142" i="2" a="1"/>
  <c r="G142" i="2"/>
  <c r="G137" i="2" a="1"/>
  <c r="G137" i="2"/>
  <c r="G132" i="2" a="1"/>
  <c r="G132" i="2"/>
  <c r="G127" i="2" a="1"/>
  <c r="G127" i="2"/>
  <c r="G122" i="2" a="1"/>
  <c r="G122" i="2"/>
  <c r="G117" i="2" a="1"/>
  <c r="G117" i="2"/>
  <c r="G112" i="2" a="1"/>
  <c r="G112" i="2"/>
  <c r="G107" i="2" a="1"/>
  <c r="G107" i="2"/>
  <c r="G102" i="2" a="1"/>
  <c r="G102" i="2"/>
  <c r="G97" i="2" a="1"/>
  <c r="G97" i="2"/>
  <c r="G92" i="2" a="1"/>
  <c r="G92" i="2"/>
  <c r="G196" i="2" a="1"/>
  <c r="G196" i="2"/>
  <c r="G191" i="2" a="1"/>
  <c r="G191" i="2"/>
  <c r="G186" i="2" a="1"/>
  <c r="G186" i="2"/>
  <c r="G181" i="2" a="1"/>
  <c r="G181" i="2"/>
  <c r="G176" i="2" a="1"/>
  <c r="G176" i="2"/>
  <c r="G171" i="2" a="1"/>
  <c r="G171" i="2"/>
  <c r="G166" i="2" a="1"/>
  <c r="G166" i="2"/>
  <c r="G161" i="2" a="1"/>
  <c r="G161" i="2"/>
  <c r="G151" i="2" a="1"/>
  <c r="G151" i="2"/>
  <c r="G146" i="2" a="1"/>
  <c r="G146" i="2"/>
  <c r="G136" i="2" a="1"/>
  <c r="G136" i="2"/>
  <c r="G141" i="2" a="1"/>
  <c r="G141" i="2"/>
  <c r="G131" i="2" a="1"/>
  <c r="G131" i="2"/>
  <c r="G126" i="2" a="1"/>
  <c r="G126" i="2"/>
  <c r="G106" i="2" a="1"/>
  <c r="G106" i="2"/>
  <c r="G101" i="2" a="1"/>
  <c r="G101" i="2"/>
  <c r="G111" i="2" a="1"/>
  <c r="G111" i="2"/>
  <c r="G116" i="2" a="1"/>
  <c r="G116" i="2"/>
  <c r="G96" i="2" a="1"/>
  <c r="G96" i="2"/>
  <c r="G91" i="2" a="1"/>
  <c r="G91" i="2"/>
  <c r="G199" i="2" a="1"/>
  <c r="G199" i="2"/>
  <c r="G189" i="2" a="1"/>
  <c r="G189" i="2"/>
  <c r="G184" i="2" a="1"/>
  <c r="G184" i="2"/>
  <c r="G179" i="2" a="1"/>
  <c r="G179" i="2"/>
  <c r="G174" i="2" a="1"/>
  <c r="G174" i="2"/>
  <c r="G164" i="2" a="1"/>
  <c r="G164" i="2"/>
  <c r="G159" i="2" a="1"/>
  <c r="G159" i="2"/>
  <c r="G149" i="2" a="1"/>
  <c r="G149" i="2"/>
  <c r="G139" i="2" a="1"/>
  <c r="G139" i="2"/>
  <c r="G134" i="2" a="1"/>
  <c r="G134" i="2"/>
  <c r="G124" i="2" a="1"/>
  <c r="G124" i="2"/>
  <c r="G99" i="2" a="1"/>
  <c r="G99" i="2"/>
  <c r="G94" i="2" a="1"/>
  <c r="G94" i="2"/>
  <c r="G89" i="2" a="1"/>
  <c r="G89" i="2"/>
  <c r="G198" i="2" a="1"/>
  <c r="G198" i="2"/>
  <c r="G193" i="2" a="1"/>
  <c r="G193" i="2"/>
  <c r="G188" i="2" a="1"/>
  <c r="G188" i="2"/>
  <c r="G183" i="2" a="1"/>
  <c r="G183" i="2"/>
  <c r="G178" i="2" a="1"/>
  <c r="G178" i="2"/>
  <c r="G173" i="2" a="1"/>
  <c r="G173" i="2"/>
  <c r="G168" i="2" a="1"/>
  <c r="G168" i="2"/>
  <c r="G163" i="2" a="1"/>
  <c r="G163" i="2"/>
  <c r="G158" i="2" a="1"/>
  <c r="G158" i="2"/>
  <c r="G153" i="2" a="1"/>
  <c r="G153" i="2"/>
  <c r="G148" i="2" a="1"/>
  <c r="G148" i="2"/>
  <c r="G143" i="2" a="1"/>
  <c r="G143" i="2"/>
  <c r="G138" i="2" a="1"/>
  <c r="G138" i="2"/>
  <c r="G133" i="2" a="1"/>
  <c r="G133" i="2"/>
  <c r="G128" i="2" a="1"/>
  <c r="G128" i="2"/>
  <c r="G123" i="2" a="1"/>
  <c r="G123" i="2"/>
  <c r="G118" i="2" a="1"/>
  <c r="G118" i="2"/>
  <c r="G113" i="2" a="1"/>
  <c r="G113" i="2"/>
  <c r="G108" i="2" a="1"/>
  <c r="G108" i="2"/>
  <c r="G103" i="2" a="1"/>
  <c r="G103" i="2"/>
  <c r="G98" i="2" a="1"/>
  <c r="G98" i="2"/>
  <c r="G93" i="2" a="1"/>
  <c r="G93" i="2"/>
  <c r="G88" i="2" a="1"/>
  <c r="G88" i="2"/>
  <c r="E197" i="2" a="1"/>
  <c r="E197" i="2"/>
  <c r="E192" i="2" a="1"/>
  <c r="E192" i="2"/>
  <c r="E187" i="2" a="1"/>
  <c r="E187" i="2"/>
  <c r="E188" i="2" a="1"/>
  <c r="E188" i="2"/>
  <c r="E182" i="2" a="1"/>
  <c r="E182" i="2"/>
  <c r="E177" i="2" a="1"/>
  <c r="E177" i="2"/>
  <c r="E172" i="2" a="1"/>
  <c r="E172" i="2"/>
  <c r="E167" i="2" a="1"/>
  <c r="E167" i="2"/>
  <c r="E162" i="2" a="1"/>
  <c r="E162" i="2"/>
  <c r="E157" i="2" a="1"/>
  <c r="E157" i="2"/>
  <c r="E152" i="2" a="1"/>
  <c r="E152" i="2"/>
  <c r="E147" i="2" a="1"/>
  <c r="E147" i="2"/>
  <c r="E142" i="2" a="1"/>
  <c r="E142" i="2"/>
  <c r="E137" i="2" a="1"/>
  <c r="E137" i="2"/>
  <c r="E132" i="2" a="1"/>
  <c r="E132" i="2"/>
  <c r="E127" i="2" a="1"/>
  <c r="E127" i="2"/>
  <c r="E122" i="2" a="1"/>
  <c r="E122" i="2"/>
  <c r="E117" i="2" a="1"/>
  <c r="E117" i="2"/>
  <c r="E112" i="2" a="1"/>
  <c r="E112" i="2"/>
  <c r="E107" i="2" a="1"/>
  <c r="E107" i="2"/>
  <c r="E102" i="2" a="1"/>
  <c r="E102" i="2"/>
  <c r="E97" i="2" a="1"/>
  <c r="E97" i="2"/>
  <c r="E92" i="2" a="1"/>
  <c r="E92" i="2"/>
  <c r="E196" i="2" a="1"/>
  <c r="E196" i="2"/>
  <c r="E191" i="2" a="1"/>
  <c r="E191" i="2"/>
  <c r="E181" i="2" a="1"/>
  <c r="E181" i="2"/>
  <c r="E186" i="2" a="1"/>
  <c r="E186" i="2"/>
  <c r="E176" i="2" a="1"/>
  <c r="E176" i="2"/>
  <c r="E171" i="2" a="1"/>
  <c r="E171" i="2"/>
  <c r="E166" i="2" a="1"/>
  <c r="E166" i="2"/>
  <c r="E161" i="2" a="1"/>
  <c r="E161" i="2"/>
  <c r="E151" i="2" a="1"/>
  <c r="E151" i="2"/>
  <c r="E146" i="2" a="1"/>
  <c r="E146" i="2"/>
  <c r="E141" i="2" a="1"/>
  <c r="E141" i="2"/>
  <c r="E136" i="2" a="1"/>
  <c r="E136" i="2"/>
  <c r="E131" i="2" a="1"/>
  <c r="E131" i="2"/>
  <c r="E126" i="2" a="1"/>
  <c r="E126" i="2"/>
  <c r="E116" i="2" a="1"/>
  <c r="E116" i="2"/>
  <c r="E111" i="2" a="1"/>
  <c r="E111" i="2"/>
  <c r="E106" i="2" a="1"/>
  <c r="E106" i="2"/>
  <c r="E101" i="2" a="1"/>
  <c r="E101" i="2"/>
  <c r="E96" i="2" a="1"/>
  <c r="E96" i="2"/>
  <c r="E91" i="2" a="1"/>
  <c r="E91" i="2"/>
  <c r="E199" i="2" a="1"/>
  <c r="E199" i="2"/>
  <c r="E194" i="2" a="1"/>
  <c r="E194" i="2"/>
  <c r="E189" i="2" a="1"/>
  <c r="E189" i="2"/>
  <c r="E184" i="2" a="1"/>
  <c r="E184" i="2"/>
  <c r="E179" i="2" a="1"/>
  <c r="E179" i="2"/>
  <c r="E174" i="2" a="1"/>
  <c r="E174" i="2"/>
  <c r="E164" i="2" a="1"/>
  <c r="E164" i="2"/>
  <c r="E159" i="2" a="1"/>
  <c r="E159" i="2"/>
  <c r="E149" i="2" a="1"/>
  <c r="E149" i="2"/>
  <c r="E139" i="2" a="1"/>
  <c r="E139" i="2"/>
  <c r="E134" i="2" a="1"/>
  <c r="E134" i="2"/>
  <c r="E124" i="2" a="1"/>
  <c r="E124" i="2"/>
  <c r="E99" i="2" a="1"/>
  <c r="E99" i="2"/>
  <c r="E94" i="2" a="1"/>
  <c r="E94" i="2"/>
  <c r="E89" i="2" a="1"/>
  <c r="E89" i="2"/>
  <c r="E198" i="2" a="1"/>
  <c r="E198" i="2"/>
  <c r="E193" i="2" a="1"/>
  <c r="E193" i="2"/>
  <c r="E183" i="2" a="1"/>
  <c r="E183" i="2"/>
  <c r="E178" i="2" a="1"/>
  <c r="E178" i="2"/>
  <c r="E173" i="2" a="1"/>
  <c r="E173" i="2"/>
  <c r="E168" i="2" a="1"/>
  <c r="E168" i="2"/>
  <c r="E163" i="2" a="1"/>
  <c r="E163" i="2"/>
  <c r="E158" i="2" a="1"/>
  <c r="E158" i="2"/>
  <c r="E153" i="2" a="1"/>
  <c r="E153" i="2"/>
  <c r="E148" i="2" a="1"/>
  <c r="E148" i="2"/>
  <c r="E143" i="2" a="1"/>
  <c r="E143" i="2"/>
  <c r="E138" i="2" a="1"/>
  <c r="E138" i="2"/>
  <c r="E133" i="2" a="1"/>
  <c r="E133" i="2"/>
  <c r="E128" i="2" a="1"/>
  <c r="E128" i="2"/>
  <c r="E123" i="2" a="1"/>
  <c r="E123" i="2"/>
  <c r="E118" i="2" a="1"/>
  <c r="E118" i="2"/>
  <c r="E113" i="2" a="1"/>
  <c r="E113" i="2"/>
  <c r="E108" i="2" a="1"/>
  <c r="E108" i="2"/>
  <c r="E103" i="2" a="1"/>
  <c r="E103" i="2"/>
  <c r="E98" i="2" a="1"/>
  <c r="E98" i="2"/>
  <c r="E93" i="2" a="1"/>
  <c r="E93" i="2"/>
  <c r="E88" i="2" a="1"/>
  <c r="E88" i="2"/>
  <c r="L87" i="2" a="1"/>
  <c r="L87" i="2"/>
  <c r="L86" i="2" a="1"/>
  <c r="L86" i="2"/>
  <c r="L83" i="2" a="1"/>
  <c r="L83" i="2"/>
  <c r="J87" i="2" a="1"/>
  <c r="J87" i="2"/>
  <c r="J86" i="2" a="1"/>
  <c r="J86" i="2"/>
  <c r="J83" i="2" a="1"/>
  <c r="J83" i="2"/>
  <c r="G87" i="2" a="1"/>
  <c r="G87" i="2"/>
  <c r="G86" i="2" a="1"/>
  <c r="G86" i="2"/>
  <c r="G84" i="2" a="1"/>
  <c r="G84" i="2"/>
  <c r="G83" i="2" a="1"/>
  <c r="G83" i="2"/>
  <c r="E87" i="2" a="1"/>
  <c r="E87" i="2"/>
  <c r="E86" i="2" a="1"/>
  <c r="E86" i="2"/>
  <c r="E84" i="2" a="1"/>
  <c r="E84" i="2"/>
  <c r="E83" i="2" a="1"/>
  <c r="E83" i="2"/>
  <c r="L80" i="2" a="1"/>
  <c r="L80" i="2"/>
  <c r="L79" i="2" a="1"/>
  <c r="L79" i="2"/>
  <c r="L75" i="2" a="1"/>
  <c r="L75" i="2"/>
  <c r="J82" i="2" a="1"/>
  <c r="J82" i="2"/>
  <c r="J81" i="2" a="1"/>
  <c r="J81" i="2"/>
  <c r="J80" i="2" a="1"/>
  <c r="J80" i="2"/>
  <c r="J79" i="2" a="1"/>
  <c r="J79" i="2"/>
  <c r="J76" i="2" a="1"/>
  <c r="J76" i="2"/>
  <c r="J75" i="2" a="1"/>
  <c r="J75" i="2"/>
  <c r="G80" i="2" a="1"/>
  <c r="G80" i="2"/>
  <c r="G79" i="2" a="1"/>
  <c r="G79" i="2"/>
  <c r="G75" i="2" a="1"/>
  <c r="G75" i="2"/>
  <c r="E80" i="2" a="1"/>
  <c r="E80" i="2"/>
  <c r="E79" i="2" a="1"/>
  <c r="E79" i="2"/>
  <c r="E76" i="2" a="1"/>
  <c r="E76" i="2"/>
  <c r="E75" i="2" a="1"/>
  <c r="E75" i="2"/>
  <c r="L74" i="2" a="1"/>
  <c r="L74" i="2"/>
  <c r="L73" i="2" a="1"/>
  <c r="L73" i="2"/>
  <c r="L70" i="2" a="1"/>
  <c r="L70" i="2"/>
  <c r="J74" i="2" a="1"/>
  <c r="J74" i="2"/>
  <c r="J73" i="2" a="1"/>
  <c r="J73" i="2"/>
  <c r="J70" i="2" a="1"/>
  <c r="J70" i="2"/>
  <c r="G74" i="2" a="1"/>
  <c r="G74" i="2"/>
  <c r="G73" i="2" a="1"/>
  <c r="G73" i="2"/>
  <c r="G71" i="2" a="1"/>
  <c r="G71" i="2"/>
  <c r="G70" i="2" a="1"/>
  <c r="G70" i="2"/>
  <c r="E74" i="2" a="1"/>
  <c r="E74" i="2"/>
  <c r="E73" i="2" a="1"/>
  <c r="E73" i="2"/>
  <c r="E71" i="2" a="1"/>
  <c r="E71" i="2"/>
  <c r="E70" i="2" a="1"/>
  <c r="E70" i="2"/>
  <c r="L69" i="2" a="1"/>
  <c r="L69" i="2"/>
  <c r="L68" i="2" a="1"/>
  <c r="L68" i="2"/>
  <c r="L65" i="2" a="1"/>
  <c r="L65" i="2"/>
  <c r="J69" i="2" a="1"/>
  <c r="J69" i="2"/>
  <c r="J68" i="2" a="1"/>
  <c r="J68" i="2"/>
  <c r="G69" i="2" a="1"/>
  <c r="G69" i="2"/>
  <c r="G68" i="2" a="1"/>
  <c r="G68" i="2"/>
  <c r="G66" i="2" a="1"/>
  <c r="G66" i="2"/>
  <c r="G65" i="2" a="1"/>
  <c r="G65" i="2"/>
  <c r="E69" i="2" a="1"/>
  <c r="E69" i="2"/>
  <c r="E68" i="2" a="1"/>
  <c r="E68" i="2"/>
  <c r="E66" i="2" a="1"/>
  <c r="E66" i="2"/>
  <c r="E65" i="2" a="1"/>
  <c r="E65" i="2"/>
  <c r="D65" i="2"/>
  <c r="H69" i="2"/>
  <c r="H68" i="2"/>
  <c r="H66" i="2"/>
  <c r="H65" i="2"/>
  <c r="F69" i="2"/>
  <c r="F68" i="2"/>
  <c r="D68" i="2"/>
  <c r="D69" i="2"/>
  <c r="D66" i="2"/>
  <c r="F70" i="2"/>
  <c r="K70" i="2"/>
  <c r="I70" i="2"/>
  <c r="D70" i="2"/>
  <c r="I71" i="2"/>
  <c r="K3" i="2"/>
  <c r="L3" i="2"/>
  <c r="K4" i="2"/>
  <c r="H3" i="2"/>
  <c r="I3" i="2"/>
  <c r="E3" i="2"/>
  <c r="E4" i="2"/>
  <c r="F3" i="2"/>
  <c r="C177" i="3"/>
  <c r="G56" i="3"/>
  <c r="E56" i="3"/>
  <c r="C56" i="3"/>
  <c r="B56" i="3"/>
  <c r="F56" i="3"/>
  <c r="I232" i="2"/>
  <c r="F232" i="2"/>
  <c r="D232" i="2"/>
  <c r="G232" i="2"/>
  <c r="I231" i="2"/>
  <c r="F231" i="2"/>
  <c r="G231" i="2"/>
  <c r="D231" i="2"/>
  <c r="E231" i="2"/>
  <c r="I230" i="2"/>
  <c r="J230" i="2"/>
  <c r="F230" i="2"/>
  <c r="G230" i="2"/>
  <c r="D230" i="2"/>
  <c r="E230" i="2"/>
  <c r="I229" i="2"/>
  <c r="J229" i="2"/>
  <c r="F229" i="2"/>
  <c r="G229" i="2"/>
  <c r="D229" i="2"/>
  <c r="E229" i="2"/>
  <c r="I228" i="2"/>
  <c r="F228" i="2"/>
  <c r="D228" i="2"/>
  <c r="G228" i="2"/>
  <c r="I227" i="2"/>
  <c r="F227" i="2"/>
  <c r="G227" i="2"/>
  <c r="D227" i="2"/>
  <c r="E227" i="2"/>
  <c r="I226" i="2"/>
  <c r="J226" i="2"/>
  <c r="F226" i="2"/>
  <c r="G226" i="2"/>
  <c r="D226" i="2"/>
  <c r="E226" i="2"/>
  <c r="I225" i="2"/>
  <c r="J225" i="2"/>
  <c r="F225" i="2"/>
  <c r="G225" i="2"/>
  <c r="D225" i="2"/>
  <c r="E225" i="2"/>
  <c r="I224" i="2"/>
  <c r="F224" i="2"/>
  <c r="D224" i="2"/>
  <c r="G224" i="2"/>
  <c r="I223" i="2"/>
  <c r="F223" i="2"/>
  <c r="G223" i="2"/>
  <c r="D223" i="2"/>
  <c r="E223" i="2"/>
  <c r="I222" i="2"/>
  <c r="J222" i="2"/>
  <c r="F222" i="2"/>
  <c r="G222" i="2"/>
  <c r="D222" i="2"/>
  <c r="E222" i="2"/>
  <c r="I221" i="2"/>
  <c r="J221" i="2"/>
  <c r="F221" i="2"/>
  <c r="G221" i="2"/>
  <c r="D221" i="2"/>
  <c r="E221" i="2"/>
  <c r="I220" i="2"/>
  <c r="F220" i="2"/>
  <c r="D220" i="2"/>
  <c r="G220" i="2"/>
  <c r="I219" i="2"/>
  <c r="F219" i="2"/>
  <c r="G219" i="2"/>
  <c r="D219" i="2"/>
  <c r="E219" i="2"/>
  <c r="I218" i="2"/>
  <c r="F218" i="2"/>
  <c r="D218" i="2"/>
  <c r="J218" i="2"/>
  <c r="I217" i="2"/>
  <c r="J217" i="2"/>
  <c r="F217" i="2"/>
  <c r="G217" i="2"/>
  <c r="D217" i="2"/>
  <c r="E217" i="2"/>
  <c r="I216" i="2"/>
  <c r="J216" i="2"/>
  <c r="F216" i="2"/>
  <c r="D216" i="2"/>
  <c r="E216" i="2"/>
  <c r="G216" i="2"/>
  <c r="I215" i="2"/>
  <c r="J215" i="2"/>
  <c r="F215" i="2"/>
  <c r="G215" i="2"/>
  <c r="D215" i="2"/>
  <c r="E215" i="2"/>
  <c r="I214" i="2"/>
  <c r="F214" i="2"/>
  <c r="D214" i="2"/>
  <c r="J214" i="2"/>
  <c r="I213" i="2"/>
  <c r="J213" i="2"/>
  <c r="F213" i="2"/>
  <c r="G213" i="2"/>
  <c r="D213" i="2"/>
  <c r="E213" i="2"/>
  <c r="I212" i="2"/>
  <c r="J212" i="2"/>
  <c r="F212" i="2"/>
  <c r="D212" i="2"/>
  <c r="E212" i="2"/>
  <c r="G212" i="2"/>
  <c r="I211" i="2"/>
  <c r="J211" i="2"/>
  <c r="F211" i="2"/>
  <c r="G211" i="2"/>
  <c r="D211" i="2"/>
  <c r="E211" i="2"/>
  <c r="I210" i="2"/>
  <c r="F210" i="2"/>
  <c r="D210" i="2"/>
  <c r="J210" i="2"/>
  <c r="I209" i="2"/>
  <c r="J209" i="2"/>
  <c r="F209" i="2"/>
  <c r="G209" i="2"/>
  <c r="D209" i="2"/>
  <c r="E209" i="2"/>
  <c r="I208" i="2"/>
  <c r="J208" i="2"/>
  <c r="F208" i="2"/>
  <c r="D208" i="2"/>
  <c r="E208" i="2"/>
  <c r="G208" i="2"/>
  <c r="I207" i="2"/>
  <c r="J207" i="2"/>
  <c r="F207" i="2"/>
  <c r="G207" i="2"/>
  <c r="D207" i="2"/>
  <c r="E207" i="2"/>
  <c r="H202" i="2"/>
  <c r="K201" i="2"/>
  <c r="I201" i="2"/>
  <c r="H201" i="2"/>
  <c r="F201" i="2"/>
  <c r="D201" i="2"/>
  <c r="M200" i="2"/>
  <c r="K200" i="2"/>
  <c r="I200" i="2"/>
  <c r="H200" i="2"/>
  <c r="F200" i="2"/>
  <c r="D200" i="2"/>
  <c r="M199" i="2"/>
  <c r="K199" i="2"/>
  <c r="I199" i="2"/>
  <c r="H199" i="2"/>
  <c r="F199" i="2"/>
  <c r="D199" i="2"/>
  <c r="M198" i="2"/>
  <c r="K198" i="2"/>
  <c r="I198" i="2"/>
  <c r="H198" i="2"/>
  <c r="F198" i="2"/>
  <c r="D198" i="2"/>
  <c r="K197" i="2"/>
  <c r="I197" i="2"/>
  <c r="H197" i="2"/>
  <c r="F197" i="2"/>
  <c r="D197" i="2"/>
  <c r="K196" i="2"/>
  <c r="I196" i="2"/>
  <c r="H196" i="2"/>
  <c r="F196" i="2"/>
  <c r="D196" i="2"/>
  <c r="M195" i="2"/>
  <c r="H195" i="2"/>
  <c r="M194" i="2"/>
  <c r="I194" i="2"/>
  <c r="H194" i="2"/>
  <c r="F194" i="2"/>
  <c r="D194" i="2"/>
  <c r="M193" i="2"/>
  <c r="K193" i="2"/>
  <c r="I193" i="2"/>
  <c r="H193" i="2"/>
  <c r="F193" i="2"/>
  <c r="D193" i="2"/>
  <c r="K192" i="2"/>
  <c r="I192" i="2"/>
  <c r="H192" i="2"/>
  <c r="F192" i="2"/>
  <c r="D192" i="2"/>
  <c r="K191" i="2"/>
  <c r="I191" i="2"/>
  <c r="H191" i="2"/>
  <c r="F191" i="2"/>
  <c r="D191" i="2"/>
  <c r="M190" i="2"/>
  <c r="K190" i="2"/>
  <c r="I190" i="2"/>
  <c r="H190" i="2"/>
  <c r="F190" i="2"/>
  <c r="D190" i="2"/>
  <c r="M189" i="2"/>
  <c r="K189" i="2"/>
  <c r="I189" i="2"/>
  <c r="H189" i="2"/>
  <c r="F189" i="2"/>
  <c r="D189" i="2"/>
  <c r="M188" i="2"/>
  <c r="K188" i="2"/>
  <c r="I188" i="2"/>
  <c r="H188" i="2"/>
  <c r="F188" i="2"/>
  <c r="D188" i="2"/>
  <c r="K187" i="2"/>
  <c r="I187" i="2"/>
  <c r="H187" i="2"/>
  <c r="F187" i="2"/>
  <c r="D187" i="2"/>
  <c r="K186" i="2"/>
  <c r="I186" i="2"/>
  <c r="H186" i="2"/>
  <c r="F186" i="2"/>
  <c r="D186" i="2"/>
  <c r="M185" i="2"/>
  <c r="K185" i="2"/>
  <c r="I185" i="2"/>
  <c r="H185" i="2"/>
  <c r="F185" i="2"/>
  <c r="D185" i="2"/>
  <c r="M184" i="2"/>
  <c r="K184" i="2"/>
  <c r="I184" i="2"/>
  <c r="H184" i="2"/>
  <c r="F184" i="2"/>
  <c r="D184" i="2"/>
  <c r="M183" i="2"/>
  <c r="K183" i="2"/>
  <c r="I183" i="2"/>
  <c r="H183" i="2"/>
  <c r="F183" i="2"/>
  <c r="D183" i="2"/>
  <c r="K182" i="2"/>
  <c r="I182" i="2"/>
  <c r="H182" i="2"/>
  <c r="F182" i="2"/>
  <c r="D182" i="2"/>
  <c r="K181" i="2"/>
  <c r="I181" i="2"/>
  <c r="H181" i="2"/>
  <c r="F181" i="2"/>
  <c r="D181" i="2"/>
  <c r="M180" i="2"/>
  <c r="K180" i="2"/>
  <c r="I180" i="2"/>
  <c r="H180" i="2"/>
  <c r="F180" i="2"/>
  <c r="D180" i="2"/>
  <c r="M179" i="2"/>
  <c r="K179" i="2"/>
  <c r="I179" i="2"/>
  <c r="H179" i="2"/>
  <c r="F179" i="2"/>
  <c r="D179" i="2"/>
  <c r="M178" i="2"/>
  <c r="K178" i="2"/>
  <c r="I178" i="2"/>
  <c r="H178" i="2"/>
  <c r="F178" i="2"/>
  <c r="D178" i="2"/>
  <c r="K177" i="2"/>
  <c r="I177" i="2"/>
  <c r="H177" i="2"/>
  <c r="F177" i="2"/>
  <c r="D177" i="2"/>
  <c r="K176" i="2"/>
  <c r="I176" i="2"/>
  <c r="H176" i="2"/>
  <c r="F176" i="2"/>
  <c r="D176" i="2"/>
  <c r="M175" i="2"/>
  <c r="K175" i="2"/>
  <c r="I175" i="2"/>
  <c r="H175" i="2"/>
  <c r="F175" i="2"/>
  <c r="D175" i="2"/>
  <c r="M174" i="2"/>
  <c r="K174" i="2"/>
  <c r="I174" i="2"/>
  <c r="H174" i="2"/>
  <c r="F174" i="2"/>
  <c r="D174" i="2"/>
  <c r="M173" i="2"/>
  <c r="K173" i="2"/>
  <c r="I173" i="2"/>
  <c r="H173" i="2"/>
  <c r="F173" i="2"/>
  <c r="D173" i="2"/>
  <c r="K172" i="2"/>
  <c r="I172" i="2"/>
  <c r="H172" i="2"/>
  <c r="F172" i="2"/>
  <c r="D172" i="2"/>
  <c r="K171" i="2"/>
  <c r="I171" i="2"/>
  <c r="H171" i="2"/>
  <c r="F171" i="2"/>
  <c r="D171" i="2"/>
  <c r="M170" i="2"/>
  <c r="H170" i="2"/>
  <c r="M169" i="2"/>
  <c r="K169" i="2"/>
  <c r="H169" i="2"/>
  <c r="F169" i="2"/>
  <c r="D169" i="2"/>
  <c r="M168" i="2"/>
  <c r="K168" i="2"/>
  <c r="I168" i="2"/>
  <c r="H168" i="2"/>
  <c r="F168" i="2"/>
  <c r="D168" i="2"/>
  <c r="K167" i="2"/>
  <c r="I167" i="2"/>
  <c r="H167" i="2"/>
  <c r="F167" i="2"/>
  <c r="D167" i="2"/>
  <c r="K166" i="2"/>
  <c r="I166" i="2"/>
  <c r="H166" i="2"/>
  <c r="F166" i="2"/>
  <c r="D166" i="2"/>
  <c r="M165" i="2"/>
  <c r="K165" i="2"/>
  <c r="I165" i="2"/>
  <c r="H165" i="2"/>
  <c r="F165" i="2"/>
  <c r="D165" i="2"/>
  <c r="M164" i="2"/>
  <c r="K164" i="2"/>
  <c r="I164" i="2"/>
  <c r="H164" i="2"/>
  <c r="F164" i="2"/>
  <c r="D164" i="2"/>
  <c r="M163" i="2"/>
  <c r="K163" i="2"/>
  <c r="I163" i="2"/>
  <c r="H163" i="2"/>
  <c r="F163" i="2"/>
  <c r="D163" i="2"/>
  <c r="K162" i="2"/>
  <c r="I162" i="2"/>
  <c r="H162" i="2"/>
  <c r="F162" i="2"/>
  <c r="D162" i="2"/>
  <c r="K161" i="2"/>
  <c r="I161" i="2"/>
  <c r="H161" i="2"/>
  <c r="F161" i="2"/>
  <c r="D161" i="2"/>
  <c r="M160" i="2"/>
  <c r="K160" i="2"/>
  <c r="I160" i="2"/>
  <c r="H160" i="2"/>
  <c r="F160" i="2"/>
  <c r="D160" i="2"/>
  <c r="M159" i="2"/>
  <c r="K159" i="2"/>
  <c r="I159" i="2"/>
  <c r="H159" i="2"/>
  <c r="F159" i="2"/>
  <c r="D159" i="2"/>
  <c r="M158" i="2"/>
  <c r="K158" i="2"/>
  <c r="I158" i="2"/>
  <c r="H158" i="2"/>
  <c r="F158" i="2"/>
  <c r="D158" i="2"/>
  <c r="K157" i="2"/>
  <c r="I157" i="2"/>
  <c r="H157" i="2"/>
  <c r="F157" i="2"/>
  <c r="D157" i="2"/>
  <c r="H156" i="2"/>
  <c r="M155" i="2"/>
  <c r="K155" i="2"/>
  <c r="I155" i="2"/>
  <c r="H155" i="2"/>
  <c r="F155" i="2"/>
  <c r="M154" i="2"/>
  <c r="H154" i="2"/>
  <c r="M153" i="2"/>
  <c r="K153" i="2"/>
  <c r="I153" i="2"/>
  <c r="H153" i="2"/>
  <c r="F153" i="2"/>
  <c r="D153" i="2"/>
  <c r="K152" i="2"/>
  <c r="I152" i="2"/>
  <c r="H152" i="2"/>
  <c r="F152" i="2"/>
  <c r="D152" i="2"/>
  <c r="K151" i="2"/>
  <c r="I151" i="2"/>
  <c r="H151" i="2"/>
  <c r="F151" i="2"/>
  <c r="D151" i="2"/>
  <c r="M150" i="2"/>
  <c r="K150" i="2"/>
  <c r="I150" i="2"/>
  <c r="H150" i="2"/>
  <c r="F150" i="2"/>
  <c r="D150" i="2"/>
  <c r="M149" i="2"/>
  <c r="K149" i="2"/>
  <c r="I149" i="2"/>
  <c r="H149" i="2"/>
  <c r="F149" i="2"/>
  <c r="D149" i="2"/>
  <c r="M148" i="2"/>
  <c r="K148" i="2"/>
  <c r="I148" i="2"/>
  <c r="H148" i="2"/>
  <c r="F148" i="2"/>
  <c r="D148" i="2"/>
  <c r="K147" i="2"/>
  <c r="I147" i="2"/>
  <c r="H147" i="2"/>
  <c r="F147" i="2"/>
  <c r="D147" i="2"/>
  <c r="K146" i="2"/>
  <c r="I146" i="2"/>
  <c r="H146" i="2"/>
  <c r="F146" i="2"/>
  <c r="D146" i="2"/>
  <c r="M145" i="2"/>
  <c r="H145" i="2"/>
  <c r="M144" i="2"/>
  <c r="K144" i="2"/>
  <c r="I144" i="2"/>
  <c r="H144" i="2"/>
  <c r="F144" i="2"/>
  <c r="D144" i="2"/>
  <c r="M143" i="2"/>
  <c r="K143" i="2"/>
  <c r="I143" i="2"/>
  <c r="H143" i="2"/>
  <c r="F143" i="2"/>
  <c r="D143" i="2"/>
  <c r="K142" i="2"/>
  <c r="I142" i="2"/>
  <c r="H142" i="2"/>
  <c r="F142" i="2"/>
  <c r="D142" i="2"/>
  <c r="K141" i="2"/>
  <c r="I141" i="2"/>
  <c r="H141" i="2"/>
  <c r="F141" i="2"/>
  <c r="D141" i="2"/>
  <c r="M140" i="2"/>
  <c r="H140" i="2"/>
  <c r="M139" i="2"/>
  <c r="K139" i="2"/>
  <c r="I139" i="2"/>
  <c r="H139" i="2"/>
  <c r="F139" i="2"/>
  <c r="D139" i="2"/>
  <c r="M138" i="2"/>
  <c r="K138" i="2"/>
  <c r="I138" i="2"/>
  <c r="H138" i="2"/>
  <c r="F138" i="2"/>
  <c r="D138" i="2"/>
  <c r="K137" i="2"/>
  <c r="I137" i="2"/>
  <c r="H137" i="2"/>
  <c r="F137" i="2"/>
  <c r="D137" i="2"/>
  <c r="K136" i="2"/>
  <c r="I136" i="2"/>
  <c r="H136" i="2"/>
  <c r="F136" i="2"/>
  <c r="D136" i="2"/>
  <c r="M135" i="2"/>
  <c r="H135" i="2"/>
  <c r="M134" i="2"/>
  <c r="K134" i="2"/>
  <c r="I134" i="2"/>
  <c r="H134" i="2"/>
  <c r="F134" i="2"/>
  <c r="D134" i="2"/>
  <c r="M133" i="2"/>
  <c r="K133" i="2"/>
  <c r="I133" i="2"/>
  <c r="H133" i="2"/>
  <c r="F133" i="2"/>
  <c r="D133" i="2"/>
  <c r="K132" i="2"/>
  <c r="I132" i="2"/>
  <c r="H132" i="2"/>
  <c r="F132" i="2"/>
  <c r="D132" i="2"/>
  <c r="K131" i="2"/>
  <c r="I131" i="2"/>
  <c r="H131" i="2"/>
  <c r="F131" i="2"/>
  <c r="D131" i="2"/>
  <c r="M130" i="2"/>
  <c r="K130" i="2"/>
  <c r="I130" i="2"/>
  <c r="H130" i="2"/>
  <c r="F130" i="2"/>
  <c r="D130" i="2"/>
  <c r="M129" i="2"/>
  <c r="K129" i="2"/>
  <c r="I129" i="2"/>
  <c r="H129" i="2"/>
  <c r="F129" i="2"/>
  <c r="D129" i="2"/>
  <c r="Z128" i="2"/>
  <c r="V128" i="2"/>
  <c r="M128" i="2"/>
  <c r="K128" i="2"/>
  <c r="I128" i="2"/>
  <c r="H128" i="2"/>
  <c r="F128" i="2"/>
  <c r="D128" i="2"/>
  <c r="K127" i="2"/>
  <c r="I127" i="2"/>
  <c r="H127" i="2"/>
  <c r="F127" i="2"/>
  <c r="D127" i="2"/>
  <c r="K126" i="2"/>
  <c r="I126" i="2"/>
  <c r="H126" i="2"/>
  <c r="F126" i="2"/>
  <c r="D126" i="2"/>
  <c r="Z125" i="2"/>
  <c r="V125" i="2"/>
  <c r="M125" i="2"/>
  <c r="K125" i="2"/>
  <c r="I125" i="2"/>
  <c r="H125" i="2"/>
  <c r="F125" i="2"/>
  <c r="D125" i="2"/>
  <c r="Z124" i="2"/>
  <c r="V124" i="2"/>
  <c r="R124" i="2"/>
  <c r="Q124" i="2"/>
  <c r="M124" i="2"/>
  <c r="K124" i="2"/>
  <c r="I124" i="2"/>
  <c r="H124" i="2"/>
  <c r="F124" i="2"/>
  <c r="D124" i="2"/>
  <c r="Z123" i="2"/>
  <c r="V123" i="2"/>
  <c r="M123" i="2"/>
  <c r="K123" i="2"/>
  <c r="I123" i="2"/>
  <c r="H123" i="2"/>
  <c r="F123" i="2"/>
  <c r="D123" i="2"/>
  <c r="K122" i="2"/>
  <c r="I122" i="2"/>
  <c r="H122" i="2"/>
  <c r="F122" i="2"/>
  <c r="D122" i="2"/>
  <c r="K121" i="2"/>
  <c r="I121" i="2"/>
  <c r="H121" i="2"/>
  <c r="F121" i="2"/>
  <c r="D121" i="2"/>
  <c r="Z120" i="2"/>
  <c r="V120" i="2"/>
  <c r="M120" i="2"/>
  <c r="K120" i="2"/>
  <c r="I120" i="2"/>
  <c r="H120" i="2"/>
  <c r="F120" i="2"/>
  <c r="D120" i="2"/>
  <c r="Z119" i="2"/>
  <c r="V119" i="2"/>
  <c r="R119" i="2"/>
  <c r="Q119" i="2"/>
  <c r="M119" i="2"/>
  <c r="K119" i="2"/>
  <c r="I119" i="2"/>
  <c r="H119" i="2"/>
  <c r="F119" i="2"/>
  <c r="D119" i="2"/>
  <c r="Z118" i="2"/>
  <c r="V118" i="2"/>
  <c r="M118" i="2"/>
  <c r="K118" i="2"/>
  <c r="I118" i="2"/>
  <c r="H118" i="2"/>
  <c r="F118" i="2"/>
  <c r="D118" i="2"/>
  <c r="K117" i="2"/>
  <c r="I117" i="2"/>
  <c r="H117" i="2"/>
  <c r="F117" i="2"/>
  <c r="D117" i="2"/>
  <c r="K116" i="2"/>
  <c r="I116" i="2"/>
  <c r="H116" i="2"/>
  <c r="F116" i="2"/>
  <c r="D116" i="2"/>
  <c r="Z115" i="2"/>
  <c r="V115" i="2"/>
  <c r="R115" i="2"/>
  <c r="Q115" i="2"/>
  <c r="M115" i="2"/>
  <c r="H115" i="2"/>
  <c r="Z114" i="2"/>
  <c r="V114" i="2"/>
  <c r="R114" i="2"/>
  <c r="Q114" i="2"/>
  <c r="M114" i="2"/>
  <c r="K114" i="2"/>
  <c r="I114" i="2"/>
  <c r="H114" i="2"/>
  <c r="F114" i="2"/>
  <c r="D114" i="2"/>
  <c r="Z113" i="2"/>
  <c r="V113" i="2"/>
  <c r="R113" i="2"/>
  <c r="Q113" i="2"/>
  <c r="M113" i="2"/>
  <c r="K113" i="2"/>
  <c r="I113" i="2"/>
  <c r="H113" i="2"/>
  <c r="F113" i="2"/>
  <c r="D113" i="2"/>
  <c r="K112" i="2"/>
  <c r="I112" i="2"/>
  <c r="H112" i="2"/>
  <c r="F112" i="2"/>
  <c r="D112" i="2"/>
  <c r="K111" i="2"/>
  <c r="I111" i="2"/>
  <c r="H111" i="2"/>
  <c r="F111" i="2"/>
  <c r="D111" i="2"/>
  <c r="Z110" i="2"/>
  <c r="V110" i="2"/>
  <c r="R110" i="2"/>
  <c r="Q110" i="2"/>
  <c r="M110" i="2"/>
  <c r="H110" i="2"/>
  <c r="Z109" i="2"/>
  <c r="V109" i="2"/>
  <c r="M109" i="2"/>
  <c r="H109" i="2"/>
  <c r="Z108" i="2"/>
  <c r="V108" i="2"/>
  <c r="M108" i="2"/>
  <c r="K108" i="2"/>
  <c r="I108" i="2"/>
  <c r="H108" i="2"/>
  <c r="F108" i="2"/>
  <c r="D108" i="2"/>
  <c r="K107" i="2"/>
  <c r="I107" i="2"/>
  <c r="H107" i="2"/>
  <c r="F107" i="2"/>
  <c r="D107" i="2"/>
  <c r="K106" i="2"/>
  <c r="I106" i="2"/>
  <c r="H106" i="2"/>
  <c r="F106" i="2"/>
  <c r="D106" i="2"/>
  <c r="Z105" i="2"/>
  <c r="V105" i="2"/>
  <c r="M105" i="2"/>
  <c r="K105" i="2"/>
  <c r="I105" i="2"/>
  <c r="H105" i="2"/>
  <c r="F105" i="2"/>
  <c r="D105" i="2"/>
  <c r="Z104" i="2"/>
  <c r="V104" i="2"/>
  <c r="R104" i="2"/>
  <c r="Q104" i="2"/>
  <c r="M104" i="2"/>
  <c r="H104" i="2"/>
  <c r="Z103" i="2"/>
  <c r="V103" i="2"/>
  <c r="M103" i="2"/>
  <c r="K103" i="2"/>
  <c r="I103" i="2"/>
  <c r="H103" i="2"/>
  <c r="F103" i="2"/>
  <c r="D103" i="2"/>
  <c r="K102" i="2"/>
  <c r="I102" i="2"/>
  <c r="H102" i="2"/>
  <c r="F102" i="2"/>
  <c r="D102" i="2"/>
  <c r="K101" i="2"/>
  <c r="I101" i="2"/>
  <c r="H101" i="2"/>
  <c r="F101" i="2"/>
  <c r="D101" i="2"/>
  <c r="Z100" i="2"/>
  <c r="V100" i="2"/>
  <c r="R100" i="2"/>
  <c r="Q100" i="2"/>
  <c r="M100" i="2"/>
  <c r="H100" i="2"/>
  <c r="Z99" i="2"/>
  <c r="V99" i="2"/>
  <c r="M99" i="2"/>
  <c r="K99" i="2"/>
  <c r="I99" i="2"/>
  <c r="H99" i="2"/>
  <c r="F99" i="2"/>
  <c r="D99" i="2"/>
  <c r="Z98" i="2"/>
  <c r="V98" i="2"/>
  <c r="M98" i="2"/>
  <c r="K98" i="2"/>
  <c r="I98" i="2"/>
  <c r="H98" i="2"/>
  <c r="F98" i="2"/>
  <c r="D98" i="2"/>
  <c r="K97" i="2"/>
  <c r="I97" i="2"/>
  <c r="H97" i="2"/>
  <c r="F97" i="2"/>
  <c r="D97" i="2"/>
  <c r="K96" i="2"/>
  <c r="I96" i="2"/>
  <c r="H96" i="2"/>
  <c r="F96" i="2"/>
  <c r="D96" i="2"/>
  <c r="Z95" i="2"/>
  <c r="V95" i="2"/>
  <c r="R95" i="2"/>
  <c r="Q95" i="2"/>
  <c r="M95" i="2"/>
  <c r="H95" i="2"/>
  <c r="Z94" i="2"/>
  <c r="V94" i="2"/>
  <c r="M94" i="2"/>
  <c r="K94" i="2"/>
  <c r="I94" i="2"/>
  <c r="H94" i="2"/>
  <c r="F94" i="2"/>
  <c r="D94" i="2"/>
  <c r="Z93" i="2"/>
  <c r="V93" i="2"/>
  <c r="R93" i="2"/>
  <c r="Q93" i="2"/>
  <c r="M93" i="2"/>
  <c r="K93" i="2"/>
  <c r="I93" i="2"/>
  <c r="H93" i="2"/>
  <c r="F93" i="2"/>
  <c r="D93" i="2"/>
  <c r="K92" i="2"/>
  <c r="I92" i="2"/>
  <c r="H92" i="2"/>
  <c r="F92" i="2"/>
  <c r="D92" i="2"/>
  <c r="K91" i="2"/>
  <c r="I91" i="2"/>
  <c r="H91" i="2"/>
  <c r="F91" i="2"/>
  <c r="D91" i="2"/>
  <c r="Z90" i="2"/>
  <c r="V90" i="2"/>
  <c r="R90" i="2"/>
  <c r="Q90" i="2"/>
  <c r="M90" i="2"/>
  <c r="K90" i="2"/>
  <c r="I90" i="2"/>
  <c r="H90" i="2"/>
  <c r="F90" i="2"/>
  <c r="D90" i="2"/>
  <c r="Z89" i="2"/>
  <c r="V89" i="2"/>
  <c r="R89" i="2"/>
  <c r="Q89" i="2"/>
  <c r="M89" i="2"/>
  <c r="K89" i="2"/>
  <c r="I89" i="2"/>
  <c r="H89" i="2"/>
  <c r="F89" i="2"/>
  <c r="D89" i="2"/>
  <c r="Z88" i="2"/>
  <c r="V88" i="2"/>
  <c r="R88" i="2"/>
  <c r="Q88" i="2"/>
  <c r="M88" i="2"/>
  <c r="K88" i="2"/>
  <c r="I88" i="2"/>
  <c r="H88" i="2"/>
  <c r="F88" i="2"/>
  <c r="D88" i="2"/>
  <c r="K87" i="2"/>
  <c r="I87" i="2"/>
  <c r="H87" i="2"/>
  <c r="F87" i="2"/>
  <c r="D87" i="2"/>
  <c r="K86" i="2"/>
  <c r="I86" i="2"/>
  <c r="H86" i="2"/>
  <c r="F86" i="2"/>
  <c r="D86" i="2"/>
  <c r="Z85" i="2"/>
  <c r="V85" i="2"/>
  <c r="R85" i="2"/>
  <c r="Q85" i="2"/>
  <c r="K85" i="2"/>
  <c r="I85" i="2"/>
  <c r="H85" i="2"/>
  <c r="F85" i="2"/>
  <c r="D85" i="2"/>
  <c r="K84" i="2"/>
  <c r="I84" i="2"/>
  <c r="H84" i="2"/>
  <c r="F84" i="2"/>
  <c r="D84" i="2"/>
  <c r="K83" i="2"/>
  <c r="I83" i="2"/>
  <c r="H83" i="2"/>
  <c r="F83" i="2"/>
  <c r="D83" i="2"/>
  <c r="I82" i="2"/>
  <c r="D82" i="2"/>
  <c r="I81" i="2"/>
  <c r="D81" i="2"/>
  <c r="K80" i="2"/>
  <c r="I80" i="2"/>
  <c r="H80" i="2"/>
  <c r="F80" i="2"/>
  <c r="D80" i="2"/>
  <c r="K79" i="2"/>
  <c r="I79" i="2"/>
  <c r="H79" i="2"/>
  <c r="F79" i="2"/>
  <c r="D79" i="2"/>
  <c r="H78" i="2"/>
  <c r="H77" i="2"/>
  <c r="I75" i="2"/>
  <c r="D75" i="2"/>
  <c r="K75" i="2"/>
  <c r="I76" i="2"/>
  <c r="H75" i="2"/>
  <c r="F75" i="2"/>
  <c r="D76" i="2"/>
  <c r="K74" i="2"/>
  <c r="I74" i="2"/>
  <c r="H74" i="2"/>
  <c r="F74" i="2"/>
  <c r="D74" i="2"/>
  <c r="K73" i="2"/>
  <c r="I73" i="2"/>
  <c r="H73" i="2"/>
  <c r="F73" i="2"/>
  <c r="D73" i="2"/>
  <c r="H72" i="2"/>
  <c r="K71" i="2"/>
  <c r="H71" i="2"/>
  <c r="F71" i="2"/>
  <c r="D71" i="2"/>
  <c r="H60" i="2"/>
  <c r="I60" i="2"/>
  <c r="E60" i="2"/>
  <c r="F60" i="2"/>
  <c r="C60" i="2"/>
  <c r="D60" i="2"/>
  <c r="H59" i="2"/>
  <c r="I59" i="2"/>
  <c r="E59" i="2"/>
  <c r="C59" i="2"/>
  <c r="D59" i="2"/>
  <c r="F59" i="2"/>
  <c r="H58" i="2"/>
  <c r="I58" i="2"/>
  <c r="E58" i="2"/>
  <c r="C58" i="2"/>
  <c r="D58" i="2"/>
  <c r="F58" i="2"/>
  <c r="H57" i="2"/>
  <c r="E57" i="2"/>
  <c r="F57" i="2"/>
  <c r="C57" i="2"/>
  <c r="I57" i="2"/>
  <c r="H56" i="2"/>
  <c r="I56" i="2"/>
  <c r="E56" i="2"/>
  <c r="F56" i="2"/>
  <c r="C56" i="2"/>
  <c r="D56" i="2"/>
  <c r="H55" i="2"/>
  <c r="I55" i="2"/>
  <c r="E55" i="2"/>
  <c r="C55" i="2"/>
  <c r="D55" i="2"/>
  <c r="F55" i="2"/>
  <c r="H54" i="2"/>
  <c r="I54" i="2"/>
  <c r="E54" i="2"/>
  <c r="C54" i="2"/>
  <c r="D54" i="2"/>
  <c r="F54" i="2"/>
  <c r="H53" i="2"/>
  <c r="E53" i="2"/>
  <c r="F53" i="2"/>
  <c r="C53" i="2"/>
  <c r="I53" i="2"/>
  <c r="H52" i="2"/>
  <c r="I52" i="2"/>
  <c r="E52" i="2"/>
  <c r="F52" i="2"/>
  <c r="C52" i="2"/>
  <c r="D52" i="2"/>
  <c r="H51" i="2"/>
  <c r="I51" i="2"/>
  <c r="E51" i="2"/>
  <c r="C51" i="2"/>
  <c r="D51" i="2"/>
  <c r="F51" i="2"/>
  <c r="H50" i="2"/>
  <c r="I50" i="2"/>
  <c r="E50" i="2"/>
  <c r="C50" i="2"/>
  <c r="D50" i="2"/>
  <c r="F50" i="2"/>
  <c r="H49" i="2"/>
  <c r="E49" i="2"/>
  <c r="F49" i="2"/>
  <c r="C49" i="2"/>
  <c r="I49" i="2"/>
  <c r="H48" i="2"/>
  <c r="I48" i="2"/>
  <c r="E48" i="2"/>
  <c r="F48" i="2"/>
  <c r="C48" i="2"/>
  <c r="D48" i="2"/>
  <c r="H47" i="2"/>
  <c r="I47" i="2"/>
  <c r="E47" i="2"/>
  <c r="C47" i="2"/>
  <c r="D47" i="2"/>
  <c r="F47" i="2"/>
  <c r="H46" i="2"/>
  <c r="I46" i="2"/>
  <c r="E46" i="2"/>
  <c r="C46" i="2"/>
  <c r="D46" i="2"/>
  <c r="F46" i="2"/>
  <c r="H45" i="2"/>
  <c r="E45" i="2"/>
  <c r="F45" i="2"/>
  <c r="C45" i="2"/>
  <c r="I45" i="2"/>
  <c r="H44" i="2"/>
  <c r="I44" i="2"/>
  <c r="E44" i="2"/>
  <c r="F44" i="2"/>
  <c r="C44" i="2"/>
  <c r="D44" i="2"/>
  <c r="H43" i="2"/>
  <c r="I43" i="2"/>
  <c r="E43" i="2"/>
  <c r="C43" i="2"/>
  <c r="D43" i="2"/>
  <c r="F43" i="2"/>
  <c r="H42" i="2"/>
  <c r="I42" i="2"/>
  <c r="E42" i="2"/>
  <c r="C42" i="2"/>
  <c r="D42" i="2"/>
  <c r="F42" i="2"/>
  <c r="H41" i="2"/>
  <c r="E41" i="2"/>
  <c r="F41" i="2"/>
  <c r="C41" i="2"/>
  <c r="I41" i="2"/>
  <c r="H40" i="2"/>
  <c r="I40" i="2"/>
  <c r="E40" i="2"/>
  <c r="F40" i="2"/>
  <c r="C40" i="2"/>
  <c r="D40" i="2"/>
  <c r="H39" i="2"/>
  <c r="I39" i="2"/>
  <c r="E39" i="2"/>
  <c r="C39" i="2"/>
  <c r="D39" i="2"/>
  <c r="F39" i="2"/>
  <c r="H38" i="2"/>
  <c r="I38" i="2"/>
  <c r="E38" i="2"/>
  <c r="C38" i="2"/>
  <c r="D38" i="2"/>
  <c r="F38" i="2"/>
  <c r="H37" i="2"/>
  <c r="E37" i="2"/>
  <c r="F37" i="2"/>
  <c r="C37" i="2"/>
  <c r="I37" i="2"/>
  <c r="H36" i="2"/>
  <c r="I36" i="2"/>
  <c r="E36" i="2"/>
  <c r="F36" i="2"/>
  <c r="C36" i="2"/>
  <c r="D36" i="2"/>
  <c r="H35" i="2"/>
  <c r="I35" i="2"/>
  <c r="E35" i="2"/>
  <c r="C35" i="2"/>
  <c r="D35" i="2"/>
  <c r="F35" i="2"/>
  <c r="H29" i="2"/>
  <c r="D29" i="2"/>
  <c r="I29" i="2"/>
  <c r="E29" i="2"/>
  <c r="F29" i="2"/>
  <c r="C29" i="2"/>
  <c r="K28" i="2"/>
  <c r="H28" i="2"/>
  <c r="D28" i="2"/>
  <c r="I28" i="2"/>
  <c r="E28" i="2"/>
  <c r="L28" i="2"/>
  <c r="C28" i="2"/>
  <c r="K27" i="2"/>
  <c r="D27" i="2"/>
  <c r="L27" i="2"/>
  <c r="H27" i="2"/>
  <c r="E27" i="2"/>
  <c r="F27" i="2"/>
  <c r="I27" i="2"/>
  <c r="C27" i="2"/>
  <c r="K26" i="2"/>
  <c r="D26" i="2"/>
  <c r="L26" i="2"/>
  <c r="H26" i="2"/>
  <c r="E26" i="2"/>
  <c r="F26" i="2"/>
  <c r="I26" i="2"/>
  <c r="C26" i="2"/>
  <c r="K25" i="2"/>
  <c r="D25" i="2"/>
  <c r="L25" i="2"/>
  <c r="H25" i="2"/>
  <c r="I25" i="2"/>
  <c r="E25" i="2"/>
  <c r="F25" i="2"/>
  <c r="C25" i="2"/>
  <c r="K24" i="2"/>
  <c r="H24" i="2"/>
  <c r="D24" i="2"/>
  <c r="I24" i="2"/>
  <c r="E24" i="2"/>
  <c r="L24" i="2"/>
  <c r="C24" i="2"/>
  <c r="K23" i="2"/>
  <c r="D23" i="2"/>
  <c r="L23" i="2"/>
  <c r="H23" i="2"/>
  <c r="E23" i="2"/>
  <c r="F23" i="2"/>
  <c r="I23" i="2"/>
  <c r="C23" i="2"/>
  <c r="K22" i="2"/>
  <c r="D22" i="2"/>
  <c r="L22" i="2"/>
  <c r="H22" i="2"/>
  <c r="E22" i="2"/>
  <c r="F22" i="2"/>
  <c r="I22" i="2"/>
  <c r="C22" i="2"/>
  <c r="K21" i="2"/>
  <c r="D21" i="2"/>
  <c r="L21" i="2"/>
  <c r="H21" i="2"/>
  <c r="I21" i="2"/>
  <c r="E21" i="2"/>
  <c r="F21" i="2"/>
  <c r="C21" i="2"/>
  <c r="H20" i="2"/>
  <c r="E20" i="2"/>
  <c r="D20" i="2"/>
  <c r="F20" i="2"/>
  <c r="I20" i="2"/>
  <c r="C20" i="2"/>
  <c r="K19" i="2"/>
  <c r="D19" i="2"/>
  <c r="L19" i="2"/>
  <c r="H19" i="2"/>
  <c r="I19" i="2"/>
  <c r="E19" i="2"/>
  <c r="F19" i="2"/>
  <c r="C19" i="2"/>
  <c r="H18" i="2"/>
  <c r="E18" i="2"/>
  <c r="D18" i="2"/>
  <c r="F18" i="2"/>
  <c r="I18" i="2"/>
  <c r="C18" i="2"/>
  <c r="K17" i="2"/>
  <c r="D17" i="2"/>
  <c r="L17" i="2"/>
  <c r="H17" i="2"/>
  <c r="I17" i="2"/>
  <c r="E17" i="2"/>
  <c r="F17" i="2"/>
  <c r="C17" i="2"/>
  <c r="H16" i="2"/>
  <c r="E16" i="2"/>
  <c r="D16" i="2"/>
  <c r="F16" i="2"/>
  <c r="I16" i="2"/>
  <c r="C16" i="2"/>
  <c r="K15" i="2"/>
  <c r="D15" i="2"/>
  <c r="L15" i="2"/>
  <c r="H15" i="2"/>
  <c r="I15" i="2"/>
  <c r="E15" i="2"/>
  <c r="F15" i="2"/>
  <c r="C15" i="2"/>
  <c r="H14" i="2"/>
  <c r="E14" i="2"/>
  <c r="D14" i="2"/>
  <c r="F14" i="2"/>
  <c r="I14" i="2"/>
  <c r="C14" i="2"/>
  <c r="H13" i="2"/>
  <c r="E13" i="2"/>
  <c r="D13" i="2"/>
  <c r="F13" i="2"/>
  <c r="I13" i="2"/>
  <c r="C13" i="2"/>
  <c r="H12" i="2"/>
  <c r="D12" i="2"/>
  <c r="I12" i="2"/>
  <c r="E12" i="2"/>
  <c r="F12" i="2"/>
  <c r="C12" i="2"/>
  <c r="H11" i="2"/>
  <c r="D11" i="2"/>
  <c r="I11" i="2"/>
  <c r="E11" i="2"/>
  <c r="F11" i="2"/>
  <c r="C11" i="2"/>
  <c r="K10" i="2"/>
  <c r="D10" i="2"/>
  <c r="L10" i="2"/>
  <c r="H10" i="2"/>
  <c r="I10" i="2"/>
  <c r="E10" i="2"/>
  <c r="F10" i="2"/>
  <c r="C10" i="2"/>
  <c r="H9" i="2"/>
  <c r="D9" i="2"/>
  <c r="I9" i="2"/>
  <c r="E9" i="2"/>
  <c r="F9" i="2"/>
  <c r="C9" i="2"/>
  <c r="H8" i="2"/>
  <c r="E8" i="2"/>
  <c r="D8" i="2"/>
  <c r="F8" i="2"/>
  <c r="I8" i="2"/>
  <c r="C8" i="2"/>
  <c r="H7" i="2"/>
  <c r="E7" i="2"/>
  <c r="D7" i="2"/>
  <c r="F7" i="2"/>
  <c r="I7" i="2"/>
  <c r="H6" i="2"/>
  <c r="I6" i="2"/>
  <c r="E6" i="2"/>
  <c r="F6" i="2"/>
  <c r="H5" i="2"/>
  <c r="I5" i="2"/>
  <c r="E5" i="2"/>
  <c r="F5" i="2"/>
  <c r="L4" i="2"/>
  <c r="H4" i="2"/>
  <c r="I4" i="2"/>
  <c r="F4" i="2"/>
  <c r="G210" i="2"/>
  <c r="G214" i="2"/>
  <c r="G218" i="2"/>
  <c r="J220" i="2"/>
  <c r="J228" i="2"/>
  <c r="E220" i="2"/>
  <c r="J223" i="2"/>
  <c r="E228" i="2"/>
  <c r="J231" i="2"/>
  <c r="E210" i="2"/>
  <c r="E214" i="2"/>
  <c r="E218" i="2"/>
  <c r="J224" i="2"/>
  <c r="J232" i="2"/>
  <c r="H56" i="3"/>
  <c r="F24" i="2"/>
  <c r="F28" i="2"/>
  <c r="D37" i="2"/>
  <c r="D41" i="2"/>
  <c r="D45" i="2"/>
  <c r="D49" i="2"/>
  <c r="D53" i="2"/>
  <c r="D57" i="2"/>
  <c r="J219" i="2"/>
  <c r="E224" i="2"/>
  <c r="J227" i="2"/>
  <c r="E232" i="2"/>
  <c r="D56" i="3"/>
</calcChain>
</file>

<file path=xl/comments1.xml><?xml version="1.0" encoding="utf-8"?>
<comments xmlns="http://schemas.openxmlformats.org/spreadsheetml/2006/main">
  <authors>
    <author/>
  </authors>
  <commentList>
    <comment ref="D746" authorId="0">
      <text>
        <r>
          <rPr>
            <sz val="10"/>
            <color rgb="FF000000"/>
            <rFont val="Arial"/>
          </rPr>
          <t>Seth Bennett:
check dates for June 2011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3" authorId="0">
      <text>
        <r>
          <rPr>
            <sz val="10"/>
            <color rgb="FF000000"/>
            <rFont val="Arial"/>
          </rPr>
          <t>Gail Davoren:
Sort residuals by year and calculate the average residual for each year (sum residuals for each year and divide by the number of temp or 'residual' measurements)</t>
        </r>
      </text>
    </comment>
  </commentList>
</comments>
</file>

<file path=xl/sharedStrings.xml><?xml version="1.0" encoding="utf-8"?>
<sst xmlns="http://schemas.openxmlformats.org/spreadsheetml/2006/main" count="41713" uniqueCount="581">
  <si>
    <t>Rec</t>
  </si>
  <si>
    <t>Year</t>
  </si>
  <si>
    <t>Day</t>
  </si>
  <si>
    <t>Month</t>
  </si>
  <si>
    <t>Time</t>
  </si>
  <si>
    <t>MeasureableItem</t>
  </si>
  <si>
    <t>LengthTL</t>
  </si>
  <si>
    <t>LengthFL</t>
  </si>
  <si>
    <t>Mass</t>
  </si>
  <si>
    <t>Prey</t>
  </si>
  <si>
    <t>PreySex</t>
  </si>
  <si>
    <t>PreyMaturity</t>
  </si>
  <si>
    <t>Bite</t>
  </si>
  <si>
    <t>Digestion</t>
  </si>
  <si>
    <t>Band</t>
  </si>
  <si>
    <t>JulianDate</t>
  </si>
  <si>
    <t>Bridled</t>
  </si>
  <si>
    <t>N/A</t>
  </si>
  <si>
    <t>whole</t>
  </si>
  <si>
    <t>capelin</t>
  </si>
  <si>
    <t>female</t>
  </si>
  <si>
    <t>spent</t>
  </si>
  <si>
    <t>AB</t>
  </si>
  <si>
    <t>snoutless</t>
  </si>
  <si>
    <t>fresh</t>
  </si>
  <si>
    <t>headless</t>
  </si>
  <si>
    <t>AF</t>
  </si>
  <si>
    <t>BB</t>
  </si>
  <si>
    <t>partial</t>
  </si>
  <si>
    <t>NA</t>
  </si>
  <si>
    <t>gravid</t>
  </si>
  <si>
    <t>BF</t>
  </si>
  <si>
    <t>sandlance</t>
  </si>
  <si>
    <t>eyeless</t>
  </si>
  <si>
    <t>male</t>
  </si>
  <si>
    <t>immature</t>
  </si>
  <si>
    <t>sculpin</t>
  </si>
  <si>
    <t>flatfish</t>
  </si>
  <si>
    <t>squid</t>
  </si>
  <si>
    <t>mouthless</t>
  </si>
  <si>
    <t>tailess</t>
  </si>
  <si>
    <t>unknown</t>
  </si>
  <si>
    <t>sideless</t>
  </si>
  <si>
    <t>no tail</t>
  </si>
  <si>
    <t>broken</t>
  </si>
  <si>
    <t>BA</t>
  </si>
  <si>
    <t>FA</t>
  </si>
  <si>
    <t>FB</t>
  </si>
  <si>
    <t>jawless</t>
  </si>
  <si>
    <t>Na</t>
  </si>
  <si>
    <t>spawning ridges</t>
  </si>
  <si>
    <t xml:space="preserve">whole </t>
  </si>
  <si>
    <t>Gravid</t>
  </si>
  <si>
    <t>1106-35007</t>
  </si>
  <si>
    <t>mouthless snoutless eyeless</t>
  </si>
  <si>
    <t>1106-35008</t>
  </si>
  <si>
    <t>1106-35009</t>
  </si>
  <si>
    <t>snoutless tail broken off</t>
  </si>
  <si>
    <t>1106-35046</t>
  </si>
  <si>
    <t>1106-35047</t>
  </si>
  <si>
    <t>1106-35048</t>
  </si>
  <si>
    <t>1106-35049</t>
  </si>
  <si>
    <t>1106-35050</t>
  </si>
  <si>
    <t>snoutless fresh</t>
  </si>
  <si>
    <t>1106-35013</t>
  </si>
  <si>
    <t>snoutless mouthless</t>
  </si>
  <si>
    <t>1106-35014</t>
  </si>
  <si>
    <t>1106-35015</t>
  </si>
  <si>
    <t>1106-35017</t>
  </si>
  <si>
    <t>1106-35016</t>
  </si>
  <si>
    <t>1106-35018</t>
  </si>
  <si>
    <t>1106-35019</t>
  </si>
  <si>
    <t>1106-35021</t>
  </si>
  <si>
    <t>1106-35022</t>
  </si>
  <si>
    <t>1106-35023</t>
  </si>
  <si>
    <t>1106-33674</t>
  </si>
  <si>
    <t>1106-33675</t>
  </si>
  <si>
    <t>1106-33676</t>
  </si>
  <si>
    <t>1106-33678</t>
  </si>
  <si>
    <t>1106-33581</t>
  </si>
  <si>
    <t>1106-33682</t>
  </si>
  <si>
    <t>1106-33683</t>
  </si>
  <si>
    <t>1106-33685</t>
  </si>
  <si>
    <t>1106-33686</t>
  </si>
  <si>
    <t>1106-33687</t>
  </si>
  <si>
    <t>1106-33690</t>
  </si>
  <si>
    <t>1106-33694</t>
  </si>
  <si>
    <t>1106-33696</t>
  </si>
  <si>
    <t>1106-33697</t>
  </si>
  <si>
    <t>1106-33699</t>
  </si>
  <si>
    <t>1106-33702</t>
  </si>
  <si>
    <t>1106-33704</t>
  </si>
  <si>
    <t>1106-33637</t>
  </si>
  <si>
    <t>1106-33638</t>
  </si>
  <si>
    <t>1106-33643</t>
  </si>
  <si>
    <t>1106-33645</t>
  </si>
  <si>
    <t>1106-33646</t>
  </si>
  <si>
    <t>1106-33656</t>
  </si>
  <si>
    <t>1106-33657</t>
  </si>
  <si>
    <t>1106-33559</t>
  </si>
  <si>
    <t>1106-33560</t>
  </si>
  <si>
    <t>1106-33665</t>
  </si>
  <si>
    <t>1106-33666</t>
  </si>
  <si>
    <t>1106-33668</t>
  </si>
  <si>
    <t>1106-33669</t>
  </si>
  <si>
    <t>1106-33671</t>
  </si>
  <si>
    <t>1106-33524</t>
  </si>
  <si>
    <t>1106-33527</t>
  </si>
  <si>
    <t>snoutlless</t>
  </si>
  <si>
    <t>1106-33529</t>
  </si>
  <si>
    <t>1106-33530</t>
  </si>
  <si>
    <t>1106-33531</t>
  </si>
  <si>
    <t>1106-33578</t>
  </si>
  <si>
    <t>1106-33579</t>
  </si>
  <si>
    <t>1106-33583</t>
  </si>
  <si>
    <t>1106-33585</t>
  </si>
  <si>
    <t>1106-33586</t>
  </si>
  <si>
    <t>1106-33587</t>
  </si>
  <si>
    <t>1106-33588</t>
  </si>
  <si>
    <t>1106-33589</t>
  </si>
  <si>
    <t>AM</t>
  </si>
  <si>
    <t>1106-33591</t>
  </si>
  <si>
    <t>1106-33593</t>
  </si>
  <si>
    <t>1106-33596</t>
  </si>
  <si>
    <t>1106-33597</t>
  </si>
  <si>
    <t>1106-33599</t>
  </si>
  <si>
    <t>1106-33603</t>
  </si>
  <si>
    <t>1106-33605</t>
  </si>
  <si>
    <t>1106-33606</t>
  </si>
  <si>
    <t>1106-33518</t>
  </si>
  <si>
    <t>1106-33566</t>
  </si>
  <si>
    <t>1106-33571</t>
  </si>
  <si>
    <t>1106-33953</t>
  </si>
  <si>
    <t>1106-33955</t>
  </si>
  <si>
    <t>full digest</t>
  </si>
  <si>
    <t>1106-33956</t>
  </si>
  <si>
    <t xml:space="preserve">&gt;120 </t>
  </si>
  <si>
    <t>1106-33557</t>
  </si>
  <si>
    <t>headl</t>
  </si>
  <si>
    <t>1106-33541</t>
  </si>
  <si>
    <t>1106-33542</t>
  </si>
  <si>
    <t>1106-33544</t>
  </si>
  <si>
    <t>1106-33545</t>
  </si>
  <si>
    <t>8:30-10:30</t>
  </si>
  <si>
    <t>haddock</t>
  </si>
  <si>
    <t>1106-33550</t>
  </si>
  <si>
    <t>1106-33506</t>
  </si>
  <si>
    <t>snout</t>
  </si>
  <si>
    <t>1106-33507</t>
  </si>
  <si>
    <t>1106-33508</t>
  </si>
  <si>
    <t>1106-33512</t>
  </si>
  <si>
    <t>1106-33515</t>
  </si>
  <si>
    <t>1106-33517</t>
  </si>
  <si>
    <t>1106-33519</t>
  </si>
  <si>
    <t>1106-33520</t>
  </si>
  <si>
    <t>snoutl</t>
  </si>
  <si>
    <t>1106-33521</t>
  </si>
  <si>
    <t>1106-33522</t>
  </si>
  <si>
    <t>1106-33523</t>
  </si>
  <si>
    <t>14:00-15:00</t>
  </si>
  <si>
    <t>1106-33528</t>
  </si>
  <si>
    <t>moutles</t>
  </si>
  <si>
    <t>1106-33539</t>
  </si>
  <si>
    <t>966-30144</t>
  </si>
  <si>
    <t>966-30145</t>
  </si>
  <si>
    <t>966-30147</t>
  </si>
  <si>
    <t>966-30148</t>
  </si>
  <si>
    <t>966-30149</t>
  </si>
  <si>
    <t>966-30150</t>
  </si>
  <si>
    <t>966-30121</t>
  </si>
  <si>
    <t>966-30141</t>
  </si>
  <si>
    <t>966-30142</t>
  </si>
  <si>
    <t>966-30143</t>
  </si>
  <si>
    <t>966-30114</t>
  </si>
  <si>
    <t>966-30115</t>
  </si>
  <si>
    <t>966-30116</t>
  </si>
  <si>
    <t>966-30117</t>
  </si>
  <si>
    <t>966-30118</t>
  </si>
  <si>
    <t>966-30120</t>
  </si>
  <si>
    <t>6:48 - 7:30</t>
  </si>
  <si>
    <t>966-30059</t>
  </si>
  <si>
    <t>966-30111</t>
  </si>
  <si>
    <t>966-30112</t>
  </si>
  <si>
    <t>966-30113</t>
  </si>
  <si>
    <t>966-30108</t>
  </si>
  <si>
    <t>966-30109</t>
  </si>
  <si>
    <t>966-30110</t>
  </si>
  <si>
    <t>966-30051</t>
  </si>
  <si>
    <t>966-30052</t>
  </si>
  <si>
    <t>17:30-18:55</t>
  </si>
  <si>
    <t>846-50484</t>
  </si>
  <si>
    <t>756-18293</t>
  </si>
  <si>
    <t>846-50477</t>
  </si>
  <si>
    <t>846-50479</t>
  </si>
  <si>
    <t>846-50481</t>
  </si>
  <si>
    <t>846-50482</t>
  </si>
  <si>
    <t>846-50483</t>
  </si>
  <si>
    <t xml:space="preserve">fresh </t>
  </si>
  <si>
    <t>9:00-11:00</t>
  </si>
  <si>
    <t>12:00-12:30</t>
  </si>
  <si>
    <t>11:00-12:15</t>
  </si>
  <si>
    <t>13:36-14:30</t>
  </si>
  <si>
    <t>5:30-6:30</t>
  </si>
  <si>
    <t xml:space="preserve">snoutless </t>
  </si>
  <si>
    <t>18:00-19:00</t>
  </si>
  <si>
    <t>alligator fish</t>
  </si>
  <si>
    <t>9:30-10:10</t>
  </si>
  <si>
    <t>17:00-18:10</t>
  </si>
  <si>
    <t>9:40-10:40</t>
  </si>
  <si>
    <t>cod</t>
  </si>
  <si>
    <t>12:15-13:00</t>
  </si>
  <si>
    <t>14:00-17:00</t>
  </si>
  <si>
    <t>14:40-16:00</t>
  </si>
  <si>
    <t>14:10-16:20</t>
  </si>
  <si>
    <t>9:00-10:00</t>
  </si>
  <si>
    <t>MA</t>
  </si>
  <si>
    <t>8:10-9:30</t>
  </si>
  <si>
    <t>A</t>
  </si>
  <si>
    <t>MB</t>
  </si>
  <si>
    <t>5:30-6:45</t>
  </si>
  <si>
    <t>16:00-17:00</t>
  </si>
  <si>
    <t>5:30-7:00</t>
  </si>
  <si>
    <t>5:40-6:40</t>
  </si>
  <si>
    <t>7:20-8:00</t>
  </si>
  <si>
    <t>B</t>
  </si>
  <si>
    <t>evening</t>
  </si>
  <si>
    <t>18:00-20:30</t>
  </si>
  <si>
    <t>9:45-10:45</t>
  </si>
  <si>
    <t>17:30-19:20</t>
  </si>
  <si>
    <t>blenny</t>
  </si>
  <si>
    <t>hake</t>
  </si>
  <si>
    <t>unknown fish</t>
  </si>
  <si>
    <t>wolf fish</t>
  </si>
  <si>
    <t>rockling</t>
  </si>
  <si>
    <t>F</t>
  </si>
  <si>
    <t>13:|37</t>
  </si>
  <si>
    <t>tailless</t>
  </si>
  <si>
    <t>gadid</t>
  </si>
  <si>
    <t>juvenille</t>
  </si>
  <si>
    <t>16:00-20:00</t>
  </si>
  <si>
    <t>15:00-19:30</t>
  </si>
  <si>
    <t>16:00-18:00</t>
  </si>
  <si>
    <t>Table 1: Species Composition in COMU Diets</t>
  </si>
  <si>
    <t>year</t>
  </si>
  <si>
    <t>first sampling date</t>
  </si>
  <si>
    <t>last sampling date</t>
  </si>
  <si>
    <t>Total # samples</t>
  </si>
  <si>
    <t>Total # capelin</t>
  </si>
  <si>
    <t>% capelin</t>
  </si>
  <si>
    <t>#sandlance</t>
  </si>
  <si>
    <t>%sandlance</t>
  </si>
  <si>
    <t>#other</t>
  </si>
  <si>
    <t>%other</t>
  </si>
  <si>
    <t>Table 2: Sex of Capelin in COMU Diets</t>
  </si>
  <si>
    <t>total # capelin</t>
  </si>
  <si>
    <t># female</t>
  </si>
  <si>
    <t>% female</t>
  </si>
  <si>
    <t># male</t>
  </si>
  <si>
    <t>% male</t>
  </si>
  <si>
    <t># unknown</t>
  </si>
  <si>
    <t>% unknown</t>
  </si>
  <si>
    <t>Table 3: Measurements of Capelin</t>
  </si>
  <si>
    <t>sex</t>
  </si>
  <si>
    <t>mean length (mm)</t>
  </si>
  <si>
    <t>mean weight (g)</t>
  </si>
  <si>
    <t># headless</t>
  </si>
  <si>
    <t>mean length w/o headless</t>
  </si>
  <si>
    <t>mean weight w/o headless</t>
  </si>
  <si>
    <t>Table 3b: Measurements of Sandlance</t>
  </si>
  <si>
    <t xml:space="preserve">female </t>
  </si>
  <si>
    <t>FLmeasurement</t>
  </si>
  <si>
    <t>FL measurement</t>
  </si>
  <si>
    <t>TL measurement</t>
  </si>
  <si>
    <t>mean size (mm)</t>
  </si>
  <si>
    <t>mean mass (g)</t>
  </si>
  <si>
    <t>Table 4: Spawning Condition of Female Capelin</t>
  </si>
  <si>
    <t># female capelin</t>
  </si>
  <si>
    <t># gravid</t>
  </si>
  <si>
    <t>% gravid</t>
  </si>
  <si>
    <t># spent</t>
  </si>
  <si>
    <t>% spent</t>
  </si>
  <si>
    <t>Measurement Adjustment from Total Length Female Capelin to Fork Length</t>
  </si>
  <si>
    <t>Measurement Adjustment from Total Length Male Capelin to Fork Length</t>
  </si>
  <si>
    <t>Excluding headless</t>
  </si>
  <si>
    <t>Mean Length (mm) F</t>
  </si>
  <si>
    <t>Measurement</t>
  </si>
  <si>
    <t>TL - 6.7% = FL</t>
  </si>
  <si>
    <t>Mean Length (mm) M</t>
  </si>
  <si>
    <t>TL</t>
  </si>
  <si>
    <t>FL</t>
  </si>
  <si>
    <t>Linear Regression:</t>
  </si>
  <si>
    <t>Measurement Adjustment from Total Length Gravid Female Capelin to Fork Length</t>
  </si>
  <si>
    <t>Measurement Adjustment from Total Length Spent Female Capelin to Fork Length</t>
  </si>
  <si>
    <t>mean length (mm)F</t>
  </si>
  <si>
    <t>mean length (mm)Male</t>
  </si>
  <si>
    <t>mean length (mm)UNK</t>
  </si>
  <si>
    <t>*2 different measurements for 2014</t>
  </si>
  <si>
    <t>mean weight (g) F</t>
  </si>
  <si>
    <t>mean weight (g) Male</t>
  </si>
  <si>
    <t>mean weight (g) Unk</t>
  </si>
  <si>
    <t>mean weight (g)F</t>
  </si>
  <si>
    <t>mean weight (g) M</t>
  </si>
  <si>
    <t>mean weight (g)UNK</t>
  </si>
  <si>
    <t>Table 4: Foulton's K Measurements</t>
  </si>
  <si>
    <t>FEMALES ONLY</t>
  </si>
  <si>
    <t>MALES ONLY</t>
  </si>
  <si>
    <t>Foulton's K</t>
  </si>
  <si>
    <t>Table 5: Number Headless Capelin</t>
  </si>
  <si>
    <t># headless_F</t>
  </si>
  <si>
    <t># headless_M</t>
  </si>
  <si>
    <t># headless_U</t>
  </si>
  <si>
    <t>Foulton's K [cm cubed</t>
  </si>
  <si>
    <t>length mm</t>
  </si>
  <si>
    <t>mass</t>
  </si>
  <si>
    <t>Table 6: Percent Gravid and Spent Female Capelin</t>
  </si>
  <si>
    <t>Table 7: Adjusted Measurements of Fork Length for Female, Gravid, Spent and Male Capelin (excluding headless)</t>
  </si>
  <si>
    <t>FEMALE CAPELIN FORK LENGTH (adjusted)</t>
  </si>
  <si>
    <t>MALE CAPELIN FORK LENGTH (adjusted)</t>
  </si>
  <si>
    <t>GRAVID FEMALE FORK LENGTH (adjusted)</t>
  </si>
  <si>
    <t>SPENT FEMALE FORK LENGTH (adjusted)</t>
  </si>
  <si>
    <t>Linear Regression</t>
  </si>
  <si>
    <t>Female</t>
  </si>
  <si>
    <t>Male</t>
  </si>
  <si>
    <t>Gravid Female</t>
  </si>
  <si>
    <t>Spent Female</t>
  </si>
  <si>
    <t>Table 8:</t>
  </si>
  <si>
    <t>Measurements of Gravid and Spent Female Capelin</t>
  </si>
  <si>
    <t>#headless</t>
  </si>
  <si>
    <t xml:space="preserve">gravid </t>
  </si>
  <si>
    <t>measurement</t>
  </si>
  <si>
    <t>GRAVID FEMALES ONLY</t>
  </si>
  <si>
    <t>SPENT FEMALES ONLY</t>
  </si>
  <si>
    <t>Table 10: Percentage Gravid Females vs Date</t>
  </si>
  <si>
    <t>Date Range</t>
  </si>
  <si>
    <t>Date Interval</t>
  </si>
  <si>
    <t>Percentage Gravid Females</t>
  </si>
  <si>
    <t>Aug 10-12</t>
  </si>
  <si>
    <t>Aug 13-15</t>
  </si>
  <si>
    <t>Aug 4-10</t>
  </si>
  <si>
    <t>Aug 5-12</t>
  </si>
  <si>
    <t>Aug 12-16</t>
  </si>
  <si>
    <t>Aug 4-11</t>
  </si>
  <si>
    <t>Aug 5-9</t>
  </si>
  <si>
    <t>Aug 1-9</t>
  </si>
  <si>
    <t>Aug 4-16</t>
  </si>
  <si>
    <t>July 27-Aug 5</t>
  </si>
  <si>
    <t>Aug 5-13</t>
  </si>
  <si>
    <t>Aug 1-6</t>
  </si>
  <si>
    <t>Aug 6-13</t>
  </si>
  <si>
    <t>July 28-Aug 7</t>
  </si>
  <si>
    <t>July 26-Aug 2</t>
  </si>
  <si>
    <t>Aug 2-9</t>
  </si>
  <si>
    <t>Aug 7-13</t>
  </si>
  <si>
    <t>July 27-Aug 3</t>
  </si>
  <si>
    <t>July 21-29</t>
  </si>
  <si>
    <t>July 30-Aug 6</t>
  </si>
  <si>
    <t>Aug 2-5</t>
  </si>
  <si>
    <t>July 28-Aug 2</t>
  </si>
  <si>
    <t>July 30-Aug 4</t>
  </si>
  <si>
    <t>Aug 2-6</t>
  </si>
  <si>
    <t>See [STATION 27 MONTHLY AVERAGE TEMPERATURES (Fitzpatrick sent May 2011)] in LabData Folder. Methods for MnTemp Anomoly explained therein.</t>
  </si>
  <si>
    <t>YEAR</t>
  </si>
  <si>
    <t>N</t>
  </si>
  <si>
    <t>Mn Temp Anomaly</t>
  </si>
  <si>
    <t>%female</t>
  </si>
  <si>
    <t>%gravid</t>
  </si>
  <si>
    <t>male length</t>
  </si>
  <si>
    <t>female length</t>
  </si>
  <si>
    <t>male mass</t>
  </si>
  <si>
    <t>female mass</t>
  </si>
  <si>
    <t>afternoon</t>
  </si>
  <si>
    <t>half body</t>
  </si>
  <si>
    <t>MID</t>
  </si>
  <si>
    <t>1216-01113</t>
  </si>
  <si>
    <t>1216-01114</t>
  </si>
  <si>
    <t>Y</t>
  </si>
  <si>
    <t>1216-01115</t>
  </si>
  <si>
    <t>1216-01116</t>
  </si>
  <si>
    <t>piece</t>
  </si>
  <si>
    <t>1216-01128</t>
  </si>
  <si>
    <t>1216-01131</t>
  </si>
  <si>
    <t>1216-01135</t>
  </si>
  <si>
    <t>1216-01136</t>
  </si>
  <si>
    <t>1216-01138</t>
  </si>
  <si>
    <t>1216-01140</t>
  </si>
  <si>
    <t>1216-01141</t>
  </si>
  <si>
    <t>1216-01145</t>
  </si>
  <si>
    <t>1216-01146</t>
  </si>
  <si>
    <t>1216-01147</t>
  </si>
  <si>
    <t>1216-01148</t>
  </si>
  <si>
    <t>1216-01149</t>
  </si>
  <si>
    <t>1216-01150</t>
  </si>
  <si>
    <t>1216-01152</t>
  </si>
  <si>
    <t>1216-01153</t>
  </si>
  <si>
    <t>1216-01156</t>
  </si>
  <si>
    <t>1216-01158</t>
  </si>
  <si>
    <t>1216-01163</t>
  </si>
  <si>
    <t>1216-01165</t>
  </si>
  <si>
    <t>1216-01167</t>
  </si>
  <si>
    <t>1216-01169</t>
  </si>
  <si>
    <t>1216-01171</t>
  </si>
  <si>
    <t>1216-01172</t>
  </si>
  <si>
    <t>1216-01159</t>
  </si>
  <si>
    <t>1216-01173</t>
  </si>
  <si>
    <t>1216-01174</t>
  </si>
  <si>
    <t>1216-01175</t>
  </si>
  <si>
    <t>1216-01177</t>
  </si>
  <si>
    <t>1216-01178</t>
  </si>
  <si>
    <t>1216-01179</t>
  </si>
  <si>
    <t>1216-01181</t>
  </si>
  <si>
    <t>1216-01185</t>
  </si>
  <si>
    <t>1216-01186</t>
  </si>
  <si>
    <t>1216-01188</t>
  </si>
  <si>
    <t>1216-01192</t>
  </si>
  <si>
    <t>1216-01193</t>
  </si>
  <si>
    <t>1216-01202</t>
  </si>
  <si>
    <t>1216-01203</t>
  </si>
  <si>
    <t>1216-01204</t>
  </si>
  <si>
    <t>1216-01205</t>
  </si>
  <si>
    <t>1216-01207</t>
  </si>
  <si>
    <t>1216-01208</t>
  </si>
  <si>
    <t>1216-01209</t>
  </si>
  <si>
    <t>1216-01214</t>
  </si>
  <si>
    <t>1216-01216</t>
  </si>
  <si>
    <t>1216-01217</t>
  </si>
  <si>
    <t>1216-01218</t>
  </si>
  <si>
    <t>liparis</t>
  </si>
  <si>
    <t>1216-01230</t>
  </si>
  <si>
    <t>1216-01231</t>
  </si>
  <si>
    <t>1216-01235</t>
  </si>
  <si>
    <t>1216-01236</t>
  </si>
  <si>
    <t>1216-01238</t>
  </si>
  <si>
    <t>1216-01239</t>
  </si>
  <si>
    <t>1216-01240</t>
  </si>
  <si>
    <t>1216-01241</t>
  </si>
  <si>
    <t>morning</t>
  </si>
  <si>
    <t>1216-01242</t>
  </si>
  <si>
    <t>1216-01245</t>
  </si>
  <si>
    <t>1216-01248</t>
  </si>
  <si>
    <t>wolffish/pout</t>
  </si>
  <si>
    <t>picture (pierre ryan)</t>
  </si>
  <si>
    <t>1216-01250</t>
  </si>
  <si>
    <t>1216-01249</t>
  </si>
  <si>
    <t>1216-01251</t>
  </si>
  <si>
    <t>1216-01252</t>
  </si>
  <si>
    <t>1216-01253</t>
  </si>
  <si>
    <t>1216-01254</t>
  </si>
  <si>
    <t>1216-01255</t>
  </si>
  <si>
    <t>1216-01256</t>
  </si>
  <si>
    <t>1216-01260</t>
  </si>
  <si>
    <t>1216-01263</t>
  </si>
  <si>
    <t>1216-01265</t>
  </si>
  <si>
    <t>1216-01268</t>
  </si>
  <si>
    <t>1216-01272</t>
  </si>
  <si>
    <t>1216-01277</t>
  </si>
  <si>
    <t>1216-01280</t>
  </si>
  <si>
    <t>1216-01283</t>
  </si>
  <si>
    <t>1216-01284</t>
  </si>
  <si>
    <t>1216-01291</t>
  </si>
  <si>
    <t>1216-01294</t>
  </si>
  <si>
    <t>1216-01299</t>
  </si>
  <si>
    <t>1216-01300</t>
  </si>
  <si>
    <t>1216-01303</t>
  </si>
  <si>
    <t>1216-01304</t>
  </si>
  <si>
    <t>1216-01305</t>
  </si>
  <si>
    <t>1216-01307</t>
  </si>
  <si>
    <t>1216-01306</t>
  </si>
  <si>
    <t>1216-01308</t>
  </si>
  <si>
    <t>1216-01309</t>
  </si>
  <si>
    <t>1216-01312</t>
  </si>
  <si>
    <t>1216-01313</t>
  </si>
  <si>
    <t>1216-01314</t>
  </si>
  <si>
    <t>1216-01315</t>
  </si>
  <si>
    <t>1216-01318</t>
  </si>
  <si>
    <t>1216-01321</t>
  </si>
  <si>
    <t>1216-01333</t>
  </si>
  <si>
    <t>1216-01334</t>
  </si>
  <si>
    <t>1216-01335</t>
  </si>
  <si>
    <t>1216-01336</t>
  </si>
  <si>
    <t>1216-01337</t>
  </si>
  <si>
    <t>1216-01339</t>
  </si>
  <si>
    <t>1216-01341</t>
  </si>
  <si>
    <t>1216-01343</t>
  </si>
  <si>
    <t>1216-01344</t>
  </si>
  <si>
    <t>1216-01345</t>
  </si>
  <si>
    <t>1216-01347</t>
  </si>
  <si>
    <t>1216-01348</t>
  </si>
  <si>
    <t>1216-01349</t>
  </si>
  <si>
    <t>Length (cm)</t>
  </si>
  <si>
    <t>cm^3</t>
  </si>
  <si>
    <t>6.7% TL</t>
  </si>
  <si>
    <t>FL=TL-6.7%</t>
  </si>
  <si>
    <t>8/5/2017</t>
  </si>
  <si>
    <t>8/11/2017</t>
  </si>
  <si>
    <t>SD wt</t>
  </si>
  <si>
    <t>SD lgth w/o hdls</t>
  </si>
  <si>
    <t>SD wt w/o hdls</t>
  </si>
  <si>
    <t>no SD bc n=1</t>
  </si>
  <si>
    <t>n=1</t>
  </si>
  <si>
    <t>SD</t>
  </si>
  <si>
    <t>SD of FL</t>
  </si>
  <si>
    <t>SD OF FL</t>
  </si>
  <si>
    <t>kJ/g</t>
  </si>
  <si>
    <r>
      <t xml:space="preserve">4.6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0.3</t>
    </r>
  </si>
  <si>
    <r>
      <t xml:space="preserve">4.6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0.3</t>
    </r>
    <r>
      <rPr>
        <sz val="12"/>
        <color theme="1"/>
        <rFont val="Calibri"/>
        <family val="2"/>
        <scheme val="minor"/>
      </rPr>
      <t/>
    </r>
  </si>
  <si>
    <r>
      <t xml:space="preserve">3.9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0.8</t>
    </r>
  </si>
  <si>
    <r>
      <t xml:space="preserve">3.8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0.5</t>
    </r>
  </si>
  <si>
    <r>
      <t xml:space="preserve">3.9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0.8</t>
    </r>
    <r>
      <rPr>
        <sz val="12"/>
        <color theme="1"/>
        <rFont val="Calibri"/>
        <family val="2"/>
        <scheme val="minor"/>
      </rPr>
      <t/>
    </r>
  </si>
  <si>
    <r>
      <t xml:space="preserve">3.8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0.5</t>
    </r>
    <r>
      <rPr>
        <sz val="12"/>
        <color theme="1"/>
        <rFont val="Calibri"/>
        <family val="2"/>
        <scheme val="minor"/>
      </rPr>
      <t/>
    </r>
  </si>
  <si>
    <t>Energy (kJ)</t>
  </si>
  <si>
    <t xml:space="preserve">Spent </t>
  </si>
  <si>
    <t>SD wt F</t>
  </si>
  <si>
    <t>SD wt M</t>
  </si>
  <si>
    <t>SD length F</t>
  </si>
  <si>
    <t>SD length M</t>
  </si>
  <si>
    <t>Aug 5-11</t>
  </si>
  <si>
    <t>SD FL female</t>
  </si>
  <si>
    <t>SD FL M</t>
  </si>
  <si>
    <t>SD FL gr</t>
  </si>
  <si>
    <t>SD FL sp</t>
  </si>
  <si>
    <t>SD wt gr</t>
  </si>
  <si>
    <t>SD wt sp</t>
  </si>
  <si>
    <t>2014 Avg</t>
  </si>
  <si>
    <t>Step to calculate Foulton's K</t>
  </si>
  <si>
    <t>% Spent</t>
  </si>
  <si>
    <t>% Gravid</t>
  </si>
  <si>
    <t xml:space="preserve">Length </t>
  </si>
  <si>
    <t>Forklength</t>
  </si>
  <si>
    <t>SD of Foulton's K</t>
  </si>
  <si>
    <t>SD/2</t>
  </si>
  <si>
    <t>2014 Average</t>
  </si>
  <si>
    <t>correlation grav vs dem spawn=</t>
  </si>
  <si>
    <t>DavorenLab</t>
  </si>
  <si>
    <t>correlation grav vs bch spawn=</t>
  </si>
  <si>
    <t>NO SPAWNING IN STUDY AREA</t>
  </si>
  <si>
    <t>correlation mass vs bch spawn=</t>
  </si>
  <si>
    <t>correlation grav vs dem spawn</t>
  </si>
  <si>
    <t>correlation mass vs grav=</t>
  </si>
  <si>
    <t>correlation mass vs dem spawn=</t>
  </si>
  <si>
    <t>DID NOT SPAWN AT BEACH</t>
  </si>
  <si>
    <t>DID NOT SPAWN AT DEMERSAL SITES</t>
  </si>
  <si>
    <t>DFO</t>
  </si>
  <si>
    <t>Dem Spawn</t>
  </si>
  <si>
    <t>Bch Spawn</t>
  </si>
  <si>
    <t xml:space="preserve">% gravid </t>
  </si>
  <si>
    <t>fledg Ave mass</t>
  </si>
  <si>
    <t>ad ave mass</t>
  </si>
  <si>
    <t>Source</t>
  </si>
  <si>
    <t>Date of 1st spawning (study area)-beach sites</t>
  </si>
  <si>
    <t>Date of 1st spawning (study area)-demersal sites</t>
  </si>
  <si>
    <t>Dem</t>
  </si>
  <si>
    <t>Beach</t>
  </si>
  <si>
    <t>Energy</t>
  </si>
  <si>
    <t>Spent</t>
  </si>
  <si>
    <t>Demersal Spawning Dates</t>
  </si>
  <si>
    <t>Beach Spawning Dates</t>
  </si>
  <si>
    <t>correlation mass vs dem spawn</t>
  </si>
  <si>
    <t>Fledglings</t>
  </si>
  <si>
    <t>Adult</t>
  </si>
  <si>
    <t>correlation ad mass vs % gr</t>
  </si>
  <si>
    <t>% gr</t>
  </si>
  <si>
    <t>bch spawn</t>
  </si>
  <si>
    <t>dem spawn</t>
  </si>
  <si>
    <t xml:space="preserve"> </t>
  </si>
  <si>
    <t>bch</t>
  </si>
  <si>
    <t>dem</t>
  </si>
  <si>
    <t>Energy (kJ/g)</t>
  </si>
  <si>
    <t>Total kJ</t>
  </si>
  <si>
    <t xml:space="preserve">Julian Date </t>
  </si>
  <si>
    <t>GRAVID</t>
  </si>
  <si>
    <t>SPENT</t>
  </si>
  <si>
    <t>MALE</t>
  </si>
  <si>
    <t>FEMALE</t>
  </si>
  <si>
    <t>BEACH</t>
  </si>
  <si>
    <t>DEMERSAL</t>
  </si>
  <si>
    <t>Days Since Spawning</t>
  </si>
  <si>
    <t>Table 1 MEAN ENERGY VALUES PER YEAR</t>
  </si>
  <si>
    <t>Table 2 Dem Spawning vs Energy</t>
  </si>
  <si>
    <t>Table 3 Bch Spawning vs Energy</t>
  </si>
  <si>
    <t>Table 4 Energy vs Days Since Spawning</t>
  </si>
  <si>
    <t>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</si>
</sst>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0.0000"/>
    <numFmt numFmtId="167" formatCode="mmm\ d"/>
    <numFmt numFmtId="168" formatCode="mmmm\ d"/>
  </numFmts>
  <fonts count="37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u/>
      <sz val="10"/>
      <name val="Arial"/>
    </font>
    <font>
      <b/>
      <sz val="10"/>
      <color rgb="FF000000"/>
      <name val="Arial"/>
    </font>
    <font>
      <sz val="10"/>
      <name val="Arial"/>
    </font>
    <font>
      <u/>
      <sz val="10"/>
      <name val="Arial"/>
    </font>
    <font>
      <sz val="10"/>
      <color rgb="FF000000"/>
      <name val="Arial"/>
    </font>
    <font>
      <sz val="10"/>
      <name val="Arial"/>
    </font>
    <font>
      <sz val="10"/>
      <color rgb="FFDD0806"/>
      <name val="Arial"/>
    </font>
    <font>
      <b/>
      <sz val="11"/>
      <name val="Arial"/>
    </font>
    <font>
      <sz val="11"/>
      <name val="Arial"/>
    </font>
    <font>
      <sz val="11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  <font>
      <u/>
      <sz val="10"/>
      <color rgb="FF000000"/>
      <name val="Arial"/>
    </font>
    <font>
      <b/>
      <sz val="12"/>
      <name val="Arial"/>
    </font>
    <font>
      <b/>
      <sz val="12"/>
      <color rgb="FF000000"/>
      <name val="Arial"/>
    </font>
    <font>
      <sz val="10"/>
      <color rgb="FFFF0000"/>
      <name val="Arial"/>
    </font>
    <font>
      <sz val="13"/>
      <color theme="1"/>
      <name val="Times New Roman"/>
    </font>
    <font>
      <sz val="12"/>
      <color theme="1"/>
      <name val="Times New Roman"/>
    </font>
    <font>
      <sz val="13"/>
      <color rgb="FF000000"/>
      <name val="Times New Roman"/>
    </font>
    <font>
      <sz val="12"/>
      <color rgb="FF000000"/>
      <name val="Times New Roman"/>
    </font>
    <font>
      <sz val="12"/>
      <name val="Times New Roman"/>
    </font>
    <font>
      <sz val="12"/>
      <color rgb="FFFF0000"/>
      <name val="Times New Roman"/>
    </font>
    <font>
      <sz val="10"/>
      <color theme="1"/>
      <name val="Arial"/>
    </font>
    <font>
      <sz val="12"/>
      <color theme="1"/>
      <name val="Arial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scheme val="minor"/>
    </font>
    <font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000000"/>
      <name val="Arial"/>
    </font>
    <font>
      <sz val="12"/>
      <color rgb="FF00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FFFFFF"/>
      </patternFill>
    </fill>
  </fills>
  <borders count="2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427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356">
    <xf numFmtId="0" fontId="0" fillId="0" borderId="0" xfId="0" applyFont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0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15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21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20" fontId="0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center" wrapText="1"/>
    </xf>
    <xf numFmtId="20" fontId="0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left" wrapText="1"/>
    </xf>
    <xf numFmtId="1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horizontal="center" wrapText="1"/>
    </xf>
    <xf numFmtId="164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left" wrapText="1"/>
    </xf>
    <xf numFmtId="49" fontId="0" fillId="0" borderId="0" xfId="0" applyNumberFormat="1" applyFont="1" applyAlignment="1">
      <alignment horizontal="center" wrapText="1"/>
    </xf>
    <xf numFmtId="2" fontId="5" fillId="0" borderId="0" xfId="0" applyNumberFormat="1" applyFont="1" applyAlignment="1">
      <alignment horizontal="center"/>
    </xf>
    <xf numFmtId="46" fontId="5" fillId="0" borderId="0" xfId="0" applyNumberFormat="1" applyFont="1" applyAlignment="1">
      <alignment horizont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5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5" fillId="0" borderId="0" xfId="0" applyFont="1"/>
    <xf numFmtId="0" fontId="7" fillId="0" borderId="2" xfId="0" applyFont="1" applyBorder="1" applyAlignment="1">
      <alignment horizontal="center"/>
    </xf>
    <xf numFmtId="0" fontId="4" fillId="0" borderId="0" xfId="0" applyFont="1" applyAlignment="1"/>
    <xf numFmtId="14" fontId="5" fillId="0" borderId="0" xfId="0" applyNumberFormat="1" applyFont="1" applyAlignment="1">
      <alignment horizontal="center"/>
    </xf>
    <xf numFmtId="0" fontId="5" fillId="0" borderId="0" xfId="0" applyFont="1" applyAlignment="1"/>
    <xf numFmtId="0" fontId="0" fillId="0" borderId="0" xfId="0" applyFont="1" applyAlignment="1">
      <alignment horizontal="right"/>
    </xf>
    <xf numFmtId="2" fontId="5" fillId="0" borderId="0" xfId="0" applyNumberFormat="1" applyFont="1"/>
    <xf numFmtId="2" fontId="5" fillId="0" borderId="0" xfId="0" applyNumberFormat="1" applyFont="1" applyAlignment="1"/>
    <xf numFmtId="0" fontId="8" fillId="0" borderId="0" xfId="0" applyFont="1"/>
    <xf numFmtId="14" fontId="5" fillId="0" borderId="0" xfId="0" applyNumberFormat="1" applyFont="1" applyAlignment="1">
      <alignment horizontal="center"/>
    </xf>
    <xf numFmtId="0" fontId="8" fillId="0" borderId="0" xfId="0" applyFont="1" applyAlignment="1"/>
    <xf numFmtId="1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1" fontId="10" fillId="0" borderId="0" xfId="0" applyNumberFormat="1" applyFont="1" applyAlignment="1">
      <alignment horizontal="right"/>
    </xf>
    <xf numFmtId="2" fontId="5" fillId="0" borderId="5" xfId="0" applyNumberFormat="1" applyFont="1" applyBorder="1"/>
    <xf numFmtId="0" fontId="4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2" fontId="8" fillId="0" borderId="0" xfId="0" applyNumberFormat="1" applyFont="1"/>
    <xf numFmtId="1" fontId="8" fillId="0" borderId="0" xfId="0" applyNumberFormat="1" applyFont="1"/>
    <xf numFmtId="2" fontId="8" fillId="0" borderId="8" xfId="0" applyNumberFormat="1" applyFont="1" applyBorder="1"/>
    <xf numFmtId="2" fontId="8" fillId="0" borderId="9" xfId="0" applyNumberFormat="1" applyFont="1" applyBorder="1"/>
    <xf numFmtId="2" fontId="5" fillId="0" borderId="8" xfId="0" applyNumberFormat="1" applyFont="1" applyBorder="1" applyAlignment="1"/>
    <xf numFmtId="2" fontId="5" fillId="0" borderId="9" xfId="0" applyNumberFormat="1" applyFont="1" applyBorder="1"/>
    <xf numFmtId="1" fontId="8" fillId="0" borderId="1" xfId="0" applyNumberFormat="1" applyFont="1" applyBorder="1"/>
    <xf numFmtId="2" fontId="8" fillId="0" borderId="10" xfId="0" applyNumberFormat="1" applyFont="1" applyBorder="1"/>
    <xf numFmtId="2" fontId="8" fillId="0" borderId="11" xfId="0" applyNumberFormat="1" applyFont="1" applyBorder="1"/>
    <xf numFmtId="2" fontId="8" fillId="0" borderId="6" xfId="0" applyNumberFormat="1" applyFont="1" applyBorder="1"/>
    <xf numFmtId="2" fontId="8" fillId="0" borderId="7" xfId="0" applyNumberFormat="1" applyFont="1" applyBorder="1"/>
    <xf numFmtId="2" fontId="5" fillId="0" borderId="8" xfId="0" applyNumberFormat="1" applyFont="1" applyBorder="1"/>
    <xf numFmtId="2" fontId="4" fillId="0" borderId="0" xfId="0" applyNumberFormat="1" applyFont="1" applyAlignment="1"/>
    <xf numFmtId="2" fontId="8" fillId="0" borderId="1" xfId="0" applyNumberFormat="1" applyFont="1" applyBorder="1"/>
    <xf numFmtId="0" fontId="5" fillId="0" borderId="5" xfId="0" applyFont="1" applyBorder="1" applyAlignment="1">
      <alignment horizontal="left" vertical="center"/>
    </xf>
    <xf numFmtId="1" fontId="5" fillId="0" borderId="0" xfId="0" applyNumberFormat="1" applyFont="1"/>
    <xf numFmtId="1" fontId="5" fillId="0" borderId="9" xfId="0" applyNumberFormat="1" applyFont="1" applyBorder="1"/>
    <xf numFmtId="164" fontId="8" fillId="0" borderId="0" xfId="0" applyNumberFormat="1" applyFont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9" xfId="0" applyFont="1" applyBorder="1"/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" fontId="8" fillId="0" borderId="9" xfId="0" applyNumberFormat="1" applyFont="1" applyBorder="1"/>
    <xf numFmtId="0" fontId="5" fillId="0" borderId="6" xfId="0" applyFont="1" applyBorder="1"/>
    <xf numFmtId="0" fontId="5" fillId="0" borderId="5" xfId="0" applyFont="1" applyBorder="1"/>
    <xf numFmtId="0" fontId="5" fillId="0" borderId="8" xfId="0" applyFont="1" applyBorder="1"/>
    <xf numFmtId="0" fontId="5" fillId="0" borderId="8" xfId="0" applyFont="1" applyBorder="1" applyAlignment="1"/>
    <xf numFmtId="0" fontId="5" fillId="0" borderId="5" xfId="0" applyFont="1" applyBorder="1" applyAlignment="1"/>
    <xf numFmtId="2" fontId="8" fillId="0" borderId="9" xfId="0" applyNumberFormat="1" applyFont="1" applyBorder="1" applyAlignment="1">
      <alignment horizontal="right"/>
    </xf>
    <xf numFmtId="0" fontId="5" fillId="0" borderId="10" xfId="0" applyFont="1" applyBorder="1" applyAlignment="1"/>
    <xf numFmtId="0" fontId="5" fillId="0" borderId="1" xfId="0" applyFont="1" applyBorder="1" applyAlignment="1"/>
    <xf numFmtId="0" fontId="5" fillId="0" borderId="0" xfId="0" applyFont="1" applyAlignment="1"/>
    <xf numFmtId="0" fontId="5" fillId="0" borderId="3" xfId="0" applyFont="1" applyBorder="1" applyAlignment="1"/>
    <xf numFmtId="0" fontId="8" fillId="0" borderId="3" xfId="0" applyFont="1" applyBorder="1" applyAlignment="1"/>
    <xf numFmtId="0" fontId="10" fillId="0" borderId="3" xfId="0" applyFont="1" applyBorder="1" applyAlignment="1"/>
    <xf numFmtId="2" fontId="8" fillId="0" borderId="8" xfId="0" applyNumberFormat="1" applyFont="1" applyBorder="1" applyAlignment="1"/>
    <xf numFmtId="0" fontId="8" fillId="0" borderId="0" xfId="0" applyFont="1" applyAlignment="1">
      <alignment horizontal="right"/>
    </xf>
    <xf numFmtId="2" fontId="8" fillId="0" borderId="0" xfId="0" applyNumberFormat="1" applyFont="1" applyAlignment="1"/>
    <xf numFmtId="2" fontId="10" fillId="0" borderId="0" xfId="0" applyNumberFormat="1" applyFont="1" applyAlignment="1"/>
    <xf numFmtId="0" fontId="10" fillId="0" borderId="0" xfId="0" applyFont="1" applyAlignment="1"/>
    <xf numFmtId="0" fontId="8" fillId="0" borderId="0" xfId="0" applyFont="1" applyAlignment="1">
      <alignment horizontal="right"/>
    </xf>
    <xf numFmtId="0" fontId="0" fillId="0" borderId="2" xfId="0" applyFont="1" applyBorder="1" applyAlignment="1">
      <alignment horizontal="center"/>
    </xf>
    <xf numFmtId="0" fontId="5" fillId="4" borderId="0" xfId="0" applyFont="1" applyFill="1" applyAlignment="1"/>
    <xf numFmtId="2" fontId="5" fillId="3" borderId="8" xfId="0" applyNumberFormat="1" applyFont="1" applyFill="1" applyBorder="1" applyAlignment="1"/>
    <xf numFmtId="0" fontId="8" fillId="3" borderId="0" xfId="0" applyFont="1" applyFill="1" applyAlignment="1">
      <alignment horizontal="right"/>
    </xf>
    <xf numFmtId="2" fontId="5" fillId="0" borderId="0" xfId="0" applyNumberFormat="1" applyFont="1"/>
    <xf numFmtId="2" fontId="8" fillId="4" borderId="0" xfId="0" applyNumberFormat="1" applyFont="1" applyFill="1"/>
    <xf numFmtId="2" fontId="8" fillId="0" borderId="1" xfId="0" applyNumberFormat="1" applyFont="1" applyBorder="1" applyAlignment="1"/>
    <xf numFmtId="2" fontId="10" fillId="0" borderId="0" xfId="0" applyNumberFormat="1" applyFont="1" applyAlignment="1"/>
    <xf numFmtId="2" fontId="5" fillId="0" borderId="10" xfId="0" applyNumberFormat="1" applyFont="1" applyBorder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2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0" fontId="8" fillId="4" borderId="0" xfId="0" applyFont="1" applyFill="1" applyAlignment="1">
      <alignment horizontal="right"/>
    </xf>
    <xf numFmtId="2" fontId="8" fillId="3" borderId="0" xfId="0" applyNumberFormat="1" applyFont="1" applyFill="1"/>
    <xf numFmtId="2" fontId="11" fillId="0" borderId="1" xfId="0" applyNumberFormat="1" applyFont="1" applyBorder="1" applyAlignment="1">
      <alignment horizontal="right"/>
    </xf>
    <xf numFmtId="2" fontId="5" fillId="0" borderId="5" xfId="0" applyNumberFormat="1" applyFont="1" applyBorder="1"/>
    <xf numFmtId="2" fontId="8" fillId="3" borderId="0" xfId="0" applyNumberFormat="1" applyFont="1" applyFill="1" applyAlignment="1"/>
    <xf numFmtId="0" fontId="8" fillId="3" borderId="0" xfId="0" applyFont="1" applyFill="1" applyAlignment="1"/>
    <xf numFmtId="0" fontId="11" fillId="0" borderId="0" xfId="0" applyFont="1" applyAlignment="1"/>
    <xf numFmtId="0" fontId="0" fillId="4" borderId="2" xfId="0" applyFont="1" applyFill="1" applyBorder="1" applyAlignment="1">
      <alignment horizontal="center"/>
    </xf>
    <xf numFmtId="14" fontId="5" fillId="0" borderId="0" xfId="0" applyNumberFormat="1" applyFont="1"/>
    <xf numFmtId="14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" fontId="5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0" borderId="3" xfId="0" applyFont="1" applyBorder="1"/>
    <xf numFmtId="2" fontId="8" fillId="0" borderId="9" xfId="0" applyNumberFormat="1" applyFont="1" applyBorder="1" applyAlignment="1"/>
    <xf numFmtId="164" fontId="5" fillId="0" borderId="0" xfId="0" applyNumberFormat="1" applyFont="1"/>
    <xf numFmtId="0" fontId="5" fillId="3" borderId="0" xfId="0" applyFont="1" applyFill="1" applyAlignment="1"/>
    <xf numFmtId="0" fontId="5" fillId="3" borderId="0" xfId="0" applyFont="1" applyFill="1" applyAlignment="1">
      <alignment horizontal="right"/>
    </xf>
    <xf numFmtId="2" fontId="8" fillId="3" borderId="9" xfId="0" applyNumberFormat="1" applyFont="1" applyFill="1" applyBorder="1"/>
    <xf numFmtId="0" fontId="8" fillId="0" borderId="0" xfId="0" applyFont="1" applyAlignment="1">
      <alignment horizontal="center"/>
    </xf>
    <xf numFmtId="0" fontId="12" fillId="0" borderId="0" xfId="0" applyFont="1"/>
    <xf numFmtId="166" fontId="5" fillId="0" borderId="0" xfId="0" applyNumberFormat="1" applyFont="1"/>
    <xf numFmtId="166" fontId="8" fillId="0" borderId="0" xfId="0" applyNumberFormat="1" applyFont="1"/>
    <xf numFmtId="2" fontId="5" fillId="4" borderId="8" xfId="0" applyNumberFormat="1" applyFont="1" applyFill="1" applyBorder="1" applyAlignment="1"/>
    <xf numFmtId="2" fontId="8" fillId="4" borderId="9" xfId="0" applyNumberFormat="1" applyFont="1" applyFill="1" applyBorder="1"/>
    <xf numFmtId="2" fontId="5" fillId="4" borderId="10" xfId="0" applyNumberFormat="1" applyFont="1" applyFill="1" applyBorder="1" applyAlignment="1"/>
    <xf numFmtId="2" fontId="8" fillId="4" borderId="1" xfId="0" applyNumberFormat="1" applyFont="1" applyFill="1" applyBorder="1" applyAlignment="1"/>
    <xf numFmtId="2" fontId="8" fillId="4" borderId="11" xfId="0" applyNumberFormat="1" applyFont="1" applyFill="1" applyBorder="1"/>
    <xf numFmtId="0" fontId="5" fillId="4" borderId="0" xfId="0" applyFont="1" applyFill="1"/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165" fontId="5" fillId="0" borderId="0" xfId="0" applyNumberFormat="1" applyFont="1"/>
    <xf numFmtId="0" fontId="5" fillId="4" borderId="0" xfId="0" applyFont="1" applyFill="1" applyAlignment="1"/>
    <xf numFmtId="2" fontId="5" fillId="4" borderId="0" xfId="0" applyNumberFormat="1" applyFont="1" applyFill="1" applyAlignment="1"/>
    <xf numFmtId="0" fontId="5" fillId="0" borderId="12" xfId="0" applyFont="1" applyBorder="1" applyAlignment="1"/>
    <xf numFmtId="0" fontId="5" fillId="0" borderId="3" xfId="0" applyFont="1" applyBorder="1" applyAlignment="1"/>
    <xf numFmtId="0" fontId="5" fillId="0" borderId="3" xfId="0" applyFont="1" applyBorder="1" applyAlignment="1">
      <alignment horizontal="right"/>
    </xf>
    <xf numFmtId="2" fontId="5" fillId="0" borderId="1" xfId="0" applyNumberFormat="1" applyFont="1" applyBorder="1"/>
    <xf numFmtId="167" fontId="5" fillId="0" borderId="0" xfId="0" applyNumberFormat="1" applyFont="1" applyAlignment="1"/>
    <xf numFmtId="0" fontId="12" fillId="0" borderId="0" xfId="0" applyFont="1" applyAlignment="1"/>
    <xf numFmtId="168" fontId="5" fillId="0" borderId="0" xfId="0" applyNumberFormat="1" applyFont="1" applyAlignment="1"/>
    <xf numFmtId="167" fontId="5" fillId="0" borderId="0" xfId="0" applyNumberFormat="1" applyFont="1" applyAlignment="1">
      <alignment horizontal="right"/>
    </xf>
    <xf numFmtId="0" fontId="10" fillId="4" borderId="0" xfId="0" applyFont="1" applyFill="1" applyAlignment="1"/>
    <xf numFmtId="0" fontId="13" fillId="0" borderId="0" xfId="0" applyFont="1" applyAlignment="1">
      <alignment horizontal="center"/>
    </xf>
    <xf numFmtId="0" fontId="13" fillId="5" borderId="0" xfId="0" applyFont="1" applyFill="1" applyBorder="1" applyAlignment="1">
      <alignment horizontal="center"/>
    </xf>
    <xf numFmtId="0" fontId="13" fillId="6" borderId="0" xfId="0" applyFont="1" applyFill="1" applyBorder="1" applyAlignment="1">
      <alignment horizont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1" fontId="14" fillId="5" borderId="0" xfId="0" applyNumberFormat="1" applyFont="1" applyFill="1" applyBorder="1" applyAlignment="1">
      <alignment horizontal="center"/>
    </xf>
    <xf numFmtId="2" fontId="14" fillId="5" borderId="0" xfId="0" applyNumberFormat="1" applyFont="1" applyFill="1" applyBorder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5" borderId="0" xfId="0" applyFont="1" applyFill="1" applyBorder="1" applyAlignment="1">
      <alignment horizontal="center"/>
    </xf>
    <xf numFmtId="2" fontId="5" fillId="0" borderId="0" xfId="0" applyNumberFormat="1" applyFont="1" applyAlignment="1">
      <alignment horizontal="center"/>
    </xf>
    <xf numFmtId="0" fontId="0" fillId="0" borderId="0" xfId="0" applyFont="1" applyAlignment="1"/>
    <xf numFmtId="0" fontId="4" fillId="0" borderId="0" xfId="0" applyFont="1" applyBorder="1"/>
    <xf numFmtId="0" fontId="15" fillId="0" borderId="0" xfId="0" applyFont="1" applyAlignment="1"/>
    <xf numFmtId="20" fontId="15" fillId="0" borderId="0" xfId="0" applyNumberFormat="1" applyFont="1" applyAlignment="1"/>
    <xf numFmtId="0" fontId="7" fillId="0" borderId="0" xfId="0" applyFont="1" applyAlignment="1"/>
    <xf numFmtId="1" fontId="5" fillId="7" borderId="0" xfId="0" applyNumberFormat="1" applyFont="1" applyFill="1" applyAlignment="1">
      <alignment horizontal="center"/>
    </xf>
    <xf numFmtId="2" fontId="0" fillId="0" borderId="0" xfId="0" applyNumberFormat="1" applyFont="1" applyAlignment="1"/>
    <xf numFmtId="0" fontId="5" fillId="8" borderId="0" xfId="0" applyFont="1" applyFill="1" applyAlignment="1">
      <alignment horizontal="center"/>
    </xf>
    <xf numFmtId="0" fontId="0" fillId="0" borderId="0" xfId="0" applyFont="1" applyAlignment="1"/>
    <xf numFmtId="0" fontId="0" fillId="0" borderId="0" xfId="0"/>
    <xf numFmtId="2" fontId="10" fillId="0" borderId="0" xfId="0" applyNumberFormat="1" applyFont="1" applyBorder="1" applyAlignment="1">
      <alignment horizontal="right"/>
    </xf>
    <xf numFmtId="2" fontId="5" fillId="0" borderId="0" xfId="0" applyNumberFormat="1" applyFont="1" applyBorder="1"/>
    <xf numFmtId="2" fontId="8" fillId="0" borderId="14" xfId="0" applyNumberFormat="1" applyFont="1" applyBorder="1"/>
    <xf numFmtId="1" fontId="8" fillId="0" borderId="14" xfId="0" applyNumberFormat="1" applyFont="1" applyBorder="1"/>
    <xf numFmtId="0" fontId="4" fillId="0" borderId="14" xfId="0" applyFont="1" applyBorder="1" applyAlignment="1">
      <alignment horizontal="center" vertical="center"/>
    </xf>
    <xf numFmtId="2" fontId="8" fillId="0" borderId="0" xfId="0" applyNumberFormat="1" applyFont="1" applyBorder="1"/>
    <xf numFmtId="2" fontId="5" fillId="0" borderId="0" xfId="0" applyNumberFormat="1" applyFont="1" applyBorder="1" applyAlignment="1"/>
    <xf numFmtId="0" fontId="4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1" fontId="8" fillId="0" borderId="0" xfId="0" applyNumberFormat="1" applyFont="1" applyBorder="1"/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/>
    </xf>
    <xf numFmtId="0" fontId="4" fillId="0" borderId="15" xfId="0" applyFont="1" applyBorder="1" applyAlignment="1">
      <alignment horizontal="center" vertical="center"/>
    </xf>
    <xf numFmtId="2" fontId="8" fillId="0" borderId="15" xfId="0" applyNumberFormat="1" applyFont="1" applyBorder="1"/>
    <xf numFmtId="1" fontId="8" fillId="0" borderId="15" xfId="0" applyNumberFormat="1" applyFont="1" applyBorder="1"/>
    <xf numFmtId="2" fontId="8" fillId="0" borderId="16" xfId="0" applyNumberFormat="1" applyFont="1" applyBorder="1"/>
    <xf numFmtId="2" fontId="5" fillId="0" borderId="15" xfId="0" applyNumberFormat="1" applyFont="1" applyBorder="1"/>
    <xf numFmtId="165" fontId="8" fillId="0" borderId="15" xfId="0" applyNumberFormat="1" applyFont="1" applyBorder="1"/>
    <xf numFmtId="0" fontId="0" fillId="0" borderId="0" xfId="0" applyFont="1" applyBorder="1" applyAlignment="1"/>
    <xf numFmtId="2" fontId="8" fillId="0" borderId="17" xfId="0" applyNumberFormat="1" applyFont="1" applyBorder="1"/>
    <xf numFmtId="1" fontId="5" fillId="0" borderId="0" xfId="0" applyNumberFormat="1" applyFont="1" applyBorder="1"/>
    <xf numFmtId="2" fontId="4" fillId="0" borderId="0" xfId="0" applyNumberFormat="1" applyFont="1" applyBorder="1" applyAlignment="1"/>
    <xf numFmtId="0" fontId="5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left" vertical="center"/>
    </xf>
    <xf numFmtId="2" fontId="5" fillId="0" borderId="14" xfId="0" applyNumberFormat="1" applyFont="1" applyBorder="1"/>
    <xf numFmtId="2" fontId="4" fillId="0" borderId="14" xfId="0" applyNumberFormat="1" applyFont="1" applyBorder="1" applyAlignment="1"/>
    <xf numFmtId="2" fontId="8" fillId="0" borderId="18" xfId="0" applyNumberFormat="1" applyFont="1" applyBorder="1"/>
    <xf numFmtId="2" fontId="5" fillId="0" borderId="18" xfId="0" applyNumberFormat="1" applyFont="1" applyBorder="1"/>
    <xf numFmtId="2" fontId="5" fillId="0" borderId="19" xfId="0" applyNumberFormat="1" applyFont="1" applyBorder="1"/>
    <xf numFmtId="0" fontId="0" fillId="0" borderId="0" xfId="0" applyFont="1" applyAlignment="1"/>
    <xf numFmtId="0" fontId="5" fillId="0" borderId="12" xfId="0" applyFont="1" applyBorder="1" applyAlignment="1"/>
    <xf numFmtId="0" fontId="0" fillId="0" borderId="0" xfId="0" applyFont="1" applyAlignment="1"/>
    <xf numFmtId="0" fontId="5" fillId="0" borderId="20" xfId="0" applyFont="1" applyBorder="1"/>
    <xf numFmtId="2" fontId="8" fillId="0" borderId="0" xfId="0" applyNumberFormat="1" applyFont="1" applyBorder="1" applyAlignment="1"/>
    <xf numFmtId="0" fontId="8" fillId="0" borderId="0" xfId="0" applyNumberFormat="1" applyFont="1" applyAlignment="1"/>
    <xf numFmtId="0" fontId="5" fillId="0" borderId="20" xfId="0" applyFont="1" applyFill="1" applyBorder="1" applyAlignment="1"/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/>
    <xf numFmtId="0" fontId="7" fillId="0" borderId="14" xfId="0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15" fillId="0" borderId="0" xfId="0" applyFont="1" applyFill="1" applyAlignment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1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Alignment="1"/>
    <xf numFmtId="164" fontId="5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Font="1" applyFill="1" applyAlignment="1">
      <alignment wrapText="1"/>
    </xf>
    <xf numFmtId="0" fontId="0" fillId="0" borderId="0" xfId="0" applyFont="1" applyFill="1" applyAlignment="1">
      <alignment horizontal="center" wrapText="1"/>
    </xf>
    <xf numFmtId="164" fontId="0" fillId="0" borderId="0" xfId="0" applyNumberFormat="1" applyFont="1" applyFill="1" applyAlignment="1">
      <alignment horizontal="center" wrapText="1"/>
    </xf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0" fontId="7" fillId="0" borderId="20" xfId="0" applyFont="1" applyBorder="1" applyAlignment="1"/>
    <xf numFmtId="0" fontId="8" fillId="0" borderId="0" xfId="0" applyFont="1" applyBorder="1"/>
    <xf numFmtId="0" fontId="5" fillId="0" borderId="20" xfId="0" applyFont="1" applyBorder="1" applyAlignment="1"/>
    <xf numFmtId="2" fontId="5" fillId="3" borderId="0" xfId="0" applyNumberFormat="1" applyFont="1" applyFill="1" applyBorder="1" applyAlignment="1"/>
    <xf numFmtId="2" fontId="5" fillId="0" borderId="1" xfId="0" applyNumberFormat="1" applyFont="1" applyBorder="1" applyAlignment="1"/>
    <xf numFmtId="2" fontId="5" fillId="4" borderId="0" xfId="0" applyNumberFormat="1" applyFont="1" applyFill="1" applyBorder="1" applyAlignment="1"/>
    <xf numFmtId="2" fontId="5" fillId="4" borderId="1" xfId="0" applyNumberFormat="1" applyFont="1" applyFill="1" applyBorder="1" applyAlignment="1"/>
    <xf numFmtId="0" fontId="0" fillId="0" borderId="22" xfId="0" applyFont="1" applyBorder="1" applyAlignment="1"/>
    <xf numFmtId="0" fontId="0" fillId="0" borderId="23" xfId="0" applyFont="1" applyBorder="1" applyAlignment="1"/>
    <xf numFmtId="16" fontId="0" fillId="0" borderId="0" xfId="0" applyNumberFormat="1" applyFont="1" applyAlignment="1"/>
    <xf numFmtId="0" fontId="0" fillId="0" borderId="20" xfId="0" applyFont="1" applyBorder="1" applyAlignment="1"/>
    <xf numFmtId="0" fontId="5" fillId="0" borderId="0" xfId="0" applyFont="1" applyFill="1" applyBorder="1" applyAlignment="1"/>
    <xf numFmtId="0" fontId="0" fillId="7" borderId="0" xfId="0" applyFont="1" applyFill="1" applyAlignment="1"/>
    <xf numFmtId="2" fontId="0" fillId="7" borderId="0" xfId="0" applyNumberFormat="1" applyFont="1" applyFill="1" applyAlignment="1"/>
    <xf numFmtId="2" fontId="0" fillId="0" borderId="0" xfId="0" applyNumberFormat="1" applyFont="1" applyAlignment="1">
      <alignment horizontal="right"/>
    </xf>
    <xf numFmtId="2" fontId="8" fillId="7" borderId="0" xfId="0" applyNumberFormat="1" applyFont="1" applyFill="1"/>
    <xf numFmtId="0" fontId="19" fillId="0" borderId="0" xfId="0" applyFont="1" applyAlignment="1"/>
    <xf numFmtId="0" fontId="19" fillId="0" borderId="0" xfId="0" applyFont="1"/>
    <xf numFmtId="0" fontId="20" fillId="0" borderId="0" xfId="0" applyFont="1" applyAlignment="1"/>
    <xf numFmtId="0" fontId="3" fillId="0" borderId="0" xfId="1103"/>
    <xf numFmtId="0" fontId="22" fillId="0" borderId="0" xfId="1103" applyFont="1"/>
    <xf numFmtId="0" fontId="23" fillId="0" borderId="0" xfId="1103" applyFont="1"/>
    <xf numFmtId="0" fontId="24" fillId="0" borderId="0" xfId="1103" applyFont="1"/>
    <xf numFmtId="2" fontId="22" fillId="0" borderId="0" xfId="1103" applyNumberFormat="1" applyFont="1"/>
    <xf numFmtId="2" fontId="24" fillId="0" borderId="0" xfId="1103" applyNumberFormat="1" applyFont="1"/>
    <xf numFmtId="2" fontId="25" fillId="0" borderId="0" xfId="0" applyNumberFormat="1" applyFont="1" applyAlignment="1"/>
    <xf numFmtId="2" fontId="26" fillId="0" borderId="0" xfId="0" applyNumberFormat="1" applyFont="1"/>
    <xf numFmtId="0" fontId="0" fillId="0" borderId="0" xfId="0" applyFont="1" applyBorder="1" applyAlignment="1">
      <alignment horizontal="center"/>
    </xf>
    <xf numFmtId="0" fontId="5" fillId="0" borderId="24" xfId="0" applyFont="1" applyBorder="1" applyAlignment="1"/>
    <xf numFmtId="0" fontId="5" fillId="0" borderId="15" xfId="0" applyFont="1" applyBorder="1" applyAlignment="1"/>
    <xf numFmtId="0" fontId="0" fillId="0" borderId="25" xfId="0" applyFont="1" applyBorder="1" applyAlignment="1"/>
    <xf numFmtId="0" fontId="12" fillId="0" borderId="18" xfId="0" applyFont="1" applyBorder="1" applyAlignment="1"/>
    <xf numFmtId="0" fontId="12" fillId="0" borderId="0" xfId="0" applyFont="1" applyBorder="1" applyAlignment="1"/>
    <xf numFmtId="0" fontId="5" fillId="0" borderId="0" xfId="0" applyFont="1" applyBorder="1" applyAlignment="1"/>
    <xf numFmtId="0" fontId="5" fillId="0" borderId="26" xfId="0" applyFont="1" applyBorder="1" applyAlignment="1"/>
    <xf numFmtId="0" fontId="5" fillId="0" borderId="18" xfId="0" applyFont="1" applyBorder="1" applyAlignment="1"/>
    <xf numFmtId="0" fontId="12" fillId="0" borderId="26" xfId="0" applyFont="1" applyBorder="1" applyAlignment="1"/>
    <xf numFmtId="2" fontId="5" fillId="0" borderId="19" xfId="0" applyNumberFormat="1" applyFont="1" applyBorder="1" applyAlignment="1"/>
    <xf numFmtId="0" fontId="5" fillId="0" borderId="14" xfId="0" applyFont="1" applyBorder="1" applyAlignment="1"/>
    <xf numFmtId="2" fontId="5" fillId="0" borderId="14" xfId="0" applyNumberFormat="1" applyFont="1" applyBorder="1" applyAlignment="1"/>
    <xf numFmtId="0" fontId="5" fillId="0" borderId="27" xfId="0" applyFont="1" applyBorder="1" applyAlignment="1"/>
    <xf numFmtId="2" fontId="19" fillId="0" borderId="0" xfId="0" applyNumberFormat="1" applyFont="1" applyAlignment="1"/>
    <xf numFmtId="0" fontId="5" fillId="0" borderId="24" xfId="0" applyFont="1" applyBorder="1"/>
    <xf numFmtId="0" fontId="5" fillId="0" borderId="15" xfId="0" applyFont="1" applyBorder="1"/>
    <xf numFmtId="0" fontId="5" fillId="0" borderId="25" xfId="0" applyFont="1" applyBorder="1"/>
    <xf numFmtId="0" fontId="5" fillId="0" borderId="18" xfId="0" applyFont="1" applyBorder="1"/>
    <xf numFmtId="0" fontId="21" fillId="0" borderId="0" xfId="0" applyFont="1" applyBorder="1"/>
    <xf numFmtId="0" fontId="21" fillId="0" borderId="26" xfId="0" applyFont="1" applyBorder="1" applyAlignment="1"/>
    <xf numFmtId="0" fontId="5" fillId="0" borderId="19" xfId="0" applyFont="1" applyBorder="1" applyAlignment="1"/>
    <xf numFmtId="0" fontId="12" fillId="0" borderId="15" xfId="0" applyFont="1" applyBorder="1"/>
    <xf numFmtId="2" fontId="8" fillId="0" borderId="26" xfId="0" applyNumberFormat="1" applyFont="1" applyBorder="1"/>
    <xf numFmtId="0" fontId="5" fillId="0" borderId="0" xfId="0" applyFont="1" applyBorder="1"/>
    <xf numFmtId="0" fontId="0" fillId="0" borderId="19" xfId="0" applyFont="1" applyBorder="1" applyAlignment="1"/>
    <xf numFmtId="0" fontId="5" fillId="0" borderId="0" xfId="0" applyFont="1" applyBorder="1" applyAlignment="1">
      <alignment horizontal="center"/>
    </xf>
    <xf numFmtId="2" fontId="8" fillId="0" borderId="27" xfId="0" applyNumberFormat="1" applyFont="1" applyBorder="1"/>
    <xf numFmtId="0" fontId="27" fillId="0" borderId="0" xfId="0" applyFont="1" applyBorder="1"/>
    <xf numFmtId="0" fontId="27" fillId="0" borderId="0" xfId="0" applyFont="1" applyBorder="1" applyAlignment="1"/>
    <xf numFmtId="2" fontId="26" fillId="0" borderId="0" xfId="0" applyNumberFormat="1" applyFont="1" applyBorder="1"/>
    <xf numFmtId="0" fontId="27" fillId="0" borderId="26" xfId="0" applyFont="1" applyBorder="1" applyAlignment="1"/>
    <xf numFmtId="0" fontId="3" fillId="0" borderId="0" xfId="1103" applyBorder="1"/>
    <xf numFmtId="0" fontId="0" fillId="0" borderId="0" xfId="0" applyFont="1" applyAlignment="1"/>
    <xf numFmtId="0" fontId="0" fillId="0" borderId="0" xfId="0" applyFont="1" applyAlignment="1"/>
    <xf numFmtId="2" fontId="0" fillId="8" borderId="0" xfId="0" applyNumberFormat="1" applyFont="1" applyFill="1" applyAlignment="1"/>
    <xf numFmtId="0" fontId="0" fillId="8" borderId="0" xfId="0" applyFont="1" applyFill="1" applyAlignment="1"/>
    <xf numFmtId="0" fontId="2" fillId="0" borderId="0" xfId="1308"/>
    <xf numFmtId="0" fontId="28" fillId="0" borderId="0" xfId="1308" applyFont="1"/>
    <xf numFmtId="0" fontId="29" fillId="0" borderId="0" xfId="1308" applyFont="1"/>
    <xf numFmtId="0" fontId="2" fillId="0" borderId="0" xfId="1308" applyFont="1"/>
    <xf numFmtId="0" fontId="30" fillId="0" borderId="0" xfId="1308" applyFont="1"/>
    <xf numFmtId="0" fontId="31" fillId="0" borderId="0" xfId="1308" applyFont="1"/>
    <xf numFmtId="0" fontId="32" fillId="9" borderId="0" xfId="1308" applyFont="1" applyFill="1"/>
    <xf numFmtId="0" fontId="33" fillId="10" borderId="0" xfId="1308" applyFont="1" applyFill="1"/>
    <xf numFmtId="0" fontId="31" fillId="10" borderId="0" xfId="1308" applyFont="1" applyFill="1"/>
    <xf numFmtId="0" fontId="30" fillId="11" borderId="0" xfId="1308" applyFont="1" applyFill="1"/>
    <xf numFmtId="0" fontId="33" fillId="9" borderId="0" xfId="1308" applyFont="1" applyFill="1"/>
    <xf numFmtId="0" fontId="34" fillId="0" borderId="0" xfId="1308" applyFont="1"/>
    <xf numFmtId="0" fontId="2" fillId="0" borderId="0" xfId="1308" applyFill="1"/>
    <xf numFmtId="0" fontId="31" fillId="12" borderId="0" xfId="1308" applyFont="1" applyFill="1"/>
    <xf numFmtId="0" fontId="35" fillId="0" borderId="0" xfId="0" applyFont="1" applyAlignment="1"/>
    <xf numFmtId="0" fontId="36" fillId="0" borderId="0" xfId="0" applyFont="1" applyAlignment="1"/>
    <xf numFmtId="0" fontId="0" fillId="0" borderId="0" xfId="0" applyFont="1" applyAlignment="1"/>
    <xf numFmtId="0" fontId="5" fillId="7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0" fillId="0" borderId="0" xfId="0" applyFont="1" applyAlignment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0" xfId="0" applyFont="1" applyFill="1" applyBorder="1" applyAlignment="1"/>
    <xf numFmtId="0" fontId="6" fillId="0" borderId="0" xfId="0" applyFont="1" applyAlignment="1">
      <alignment horizontal="left"/>
    </xf>
    <xf numFmtId="0" fontId="0" fillId="0" borderId="0" xfId="0" applyFont="1" applyAlignment="1"/>
    <xf numFmtId="0" fontId="5" fillId="0" borderId="12" xfId="0" applyFont="1" applyBorder="1" applyAlignment="1"/>
    <xf numFmtId="0" fontId="8" fillId="0" borderId="13" xfId="0" applyFont="1" applyBorder="1"/>
    <xf numFmtId="0" fontId="8" fillId="0" borderId="12" xfId="0" applyFont="1" applyBorder="1" applyAlignment="1"/>
    <xf numFmtId="0" fontId="8" fillId="0" borderId="13" xfId="0" applyFont="1" applyBorder="1" applyAlignment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21" xfId="0" applyFont="1" applyFill="1" applyBorder="1" applyAlignment="1">
      <alignment horizontal="center"/>
    </xf>
    <xf numFmtId="0" fontId="7" fillId="0" borderId="22" xfId="0" applyFont="1" applyFill="1" applyBorder="1" applyAlignment="1">
      <alignment horizontal="center"/>
    </xf>
    <xf numFmtId="0" fontId="7" fillId="0" borderId="23" xfId="0" applyFont="1" applyFill="1" applyBorder="1" applyAlignment="1">
      <alignment horizontal="center"/>
    </xf>
  </cellXfs>
  <cellStyles count="14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Normal" xfId="0" builtinId="0"/>
    <cellStyle name="Normal 2" xfId="1103"/>
    <cellStyle name="Normal 3" xfId="130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Energy (kJ) Value of Female Capelin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Energy!$K$2</c:f>
              <c:strCache>
                <c:ptCount val="1"/>
                <c:pt idx="0">
                  <c:v>Female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8990830260141495E-2"/>
                  <c:y val="-0.293919145523475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-0.5563x + 1165.2
R² = 0.23854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0.004855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Energy!$M$3:$M$28</c:f>
                <c:numCache>
                  <c:formatCode>General</c:formatCode>
                  <c:ptCount val="26"/>
                  <c:pt idx="0">
                    <c:v>6.2834437144678761</c:v>
                  </c:pt>
                  <c:pt idx="1">
                    <c:v>5.8516218411948389</c:v>
                  </c:pt>
                  <c:pt idx="2">
                    <c:v>7.0513829538963693</c:v>
                  </c:pt>
                  <c:pt idx="3">
                    <c:v>6.8336080646718331</c:v>
                  </c:pt>
                  <c:pt idx="4">
                    <c:v>7.2220335951591847</c:v>
                  </c:pt>
                  <c:pt idx="5">
                    <c:v>7.0544064661417574</c:v>
                  </c:pt>
                  <c:pt idx="6">
                    <c:v>5.8868981858021447</c:v>
                  </c:pt>
                  <c:pt idx="7">
                    <c:v>8.9968247106263544</c:v>
                  </c:pt>
                  <c:pt idx="8">
                    <c:v>9.2919887900101337</c:v>
                  </c:pt>
                  <c:pt idx="9">
                    <c:v>7.3786807678398851</c:v>
                  </c:pt>
                  <c:pt idx="10">
                    <c:v>4.9612282301813151</c:v>
                  </c:pt>
                  <c:pt idx="11">
                    <c:v>5.7647273203882872</c:v>
                  </c:pt>
                  <c:pt idx="12">
                    <c:v>5.9384336950401551</c:v>
                  </c:pt>
                  <c:pt idx="13">
                    <c:v>8.0284996930292856</c:v>
                  </c:pt>
                  <c:pt idx="14">
                    <c:v>7.8376306293982134</c:v>
                  </c:pt>
                  <c:pt idx="15">
                    <c:v>7.1925678791372381</c:v>
                  </c:pt>
                  <c:pt idx="16">
                    <c:v>7.752746844121301</c:v>
                  </c:pt>
                  <c:pt idx="17">
                    <c:v>8.2863077369630904</c:v>
                  </c:pt>
                  <c:pt idx="18">
                    <c:v>7.3216078273083234</c:v>
                  </c:pt>
                  <c:pt idx="19">
                    <c:v>9.2797999771287838</c:v>
                  </c:pt>
                  <c:pt idx="20">
                    <c:v>6.9284890699145496</c:v>
                  </c:pt>
                  <c:pt idx="21">
                    <c:v>7.5342302671110577</c:v>
                  </c:pt>
                  <c:pt idx="22">
                    <c:v>9.4296468325591114</c:v>
                  </c:pt>
                  <c:pt idx="23">
                    <c:v>7.3416343802198032</c:v>
                  </c:pt>
                  <c:pt idx="24">
                    <c:v>8.9294586538906451</c:v>
                  </c:pt>
                  <c:pt idx="25">
                    <c:v>12.391193454687153</c:v>
                  </c:pt>
                </c:numCache>
              </c:numRef>
            </c:plus>
            <c:minus>
              <c:numRef>
                <c:f>Energy!$M$3:$M$28</c:f>
                <c:numCache>
                  <c:formatCode>General</c:formatCode>
                  <c:ptCount val="26"/>
                  <c:pt idx="0">
                    <c:v>6.2834437144678761</c:v>
                  </c:pt>
                  <c:pt idx="1">
                    <c:v>5.8516218411948389</c:v>
                  </c:pt>
                  <c:pt idx="2">
                    <c:v>7.0513829538963693</c:v>
                  </c:pt>
                  <c:pt idx="3">
                    <c:v>6.8336080646718331</c:v>
                  </c:pt>
                  <c:pt idx="4">
                    <c:v>7.2220335951591847</c:v>
                  </c:pt>
                  <c:pt idx="5">
                    <c:v>7.0544064661417574</c:v>
                  </c:pt>
                  <c:pt idx="6">
                    <c:v>5.8868981858021447</c:v>
                  </c:pt>
                  <c:pt idx="7">
                    <c:v>8.9968247106263544</c:v>
                  </c:pt>
                  <c:pt idx="8">
                    <c:v>9.2919887900101337</c:v>
                  </c:pt>
                  <c:pt idx="9">
                    <c:v>7.3786807678398851</c:v>
                  </c:pt>
                  <c:pt idx="10">
                    <c:v>4.9612282301813151</c:v>
                  </c:pt>
                  <c:pt idx="11">
                    <c:v>5.7647273203882872</c:v>
                  </c:pt>
                  <c:pt idx="12">
                    <c:v>5.9384336950401551</c:v>
                  </c:pt>
                  <c:pt idx="13">
                    <c:v>8.0284996930292856</c:v>
                  </c:pt>
                  <c:pt idx="14">
                    <c:v>7.8376306293982134</c:v>
                  </c:pt>
                  <c:pt idx="15">
                    <c:v>7.1925678791372381</c:v>
                  </c:pt>
                  <c:pt idx="16">
                    <c:v>7.752746844121301</c:v>
                  </c:pt>
                  <c:pt idx="17">
                    <c:v>8.2863077369630904</c:v>
                  </c:pt>
                  <c:pt idx="18">
                    <c:v>7.3216078273083234</c:v>
                  </c:pt>
                  <c:pt idx="19">
                    <c:v>9.2797999771287838</c:v>
                  </c:pt>
                  <c:pt idx="20">
                    <c:v>6.9284890699145496</c:v>
                  </c:pt>
                  <c:pt idx="21">
                    <c:v>7.5342302671110577</c:v>
                  </c:pt>
                  <c:pt idx="22">
                    <c:v>9.4296468325591114</c:v>
                  </c:pt>
                  <c:pt idx="23">
                    <c:v>7.3416343802198032</c:v>
                  </c:pt>
                  <c:pt idx="24">
                    <c:v>8.9294586538906451</c:v>
                  </c:pt>
                  <c:pt idx="25">
                    <c:v>12.391193454687153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Energy!$K$3:$K$29</c:f>
              <c:numCache>
                <c:formatCode>General</c:formatCode>
                <c:ptCount val="27"/>
                <c:pt idx="0">
                  <c:v>47.910748663101579</c:v>
                </c:pt>
                <c:pt idx="1">
                  <c:v>44.417575757575754</c:v>
                </c:pt>
                <c:pt idx="2">
                  <c:v>43.204999999999977</c:v>
                </c:pt>
                <c:pt idx="3">
                  <c:v>43.189687499999984</c:v>
                </c:pt>
                <c:pt idx="4">
                  <c:v>41.17261363636365</c:v>
                </c:pt>
                <c:pt idx="5">
                  <c:v>45.99266233766231</c:v>
                </c:pt>
                <c:pt idx="6">
                  <c:v>56.856799999999986</c:v>
                </c:pt>
                <c:pt idx="7">
                  <c:v>56.056222222222225</c:v>
                </c:pt>
                <c:pt idx="8">
                  <c:v>52.28282608695654</c:v>
                </c:pt>
                <c:pt idx="9">
                  <c:v>51.420112781954877</c:v>
                </c:pt>
                <c:pt idx="10">
                  <c:v>36.112272727272732</c:v>
                </c:pt>
                <c:pt idx="11">
                  <c:v>39.78682352941177</c:v>
                </c:pt>
                <c:pt idx="12">
                  <c:v>48.2951388888889</c:v>
                </c:pt>
                <c:pt idx="13">
                  <c:v>58.388260869565229</c:v>
                </c:pt>
                <c:pt idx="14">
                  <c:v>52.329365079365068</c:v>
                </c:pt>
                <c:pt idx="15">
                  <c:v>50.333363636363636</c:v>
                </c:pt>
                <c:pt idx="16">
                  <c:v>48.421599999999984</c:v>
                </c:pt>
                <c:pt idx="17">
                  <c:v>51.389473684210515</c:v>
                </c:pt>
                <c:pt idx="18">
                  <c:v>45.047108433734955</c:v>
                </c:pt>
                <c:pt idx="19">
                  <c:v>54.392491228070128</c:v>
                </c:pt>
                <c:pt idx="20">
                  <c:v>47.057857142857152</c:v>
                </c:pt>
                <c:pt idx="21">
                  <c:v>53.562222222222218</c:v>
                </c:pt>
                <c:pt idx="22">
                  <c:v>54.021666666666682</c:v>
                </c:pt>
                <c:pt idx="23">
                  <c:v>69.547008547008545</c:v>
                </c:pt>
                <c:pt idx="24">
                  <c:v>63.203454545454541</c:v>
                </c:pt>
                <c:pt idx="25">
                  <c:v>78.442499999999995</c:v>
                </c:pt>
                <c:pt idx="26">
                  <c:v>41.4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8720"/>
        <c:axId val="95440896"/>
      </c:scatterChart>
      <c:valAx>
        <c:axId val="9543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440896"/>
        <c:crosses val="autoZero"/>
        <c:crossBetween val="midCat"/>
      </c:valAx>
      <c:valAx>
        <c:axId val="954408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438720"/>
        <c:crosses val="autoZero"/>
        <c:crossBetween val="midCat"/>
      </c:valAx>
      <c:spPr>
        <a:noFill/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Energy (kJ)</a:t>
            </a:r>
            <a:r>
              <a:rPr lang="en-US" baseline="0"/>
              <a:t> Value of Male Capelin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Energy!$N$2</c:f>
              <c:strCache>
                <c:ptCount val="1"/>
                <c:pt idx="0">
                  <c:v>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5208707735062503E-2"/>
                  <c:y val="-0.2447370222886899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-0.358x + 769.75
R² = 0.09062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0.063339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Energy!$P$3:$P$29</c:f>
                <c:numCache>
                  <c:formatCode>General</c:formatCode>
                  <c:ptCount val="27"/>
                  <c:pt idx="0">
                    <c:v>0.94045201897810704</c:v>
                  </c:pt>
                  <c:pt idx="1">
                    <c:v>9.4045201897810795</c:v>
                  </c:pt>
                  <c:pt idx="3">
                    <c:v>12.091525958289941</c:v>
                  </c:pt>
                  <c:pt idx="4">
                    <c:v>4.2992092296142079</c:v>
                  </c:pt>
                  <c:pt idx="5">
                    <c:v>9.015514731351276</c:v>
                  </c:pt>
                  <c:pt idx="6">
                    <c:v>8.4205947929268454</c:v>
                  </c:pt>
                  <c:pt idx="11">
                    <c:v>10.941421297071058</c:v>
                  </c:pt>
                  <c:pt idx="13">
                    <c:v>6.9620590823884116</c:v>
                  </c:pt>
                  <c:pt idx="14">
                    <c:v>7.3603715561406604</c:v>
                  </c:pt>
                  <c:pt idx="16">
                    <c:v>4.3534469102080333</c:v>
                  </c:pt>
                  <c:pt idx="18">
                    <c:v>10.013678977611908</c:v>
                  </c:pt>
                  <c:pt idx="19">
                    <c:v>8.3251463648375505</c:v>
                  </c:pt>
                  <c:pt idx="21">
                    <c:v>5.0065390574061279</c:v>
                  </c:pt>
                  <c:pt idx="22">
                    <c:v>7.5104094428999009</c:v>
                  </c:pt>
                  <c:pt idx="23">
                    <c:v>5.2078404178874189</c:v>
                  </c:pt>
                  <c:pt idx="24">
                    <c:v>5.733052318694523</c:v>
                  </c:pt>
                  <c:pt idx="26">
                    <c:v>7.4229800843955527</c:v>
                  </c:pt>
                </c:numCache>
              </c:numRef>
            </c:plus>
            <c:minus>
              <c:numRef>
                <c:f>Energy!$P$3:$P$29</c:f>
                <c:numCache>
                  <c:formatCode>General</c:formatCode>
                  <c:ptCount val="27"/>
                  <c:pt idx="0">
                    <c:v>0.94045201897810704</c:v>
                  </c:pt>
                  <c:pt idx="1">
                    <c:v>9.4045201897810795</c:v>
                  </c:pt>
                  <c:pt idx="3">
                    <c:v>12.091525958289941</c:v>
                  </c:pt>
                  <c:pt idx="4">
                    <c:v>4.2992092296142079</c:v>
                  </c:pt>
                  <c:pt idx="5">
                    <c:v>9.015514731351276</c:v>
                  </c:pt>
                  <c:pt idx="6">
                    <c:v>8.4205947929268454</c:v>
                  </c:pt>
                  <c:pt idx="11">
                    <c:v>10.941421297071058</c:v>
                  </c:pt>
                  <c:pt idx="13">
                    <c:v>6.9620590823884116</c:v>
                  </c:pt>
                  <c:pt idx="14">
                    <c:v>7.3603715561406604</c:v>
                  </c:pt>
                  <c:pt idx="16">
                    <c:v>4.3534469102080333</c:v>
                  </c:pt>
                  <c:pt idx="18">
                    <c:v>10.013678977611908</c:v>
                  </c:pt>
                  <c:pt idx="19">
                    <c:v>8.3251463648375505</c:v>
                  </c:pt>
                  <c:pt idx="21">
                    <c:v>5.0065390574061279</c:v>
                  </c:pt>
                  <c:pt idx="22">
                    <c:v>7.5104094428999009</c:v>
                  </c:pt>
                  <c:pt idx="23">
                    <c:v>5.2078404178874189</c:v>
                  </c:pt>
                  <c:pt idx="24">
                    <c:v>5.733052318694523</c:v>
                  </c:pt>
                  <c:pt idx="26">
                    <c:v>7.4229800843955527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Energy!$N$3:$N$29</c:f>
              <c:numCache>
                <c:formatCode>General</c:formatCode>
                <c:ptCount val="27"/>
                <c:pt idx="0">
                  <c:v>69.72999999999999</c:v>
                </c:pt>
                <c:pt idx="1">
                  <c:v>58.9</c:v>
                </c:pt>
                <c:pt idx="2">
                  <c:v>43.204999999999977</c:v>
                </c:pt>
                <c:pt idx="3">
                  <c:v>43.189687499999984</c:v>
                </c:pt>
                <c:pt idx="4">
                  <c:v>41.17261363636365</c:v>
                </c:pt>
                <c:pt idx="5">
                  <c:v>45.99266233766231</c:v>
                </c:pt>
                <c:pt idx="6">
                  <c:v>56.856799999999986</c:v>
                </c:pt>
                <c:pt idx="7">
                  <c:v>56.056222222222225</c:v>
                </c:pt>
                <c:pt idx="8">
                  <c:v>52.28282608695654</c:v>
                </c:pt>
                <c:pt idx="9">
                  <c:v>51.420112781954877</c:v>
                </c:pt>
                <c:pt idx="10">
                  <c:v>36.112272727272732</c:v>
                </c:pt>
                <c:pt idx="11">
                  <c:v>39.78682352941177</c:v>
                </c:pt>
                <c:pt idx="12">
                  <c:v>48.2951388888889</c:v>
                </c:pt>
                <c:pt idx="13">
                  <c:v>58.388260869565229</c:v>
                </c:pt>
                <c:pt idx="14">
                  <c:v>52.329365079365068</c:v>
                </c:pt>
                <c:pt idx="15">
                  <c:v>50.333363636363636</c:v>
                </c:pt>
                <c:pt idx="16">
                  <c:v>48.421599999999984</c:v>
                </c:pt>
                <c:pt idx="17">
                  <c:v>51.389473684210515</c:v>
                </c:pt>
                <c:pt idx="18">
                  <c:v>45.047108433734955</c:v>
                </c:pt>
                <c:pt idx="19">
                  <c:v>54.392491228070128</c:v>
                </c:pt>
                <c:pt idx="20">
                  <c:v>47.057857142857152</c:v>
                </c:pt>
                <c:pt idx="21">
                  <c:v>53.562222222222218</c:v>
                </c:pt>
                <c:pt idx="22">
                  <c:v>54.021666666666682</c:v>
                </c:pt>
                <c:pt idx="23">
                  <c:v>69.547008547008545</c:v>
                </c:pt>
                <c:pt idx="24">
                  <c:v>63.203454545454541</c:v>
                </c:pt>
                <c:pt idx="25">
                  <c:v>78.442499999999995</c:v>
                </c:pt>
                <c:pt idx="26">
                  <c:v>53.326666666666675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70720"/>
        <c:axId val="95472640"/>
      </c:scatterChart>
      <c:valAx>
        <c:axId val="9547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472640"/>
        <c:crosses val="autoZero"/>
        <c:crossBetween val="midCat"/>
      </c:valAx>
      <c:valAx>
        <c:axId val="954726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470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Energy (kJ) Value of Gravid Female</a:t>
            </a:r>
            <a:r>
              <a:rPr lang="en-US" baseline="0"/>
              <a:t> Capelin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Energy!$Q$2</c:f>
              <c:strCache>
                <c:ptCount val="1"/>
                <c:pt idx="0">
                  <c:v>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1397943147489201E-2"/>
                  <c:y val="-0.286326487539573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-0.6019x + 1265.2
R² = 0.20742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0.008447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Energy!$S$3:$S$28</c:f>
                <c:numCache>
                  <c:formatCode>General</c:formatCode>
                  <c:ptCount val="26"/>
                  <c:pt idx="0">
                    <c:v>6.0544262223369181</c:v>
                  </c:pt>
                  <c:pt idx="1">
                    <c:v>5.5832977966175461</c:v>
                  </c:pt>
                  <c:pt idx="2">
                    <c:v>9.4764997556612691</c:v>
                  </c:pt>
                  <c:pt idx="3">
                    <c:v>7.9297839999406312</c:v>
                  </c:pt>
                  <c:pt idx="4">
                    <c:v>6.8375125062208921</c:v>
                  </c:pt>
                  <c:pt idx="5">
                    <c:v>6.7197412846277738</c:v>
                  </c:pt>
                  <c:pt idx="6">
                    <c:v>5.5865683075163162</c:v>
                  </c:pt>
                  <c:pt idx="7">
                    <c:v>8.375667861204386</c:v>
                  </c:pt>
                  <c:pt idx="8">
                    <c:v>10.230847967898224</c:v>
                  </c:pt>
                  <c:pt idx="9">
                    <c:v>7.1119787697431267</c:v>
                  </c:pt>
                  <c:pt idx="11">
                    <c:v>7.2906734942664837</c:v>
                  </c:pt>
                  <c:pt idx="12">
                    <c:v>6.035289911972451</c:v>
                  </c:pt>
                  <c:pt idx="13">
                    <c:v>7.4318972075706151</c:v>
                  </c:pt>
                  <c:pt idx="14">
                    <c:v>7.4497966359051686</c:v>
                  </c:pt>
                  <c:pt idx="15">
                    <c:v>7.1049598705344374</c:v>
                  </c:pt>
                  <c:pt idx="16">
                    <c:v>7.3876072629389586</c:v>
                  </c:pt>
                  <c:pt idx="17">
                    <c:v>9.2039921893829728</c:v>
                  </c:pt>
                  <c:pt idx="18">
                    <c:v>5.0904753262950946</c:v>
                  </c:pt>
                  <c:pt idx="19">
                    <c:v>8.9650718045500462</c:v>
                  </c:pt>
                  <c:pt idx="20">
                    <c:v>8.9670507972242408</c:v>
                  </c:pt>
                  <c:pt idx="21">
                    <c:v>6.9259366066104455</c:v>
                  </c:pt>
                  <c:pt idx="22">
                    <c:v>8.0767107873723205</c:v>
                  </c:pt>
                  <c:pt idx="23">
                    <c:v>6.4339714261234446</c:v>
                  </c:pt>
                  <c:pt idx="24">
                    <c:v>8.611297511506784</c:v>
                  </c:pt>
                  <c:pt idx="25">
                    <c:v>8.3212669748022137</c:v>
                  </c:pt>
                </c:numCache>
              </c:numRef>
            </c:plus>
            <c:minus>
              <c:numRef>
                <c:f>Energy!$S$3:$S$28</c:f>
                <c:numCache>
                  <c:formatCode>General</c:formatCode>
                  <c:ptCount val="26"/>
                  <c:pt idx="0">
                    <c:v>6.0544262223369181</c:v>
                  </c:pt>
                  <c:pt idx="1">
                    <c:v>5.5832977966175461</c:v>
                  </c:pt>
                  <c:pt idx="2">
                    <c:v>9.4764997556612691</c:v>
                  </c:pt>
                  <c:pt idx="3">
                    <c:v>7.9297839999406312</c:v>
                  </c:pt>
                  <c:pt idx="4">
                    <c:v>6.8375125062208921</c:v>
                  </c:pt>
                  <c:pt idx="5">
                    <c:v>6.7197412846277738</c:v>
                  </c:pt>
                  <c:pt idx="6">
                    <c:v>5.5865683075163162</c:v>
                  </c:pt>
                  <c:pt idx="7">
                    <c:v>8.375667861204386</c:v>
                  </c:pt>
                  <c:pt idx="8">
                    <c:v>10.230847967898224</c:v>
                  </c:pt>
                  <c:pt idx="9">
                    <c:v>7.1119787697431267</c:v>
                  </c:pt>
                  <c:pt idx="11">
                    <c:v>7.2906734942664837</c:v>
                  </c:pt>
                  <c:pt idx="12">
                    <c:v>6.035289911972451</c:v>
                  </c:pt>
                  <c:pt idx="13">
                    <c:v>7.4318972075706151</c:v>
                  </c:pt>
                  <c:pt idx="14">
                    <c:v>7.4497966359051686</c:v>
                  </c:pt>
                  <c:pt idx="15">
                    <c:v>7.1049598705344374</c:v>
                  </c:pt>
                  <c:pt idx="16">
                    <c:v>7.3876072629389586</c:v>
                  </c:pt>
                  <c:pt idx="17">
                    <c:v>9.2039921893829728</c:v>
                  </c:pt>
                  <c:pt idx="18">
                    <c:v>5.0904753262950946</c:v>
                  </c:pt>
                  <c:pt idx="19">
                    <c:v>8.9650718045500462</c:v>
                  </c:pt>
                  <c:pt idx="20">
                    <c:v>8.9670507972242408</c:v>
                  </c:pt>
                  <c:pt idx="21">
                    <c:v>6.9259366066104455</c:v>
                  </c:pt>
                  <c:pt idx="22">
                    <c:v>8.0767107873723205</c:v>
                  </c:pt>
                  <c:pt idx="23">
                    <c:v>6.4339714261234446</c:v>
                  </c:pt>
                  <c:pt idx="24">
                    <c:v>8.611297511506784</c:v>
                  </c:pt>
                  <c:pt idx="25">
                    <c:v>8.3212669748022137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Energy!$Q$3:$Q$29</c:f>
              <c:numCache>
                <c:formatCode>General</c:formatCode>
                <c:ptCount val="27"/>
                <c:pt idx="0">
                  <c:v>53.91892473118277</c:v>
                </c:pt>
                <c:pt idx="1">
                  <c:v>49.942857142857136</c:v>
                </c:pt>
                <c:pt idx="2">
                  <c:v>58.157142857142844</c:v>
                </c:pt>
                <c:pt idx="3">
                  <c:v>50.323999999999991</c:v>
                </c:pt>
                <c:pt idx="4">
                  <c:v>49.721818181818186</c:v>
                </c:pt>
                <c:pt idx="5">
                  <c:v>55.781052631578937</c:v>
                </c:pt>
                <c:pt idx="6">
                  <c:v>58.239999999999988</c:v>
                </c:pt>
                <c:pt idx="7">
                  <c:v>61.821212121212127</c:v>
                </c:pt>
                <c:pt idx="8">
                  <c:v>63.153157894736843</c:v>
                </c:pt>
                <c:pt idx="9">
                  <c:v>59.985957446808492</c:v>
                </c:pt>
                <c:pt idx="10">
                  <c:v>51.519999999999996</c:v>
                </c:pt>
                <c:pt idx="11">
                  <c:v>48.944000000000003</c:v>
                </c:pt>
                <c:pt idx="12">
                  <c:v>51.096507936507933</c:v>
                </c:pt>
                <c:pt idx="13">
                  <c:v>62.297142857142866</c:v>
                </c:pt>
                <c:pt idx="14">
                  <c:v>57.453378378378396</c:v>
                </c:pt>
                <c:pt idx="15">
                  <c:v>62.800952380952381</c:v>
                </c:pt>
                <c:pt idx="16">
                  <c:v>62.387499999999996</c:v>
                </c:pt>
                <c:pt idx="17">
                  <c:v>65.549999999999983</c:v>
                </c:pt>
                <c:pt idx="18">
                  <c:v>54.301904761904758</c:v>
                </c:pt>
                <c:pt idx="19">
                  <c:v>58.367772925764164</c:v>
                </c:pt>
                <c:pt idx="20">
                  <c:v>74.97999999999999</c:v>
                </c:pt>
                <c:pt idx="21">
                  <c:v>57.994848484848511</c:v>
                </c:pt>
                <c:pt idx="22">
                  <c:v>64.860000000000014</c:v>
                </c:pt>
                <c:pt idx="23">
                  <c:v>71.910384615384601</c:v>
                </c:pt>
                <c:pt idx="24">
                  <c:v>65.051287128712872</c:v>
                </c:pt>
                <c:pt idx="25">
                  <c:v>98.078571428571422</c:v>
                </c:pt>
                <c:pt idx="26">
                  <c:v>41.4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23904"/>
        <c:axId val="95725824"/>
      </c:scatterChart>
      <c:valAx>
        <c:axId val="957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725824"/>
        <c:crosses val="autoZero"/>
        <c:crossBetween val="midCat"/>
      </c:valAx>
      <c:valAx>
        <c:axId val="957258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723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Energy (kJ) Value of Spent Female Capelin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952894046138898E-2"/>
          <c:y val="0.234259259259259"/>
          <c:w val="0.85191527374867604"/>
          <c:h val="0.57968536813900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Energy!$U$2</c:f>
              <c:strCache>
                <c:ptCount val="1"/>
                <c:pt idx="0">
                  <c:v>Spent 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3790578809227799E-2"/>
                  <c:y val="-0.239979945095590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-0.3166x + 677.86
R² = 0.26441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0.4099815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Energy!$W$3:$W$28</c:f>
                <c:numCache>
                  <c:formatCode>General</c:formatCode>
                  <c:ptCount val="26"/>
                  <c:pt idx="0">
                    <c:v>4.9747683637351843</c:v>
                  </c:pt>
                  <c:pt idx="1">
                    <c:v>5.7995827436118228</c:v>
                  </c:pt>
                  <c:pt idx="2">
                    <c:v>6.4220137235818973</c:v>
                  </c:pt>
                  <c:pt idx="3">
                    <c:v>6.1446920691764442</c:v>
                  </c:pt>
                  <c:pt idx="4">
                    <c:v>5.9638168875604389</c:v>
                  </c:pt>
                  <c:pt idx="5">
                    <c:v>4.2447791823275285</c:v>
                  </c:pt>
                  <c:pt idx="6">
                    <c:v>2.7577164466275366</c:v>
                  </c:pt>
                  <c:pt idx="7">
                    <c:v>5.1205153882113281</c:v>
                  </c:pt>
                  <c:pt idx="8">
                    <c:v>6.2521373703809155</c:v>
                  </c:pt>
                  <c:pt idx="9">
                    <c:v>6.4032440817394658</c:v>
                  </c:pt>
                  <c:pt idx="10">
                    <c:v>4.4815032135022967</c:v>
                  </c:pt>
                  <c:pt idx="11">
                    <c:v>5.6109850130704597</c:v>
                  </c:pt>
                  <c:pt idx="12">
                    <c:v>5.6949990886964299</c:v>
                  </c:pt>
                  <c:pt idx="13">
                    <c:v>4.1819926470523647</c:v>
                  </c:pt>
                  <c:pt idx="14">
                    <c:v>6.7788684510546018</c:v>
                  </c:pt>
                  <c:pt idx="15">
                    <c:v>6.4143597736780587</c:v>
                  </c:pt>
                  <c:pt idx="16">
                    <c:v>7.5739045241790404</c:v>
                  </c:pt>
                  <c:pt idx="17">
                    <c:v>7.3347591374901633</c:v>
                  </c:pt>
                  <c:pt idx="18">
                    <c:v>7.2479135921156761</c:v>
                  </c:pt>
                  <c:pt idx="19">
                    <c:v>5.146539656920126</c:v>
                  </c:pt>
                  <c:pt idx="20">
                    <c:v>5.5072647333998619</c:v>
                  </c:pt>
                  <c:pt idx="21">
                    <c:v>5.678247499363823</c:v>
                  </c:pt>
                  <c:pt idx="22">
                    <c:v>6.7085317480269717</c:v>
                  </c:pt>
                  <c:pt idx="23">
                    <c:v>7.5362921917876813</c:v>
                  </c:pt>
                  <c:pt idx="24">
                    <c:v>5.2672063278364085</c:v>
                  </c:pt>
                  <c:pt idx="25">
                    <c:v>6.4833089269953312</c:v>
                  </c:pt>
                </c:numCache>
              </c:numRef>
            </c:plus>
            <c:minus>
              <c:numRef>
                <c:f>Energy!$W$3:$W$28</c:f>
                <c:numCache>
                  <c:formatCode>General</c:formatCode>
                  <c:ptCount val="26"/>
                  <c:pt idx="0">
                    <c:v>4.9747683637351843</c:v>
                  </c:pt>
                  <c:pt idx="1">
                    <c:v>5.7995827436118228</c:v>
                  </c:pt>
                  <c:pt idx="2">
                    <c:v>6.4220137235818973</c:v>
                  </c:pt>
                  <c:pt idx="3">
                    <c:v>6.1446920691764442</c:v>
                  </c:pt>
                  <c:pt idx="4">
                    <c:v>5.9638168875604389</c:v>
                  </c:pt>
                  <c:pt idx="5">
                    <c:v>4.2447791823275285</c:v>
                  </c:pt>
                  <c:pt idx="6">
                    <c:v>2.7577164466275366</c:v>
                  </c:pt>
                  <c:pt idx="7">
                    <c:v>5.1205153882113281</c:v>
                  </c:pt>
                  <c:pt idx="8">
                    <c:v>6.2521373703809155</c:v>
                  </c:pt>
                  <c:pt idx="9">
                    <c:v>6.4032440817394658</c:v>
                  </c:pt>
                  <c:pt idx="10">
                    <c:v>4.4815032135022967</c:v>
                  </c:pt>
                  <c:pt idx="11">
                    <c:v>5.6109850130704597</c:v>
                  </c:pt>
                  <c:pt idx="12">
                    <c:v>5.6949990886964299</c:v>
                  </c:pt>
                  <c:pt idx="13">
                    <c:v>4.1819926470523647</c:v>
                  </c:pt>
                  <c:pt idx="14">
                    <c:v>6.7788684510546018</c:v>
                  </c:pt>
                  <c:pt idx="15">
                    <c:v>6.4143597736780587</c:v>
                  </c:pt>
                  <c:pt idx="16">
                    <c:v>7.5739045241790404</c:v>
                  </c:pt>
                  <c:pt idx="17">
                    <c:v>7.3347591374901633</c:v>
                  </c:pt>
                  <c:pt idx="18">
                    <c:v>7.2479135921156761</c:v>
                  </c:pt>
                  <c:pt idx="19">
                    <c:v>5.146539656920126</c:v>
                  </c:pt>
                  <c:pt idx="20">
                    <c:v>5.5072647333998619</c:v>
                  </c:pt>
                  <c:pt idx="21">
                    <c:v>5.678247499363823</c:v>
                  </c:pt>
                  <c:pt idx="22">
                    <c:v>6.7085317480269717</c:v>
                  </c:pt>
                  <c:pt idx="23">
                    <c:v>7.5362921917876813</c:v>
                  </c:pt>
                  <c:pt idx="24">
                    <c:v>5.2672063278364085</c:v>
                  </c:pt>
                  <c:pt idx="25">
                    <c:v>6.4833089269953312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Energy!$U$3:$U$29</c:f>
              <c:numCache>
                <c:formatCode>General</c:formatCode>
                <c:ptCount val="27"/>
                <c:pt idx="0">
                  <c:v>41.966489361702145</c:v>
                </c:pt>
                <c:pt idx="1">
                  <c:v>42.929999999999993</c:v>
                </c:pt>
                <c:pt idx="2">
                  <c:v>41.790608108108081</c:v>
                </c:pt>
                <c:pt idx="3">
                  <c:v>41.005714285714291</c:v>
                </c:pt>
                <c:pt idx="4">
                  <c:v>37.643124999999998</c:v>
                </c:pt>
                <c:pt idx="5">
                  <c:v>36.60355263157895</c:v>
                </c:pt>
                <c:pt idx="6">
                  <c:v>40.950000000000003</c:v>
                </c:pt>
                <c:pt idx="7">
                  <c:v>40.202500000000001</c:v>
                </c:pt>
                <c:pt idx="8">
                  <c:v>44.633333333333319</c:v>
                </c:pt>
                <c:pt idx="9">
                  <c:v>47.108749999999986</c:v>
                </c:pt>
                <c:pt idx="10">
                  <c:v>36.742105263157903</c:v>
                </c:pt>
                <c:pt idx="11">
                  <c:v>39.541666666666671</c:v>
                </c:pt>
                <c:pt idx="12">
                  <c:v>46.156500000000001</c:v>
                </c:pt>
                <c:pt idx="13">
                  <c:v>41.55</c:v>
                </c:pt>
                <c:pt idx="14">
                  <c:v>45.480882352941187</c:v>
                </c:pt>
                <c:pt idx="15">
                  <c:v>47.391573033707878</c:v>
                </c:pt>
                <c:pt idx="16">
                  <c:v>47.466666666666647</c:v>
                </c:pt>
                <c:pt idx="17">
                  <c:v>48.376595744680849</c:v>
                </c:pt>
                <c:pt idx="18">
                  <c:v>44.639400000000016</c:v>
                </c:pt>
                <c:pt idx="19">
                  <c:v>38.595555555555556</c:v>
                </c:pt>
                <c:pt idx="20">
                  <c:v>44.910000000000004</c:v>
                </c:pt>
                <c:pt idx="21">
                  <c:v>41.628260869565217</c:v>
                </c:pt>
                <c:pt idx="22">
                  <c:v>43.308571428571426</c:v>
                </c:pt>
                <c:pt idx="23">
                  <c:v>50.639999999999993</c:v>
                </c:pt>
                <c:pt idx="24">
                  <c:v>42.466666666666669</c:v>
                </c:pt>
                <c:pt idx="25">
                  <c:v>58.806428571428569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39264"/>
        <c:axId val="96216576"/>
      </c:scatterChart>
      <c:valAx>
        <c:axId val="9573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216576"/>
        <c:crosses val="autoZero"/>
        <c:crossBetween val="midCat"/>
      </c:valAx>
      <c:valAx>
        <c:axId val="962165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739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 Spawning Dates vs</a:t>
            </a:r>
            <a:r>
              <a:rPr lang="en-US" sz="1200" baseline="0"/>
              <a:t> Female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Energy!$L$67</c:f>
              <c:strCache>
                <c:ptCount val="1"/>
                <c:pt idx="0">
                  <c:v>Female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6241469816272999E-2"/>
                  <c:y val="0.360960921551473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0.5898x - 71.06
R² = 0.4071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0.012799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Energy!$L$68:$L$79</c:f>
              <c:numCache>
                <c:formatCode>General</c:formatCode>
                <c:ptCount val="12"/>
                <c:pt idx="0">
                  <c:v>47.910748663101579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41.17261363636365</c:v>
                </c:pt>
                <c:pt idx="4">
                  <c:v>45.99266233766231</c:v>
                </c:pt>
                <c:pt idx="5">
                  <c:v>56.856799999999986</c:v>
                </c:pt>
                <c:pt idx="6">
                  <c:v>52.28282608695654</c:v>
                </c:pt>
                <c:pt idx="7">
                  <c:v>51.420112781954877</c:v>
                </c:pt>
                <c:pt idx="8">
                  <c:v>36.112272727272732</c:v>
                </c:pt>
                <c:pt idx="9">
                  <c:v>39.78682352941177</c:v>
                </c:pt>
                <c:pt idx="10">
                  <c:v>48.2951388888889</c:v>
                </c:pt>
                <c:pt idx="11">
                  <c:v>58.388260869565229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0096"/>
        <c:axId val="96262016"/>
      </c:scatterChart>
      <c:valAx>
        <c:axId val="9626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262016"/>
        <c:crosses val="autoZero"/>
        <c:crossBetween val="midCat"/>
      </c:valAx>
      <c:valAx>
        <c:axId val="962620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Female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260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Beach</a:t>
            </a:r>
            <a:r>
              <a:rPr lang="en-US" sz="1200" baseline="0"/>
              <a:t> Spawning Dates vs Female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Energy!$S$67</c:f>
              <c:strCache>
                <c:ptCount val="1"/>
                <c:pt idx="0">
                  <c:v>Female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2974409448818898E-2"/>
                  <c:y val="0.3265835520559929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0.6811x - 79.781
R² = 0.3566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0.0155605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Energy!$S$68:$S$80</c:f>
              <c:numCache>
                <c:formatCode>General</c:formatCode>
                <c:ptCount val="13"/>
                <c:pt idx="0">
                  <c:v>47.910748663101579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45.99266233766231</c:v>
                </c:pt>
                <c:pt idx="4">
                  <c:v>56.856799999999986</c:v>
                </c:pt>
                <c:pt idx="5">
                  <c:v>56.056222222222225</c:v>
                </c:pt>
                <c:pt idx="6">
                  <c:v>51.420112781954877</c:v>
                </c:pt>
                <c:pt idx="7">
                  <c:v>39.78682352941177</c:v>
                </c:pt>
                <c:pt idx="8">
                  <c:v>48.2951388888889</c:v>
                </c:pt>
                <c:pt idx="9">
                  <c:v>58.388260869565229</c:v>
                </c:pt>
                <c:pt idx="10">
                  <c:v>69.547008547008545</c:v>
                </c:pt>
                <c:pt idx="11">
                  <c:v>63.203454545454541</c:v>
                </c:pt>
                <c:pt idx="12">
                  <c:v>78.442499999999995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49888"/>
        <c:axId val="96556160"/>
      </c:scatterChart>
      <c:valAx>
        <c:axId val="9654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56160"/>
        <c:crosses val="autoZero"/>
        <c:crossBetween val="midCat"/>
      </c:valAx>
      <c:valAx>
        <c:axId val="965561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Female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4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</a:t>
            </a:r>
            <a:r>
              <a:rPr lang="en-US" sz="1200" baseline="0"/>
              <a:t> Spawning Dates vs 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Energy!$M$67</c:f>
              <c:strCache>
                <c:ptCount val="1"/>
                <c:pt idx="0">
                  <c:v>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2.7004811898512698E-2"/>
                  <c:y val="0.32685185185185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1.2007x - 191.57
R² = 0.87551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Energy!$M$68:$M$79</c:f>
              <c:numCache>
                <c:formatCode>General</c:formatCode>
                <c:ptCount val="12"/>
                <c:pt idx="0">
                  <c:v>69.72999999999999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41.17261363636365</c:v>
                </c:pt>
                <c:pt idx="4">
                  <c:v>45.99266233766231</c:v>
                </c:pt>
                <c:pt idx="5">
                  <c:v>56.856799999999986</c:v>
                </c:pt>
                <c:pt idx="6">
                  <c:v>52.28282608695654</c:v>
                </c:pt>
                <c:pt idx="7">
                  <c:v>51.420112781954877</c:v>
                </c:pt>
                <c:pt idx="8">
                  <c:v>36.112272727272732</c:v>
                </c:pt>
                <c:pt idx="9">
                  <c:v>39.78682352941177</c:v>
                </c:pt>
                <c:pt idx="10">
                  <c:v>48.2951388888889</c:v>
                </c:pt>
                <c:pt idx="11">
                  <c:v>58.388260869565229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00448"/>
        <c:axId val="96602368"/>
      </c:scatterChart>
      <c:valAx>
        <c:axId val="9660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602368"/>
        <c:crosses val="autoZero"/>
        <c:crossBetween val="midCat"/>
      </c:valAx>
      <c:valAx>
        <c:axId val="966023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Male</a:t>
                </a:r>
                <a:r>
                  <a:rPr lang="en-US" baseline="0"/>
                  <a:t> Capelin Energy (kJ)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600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Beach</a:t>
            </a:r>
            <a:r>
              <a:rPr lang="en-US" sz="1200" baseline="0"/>
              <a:t> Spawning Dates vs 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Energy!$U$67</c:f>
              <c:strCache>
                <c:ptCount val="1"/>
                <c:pt idx="0">
                  <c:v>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1863298337707798E-2"/>
                  <c:y val="0.354629629629630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1.0432x - 149.25
R² = 0.75183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Energy!$U$68:$U$80</c:f>
              <c:numCache>
                <c:formatCode>General</c:formatCode>
                <c:ptCount val="13"/>
                <c:pt idx="0">
                  <c:v>69.72999999999999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45.99266233766231</c:v>
                </c:pt>
                <c:pt idx="4">
                  <c:v>56.856799999999986</c:v>
                </c:pt>
                <c:pt idx="5">
                  <c:v>56.056222222222225</c:v>
                </c:pt>
                <c:pt idx="6">
                  <c:v>51.420112781954877</c:v>
                </c:pt>
                <c:pt idx="7">
                  <c:v>39.78682352941177</c:v>
                </c:pt>
                <c:pt idx="8">
                  <c:v>48.2951388888889</c:v>
                </c:pt>
                <c:pt idx="9">
                  <c:v>58.388260869565229</c:v>
                </c:pt>
                <c:pt idx="10">
                  <c:v>69.547008547008545</c:v>
                </c:pt>
                <c:pt idx="11">
                  <c:v>63.203454545454541</c:v>
                </c:pt>
                <c:pt idx="12">
                  <c:v>78.442499999999995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39616"/>
        <c:axId val="96645888"/>
      </c:scatterChart>
      <c:valAx>
        <c:axId val="9663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645888"/>
        <c:crosses val="autoZero"/>
        <c:crossBetween val="midCat"/>
      </c:valAx>
      <c:valAx>
        <c:axId val="966458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Male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639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</a:t>
            </a:r>
            <a:r>
              <a:rPr lang="en-US" sz="1200" baseline="0"/>
              <a:t> Spawning Dates vs Gravid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Energy!$N$67</c:f>
              <c:strCache>
                <c:ptCount val="1"/>
                <c:pt idx="0">
                  <c:v>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9227034120734897E-2"/>
                  <c:y val="0.32685185185185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0.2923x - 3.2755
R² = 0.18274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0.0822535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Energy!$N$68:$N$79</c:f>
              <c:numCache>
                <c:formatCode>General</c:formatCode>
                <c:ptCount val="12"/>
                <c:pt idx="0">
                  <c:v>53.91892473118277</c:v>
                </c:pt>
                <c:pt idx="1">
                  <c:v>58.157142857142844</c:v>
                </c:pt>
                <c:pt idx="2">
                  <c:v>50.323999999999991</c:v>
                </c:pt>
                <c:pt idx="3">
                  <c:v>49.721818181818186</c:v>
                </c:pt>
                <c:pt idx="4">
                  <c:v>55.781052631578937</c:v>
                </c:pt>
                <c:pt idx="5">
                  <c:v>58.239999999999988</c:v>
                </c:pt>
                <c:pt idx="6">
                  <c:v>63.153157894736843</c:v>
                </c:pt>
                <c:pt idx="7">
                  <c:v>59.985957446808492</c:v>
                </c:pt>
                <c:pt idx="8">
                  <c:v>51.519999999999996</c:v>
                </c:pt>
                <c:pt idx="9">
                  <c:v>48.944000000000003</c:v>
                </c:pt>
                <c:pt idx="10">
                  <c:v>51.096507936507933</c:v>
                </c:pt>
                <c:pt idx="11">
                  <c:v>62.297142857142866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07104"/>
        <c:axId val="97009024"/>
      </c:scatterChart>
      <c:valAx>
        <c:axId val="9700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009024"/>
        <c:crosses val="autoZero"/>
        <c:crossBetween val="midCat"/>
      </c:valAx>
      <c:valAx>
        <c:axId val="970090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Gravid</a:t>
                </a:r>
                <a:r>
                  <a:rPr lang="en-US" baseline="0"/>
                  <a:t> Capelin Energy (kJ)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007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Beach Spawning Dates vs Gravid Capelin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Energy!$V$67</c:f>
              <c:strCache>
                <c:ptCount val="1"/>
                <c:pt idx="0">
                  <c:v>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57220034995625E-2"/>
                  <c:y val="0.208414260717410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0.6772x - 71.838
R² = 0.27492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0.033052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Energy!$V$68:$V$80</c:f>
              <c:numCache>
                <c:formatCode>General</c:formatCode>
                <c:ptCount val="13"/>
                <c:pt idx="0">
                  <c:v>53.91892473118277</c:v>
                </c:pt>
                <c:pt idx="1">
                  <c:v>58.157142857142844</c:v>
                </c:pt>
                <c:pt idx="2">
                  <c:v>50.323999999999991</c:v>
                </c:pt>
                <c:pt idx="3">
                  <c:v>55.781052631578937</c:v>
                </c:pt>
                <c:pt idx="4">
                  <c:v>58.239999999999988</c:v>
                </c:pt>
                <c:pt idx="5">
                  <c:v>61.821212121212127</c:v>
                </c:pt>
                <c:pt idx="6">
                  <c:v>59.985957446808492</c:v>
                </c:pt>
                <c:pt idx="7">
                  <c:v>48.944000000000003</c:v>
                </c:pt>
                <c:pt idx="8">
                  <c:v>51.096507936507933</c:v>
                </c:pt>
                <c:pt idx="9">
                  <c:v>62.297142857142866</c:v>
                </c:pt>
                <c:pt idx="10">
                  <c:v>71.910384615384601</c:v>
                </c:pt>
                <c:pt idx="11">
                  <c:v>65.051287128712872</c:v>
                </c:pt>
                <c:pt idx="12">
                  <c:v>98.078571428571422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30144"/>
        <c:axId val="97032064"/>
      </c:scatterChart>
      <c:valAx>
        <c:axId val="9703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032064"/>
        <c:crosses val="autoZero"/>
        <c:crossBetween val="midCat"/>
      </c:valAx>
      <c:valAx>
        <c:axId val="97032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Gravid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030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</a:t>
            </a:r>
            <a:r>
              <a:rPr lang="en-US" sz="1200" baseline="0"/>
              <a:t> Spawning Dates vs Spent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Energy!$O$67</c:f>
              <c:strCache>
                <c:ptCount val="1"/>
                <c:pt idx="0">
                  <c:v>Spent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8115923009623798E-2"/>
                  <c:y val="0.192592592592593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0.2744x - 13.647
R² = 0.35011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0.0213865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Energy!$O$68:$O$79</c:f>
              <c:numCache>
                <c:formatCode>General</c:formatCode>
                <c:ptCount val="12"/>
                <c:pt idx="0">
                  <c:v>41.966489361702145</c:v>
                </c:pt>
                <c:pt idx="1">
                  <c:v>41.790608108108081</c:v>
                </c:pt>
                <c:pt idx="2">
                  <c:v>41.005714285714291</c:v>
                </c:pt>
                <c:pt idx="3">
                  <c:v>37.643124999999998</c:v>
                </c:pt>
                <c:pt idx="4">
                  <c:v>36.60355263157895</c:v>
                </c:pt>
                <c:pt idx="5">
                  <c:v>40.950000000000003</c:v>
                </c:pt>
                <c:pt idx="6">
                  <c:v>44.633333333333319</c:v>
                </c:pt>
                <c:pt idx="7">
                  <c:v>47.108749999999986</c:v>
                </c:pt>
                <c:pt idx="8">
                  <c:v>36.742105263157903</c:v>
                </c:pt>
                <c:pt idx="9">
                  <c:v>39.541666666666671</c:v>
                </c:pt>
                <c:pt idx="10">
                  <c:v>46.156500000000001</c:v>
                </c:pt>
                <c:pt idx="11">
                  <c:v>41.55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4288"/>
        <c:axId val="98210560"/>
      </c:scatterChart>
      <c:valAx>
        <c:axId val="9820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210560"/>
        <c:crosses val="autoZero"/>
        <c:crossBetween val="midCat"/>
      </c:valAx>
      <c:valAx>
        <c:axId val="982105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Spent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204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Beach Spawning Dates</a:t>
            </a:r>
            <a:r>
              <a:rPr lang="en-US" sz="1200" baseline="0"/>
              <a:t> vs </a:t>
            </a:r>
            <a:r>
              <a:rPr lang="en-US" sz="1200"/>
              <a:t>Spent Capelin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Energy!$W$67</c:f>
              <c:strCache>
                <c:ptCount val="1"/>
                <c:pt idx="0">
                  <c:v>Spent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4971347331583501E-2"/>
                  <c:y val="0.2283191163604549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0.1137x + 20.227
R² = 0.09715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Energy!$W$68:$W$80</c:f>
              <c:numCache>
                <c:formatCode>General</c:formatCode>
                <c:ptCount val="13"/>
                <c:pt idx="0">
                  <c:v>41.966489361702145</c:v>
                </c:pt>
                <c:pt idx="1">
                  <c:v>41.790608108108081</c:v>
                </c:pt>
                <c:pt idx="2">
                  <c:v>41.005714285714291</c:v>
                </c:pt>
                <c:pt idx="3">
                  <c:v>36.60355263157895</c:v>
                </c:pt>
                <c:pt idx="4">
                  <c:v>40.950000000000003</c:v>
                </c:pt>
                <c:pt idx="5">
                  <c:v>40.202500000000001</c:v>
                </c:pt>
                <c:pt idx="6">
                  <c:v>47.108749999999986</c:v>
                </c:pt>
                <c:pt idx="7">
                  <c:v>39.541666666666671</c:v>
                </c:pt>
                <c:pt idx="8">
                  <c:v>46.156500000000001</c:v>
                </c:pt>
                <c:pt idx="9">
                  <c:v>41.55</c:v>
                </c:pt>
                <c:pt idx="10">
                  <c:v>43.308571428571426</c:v>
                </c:pt>
                <c:pt idx="11">
                  <c:v>50.639999999999993</c:v>
                </c:pt>
                <c:pt idx="12">
                  <c:v>42.466666666666669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0720"/>
        <c:axId val="99552640"/>
      </c:scatterChart>
      <c:valAx>
        <c:axId val="9955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552640"/>
        <c:crosses val="autoZero"/>
        <c:crossBetween val="midCat"/>
      </c:valAx>
      <c:valAx>
        <c:axId val="995526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Spent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550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Energy vs Days Since</a:t>
            </a:r>
            <a:r>
              <a:rPr lang="en-US" sz="1400" baseline="0"/>
              <a:t> </a:t>
            </a:r>
            <a:r>
              <a:rPr lang="en-US" sz="1400"/>
              <a:t>Beach Spawning Date 2017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Energy!$M$149</c:f>
              <c:strCache>
                <c:ptCount val="1"/>
                <c:pt idx="0">
                  <c:v>FEMALE</c:v>
                </c:pt>
              </c:strCache>
            </c:strRef>
          </c:tx>
          <c:marker>
            <c:symbol val="none"/>
          </c:marker>
          <c:cat>
            <c:numRef>
              <c:f>Energy!$R$150:$R$156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Energy!$M$150:$M$156</c:f>
              <c:numCache>
                <c:formatCode>General</c:formatCode>
                <c:ptCount val="7"/>
                <c:pt idx="0">
                  <c:v>49.133448275862058</c:v>
                </c:pt>
                <c:pt idx="1">
                  <c:v>46.512608695652169</c:v>
                </c:pt>
                <c:pt idx="2">
                  <c:v>49.584102564102558</c:v>
                </c:pt>
                <c:pt idx="3">
                  <c:v>44.791785714285702</c:v>
                </c:pt>
                <c:pt idx="4">
                  <c:v>49.288571428571423</c:v>
                </c:pt>
                <c:pt idx="5">
                  <c:v>48.796818181818182</c:v>
                </c:pt>
                <c:pt idx="6">
                  <c:v>49.272500000000001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Energy!$N$149</c:f>
              <c:strCache>
                <c:ptCount val="1"/>
                <c:pt idx="0">
                  <c:v>MALE</c:v>
                </c:pt>
              </c:strCache>
            </c:strRef>
          </c:tx>
          <c:marker>
            <c:symbol val="none"/>
          </c:marker>
          <c:cat>
            <c:numRef>
              <c:f>Energy!$R$150:$R$156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Energy!$N$150:$N$156</c:f>
              <c:numCache>
                <c:formatCode>General</c:formatCode>
                <c:ptCount val="7"/>
                <c:pt idx="0">
                  <c:v>68.399999999999991</c:v>
                </c:pt>
                <c:pt idx="1">
                  <c:v>71.059999999999988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Energy!$O$149</c:f>
              <c:strCache>
                <c:ptCount val="1"/>
                <c:pt idx="0">
                  <c:v>GRAVID</c:v>
                </c:pt>
              </c:strCache>
            </c:strRef>
          </c:tx>
          <c:marker>
            <c:symbol val="none"/>
          </c:marker>
          <c:cat>
            <c:numRef>
              <c:f>Energy!$R$150:$R$156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Energy!$O$150:$O$156</c:f>
              <c:numCache>
                <c:formatCode>General</c:formatCode>
                <c:ptCount val="7"/>
                <c:pt idx="0">
                  <c:v>51.563809523809518</c:v>
                </c:pt>
                <c:pt idx="1">
                  <c:v>52.456428571428567</c:v>
                </c:pt>
                <c:pt idx="2">
                  <c:v>56.444705882352942</c:v>
                </c:pt>
                <c:pt idx="3">
                  <c:v>55.164615384615381</c:v>
                </c:pt>
                <c:pt idx="4">
                  <c:v>52.624000000000002</c:v>
                </c:pt>
                <c:pt idx="5">
                  <c:v>58.19</c:v>
                </c:pt>
                <c:pt idx="6">
                  <c:v>57.499999999999993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Energy!$P$149</c:f>
              <c:strCache>
                <c:ptCount val="1"/>
                <c:pt idx="0">
                  <c:v>SPENT</c:v>
                </c:pt>
              </c:strCache>
            </c:strRef>
          </c:tx>
          <c:marker>
            <c:symbol val="none"/>
          </c:marker>
          <c:cat>
            <c:numRef>
              <c:f>Energy!$R$150:$R$156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Energy!$P$150:$P$156</c:f>
              <c:numCache>
                <c:formatCode>General</c:formatCode>
                <c:ptCount val="7"/>
                <c:pt idx="0">
                  <c:v>42.753749999999997</c:v>
                </c:pt>
                <c:pt idx="1">
                  <c:v>37.266666666666673</c:v>
                </c:pt>
                <c:pt idx="2">
                  <c:v>44.282727272727271</c:v>
                </c:pt>
                <c:pt idx="3">
                  <c:v>35.801999999999992</c:v>
                </c:pt>
                <c:pt idx="4">
                  <c:v>40.950000000000003</c:v>
                </c:pt>
                <c:pt idx="5">
                  <c:v>43.429285714285712</c:v>
                </c:pt>
                <c:pt idx="6">
                  <c:v>48.724000000000004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79776"/>
        <c:axId val="99602432"/>
      </c:lineChart>
      <c:catAx>
        <c:axId val="9957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</a:t>
                </a:r>
                <a:r>
                  <a:rPr lang="en-US" baseline="0"/>
                  <a:t> Since Spawning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602432"/>
        <c:crosses val="autoZero"/>
        <c:auto val="1"/>
        <c:lblAlgn val="ctr"/>
        <c:lblOffset val="100"/>
        <c:noMultiLvlLbl val="0"/>
      </c:catAx>
      <c:valAx>
        <c:axId val="99602432"/>
        <c:scaling>
          <c:orientation val="minMax"/>
          <c:min val="3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579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Energy</a:t>
            </a:r>
            <a:r>
              <a:rPr lang="en-US" sz="1400" baseline="0"/>
              <a:t> vs Days Since Beach Spawning Date 2014</a:t>
            </a:r>
            <a:endParaRPr lang="en-US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7256999125109"/>
          <c:y val="0.18888852435112299"/>
          <c:w val="0.65633573928258904"/>
          <c:h val="0.58704724409448805"/>
        </c:manualLayout>
      </c:layout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Energy!$Z$165:$Z$167</c:f>
              <c:numCache>
                <c:formatCode>General</c:formatCode>
                <c:ptCount val="3"/>
                <c:pt idx="0">
                  <c:v>26</c:v>
                </c:pt>
                <c:pt idx="1">
                  <c:v>27</c:v>
                </c:pt>
                <c:pt idx="2">
                  <c:v>30</c:v>
                </c:pt>
              </c:numCache>
            </c:numRef>
          </c:cat>
          <c:val>
            <c:numRef>
              <c:f>Energy!$AB$165:$AB$167</c:f>
              <c:numCache>
                <c:formatCode>General</c:formatCode>
                <c:ptCount val="3"/>
                <c:pt idx="0">
                  <c:v>42.468500000000006</c:v>
                </c:pt>
                <c:pt idx="1">
                  <c:v>43.65821428571428</c:v>
                </c:pt>
                <c:pt idx="2">
                  <c:v>43.266818181818181</c:v>
                </c:pt>
              </c:numCache>
            </c:numRef>
          </c:val>
          <c:smooth val="0"/>
        </c:ser>
        <c:ser>
          <c:idx val="3"/>
          <c:order val="1"/>
          <c:marker>
            <c:symbol val="none"/>
          </c:marker>
          <c:cat>
            <c:numRef>
              <c:f>Energy!$Z$165:$Z$167</c:f>
              <c:numCache>
                <c:formatCode>General</c:formatCode>
                <c:ptCount val="3"/>
                <c:pt idx="0">
                  <c:v>26</c:v>
                </c:pt>
                <c:pt idx="1">
                  <c:v>27</c:v>
                </c:pt>
                <c:pt idx="2">
                  <c:v>30</c:v>
                </c:pt>
              </c:numCache>
            </c:numRef>
          </c:cat>
          <c:val>
            <c:numRef>
              <c:f>Energy!$AD$165:$AD$167</c:f>
              <c:numCache>
                <c:formatCode>General</c:formatCode>
                <c:ptCount val="3"/>
                <c:pt idx="0">
                  <c:v>57.499999999999993</c:v>
                </c:pt>
                <c:pt idx="1">
                  <c:v>49.066666666666663</c:v>
                </c:pt>
                <c:pt idx="2">
                  <c:v>72.449999999999989</c:v>
                </c:pt>
              </c:numCache>
            </c:numRef>
          </c:val>
          <c:smooth val="0"/>
        </c:ser>
        <c:ser>
          <c:idx val="4"/>
          <c:order val="2"/>
          <c:marker>
            <c:symbol val="none"/>
          </c:marker>
          <c:cat>
            <c:numRef>
              <c:f>Energy!$Z$165:$Z$167</c:f>
              <c:numCache>
                <c:formatCode>General</c:formatCode>
                <c:ptCount val="3"/>
                <c:pt idx="0">
                  <c:v>26</c:v>
                </c:pt>
                <c:pt idx="1">
                  <c:v>27</c:v>
                </c:pt>
                <c:pt idx="2">
                  <c:v>30</c:v>
                </c:pt>
              </c:numCache>
            </c:numRef>
          </c:cat>
          <c:val>
            <c:numRef>
              <c:f>Energy!$AE$165:$AE$167</c:f>
              <c:numCache>
                <c:formatCode>General</c:formatCode>
                <c:ptCount val="3"/>
                <c:pt idx="0">
                  <c:v>40.798333333333332</c:v>
                </c:pt>
                <c:pt idx="1">
                  <c:v>43.0092</c:v>
                </c:pt>
                <c:pt idx="2">
                  <c:v>41.384032258064515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07456"/>
        <c:axId val="99909632"/>
      </c:lineChart>
      <c:catAx>
        <c:axId val="9990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</a:t>
                </a:r>
                <a:r>
                  <a:rPr lang="en-US" baseline="0"/>
                  <a:t> Since Spawning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909632"/>
        <c:crosses val="autoZero"/>
        <c:auto val="0"/>
        <c:lblAlgn val="ctr"/>
        <c:lblOffset val="200"/>
        <c:tickLblSkip val="1"/>
        <c:tickMarkSkip val="2"/>
        <c:noMultiLvlLbl val="0"/>
      </c:catAx>
      <c:valAx>
        <c:axId val="99909632"/>
        <c:scaling>
          <c:orientation val="minMax"/>
          <c:min val="3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907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Energy!$T$150:$T$283</c:f>
              <c:numCache>
                <c:formatCode>General</c:formatCode>
                <c:ptCount val="134"/>
                <c:pt idx="0">
                  <c:v>0.5</c:v>
                </c:pt>
                <c:pt idx="1">
                  <c:v>1.5</c:v>
                </c:pt>
                <c:pt idx="2">
                  <c:v>2.5</c:v>
                </c:pt>
                <c:pt idx="3">
                  <c:v>3.5</c:v>
                </c:pt>
                <c:pt idx="4">
                  <c:v>4.5</c:v>
                </c:pt>
                <c:pt idx="5">
                  <c:v>5.5</c:v>
                </c:pt>
                <c:pt idx="6">
                  <c:v>6.5</c:v>
                </c:pt>
                <c:pt idx="10">
                  <c:v>21.5</c:v>
                </c:pt>
                <c:pt idx="11">
                  <c:v>22.5</c:v>
                </c:pt>
                <c:pt idx="12">
                  <c:v>25.5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26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19</c:v>
                </c:pt>
                <c:pt idx="21">
                  <c:v>20</c:v>
                </c:pt>
                <c:pt idx="22">
                  <c:v>22.5</c:v>
                </c:pt>
                <c:pt idx="23">
                  <c:v>23.5</c:v>
                </c:pt>
                <c:pt idx="24">
                  <c:v>24.5</c:v>
                </c:pt>
                <c:pt idx="25">
                  <c:v>25.5</c:v>
                </c:pt>
                <c:pt idx="26">
                  <c:v>26.5</c:v>
                </c:pt>
                <c:pt idx="27">
                  <c:v>29.5</c:v>
                </c:pt>
                <c:pt idx="28">
                  <c:v>17</c:v>
                </c:pt>
                <c:pt idx="29">
                  <c:v>19</c:v>
                </c:pt>
                <c:pt idx="30">
                  <c:v>20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-2</c:v>
                </c:pt>
                <c:pt idx="39">
                  <c:v>1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6</c:v>
                </c:pt>
                <c:pt idx="44">
                  <c:v>8.5</c:v>
                </c:pt>
                <c:pt idx="45">
                  <c:v>9.5</c:v>
                </c:pt>
                <c:pt idx="46">
                  <c:v>11.5</c:v>
                </c:pt>
                <c:pt idx="47">
                  <c:v>12.5</c:v>
                </c:pt>
                <c:pt idx="48">
                  <c:v>14.5</c:v>
                </c:pt>
                <c:pt idx="49">
                  <c:v>15.5</c:v>
                </c:pt>
                <c:pt idx="50">
                  <c:v>29</c:v>
                </c:pt>
                <c:pt idx="51">
                  <c:v>30</c:v>
                </c:pt>
                <c:pt idx="52">
                  <c:v>33</c:v>
                </c:pt>
                <c:pt idx="53">
                  <c:v>34</c:v>
                </c:pt>
                <c:pt idx="54">
                  <c:v>25</c:v>
                </c:pt>
                <c:pt idx="55">
                  <c:v>26</c:v>
                </c:pt>
                <c:pt idx="56">
                  <c:v>31</c:v>
                </c:pt>
                <c:pt idx="57">
                  <c:v>32</c:v>
                </c:pt>
                <c:pt idx="58">
                  <c:v>10.5</c:v>
                </c:pt>
                <c:pt idx="59">
                  <c:v>12.5</c:v>
                </c:pt>
                <c:pt idx="60">
                  <c:v>13.5</c:v>
                </c:pt>
                <c:pt idx="61">
                  <c:v>14.5</c:v>
                </c:pt>
                <c:pt idx="62">
                  <c:v>15.5</c:v>
                </c:pt>
                <c:pt idx="63">
                  <c:v>16.5</c:v>
                </c:pt>
                <c:pt idx="64">
                  <c:v>17.5</c:v>
                </c:pt>
                <c:pt idx="65">
                  <c:v>7.5</c:v>
                </c:pt>
                <c:pt idx="66">
                  <c:v>8.5</c:v>
                </c:pt>
                <c:pt idx="67">
                  <c:v>9.5</c:v>
                </c:pt>
                <c:pt idx="68">
                  <c:v>12.5</c:v>
                </c:pt>
                <c:pt idx="69">
                  <c:v>17.5</c:v>
                </c:pt>
                <c:pt idx="116">
                  <c:v>19</c:v>
                </c:pt>
                <c:pt idx="117">
                  <c:v>20</c:v>
                </c:pt>
                <c:pt idx="118">
                  <c:v>21</c:v>
                </c:pt>
                <c:pt idx="119">
                  <c:v>22</c:v>
                </c:pt>
                <c:pt idx="120">
                  <c:v>24</c:v>
                </c:pt>
                <c:pt idx="121">
                  <c:v>25</c:v>
                </c:pt>
                <c:pt idx="122">
                  <c:v>26</c:v>
                </c:pt>
                <c:pt idx="123">
                  <c:v>12</c:v>
                </c:pt>
                <c:pt idx="124">
                  <c:v>13</c:v>
                </c:pt>
                <c:pt idx="125">
                  <c:v>15</c:v>
                </c:pt>
                <c:pt idx="126">
                  <c:v>16</c:v>
                </c:pt>
                <c:pt idx="127">
                  <c:v>17</c:v>
                </c:pt>
                <c:pt idx="128">
                  <c:v>18</c:v>
                </c:pt>
                <c:pt idx="129">
                  <c:v>16</c:v>
                </c:pt>
                <c:pt idx="130">
                  <c:v>17</c:v>
                </c:pt>
                <c:pt idx="131">
                  <c:v>18</c:v>
                </c:pt>
              </c:numCache>
            </c:numRef>
          </c:xVal>
          <c:yVal>
            <c:numRef>
              <c:f>Energy!$Q$150:$Q$284</c:f>
              <c:numCache>
                <c:formatCode>General</c:formatCode>
                <c:ptCount val="135"/>
                <c:pt idx="0">
                  <c:v>49.775666666666659</c:v>
                </c:pt>
                <c:pt idx="1">
                  <c:v>47.034893617021275</c:v>
                </c:pt>
                <c:pt idx="2">
                  <c:v>49.584102564102558</c:v>
                </c:pt>
                <c:pt idx="3">
                  <c:v>44.791785714285702</c:v>
                </c:pt>
                <c:pt idx="4">
                  <c:v>49.288571428571423</c:v>
                </c:pt>
                <c:pt idx="5">
                  <c:v>48.796818181818182</c:v>
                </c:pt>
                <c:pt idx="6">
                  <c:v>49.272500000000001</c:v>
                </c:pt>
                <c:pt idx="7">
                  <c:v>43.45</c:v>
                </c:pt>
                <c:pt idx="8">
                  <c:v>47.889090909090903</c:v>
                </c:pt>
                <c:pt idx="9">
                  <c:v>46.95</c:v>
                </c:pt>
                <c:pt idx="10">
                  <c:v>42.468500000000006</c:v>
                </c:pt>
                <c:pt idx="11">
                  <c:v>43.65821428571428</c:v>
                </c:pt>
                <c:pt idx="12">
                  <c:v>43.266818181818181</c:v>
                </c:pt>
                <c:pt idx="13">
                  <c:v>46.604374999999997</c:v>
                </c:pt>
                <c:pt idx="14">
                  <c:v>50.728124999999991</c:v>
                </c:pt>
                <c:pt idx="15">
                  <c:v>37.743499999999997</c:v>
                </c:pt>
                <c:pt idx="16">
                  <c:v>43.410714285714292</c:v>
                </c:pt>
                <c:pt idx="17">
                  <c:v>43.47727272727272</c:v>
                </c:pt>
                <c:pt idx="18">
                  <c:v>44.408095238095235</c:v>
                </c:pt>
                <c:pt idx="19">
                  <c:v>37.077222222222225</c:v>
                </c:pt>
                <c:pt idx="20">
                  <c:v>38.475624999999994</c:v>
                </c:pt>
                <c:pt idx="21">
                  <c:v>44.990769230769224</c:v>
                </c:pt>
                <c:pt idx="22">
                  <c:v>67.61999999999999</c:v>
                </c:pt>
                <c:pt idx="23">
                  <c:v>47.345714285714294</c:v>
                </c:pt>
                <c:pt idx="24">
                  <c:v>47.491034482758621</c:v>
                </c:pt>
                <c:pt idx="25">
                  <c:v>54.704583333333325</c:v>
                </c:pt>
                <c:pt idx="26">
                  <c:v>54.88066666666667</c:v>
                </c:pt>
                <c:pt idx="27">
                  <c:v>37.517631578947373</c:v>
                </c:pt>
                <c:pt idx="28">
                  <c:v>52.42499999999999</c:v>
                </c:pt>
                <c:pt idx="29">
                  <c:v>60.257142857142838</c:v>
                </c:pt>
                <c:pt idx="30">
                  <c:v>62.93666666666666</c:v>
                </c:pt>
                <c:pt idx="31">
                  <c:v>50.278750000000002</c:v>
                </c:pt>
                <c:pt idx="32">
                  <c:v>70.45</c:v>
                </c:pt>
                <c:pt idx="33">
                  <c:v>62.099999999999994</c:v>
                </c:pt>
                <c:pt idx="34">
                  <c:v>62.676428571428559</c:v>
                </c:pt>
                <c:pt idx="35">
                  <c:v>71.3</c:v>
                </c:pt>
                <c:pt idx="36">
                  <c:v>28.274999999999999</c:v>
                </c:pt>
                <c:pt idx="37">
                  <c:v>48.76</c:v>
                </c:pt>
                <c:pt idx="38">
                  <c:v>62.121363636363633</c:v>
                </c:pt>
                <c:pt idx="39">
                  <c:v>45.204999999999998</c:v>
                </c:pt>
                <c:pt idx="40">
                  <c:v>53.003333333333323</c:v>
                </c:pt>
                <c:pt idx="41">
                  <c:v>55.135000000000005</c:v>
                </c:pt>
                <c:pt idx="42">
                  <c:v>48.004347826086949</c:v>
                </c:pt>
                <c:pt idx="43">
                  <c:v>45.06666666666667</c:v>
                </c:pt>
                <c:pt idx="44">
                  <c:v>55.367500000000007</c:v>
                </c:pt>
                <c:pt idx="45">
                  <c:v>48.731162790697674</c:v>
                </c:pt>
                <c:pt idx="46">
                  <c:v>52.772500000000001</c:v>
                </c:pt>
                <c:pt idx="47">
                  <c:v>48.885999999999996</c:v>
                </c:pt>
                <c:pt idx="48">
                  <c:v>53.750000000000007</c:v>
                </c:pt>
                <c:pt idx="49">
                  <c:v>39.975000000000001</c:v>
                </c:pt>
                <c:pt idx="50">
                  <c:v>34.71</c:v>
                </c:pt>
                <c:pt idx="51">
                  <c:v>34.271250000000002</c:v>
                </c:pt>
                <c:pt idx="52">
                  <c:v>40.350769230769238</c:v>
                </c:pt>
                <c:pt idx="53">
                  <c:v>36.270000000000003</c:v>
                </c:pt>
                <c:pt idx="54">
                  <c:v>50.466250000000002</c:v>
                </c:pt>
                <c:pt idx="55">
                  <c:v>43.348500000000008</c:v>
                </c:pt>
                <c:pt idx="56">
                  <c:v>36.502352941176468</c:v>
                </c:pt>
                <c:pt idx="57">
                  <c:v>39.150769230769228</c:v>
                </c:pt>
                <c:pt idx="58">
                  <c:v>52.884615384615373</c:v>
                </c:pt>
                <c:pt idx="59">
                  <c:v>51.199999999999996</c:v>
                </c:pt>
                <c:pt idx="60">
                  <c:v>50.402272727272731</c:v>
                </c:pt>
                <c:pt idx="61">
                  <c:v>52.866500000000009</c:v>
                </c:pt>
                <c:pt idx="62">
                  <c:v>48.671999999999997</c:v>
                </c:pt>
                <c:pt idx="63">
                  <c:v>47.015416666666653</c:v>
                </c:pt>
                <c:pt idx="64">
                  <c:v>37.180555555555557</c:v>
                </c:pt>
                <c:pt idx="66">
                  <c:v>57.657692307692301</c:v>
                </c:pt>
                <c:pt idx="67">
                  <c:v>63.447142857142858</c:v>
                </c:pt>
                <c:pt idx="68">
                  <c:v>73.599999999999994</c:v>
                </c:pt>
                <c:pt idx="69">
                  <c:v>44.905555555555559</c:v>
                </c:pt>
                <c:pt idx="70">
                  <c:v>51.291000000000004</c:v>
                </c:pt>
                <c:pt idx="71">
                  <c:v>50.917999999999992</c:v>
                </c:pt>
                <c:pt idx="72">
                  <c:v>58.32040816326532</c:v>
                </c:pt>
                <c:pt idx="73">
                  <c:v>45.035294117647048</c:v>
                </c:pt>
                <c:pt idx="75">
                  <c:v>51.742391304347819</c:v>
                </c:pt>
                <c:pt idx="76">
                  <c:v>56.007999999999981</c:v>
                </c:pt>
                <c:pt idx="77">
                  <c:v>52.940000000000005</c:v>
                </c:pt>
                <c:pt idx="78">
                  <c:v>49.649999999999991</c:v>
                </c:pt>
                <c:pt idx="79">
                  <c:v>48.36</c:v>
                </c:pt>
                <c:pt idx="80">
                  <c:v>44.85</c:v>
                </c:pt>
                <c:pt idx="81">
                  <c:v>47.922413793103438</c:v>
                </c:pt>
                <c:pt idx="82">
                  <c:v>40.149687499999985</c:v>
                </c:pt>
                <c:pt idx="83">
                  <c:v>42.412499999999994</c:v>
                </c:pt>
                <c:pt idx="84">
                  <c:v>45.240363636363639</c:v>
                </c:pt>
                <c:pt idx="85">
                  <c:v>59.866666666666674</c:v>
                </c:pt>
                <c:pt idx="86">
                  <c:v>52.392105263157895</c:v>
                </c:pt>
                <c:pt idx="87">
                  <c:v>56.792499999999983</c:v>
                </c:pt>
                <c:pt idx="88">
                  <c:v>51.23846153846155</c:v>
                </c:pt>
                <c:pt idx="89">
                  <c:v>44.955555555555556</c:v>
                </c:pt>
                <c:pt idx="90">
                  <c:v>54.05899999999999</c:v>
                </c:pt>
                <c:pt idx="91">
                  <c:v>41.456842105263156</c:v>
                </c:pt>
                <c:pt idx="92">
                  <c:v>50.177777777777777</c:v>
                </c:pt>
                <c:pt idx="93">
                  <c:v>49.766666666666673</c:v>
                </c:pt>
                <c:pt idx="94">
                  <c:v>41.687142857142867</c:v>
                </c:pt>
                <c:pt idx="95">
                  <c:v>47.97</c:v>
                </c:pt>
                <c:pt idx="96">
                  <c:v>46.41882352941176</c:v>
                </c:pt>
                <c:pt idx="97">
                  <c:v>55.748181818181813</c:v>
                </c:pt>
                <c:pt idx="98">
                  <c:v>56.998571428571424</c:v>
                </c:pt>
                <c:pt idx="99">
                  <c:v>69.014687500000008</c:v>
                </c:pt>
                <c:pt idx="100">
                  <c:v>56.436607142857149</c:v>
                </c:pt>
                <c:pt idx="101">
                  <c:v>51.407941176470572</c:v>
                </c:pt>
                <c:pt idx="102">
                  <c:v>48.21315789473686</c:v>
                </c:pt>
                <c:pt idx="103">
                  <c:v>51.011764705882364</c:v>
                </c:pt>
                <c:pt idx="104">
                  <c:v>50.553333333333335</c:v>
                </c:pt>
                <c:pt idx="105">
                  <c:v>46.598275862068974</c:v>
                </c:pt>
                <c:pt idx="106">
                  <c:v>46.474999999999994</c:v>
                </c:pt>
                <c:pt idx="107">
                  <c:v>56.86807692307692</c:v>
                </c:pt>
                <c:pt idx="108">
                  <c:v>54.795000000000002</c:v>
                </c:pt>
                <c:pt idx="109">
                  <c:v>53.216956521739142</c:v>
                </c:pt>
                <c:pt idx="110">
                  <c:v>48.98</c:v>
                </c:pt>
                <c:pt idx="111">
                  <c:v>50.848749999999988</c:v>
                </c:pt>
                <c:pt idx="112">
                  <c:v>62.94</c:v>
                </c:pt>
                <c:pt idx="113">
                  <c:v>57.760769230769228</c:v>
                </c:pt>
                <c:pt idx="114">
                  <c:v>56.923571428571435</c:v>
                </c:pt>
                <c:pt idx="115">
                  <c:v>68.416666666666671</c:v>
                </c:pt>
                <c:pt idx="116">
                  <c:v>53.474999999999994</c:v>
                </c:pt>
                <c:pt idx="117">
                  <c:v>58.343749999999993</c:v>
                </c:pt>
                <c:pt idx="118">
                  <c:v>63.308888888888887</c:v>
                </c:pt>
                <c:pt idx="119">
                  <c:v>61.281818181818196</c:v>
                </c:pt>
                <c:pt idx="120">
                  <c:v>71.511702127659561</c:v>
                </c:pt>
                <c:pt idx="121">
                  <c:v>75.375952380952356</c:v>
                </c:pt>
                <c:pt idx="122">
                  <c:v>76.851111111111095</c:v>
                </c:pt>
                <c:pt idx="123">
                  <c:v>58.247499999999988</c:v>
                </c:pt>
                <c:pt idx="124">
                  <c:v>72.105000000000018</c:v>
                </c:pt>
                <c:pt idx="125">
                  <c:v>65.174814814814809</c:v>
                </c:pt>
                <c:pt idx="126">
                  <c:v>69.204999999999998</c:v>
                </c:pt>
                <c:pt idx="127">
                  <c:v>60.728260869565226</c:v>
                </c:pt>
                <c:pt idx="128">
                  <c:v>49.817777777777764</c:v>
                </c:pt>
                <c:pt idx="129">
                  <c:v>92.775000000000006</c:v>
                </c:pt>
                <c:pt idx="130">
                  <c:v>67.2</c:v>
                </c:pt>
                <c:pt idx="131">
                  <c:v>78.789166666666659</c:v>
                </c:pt>
                <c:pt idx="132">
                  <c:v>60.99</c:v>
                </c:pt>
                <c:pt idx="133">
                  <c:v>39.700000000000003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43840"/>
        <c:axId val="95838976"/>
      </c:scatterChart>
      <c:valAx>
        <c:axId val="9584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 since spawning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838976"/>
        <c:crosses val="autoZero"/>
        <c:crossBetween val="midCat"/>
      </c:valAx>
      <c:valAx>
        <c:axId val="95838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aseline="0"/>
                  <a:t>Energy (KJ)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843840"/>
        <c:crossesAt val="-5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Adult Common</a:t>
            </a:r>
            <a:r>
              <a:rPr lang="en-US" sz="1400" baseline="0"/>
              <a:t> Murre Mass vs Percent Gravid Capelin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'BeachDem spawn'!$B$3</c:f>
              <c:strCache>
                <c:ptCount val="1"/>
                <c:pt idx="0">
                  <c:v>ad ave mass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3898075240595"/>
                  <c:y val="-0.295674759405073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0.109x + 925.81
R² = 0.07779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0.203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trendline>
            <c:spPr>
              <a:ln>
                <a:solidFill>
                  <a:schemeClr val="bg1">
                    <a:lumMod val="6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'BeachDem spawn'!$B$4:$B$14</c:f>
              <c:numCache>
                <c:formatCode>General</c:formatCode>
                <c:ptCount val="11"/>
                <c:pt idx="0">
                  <c:v>940.4</c:v>
                </c:pt>
                <c:pt idx="1">
                  <c:v>908.22</c:v>
                </c:pt>
                <c:pt idx="2">
                  <c:v>934.66</c:v>
                </c:pt>
                <c:pt idx="3">
                  <c:v>920.63</c:v>
                </c:pt>
                <c:pt idx="4">
                  <c:v>927.3</c:v>
                </c:pt>
                <c:pt idx="5">
                  <c:v>936.19</c:v>
                </c:pt>
                <c:pt idx="6">
                  <c:v>934.4</c:v>
                </c:pt>
                <c:pt idx="7">
                  <c:v>937.49</c:v>
                </c:pt>
                <c:pt idx="8">
                  <c:v>928.28</c:v>
                </c:pt>
                <c:pt idx="9">
                  <c:v>922.19</c:v>
                </c:pt>
                <c:pt idx="10">
                  <c:v>940.8</c:v>
                </c:pt>
              </c:numCache>
            </c:numRef>
          </c:xVal>
          <c:yVal>
            <c:numRef>
              <c:f>'BeachDem spawn'!$C$4:$C$14</c:f>
              <c:numCache>
                <c:formatCode>General</c:formatCode>
                <c:ptCount val="11"/>
                <c:pt idx="0">
                  <c:v>49.51</c:v>
                </c:pt>
                <c:pt idx="1">
                  <c:v>22.22</c:v>
                </c:pt>
                <c:pt idx="2">
                  <c:v>8.89</c:v>
                </c:pt>
                <c:pt idx="3">
                  <c:v>24.29</c:v>
                </c:pt>
                <c:pt idx="4">
                  <c:v>33.65</c:v>
                </c:pt>
                <c:pt idx="5">
                  <c:v>51.68</c:v>
                </c:pt>
                <c:pt idx="6">
                  <c:v>88.89</c:v>
                </c:pt>
                <c:pt idx="7">
                  <c:v>72.41</c:v>
                </c:pt>
                <c:pt idx="8">
                  <c:v>39.6</c:v>
                </c:pt>
                <c:pt idx="9">
                  <c:v>32.89</c:v>
                </c:pt>
                <c:pt idx="10">
                  <c:v>4.8099999999999996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00096"/>
        <c:axId val="55710464"/>
      </c:scatterChart>
      <c:valAx>
        <c:axId val="5570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Adult</a:t>
                </a:r>
                <a:r>
                  <a:rPr lang="en-US" baseline="0"/>
                  <a:t> Murre Mass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0464"/>
        <c:crosses val="autoZero"/>
        <c:crossBetween val="midCat"/>
      </c:valAx>
      <c:valAx>
        <c:axId val="557104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</a:t>
                </a:r>
                <a:r>
                  <a:rPr lang="en-US" baseline="0"/>
                  <a:t> Gravid Capelin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0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Common</a:t>
            </a:r>
            <a:r>
              <a:rPr lang="en-US" sz="1400" baseline="0"/>
              <a:t> Murre Fledgling Mass vs Percent Gravid Capelin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'BeachDem spawn'!$L$3</c:f>
              <c:strCache>
                <c:ptCount val="1"/>
                <c:pt idx="0">
                  <c:v>% gravid 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40837926509186"/>
                  <c:y val="-0.360890565762613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-0.3133x + 97.865
R² = 0.06713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0.196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'BeachDem spawn'!$K$4:$K$16</c:f>
              <c:numCache>
                <c:formatCode>General</c:formatCode>
                <c:ptCount val="13"/>
                <c:pt idx="0">
                  <c:v>170.65</c:v>
                </c:pt>
                <c:pt idx="1">
                  <c:v>145.9</c:v>
                </c:pt>
                <c:pt idx="2">
                  <c:v>216.4</c:v>
                </c:pt>
                <c:pt idx="3">
                  <c:v>166.2</c:v>
                </c:pt>
                <c:pt idx="4">
                  <c:v>221.9</c:v>
                </c:pt>
                <c:pt idx="5">
                  <c:v>156.1</c:v>
                </c:pt>
                <c:pt idx="6">
                  <c:v>189.5</c:v>
                </c:pt>
                <c:pt idx="7">
                  <c:v>197.9</c:v>
                </c:pt>
                <c:pt idx="8">
                  <c:v>216.1</c:v>
                </c:pt>
                <c:pt idx="9">
                  <c:v>198.6</c:v>
                </c:pt>
                <c:pt idx="10">
                  <c:v>179.5</c:v>
                </c:pt>
                <c:pt idx="11">
                  <c:v>196.9</c:v>
                </c:pt>
                <c:pt idx="12">
                  <c:v>191.6</c:v>
                </c:pt>
              </c:numCache>
            </c:numRef>
          </c:xVal>
          <c:yVal>
            <c:numRef>
              <c:f>'BeachDem spawn'!$L$4:$L$16</c:f>
              <c:numCache>
                <c:formatCode>General</c:formatCode>
                <c:ptCount val="13"/>
                <c:pt idx="0">
                  <c:v>49.51</c:v>
                </c:pt>
                <c:pt idx="1">
                  <c:v>22.22</c:v>
                </c:pt>
                <c:pt idx="2">
                  <c:v>8.89</c:v>
                </c:pt>
                <c:pt idx="3">
                  <c:v>24.29</c:v>
                </c:pt>
                <c:pt idx="4">
                  <c:v>33.65</c:v>
                </c:pt>
                <c:pt idx="5">
                  <c:v>88.89</c:v>
                </c:pt>
                <c:pt idx="6">
                  <c:v>72.41</c:v>
                </c:pt>
                <c:pt idx="7">
                  <c:v>4.8099999999999996</c:v>
                </c:pt>
                <c:pt idx="8">
                  <c:v>39.24</c:v>
                </c:pt>
                <c:pt idx="9">
                  <c:v>79.45</c:v>
                </c:pt>
                <c:pt idx="10">
                  <c:v>57.47</c:v>
                </c:pt>
                <c:pt idx="11">
                  <c:v>18.100000000000001</c:v>
                </c:pt>
                <c:pt idx="12">
                  <c:v>6.67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6288"/>
        <c:axId val="55758208"/>
      </c:scatterChart>
      <c:valAx>
        <c:axId val="55756288"/>
        <c:scaling>
          <c:orientation val="minMax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Fledgling</a:t>
                </a:r>
                <a:r>
                  <a:rPr lang="en-US" baseline="0"/>
                  <a:t> Mass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208"/>
        <c:crosses val="autoZero"/>
        <c:crossBetween val="midCat"/>
      </c:valAx>
      <c:valAx>
        <c:axId val="5575820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Garvid Capelin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6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Adult Common Murre</a:t>
            </a:r>
            <a:r>
              <a:rPr lang="en-US" sz="1400" baseline="0"/>
              <a:t> Mass vs Demersal Spawning Date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5693785759213499"/>
                  <c:y val="-0.317835702856396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0.1891x + 23.934
R² = 0.03728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0.282117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spawn'!$H$15:$H$22</c:f>
              <c:numCache>
                <c:formatCode>General</c:formatCode>
                <c:ptCount val="8"/>
                <c:pt idx="0">
                  <c:v>940.4</c:v>
                </c:pt>
                <c:pt idx="1">
                  <c:v>934.66</c:v>
                </c:pt>
                <c:pt idx="2">
                  <c:v>920.63</c:v>
                </c:pt>
                <c:pt idx="3">
                  <c:v>927.3</c:v>
                </c:pt>
                <c:pt idx="4">
                  <c:v>936.19</c:v>
                </c:pt>
                <c:pt idx="5">
                  <c:v>934.4</c:v>
                </c:pt>
                <c:pt idx="6">
                  <c:v>922.19</c:v>
                </c:pt>
                <c:pt idx="7">
                  <c:v>940.8</c:v>
                </c:pt>
              </c:numCache>
            </c:numRef>
          </c:xVal>
          <c:yVal>
            <c:numRef>
              <c:f>'BeachDem spawn'!$I$15:$I$22</c:f>
              <c:numCache>
                <c:formatCode>General</c:formatCode>
                <c:ptCount val="8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203</c:v>
                </c:pt>
                <c:pt idx="7">
                  <c:v>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92000"/>
        <c:axId val="55793920"/>
      </c:scatterChart>
      <c:valAx>
        <c:axId val="55792000"/>
        <c:scaling>
          <c:orientation val="minMax"/>
          <c:min val="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Adult Murre Mass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3920"/>
        <c:crosses val="autoZero"/>
        <c:crossBetween val="midCat"/>
      </c:valAx>
      <c:valAx>
        <c:axId val="557939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Demersal</a:t>
                </a:r>
                <a:r>
                  <a:rPr lang="en-US" baseline="0"/>
                  <a:t> Spawning Date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2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Adult</a:t>
            </a:r>
            <a:r>
              <a:rPr lang="en-US" sz="1400" baseline="0"/>
              <a:t> Common Murre Mass vs Beach Spawning Date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'BeachDem spawn'!$H$3</c:f>
              <c:strCache>
                <c:ptCount val="1"/>
                <c:pt idx="0">
                  <c:v>Bch Spawn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6206349779672"/>
                  <c:y val="-0.298245006378299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0.4913x - 264.18
R² = 0.1151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0.206357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spawn'!$J$19:$J$26</c:f>
              <c:numCache>
                <c:formatCode>General</c:formatCode>
                <c:ptCount val="8"/>
                <c:pt idx="0">
                  <c:v>940.4</c:v>
                </c:pt>
                <c:pt idx="1">
                  <c:v>934.66</c:v>
                </c:pt>
                <c:pt idx="2">
                  <c:v>920.63</c:v>
                </c:pt>
                <c:pt idx="3">
                  <c:v>936.19</c:v>
                </c:pt>
                <c:pt idx="4">
                  <c:v>934.4</c:v>
                </c:pt>
                <c:pt idx="5">
                  <c:v>937.49</c:v>
                </c:pt>
                <c:pt idx="6">
                  <c:v>922.19</c:v>
                </c:pt>
                <c:pt idx="7">
                  <c:v>940.8</c:v>
                </c:pt>
              </c:numCache>
            </c:numRef>
          </c:xVal>
          <c:yVal>
            <c:numRef>
              <c:f>'BeachDem spawn'!$K$19:$K$26</c:f>
              <c:numCache>
                <c:formatCode>General</c:formatCode>
                <c:ptCount val="8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23360"/>
        <c:axId val="55825536"/>
      </c:scatterChart>
      <c:valAx>
        <c:axId val="55823360"/>
        <c:scaling>
          <c:orientation val="minMax"/>
          <c:min val="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Adult Murre Mass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5536"/>
        <c:crosses val="autoZero"/>
        <c:crossBetween val="midCat"/>
      </c:valAx>
      <c:valAx>
        <c:axId val="558255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Beach Spawning Date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23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Percent</a:t>
            </a:r>
            <a:r>
              <a:rPr lang="en-US" sz="1400" baseline="0"/>
              <a:t> Gravid Capelin vs Beach Spawning Date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0700541814309399E-2"/>
                  <c:y val="-0.209078002295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0.1916x + 186.41
R² = 0.25597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0.1013295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spawn'!$G$4:$G$12</c:f>
              <c:numCache>
                <c:formatCode>General</c:formatCode>
                <c:ptCount val="9"/>
                <c:pt idx="0">
                  <c:v>49.51</c:v>
                </c:pt>
                <c:pt idx="1">
                  <c:v>8.89</c:v>
                </c:pt>
                <c:pt idx="2">
                  <c:v>24.29</c:v>
                </c:pt>
                <c:pt idx="3">
                  <c:v>33.65</c:v>
                </c:pt>
                <c:pt idx="4">
                  <c:v>51.11</c:v>
                </c:pt>
                <c:pt idx="5">
                  <c:v>88.89</c:v>
                </c:pt>
                <c:pt idx="6">
                  <c:v>72.41</c:v>
                </c:pt>
                <c:pt idx="7">
                  <c:v>32.89</c:v>
                </c:pt>
                <c:pt idx="8">
                  <c:v>4.8099999999999996</c:v>
                </c:pt>
              </c:numCache>
            </c:numRef>
          </c:xVal>
          <c:yVal>
            <c:numRef>
              <c:f>'BeachDem spawn'!$H$4:$H$12</c:f>
              <c:numCache>
                <c:formatCode>General</c:formatCode>
                <c:ptCount val="9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4">
                  <c:v>188</c:v>
                </c:pt>
                <c:pt idx="5">
                  <c:v>194</c:v>
                </c:pt>
                <c:pt idx="6">
                  <c:v>205</c:v>
                </c:pt>
                <c:pt idx="7">
                  <c:v>196</c:v>
                </c:pt>
                <c:pt idx="8">
                  <c:v>184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29760"/>
        <c:axId val="101040128"/>
      </c:scatterChart>
      <c:valAx>
        <c:axId val="10102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Gravid Capelin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40128"/>
        <c:crosses val="autoZero"/>
        <c:crossBetween val="midCat"/>
      </c:valAx>
      <c:valAx>
        <c:axId val="1010401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Beach Spawning Date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29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Percent</a:t>
            </a:r>
            <a:r>
              <a:rPr lang="en-US" sz="1400" baseline="0"/>
              <a:t> Gravid Capelin vs Demersal Spawning Date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0348862642169702E-2"/>
                  <c:y val="-0.269644575678040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0.0906x + 196.92
R² = 0.10813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0.1965385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spawn'!$M$95:$M$103</c:f>
              <c:numCache>
                <c:formatCode>General</c:formatCode>
                <c:ptCount val="9"/>
                <c:pt idx="0">
                  <c:v>49.51</c:v>
                </c:pt>
                <c:pt idx="1">
                  <c:v>8.89</c:v>
                </c:pt>
                <c:pt idx="2">
                  <c:v>24.29</c:v>
                </c:pt>
                <c:pt idx="3">
                  <c:v>33.65</c:v>
                </c:pt>
                <c:pt idx="4">
                  <c:v>51.68</c:v>
                </c:pt>
                <c:pt idx="5">
                  <c:v>88.89</c:v>
                </c:pt>
                <c:pt idx="6">
                  <c:v>39.6</c:v>
                </c:pt>
                <c:pt idx="7">
                  <c:v>32.89</c:v>
                </c:pt>
                <c:pt idx="8">
                  <c:v>4.8099999999999996</c:v>
                </c:pt>
              </c:numCache>
            </c:numRef>
          </c:xVal>
          <c:yVal>
            <c:numRef>
              <c:f>'BeachDem spawn'!$N$95:$N$103</c:f>
              <c:numCache>
                <c:formatCode>General</c:formatCode>
                <c:ptCount val="9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27616"/>
        <c:axId val="101329536"/>
      </c:scatterChart>
      <c:valAx>
        <c:axId val="10132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Gravid Capelin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29536"/>
        <c:crosses val="autoZero"/>
        <c:crossBetween val="midCat"/>
      </c:valAx>
      <c:valAx>
        <c:axId val="1013295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Demersal Spawning Date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27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Common Murre</a:t>
            </a:r>
            <a:r>
              <a:rPr lang="en-US" sz="1400" baseline="0"/>
              <a:t> Fledgling Mass vs Demersal Spawning Date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8060148731408605E-2"/>
                  <c:y val="-0.332681539807524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-0.0846x + 217.58
R² = 0.07621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0.2550715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spawn'!$R$15:$R$22</c:f>
              <c:numCache>
                <c:formatCode>General</c:formatCode>
                <c:ptCount val="8"/>
                <c:pt idx="0">
                  <c:v>170.65</c:v>
                </c:pt>
                <c:pt idx="1">
                  <c:v>216.4</c:v>
                </c:pt>
                <c:pt idx="2">
                  <c:v>166.2</c:v>
                </c:pt>
                <c:pt idx="3">
                  <c:v>221.9</c:v>
                </c:pt>
                <c:pt idx="4">
                  <c:v>156.1</c:v>
                </c:pt>
                <c:pt idx="5">
                  <c:v>197.9</c:v>
                </c:pt>
                <c:pt idx="6">
                  <c:v>216.1</c:v>
                </c:pt>
                <c:pt idx="7">
                  <c:v>198.6</c:v>
                </c:pt>
              </c:numCache>
            </c:numRef>
          </c:xVal>
          <c:yVal>
            <c:numRef>
              <c:f>'BeachDem spawn'!$S$15:$S$22</c:f>
              <c:numCache>
                <c:formatCode>General</c:formatCode>
                <c:ptCount val="8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200</c:v>
                </c:pt>
                <c:pt idx="5">
                  <c:v>194</c:v>
                </c:pt>
                <c:pt idx="6">
                  <c:v>204</c:v>
                </c:pt>
                <c:pt idx="7">
                  <c:v>207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60608"/>
        <c:axId val="101062144"/>
      </c:scatterChart>
      <c:valAx>
        <c:axId val="101060608"/>
        <c:scaling>
          <c:orientation val="minMax"/>
          <c:min val="1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Fledgling Mass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62144"/>
        <c:crosses val="autoZero"/>
        <c:crossBetween val="midCat"/>
      </c:valAx>
      <c:valAx>
        <c:axId val="1010621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Demersal</a:t>
                </a:r>
                <a:r>
                  <a:rPr lang="en-US" baseline="0"/>
                  <a:t> Spawning Date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60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Common</a:t>
            </a:r>
            <a:r>
              <a:rPr lang="en-US" sz="1400" baseline="0"/>
              <a:t> Murre Fledgling Mass vs Beach Spawning Date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0979877515310597E-3"/>
                  <c:y val="-0.299865850102071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-0.135x + 220.25
R² = 0.0771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0.252175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spawn'!$W$23:$W$30</c:f>
              <c:numCache>
                <c:formatCode>General</c:formatCode>
                <c:ptCount val="8"/>
                <c:pt idx="0">
                  <c:v>170.65</c:v>
                </c:pt>
                <c:pt idx="1">
                  <c:v>216.4</c:v>
                </c:pt>
                <c:pt idx="2">
                  <c:v>166.2</c:v>
                </c:pt>
                <c:pt idx="3">
                  <c:v>156.1</c:v>
                </c:pt>
                <c:pt idx="4">
                  <c:v>189.5</c:v>
                </c:pt>
                <c:pt idx="5">
                  <c:v>197.9</c:v>
                </c:pt>
                <c:pt idx="6">
                  <c:v>216.1</c:v>
                </c:pt>
                <c:pt idx="7">
                  <c:v>198.6</c:v>
                </c:pt>
              </c:numCache>
            </c:numRef>
          </c:xVal>
          <c:yVal>
            <c:numRef>
              <c:f>'BeachDem spawn'!$X$23:$X$30</c:f>
              <c:numCache>
                <c:formatCode>General</c:formatCode>
                <c:ptCount val="8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194</c:v>
                </c:pt>
                <c:pt idx="4">
                  <c:v>205</c:v>
                </c:pt>
                <c:pt idx="5">
                  <c:v>184</c:v>
                </c:pt>
                <c:pt idx="6">
                  <c:v>191</c:v>
                </c:pt>
                <c:pt idx="7">
                  <c:v>196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87488"/>
        <c:axId val="101097856"/>
      </c:scatterChart>
      <c:valAx>
        <c:axId val="101087488"/>
        <c:scaling>
          <c:orientation val="minMax"/>
          <c:min val="1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Fledgling</a:t>
                </a:r>
                <a:r>
                  <a:rPr lang="en-US" baseline="0"/>
                  <a:t> Mass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97856"/>
        <c:crosses val="autoZero"/>
        <c:crossBetween val="midCat"/>
      </c:valAx>
      <c:valAx>
        <c:axId val="1010978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Beach Spawning Date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87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Lengths 1990-2016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1.7332138567424799E-2"/>
                  <c:y val="-0.28362982929020703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0.1797x - 223.46
R² = 0.06194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0.104428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SumTblValueOnly!$A$185:$A$211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SumTblValueOnly!$B$185:$B$211</c:f>
              <c:numCache>
                <c:formatCode>0.00</c:formatCode>
                <c:ptCount val="27"/>
                <c:pt idx="0">
                  <c:v>133.86956521739131</c:v>
                </c:pt>
                <c:pt idx="1">
                  <c:v>138.38235294117646</c:v>
                </c:pt>
                <c:pt idx="2">
                  <c:v>128.28846153846155</c:v>
                </c:pt>
                <c:pt idx="3">
                  <c:v>139.05940594059405</c:v>
                </c:pt>
                <c:pt idx="4">
                  <c:v>137.62264150943398</c:v>
                </c:pt>
                <c:pt idx="5">
                  <c:v>129.66666666666666</c:v>
                </c:pt>
                <c:pt idx="6">
                  <c:v>141.0612244897959</c:v>
                </c:pt>
                <c:pt idx="7">
                  <c:v>129.87557603686636</c:v>
                </c:pt>
                <c:pt idx="8">
                  <c:v>130.20754716981133</c:v>
                </c:pt>
                <c:pt idx="9">
                  <c:v>135.87234042553192</c:v>
                </c:pt>
                <c:pt idx="10">
                  <c:v>145.82499999999999</c:v>
                </c:pt>
                <c:pt idx="11">
                  <c:v>137.98850574712642</c:v>
                </c:pt>
                <c:pt idx="12">
                  <c:v>133.22674418604652</c:v>
                </c:pt>
                <c:pt idx="13">
                  <c:v>129.55072463768116</c:v>
                </c:pt>
                <c:pt idx="14">
                  <c:v>132.7248888888889</c:v>
                </c:pt>
                <c:pt idx="15">
                  <c:v>134.70522222222215</c:v>
                </c:pt>
                <c:pt idx="16">
                  <c:v>134.44599999999997</c:v>
                </c:pt>
                <c:pt idx="17">
                  <c:v>134.37576576576581</c:v>
                </c:pt>
                <c:pt idx="18">
                  <c:v>138.47600000000003</c:v>
                </c:pt>
                <c:pt idx="19">
                  <c:v>148.78162790697669</c:v>
                </c:pt>
                <c:pt idx="20">
                  <c:v>146.77526315789473</c:v>
                </c:pt>
                <c:pt idx="21">
                  <c:v>131.6373214285714</c:v>
                </c:pt>
                <c:pt idx="22">
                  <c:v>143.83632911392408</c:v>
                </c:pt>
                <c:pt idx="23">
                  <c:v>142.97354166666665</c:v>
                </c:pt>
                <c:pt idx="24">
                  <c:v>137.51</c:v>
                </c:pt>
                <c:pt idx="25" formatCode="General">
                  <c:v>140.47999999999999</c:v>
                </c:pt>
                <c:pt idx="26" formatCode="General">
                  <c:v>127.96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05376"/>
        <c:axId val="100007296"/>
      </c:scatterChart>
      <c:valAx>
        <c:axId val="10000537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0007296"/>
        <c:crosses val="autoZero"/>
        <c:crossBetween val="midCat"/>
      </c:valAx>
      <c:valAx>
        <c:axId val="1000072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Total Length Female Capelin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000537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Lengths 1990-2016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19050">
                <a:solidFill>
                  <a:srgbClr val="CC0000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3.6734781033726703E-2"/>
                  <c:y val="-0.279793988015648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-0.276x + 9.1211
R² = 0.06884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0.287363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SumTblValueOnly!$E$185:$E$207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SumTblValueOnly!$F$185:$F$207</c:f>
              <c:numCache>
                <c:formatCode>0.00</c:formatCode>
                <c:ptCount val="23"/>
                <c:pt idx="0">
                  <c:v>128.19999999999999</c:v>
                </c:pt>
                <c:pt idx="1">
                  <c:v>146</c:v>
                </c:pt>
                <c:pt idx="2">
                  <c:v>141.4</c:v>
                </c:pt>
                <c:pt idx="3">
                  <c:v>153.22222222222223</c:v>
                </c:pt>
                <c:pt idx="4">
                  <c:v>152.28571428571428</c:v>
                </c:pt>
                <c:pt idx="5">
                  <c:v>142</c:v>
                </c:pt>
                <c:pt idx="6">
                  <c:v>150</c:v>
                </c:pt>
                <c:pt idx="7">
                  <c:v>145.10526315789474</c:v>
                </c:pt>
                <c:pt idx="8">
                  <c:v>145</c:v>
                </c:pt>
                <c:pt idx="9">
                  <c:v>150</c:v>
                </c:pt>
                <c:pt idx="10">
                  <c:v>157</c:v>
                </c:pt>
                <c:pt idx="11">
                  <c:v>141.5</c:v>
                </c:pt>
                <c:pt idx="12">
                  <c:v>152.4</c:v>
                </c:pt>
                <c:pt idx="13">
                  <c:v>150.21</c:v>
                </c:pt>
                <c:pt idx="14">
                  <c:v>141.81666666666666</c:v>
                </c:pt>
                <c:pt idx="15">
                  <c:v>152.08000000000001</c:v>
                </c:pt>
                <c:pt idx="16">
                  <c:v>154.88</c:v>
                </c:pt>
                <c:pt idx="17">
                  <c:v>165.76</c:v>
                </c:pt>
                <c:pt idx="18">
                  <c:v>136.84074074074073</c:v>
                </c:pt>
                <c:pt idx="19">
                  <c:v>165.14</c:v>
                </c:pt>
                <c:pt idx="20">
                  <c:v>141.82</c:v>
                </c:pt>
                <c:pt idx="21">
                  <c:v>134</c:v>
                </c:pt>
                <c:pt idx="22" formatCode="General">
                  <c:v>142.5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5584"/>
        <c:axId val="100117504"/>
      </c:scatterChart>
      <c:valAx>
        <c:axId val="10011558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0117504"/>
        <c:crosses val="autoZero"/>
        <c:crossBetween val="midCat"/>
      </c:valAx>
      <c:valAx>
        <c:axId val="100117504"/>
        <c:scaling>
          <c:orientation val="minMax"/>
          <c:min val="12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Male Capelin Mean Total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011558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Lengths (Excluding Headless)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F0000"/>
            </a:solidFill>
          </c:spPr>
          <c:invertIfNegative val="1"/>
          <c:cat>
            <c:numRef>
              <c:f>SumTblValueOnly!$E$185:$E$207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cat>
          <c:val>
            <c:numRef>
              <c:f>SumTblValueOnly!$F$185:$F$207</c:f>
              <c:numCache>
                <c:formatCode>0.00</c:formatCode>
                <c:ptCount val="23"/>
                <c:pt idx="0">
                  <c:v>128.19999999999999</c:v>
                </c:pt>
                <c:pt idx="1">
                  <c:v>146</c:v>
                </c:pt>
                <c:pt idx="2">
                  <c:v>141.4</c:v>
                </c:pt>
                <c:pt idx="3">
                  <c:v>153.22222222222223</c:v>
                </c:pt>
                <c:pt idx="4">
                  <c:v>152.28571428571428</c:v>
                </c:pt>
                <c:pt idx="5">
                  <c:v>142</c:v>
                </c:pt>
                <c:pt idx="6">
                  <c:v>150</c:v>
                </c:pt>
                <c:pt idx="7">
                  <c:v>145.10526315789474</c:v>
                </c:pt>
                <c:pt idx="8">
                  <c:v>145</c:v>
                </c:pt>
                <c:pt idx="9">
                  <c:v>150</c:v>
                </c:pt>
                <c:pt idx="10">
                  <c:v>157</c:v>
                </c:pt>
                <c:pt idx="11">
                  <c:v>141.5</c:v>
                </c:pt>
                <c:pt idx="12">
                  <c:v>152.4</c:v>
                </c:pt>
                <c:pt idx="13">
                  <c:v>150.21</c:v>
                </c:pt>
                <c:pt idx="14">
                  <c:v>141.81666666666666</c:v>
                </c:pt>
                <c:pt idx="15">
                  <c:v>152.08000000000001</c:v>
                </c:pt>
                <c:pt idx="16">
                  <c:v>154.88</c:v>
                </c:pt>
                <c:pt idx="17">
                  <c:v>165.76</c:v>
                </c:pt>
                <c:pt idx="18">
                  <c:v>136.84074074074073</c:v>
                </c:pt>
                <c:pt idx="19">
                  <c:v>165.14</c:v>
                </c:pt>
                <c:pt idx="20">
                  <c:v>141.82</c:v>
                </c:pt>
                <c:pt idx="21">
                  <c:v>134</c:v>
                </c:pt>
                <c:pt idx="22" formatCode="General">
                  <c:v>142.5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150272"/>
        <c:axId val="100156544"/>
      </c:barChart>
      <c:catAx>
        <c:axId val="10015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0156544"/>
        <c:crosses val="autoZero"/>
        <c:auto val="1"/>
        <c:lblAlgn val="ctr"/>
        <c:lblOffset val="100"/>
        <c:noMultiLvlLbl val="1"/>
      </c:catAx>
      <c:valAx>
        <c:axId val="1001565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Male Capelin Mean Fork</a:t>
                </a:r>
                <a:r>
                  <a:rPr lang="en-CA" baseline="0"/>
                  <a:t> </a:t>
                </a:r>
                <a:r>
                  <a:rPr lang="en-CA"/>
                  <a:t>Lengths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015027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Weight (Excluding Headless)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7476883186211901E-3"/>
                  <c:y val="-0.393072564042702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-0.1218x + 256.45
R² = 0.32853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 0.0008825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SumTblValueOnly!$B$221:$B$247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SumTblValueOnly!$C$221:$C$247</c:f>
              <c:numCache>
                <c:formatCode>0.00</c:formatCode>
                <c:ptCount val="27"/>
                <c:pt idx="0">
                  <c:v>12.28</c:v>
                </c:pt>
                <c:pt idx="1">
                  <c:v>18.260000000000002</c:v>
                </c:pt>
                <c:pt idx="2">
                  <c:v>14.03</c:v>
                </c:pt>
                <c:pt idx="3">
                  <c:v>15.18</c:v>
                </c:pt>
                <c:pt idx="4">
                  <c:v>12.43</c:v>
                </c:pt>
                <c:pt idx="5">
                  <c:v>12.54</c:v>
                </c:pt>
                <c:pt idx="6">
                  <c:v>12.64</c:v>
                </c:pt>
                <c:pt idx="7">
                  <c:v>12.28</c:v>
                </c:pt>
                <c:pt idx="8">
                  <c:v>11.72</c:v>
                </c:pt>
                <c:pt idx="9">
                  <c:v>13.23</c:v>
                </c:pt>
                <c:pt idx="10">
                  <c:v>12.96</c:v>
                </c:pt>
                <c:pt idx="11">
                  <c:v>12.73</c:v>
                </c:pt>
                <c:pt idx="12">
                  <c:v>12.23</c:v>
                </c:pt>
                <c:pt idx="13">
                  <c:v>12.98</c:v>
                </c:pt>
                <c:pt idx="14">
                  <c:v>12.28</c:v>
                </c:pt>
                <c:pt idx="15">
                  <c:v>9.98</c:v>
                </c:pt>
                <c:pt idx="16">
                  <c:v>9.17</c:v>
                </c:pt>
                <c:pt idx="17">
                  <c:v>12.76</c:v>
                </c:pt>
                <c:pt idx="18">
                  <c:v>13.33</c:v>
                </c:pt>
                <c:pt idx="19">
                  <c:v>12.79</c:v>
                </c:pt>
                <c:pt idx="20">
                  <c:v>12.49</c:v>
                </c:pt>
                <c:pt idx="21">
                  <c:v>11.12</c:v>
                </c:pt>
                <c:pt idx="22">
                  <c:v>10.210000000000001</c:v>
                </c:pt>
                <c:pt idx="23">
                  <c:v>11.04</c:v>
                </c:pt>
                <c:pt idx="24">
                  <c:v>10.88</c:v>
                </c:pt>
                <c:pt idx="25">
                  <c:v>11.24</c:v>
                </c:pt>
                <c:pt idx="26" formatCode="General">
                  <c:v>11.97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81120"/>
        <c:axId val="100183040"/>
      </c:scatterChart>
      <c:valAx>
        <c:axId val="10018112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0183040"/>
        <c:crosses val="autoZero"/>
        <c:crossBetween val="midCat"/>
      </c:valAx>
      <c:valAx>
        <c:axId val="100183040"/>
        <c:scaling>
          <c:orientation val="minMax"/>
          <c:min val="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Female Capelin (g)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018112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Weight</a:t>
            </a:r>
            <a:r>
              <a:rPr lang="en-CA" baseline="0"/>
              <a:t> (Excluding Headless)</a:t>
            </a:r>
            <a:r>
              <a:rPr lang="en-CA"/>
              <a:t>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SumTblValueOnly!$B$221:$B$247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SumTblValueOnly!$C$221:$C$247</c:f>
              <c:numCache>
                <c:formatCode>0.00</c:formatCode>
                <c:ptCount val="27"/>
                <c:pt idx="0">
                  <c:v>12.28</c:v>
                </c:pt>
                <c:pt idx="1">
                  <c:v>18.260000000000002</c:v>
                </c:pt>
                <c:pt idx="2">
                  <c:v>14.03</c:v>
                </c:pt>
                <c:pt idx="3">
                  <c:v>15.18</c:v>
                </c:pt>
                <c:pt idx="4">
                  <c:v>12.43</c:v>
                </c:pt>
                <c:pt idx="5">
                  <c:v>12.54</c:v>
                </c:pt>
                <c:pt idx="6">
                  <c:v>12.64</c:v>
                </c:pt>
                <c:pt idx="7">
                  <c:v>12.28</c:v>
                </c:pt>
                <c:pt idx="8">
                  <c:v>11.72</c:v>
                </c:pt>
                <c:pt idx="9">
                  <c:v>13.23</c:v>
                </c:pt>
                <c:pt idx="10">
                  <c:v>12.96</c:v>
                </c:pt>
                <c:pt idx="11">
                  <c:v>12.73</c:v>
                </c:pt>
                <c:pt idx="12">
                  <c:v>12.23</c:v>
                </c:pt>
                <c:pt idx="13">
                  <c:v>12.98</c:v>
                </c:pt>
                <c:pt idx="14">
                  <c:v>12.28</c:v>
                </c:pt>
                <c:pt idx="15">
                  <c:v>9.98</c:v>
                </c:pt>
                <c:pt idx="16">
                  <c:v>9.17</c:v>
                </c:pt>
                <c:pt idx="17">
                  <c:v>12.76</c:v>
                </c:pt>
                <c:pt idx="18">
                  <c:v>13.33</c:v>
                </c:pt>
                <c:pt idx="19">
                  <c:v>12.79</c:v>
                </c:pt>
                <c:pt idx="20">
                  <c:v>12.49</c:v>
                </c:pt>
                <c:pt idx="21">
                  <c:v>11.12</c:v>
                </c:pt>
                <c:pt idx="22">
                  <c:v>10.210000000000001</c:v>
                </c:pt>
                <c:pt idx="23">
                  <c:v>11.04</c:v>
                </c:pt>
                <c:pt idx="24">
                  <c:v>10.88</c:v>
                </c:pt>
                <c:pt idx="25">
                  <c:v>11.24</c:v>
                </c:pt>
                <c:pt idx="26" formatCode="General">
                  <c:v>11.97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194752"/>
        <c:axId val="101225600"/>
      </c:barChart>
      <c:catAx>
        <c:axId val="10119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1225600"/>
        <c:crosses val="autoZero"/>
        <c:auto val="1"/>
        <c:lblAlgn val="ctr"/>
        <c:lblOffset val="100"/>
        <c:noMultiLvlLbl val="1"/>
      </c:catAx>
      <c:valAx>
        <c:axId val="1012256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Female Capelin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119475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Weight (Excluding Headless)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19050">
                <a:solidFill>
                  <a:srgbClr val="CC0000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7.8116337152771102E-3"/>
                  <c:y val="-0.287197968178506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-0.0835x + 185.69
R² = 0.04072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 0.1842685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SumTblValueOnly!$E$221:$E$242</c:f>
              <c:numCache>
                <c:formatCode>General</c:formatCode>
                <c:ptCount val="22"/>
                <c:pt idx="0">
                  <c:v>1990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2016</c:v>
                </c:pt>
                <c:pt idx="21">
                  <c:v>2017</c:v>
                </c:pt>
              </c:numCache>
            </c:numRef>
          </c:xVal>
          <c:yVal>
            <c:numRef>
              <c:f>SumTblValueOnly!$F$221:$F$242</c:f>
              <c:numCache>
                <c:formatCode>0.00</c:formatCode>
                <c:ptCount val="22"/>
                <c:pt idx="0">
                  <c:v>14.03</c:v>
                </c:pt>
                <c:pt idx="1">
                  <c:v>21.13</c:v>
                </c:pt>
                <c:pt idx="2">
                  <c:v>21.46</c:v>
                </c:pt>
                <c:pt idx="3">
                  <c:v>20.75</c:v>
                </c:pt>
                <c:pt idx="4">
                  <c:v>17.87</c:v>
                </c:pt>
                <c:pt idx="5">
                  <c:v>21</c:v>
                </c:pt>
                <c:pt idx="6">
                  <c:v>18.64</c:v>
                </c:pt>
                <c:pt idx="7">
                  <c:v>13.9</c:v>
                </c:pt>
                <c:pt idx="8">
                  <c:v>18.5</c:v>
                </c:pt>
                <c:pt idx="9">
                  <c:v>19.5</c:v>
                </c:pt>
                <c:pt idx="10">
                  <c:v>17.940000000000001</c:v>
                </c:pt>
                <c:pt idx="11">
                  <c:v>19.36</c:v>
                </c:pt>
                <c:pt idx="12">
                  <c:v>24</c:v>
                </c:pt>
                <c:pt idx="13">
                  <c:v>12.97</c:v>
                </c:pt>
                <c:pt idx="14">
                  <c:v>19.8</c:v>
                </c:pt>
                <c:pt idx="15">
                  <c:v>21.5</c:v>
                </c:pt>
                <c:pt idx="16">
                  <c:v>22.5</c:v>
                </c:pt>
                <c:pt idx="17">
                  <c:v>12.99</c:v>
                </c:pt>
                <c:pt idx="18">
                  <c:v>19.2</c:v>
                </c:pt>
                <c:pt idx="19">
                  <c:v>16</c:v>
                </c:pt>
                <c:pt idx="20">
                  <c:v>12.5</c:v>
                </c:pt>
                <c:pt idx="21" formatCode="General">
                  <c:v>18.7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3520"/>
        <c:axId val="101393152"/>
      </c:scatterChart>
      <c:valAx>
        <c:axId val="10124352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1393152"/>
        <c:crosses val="autoZero"/>
        <c:crossBetween val="midCat"/>
      </c:valAx>
      <c:valAx>
        <c:axId val="101393152"/>
        <c:scaling>
          <c:orientation val="minMax"/>
          <c:max val="25"/>
          <c:min val="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Male Capelin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124352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Weight (Excluding Headless)</a:t>
            </a:r>
            <a:r>
              <a:rPr lang="en-CA" baseline="0"/>
              <a:t> </a:t>
            </a:r>
            <a:r>
              <a:rPr lang="en-CA"/>
              <a:t>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F0000"/>
            </a:solidFill>
          </c:spPr>
          <c:invertIfNegative val="1"/>
          <c:cat>
            <c:numRef>
              <c:f>SumTblValueOnly!$E$221:$E$242</c:f>
              <c:numCache>
                <c:formatCode>General</c:formatCode>
                <c:ptCount val="22"/>
                <c:pt idx="0">
                  <c:v>1990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2016</c:v>
                </c:pt>
                <c:pt idx="21">
                  <c:v>2017</c:v>
                </c:pt>
              </c:numCache>
            </c:numRef>
          </c:cat>
          <c:val>
            <c:numRef>
              <c:f>SumTblValueOnly!$F$221:$F$242</c:f>
              <c:numCache>
                <c:formatCode>0.00</c:formatCode>
                <c:ptCount val="22"/>
                <c:pt idx="0">
                  <c:v>14.03</c:v>
                </c:pt>
                <c:pt idx="1">
                  <c:v>21.13</c:v>
                </c:pt>
                <c:pt idx="2">
                  <c:v>21.46</c:v>
                </c:pt>
                <c:pt idx="3">
                  <c:v>20.75</c:v>
                </c:pt>
                <c:pt idx="4">
                  <c:v>17.87</c:v>
                </c:pt>
                <c:pt idx="5">
                  <c:v>21</c:v>
                </c:pt>
                <c:pt idx="6">
                  <c:v>18.64</c:v>
                </c:pt>
                <c:pt idx="7">
                  <c:v>13.9</c:v>
                </c:pt>
                <c:pt idx="8">
                  <c:v>18.5</c:v>
                </c:pt>
                <c:pt idx="9">
                  <c:v>19.5</c:v>
                </c:pt>
                <c:pt idx="10">
                  <c:v>17.940000000000001</c:v>
                </c:pt>
                <c:pt idx="11">
                  <c:v>19.36</c:v>
                </c:pt>
                <c:pt idx="12">
                  <c:v>24</c:v>
                </c:pt>
                <c:pt idx="13">
                  <c:v>12.97</c:v>
                </c:pt>
                <c:pt idx="14">
                  <c:v>19.8</c:v>
                </c:pt>
                <c:pt idx="15">
                  <c:v>21.5</c:v>
                </c:pt>
                <c:pt idx="16">
                  <c:v>22.5</c:v>
                </c:pt>
                <c:pt idx="17">
                  <c:v>12.99</c:v>
                </c:pt>
                <c:pt idx="18">
                  <c:v>19.2</c:v>
                </c:pt>
                <c:pt idx="19">
                  <c:v>16</c:v>
                </c:pt>
                <c:pt idx="20">
                  <c:v>12.5</c:v>
                </c:pt>
                <c:pt idx="21" formatCode="General">
                  <c:v>18.7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425920"/>
        <c:axId val="101427840"/>
      </c:barChart>
      <c:catAx>
        <c:axId val="10142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 lvl="0">
              <a:defRPr/>
            </a:pPr>
            <a:endParaRPr lang="en-US"/>
          </a:p>
        </c:txPr>
        <c:crossAx val="101427840"/>
        <c:crosses val="autoZero"/>
        <c:auto val="1"/>
        <c:lblAlgn val="ctr"/>
        <c:lblOffset val="100"/>
        <c:noMultiLvlLbl val="1"/>
      </c:catAx>
      <c:valAx>
        <c:axId val="1014278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Male Capelin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142592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Lengths (Excluding</a:t>
            </a:r>
            <a:r>
              <a:rPr lang="en-CA" baseline="0"/>
              <a:t> Headless)</a:t>
            </a:r>
            <a:r>
              <a:rPr lang="en-CA"/>
              <a:t>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SumTblValueOnly!$A$185:$A$211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SumTblValueOnly!$B$185:$B$211</c:f>
              <c:numCache>
                <c:formatCode>0.00</c:formatCode>
                <c:ptCount val="27"/>
                <c:pt idx="0">
                  <c:v>133.86956521739131</c:v>
                </c:pt>
                <c:pt idx="1">
                  <c:v>138.38235294117646</c:v>
                </c:pt>
                <c:pt idx="2">
                  <c:v>128.28846153846155</c:v>
                </c:pt>
                <c:pt idx="3">
                  <c:v>139.05940594059405</c:v>
                </c:pt>
                <c:pt idx="4">
                  <c:v>137.62264150943398</c:v>
                </c:pt>
                <c:pt idx="5">
                  <c:v>129.66666666666666</c:v>
                </c:pt>
                <c:pt idx="6">
                  <c:v>141.0612244897959</c:v>
                </c:pt>
                <c:pt idx="7">
                  <c:v>129.87557603686636</c:v>
                </c:pt>
                <c:pt idx="8">
                  <c:v>130.20754716981133</c:v>
                </c:pt>
                <c:pt idx="9">
                  <c:v>135.87234042553192</c:v>
                </c:pt>
                <c:pt idx="10">
                  <c:v>145.82499999999999</c:v>
                </c:pt>
                <c:pt idx="11">
                  <c:v>137.98850574712642</c:v>
                </c:pt>
                <c:pt idx="12">
                  <c:v>133.22674418604652</c:v>
                </c:pt>
                <c:pt idx="13">
                  <c:v>129.55072463768116</c:v>
                </c:pt>
                <c:pt idx="14">
                  <c:v>132.7248888888889</c:v>
                </c:pt>
                <c:pt idx="15">
                  <c:v>134.70522222222215</c:v>
                </c:pt>
                <c:pt idx="16">
                  <c:v>134.44599999999997</c:v>
                </c:pt>
                <c:pt idx="17">
                  <c:v>134.37576576576581</c:v>
                </c:pt>
                <c:pt idx="18">
                  <c:v>138.47600000000003</c:v>
                </c:pt>
                <c:pt idx="19">
                  <c:v>148.78162790697669</c:v>
                </c:pt>
                <c:pt idx="20">
                  <c:v>146.77526315789473</c:v>
                </c:pt>
                <c:pt idx="21">
                  <c:v>131.6373214285714</c:v>
                </c:pt>
                <c:pt idx="22">
                  <c:v>143.83632911392408</c:v>
                </c:pt>
                <c:pt idx="23">
                  <c:v>142.97354166666665</c:v>
                </c:pt>
                <c:pt idx="24">
                  <c:v>137.51</c:v>
                </c:pt>
                <c:pt idx="25" formatCode="General">
                  <c:v>140.47999999999999</c:v>
                </c:pt>
                <c:pt idx="26" formatCode="General">
                  <c:v>127.96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311808"/>
        <c:axId val="102313984"/>
      </c:barChart>
      <c:catAx>
        <c:axId val="10231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313984"/>
        <c:crosses val="autoZero"/>
        <c:auto val="1"/>
        <c:lblAlgn val="ctr"/>
        <c:lblOffset val="100"/>
        <c:noMultiLvlLbl val="1"/>
      </c:catAx>
      <c:valAx>
        <c:axId val="10231398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Fork Length Female Capelin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311808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 Gravid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5.42235610379211E-3"/>
                  <c:y val="-0.362913032097403"/>
                </c:manualLayout>
              </c:layout>
              <c:tx>
                <c:rich>
                  <a:bodyPr/>
                  <a:lstStyle/>
                  <a:p>
                    <a:pPr>
                      <a:defRPr b="0" i="0"/>
                    </a:pPr>
                    <a:r>
                      <a:rPr lang="en-US" b="0" i="0" baseline="0"/>
                      <a:t>y = -0.0764x + 5.8339</a:t>
                    </a:r>
                    <a:br>
                      <a:rPr lang="en-US" b="0" i="0" baseline="0"/>
                    </a:br>
                    <a:r>
                      <a:rPr lang="en-US" b="0" i="0" baseline="0"/>
                      <a:t>R² = 0.4111</a:t>
                    </a:r>
                  </a:p>
                  <a:p>
                    <a:pPr>
                      <a:defRPr b="0" i="0"/>
                    </a:pPr>
                    <a:r>
                      <a:rPr lang="en-US" b="0" i="0" baseline="0"/>
                      <a:t>p = 0.011819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SumTblValueOnly!$G$288:$G$314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SumTblValueOnly!$H$288:$H$314</c:f>
              <c:numCache>
                <c:formatCode>0.00</c:formatCode>
                <c:ptCount val="27"/>
                <c:pt idx="0">
                  <c:v>4.5</c:v>
                </c:pt>
                <c:pt idx="1">
                  <c:v>7.2153846153846155</c:v>
                </c:pt>
                <c:pt idx="2">
                  <c:v>6.5777894736842093</c:v>
                </c:pt>
                <c:pt idx="3">
                  <c:v>5.7496590909090921</c:v>
                </c:pt>
                <c:pt idx="4">
                  <c:v>5.0250000000000004</c:v>
                </c:pt>
                <c:pt idx="5">
                  <c:v>5.9446938775510212</c:v>
                </c:pt>
                <c:pt idx="6">
                  <c:v>6.8233333333333333</c:v>
                </c:pt>
                <c:pt idx="7">
                  <c:v>5.8396045197740118</c:v>
                </c:pt>
                <c:pt idx="8">
                  <c:v>5.7692307692307692</c:v>
                </c:pt>
                <c:pt idx="9">
                  <c:v>5.7112499999999997</c:v>
                </c:pt>
                <c:pt idx="10">
                  <c:v>6.7399999999999993</c:v>
                </c:pt>
                <c:pt idx="11">
                  <c:v>6.2305882352941175</c:v>
                </c:pt>
                <c:pt idx="12">
                  <c:v>5.9376595744680865</c:v>
                </c:pt>
                <c:pt idx="13">
                  <c:v>6.4569090909090896</c:v>
                </c:pt>
                <c:pt idx="14">
                  <c:v>5.2648571428571422</c:v>
                </c:pt>
                <c:pt idx="15">
                  <c:v>4.54</c:v>
                </c:pt>
                <c:pt idx="16">
                  <c:v>5.36</c:v>
                </c:pt>
                <c:pt idx="17">
                  <c:v>5.8477777777777762</c:v>
                </c:pt>
                <c:pt idx="18">
                  <c:v>6.0676470588235309</c:v>
                </c:pt>
                <c:pt idx="19">
                  <c:v>3.9506896551724129</c:v>
                </c:pt>
                <c:pt idx="20">
                  <c:v>3.9976470588235289</c:v>
                </c:pt>
                <c:pt idx="21">
                  <c:v>5.7744186046511627</c:v>
                </c:pt>
                <c:pt idx="22">
                  <c:v>3.8049999999999997</c:v>
                </c:pt>
                <c:pt idx="23">
                  <c:v>4.2442857142857138</c:v>
                </c:pt>
                <c:pt idx="24">
                  <c:v>5.6520000000000001</c:v>
                </c:pt>
                <c:pt idx="25">
                  <c:v>4.415</c:v>
                </c:pt>
                <c:pt idx="26">
                  <c:v>6.2822413793103467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55712"/>
        <c:axId val="102357632"/>
      </c:scatterChart>
      <c:valAx>
        <c:axId val="10235571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357632"/>
        <c:crosses val="autoZero"/>
        <c:crossBetween val="midCat"/>
      </c:valAx>
      <c:valAx>
        <c:axId val="102357632"/>
        <c:scaling>
          <c:orientation val="minMax"/>
          <c:max val="7"/>
          <c:min val="3"/>
        </c:scaling>
        <c:delete val="0"/>
        <c:axPos val="l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3557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 Female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2.6869878553316399E-2"/>
                  <c:y val="-0.41874822250992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-0.0568x + 118.68
R² = 0.28463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0.002049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SumTblValueOnly!$A$288:$A$314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SumTblValueOnly!$B$288:$B$314</c:f>
              <c:numCache>
                <c:formatCode>0.00</c:formatCode>
                <c:ptCount val="27"/>
                <c:pt idx="0">
                  <c:v>4.8217647058823525</c:v>
                </c:pt>
                <c:pt idx="1">
                  <c:v>6.3466666666666676</c:v>
                </c:pt>
                <c:pt idx="2">
                  <c:v>6.4771844660194171</c:v>
                </c:pt>
                <c:pt idx="3">
                  <c:v>5.5978571428571424</c:v>
                </c:pt>
                <c:pt idx="4">
                  <c:v>4.4416666666666655</c:v>
                </c:pt>
                <c:pt idx="5">
                  <c:v>5.6969841269841277</c:v>
                </c:pt>
                <c:pt idx="6">
                  <c:v>4.476041666666668</c:v>
                </c:pt>
                <c:pt idx="7">
                  <c:v>5.6303703703703709</c:v>
                </c:pt>
                <c:pt idx="8">
                  <c:v>5.3015094339622646</c:v>
                </c:pt>
                <c:pt idx="9">
                  <c:v>5.2422727272727281</c:v>
                </c:pt>
                <c:pt idx="10">
                  <c:v>4.2052499999999995</c:v>
                </c:pt>
                <c:pt idx="11">
                  <c:v>4.8112643678160927</c:v>
                </c:pt>
                <c:pt idx="12">
                  <c:v>5.2906395348837201</c:v>
                </c:pt>
                <c:pt idx="13">
                  <c:v>6.0704411764705872</c:v>
                </c:pt>
                <c:pt idx="14">
                  <c:v>5.2363333333333335</c:v>
                </c:pt>
                <c:pt idx="15">
                  <c:v>4.0510344827586211</c:v>
                </c:pt>
                <c:pt idx="16">
                  <c:v>3.7065000000000006</c:v>
                </c:pt>
                <c:pt idx="17">
                  <c:v>5.2099090909090924</c:v>
                </c:pt>
                <c:pt idx="18">
                  <c:v>5.0584000000000007</c:v>
                </c:pt>
                <c:pt idx="19">
                  <c:v>3.7700000000000005</c:v>
                </c:pt>
                <c:pt idx="20">
                  <c:v>3.8789473684210529</c:v>
                </c:pt>
                <c:pt idx="21">
                  <c:v>4.8469642857142858</c:v>
                </c:pt>
                <c:pt idx="22">
                  <c:v>3.3535443037974693</c:v>
                </c:pt>
                <c:pt idx="23">
                  <c:v>3.7395744680851055</c:v>
                </c:pt>
                <c:pt idx="24">
                  <c:v>4.2334920634920632</c:v>
                </c:pt>
                <c:pt idx="25">
                  <c:v>4.0266666666666664</c:v>
                </c:pt>
                <c:pt idx="26">
                  <c:v>5.7008333333333336</c:v>
                </c:pt>
              </c:numCache>
            </c:numRef>
          </c:y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55296"/>
        <c:axId val="102065664"/>
      </c:scatterChart>
      <c:valAx>
        <c:axId val="10205529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065664"/>
        <c:crosses val="autoZero"/>
        <c:crossBetween val="midCat"/>
      </c:valAx>
      <c:valAx>
        <c:axId val="102065664"/>
        <c:scaling>
          <c:orientation val="minMax"/>
          <c:min val="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0552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Percent Gravid Female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280356904539494E-2"/>
                  <c:y val="-0.415888391309577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-0.6029x + 1249
R² = 0.02755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0.204435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SumTbl!$A$206:$A$232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SumTbl!$E$206:$E$232</c:f>
              <c:numCache>
                <c:formatCode>0.00</c:formatCode>
                <c:ptCount val="27"/>
                <c:pt idx="0">
                  <c:v>49.509803921568633</c:v>
                </c:pt>
                <c:pt idx="1">
                  <c:v>22.222222222222221</c:v>
                </c:pt>
                <c:pt idx="2">
                  <c:v>8.8888888888888893</c:v>
                </c:pt>
                <c:pt idx="3">
                  <c:v>24.285714285714285</c:v>
                </c:pt>
                <c:pt idx="4">
                  <c:v>33.653846153846153</c:v>
                </c:pt>
                <c:pt idx="5">
                  <c:v>50.549450549450547</c:v>
                </c:pt>
                <c:pt idx="6">
                  <c:v>88.888888888888886</c:v>
                </c:pt>
                <c:pt idx="7">
                  <c:v>72.41379310344827</c:v>
                </c:pt>
                <c:pt idx="8">
                  <c:v>39.603960396039604</c:v>
                </c:pt>
                <c:pt idx="9">
                  <c:v>32.885906040268459</c:v>
                </c:pt>
                <c:pt idx="10">
                  <c:v>4.1666666666666661</c:v>
                </c:pt>
                <c:pt idx="11">
                  <c:v>4.8076923076923084</c:v>
                </c:pt>
                <c:pt idx="12">
                  <c:v>39.24050632911392</c:v>
                </c:pt>
                <c:pt idx="13">
                  <c:v>79.452054794520549</c:v>
                </c:pt>
                <c:pt idx="14">
                  <c:v>57.47126436781609</c:v>
                </c:pt>
                <c:pt idx="15">
                  <c:v>18.103448275862068</c:v>
                </c:pt>
                <c:pt idx="16">
                  <c:v>6.666666666666667</c:v>
                </c:pt>
                <c:pt idx="17">
                  <c:v>16.666666666666664</c:v>
                </c:pt>
                <c:pt idx="18">
                  <c:v>24.137931034482758</c:v>
                </c:pt>
                <c:pt idx="19">
                  <c:v>78.965517241379317</c:v>
                </c:pt>
                <c:pt idx="20">
                  <c:v>7.6923076923076925</c:v>
                </c:pt>
                <c:pt idx="21">
                  <c:v>70.33898305084746</c:v>
                </c:pt>
                <c:pt idx="22">
                  <c:v>55.844155844155843</c:v>
                </c:pt>
                <c:pt idx="23">
                  <c:v>89.705882352941174</c:v>
                </c:pt>
                <c:pt idx="24">
                  <c:v>92.436974789915965</c:v>
                </c:pt>
                <c:pt idx="25">
                  <c:v>46.666666666666664</c:v>
                </c:pt>
                <c:pt idx="26">
                  <c:v>3.8461538461538463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03296"/>
        <c:axId val="102117760"/>
      </c:scatterChart>
      <c:valAx>
        <c:axId val="10210329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117760"/>
        <c:crosses val="autoZero"/>
        <c:crossBetween val="midCat"/>
      </c:valAx>
      <c:valAx>
        <c:axId val="1021177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Percentage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1032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Percentage Gravid Female Capelin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SumTbl!$A$206:$A$232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cat>
          <c:val>
            <c:numRef>
              <c:f>SumTbl!$E$206:$E$232</c:f>
              <c:numCache>
                <c:formatCode>0.00</c:formatCode>
                <c:ptCount val="27"/>
                <c:pt idx="0">
                  <c:v>49.509803921568633</c:v>
                </c:pt>
                <c:pt idx="1">
                  <c:v>22.222222222222221</c:v>
                </c:pt>
                <c:pt idx="2">
                  <c:v>8.8888888888888893</c:v>
                </c:pt>
                <c:pt idx="3">
                  <c:v>24.285714285714285</c:v>
                </c:pt>
                <c:pt idx="4">
                  <c:v>33.653846153846153</c:v>
                </c:pt>
                <c:pt idx="5">
                  <c:v>50.549450549450547</c:v>
                </c:pt>
                <c:pt idx="6">
                  <c:v>88.888888888888886</c:v>
                </c:pt>
                <c:pt idx="7">
                  <c:v>72.41379310344827</c:v>
                </c:pt>
                <c:pt idx="8">
                  <c:v>39.603960396039604</c:v>
                </c:pt>
                <c:pt idx="9">
                  <c:v>32.885906040268459</c:v>
                </c:pt>
                <c:pt idx="10">
                  <c:v>4.1666666666666661</c:v>
                </c:pt>
                <c:pt idx="11">
                  <c:v>4.8076923076923084</c:v>
                </c:pt>
                <c:pt idx="12">
                  <c:v>39.24050632911392</c:v>
                </c:pt>
                <c:pt idx="13">
                  <c:v>79.452054794520549</c:v>
                </c:pt>
                <c:pt idx="14">
                  <c:v>57.47126436781609</c:v>
                </c:pt>
                <c:pt idx="15">
                  <c:v>18.103448275862068</c:v>
                </c:pt>
                <c:pt idx="16">
                  <c:v>6.666666666666667</c:v>
                </c:pt>
                <c:pt idx="17">
                  <c:v>16.666666666666664</c:v>
                </c:pt>
                <c:pt idx="18">
                  <c:v>24.137931034482758</c:v>
                </c:pt>
                <c:pt idx="19">
                  <c:v>78.965517241379317</c:v>
                </c:pt>
                <c:pt idx="20">
                  <c:v>7.6923076923076925</c:v>
                </c:pt>
                <c:pt idx="21">
                  <c:v>70.33898305084746</c:v>
                </c:pt>
                <c:pt idx="22">
                  <c:v>55.844155844155843</c:v>
                </c:pt>
                <c:pt idx="23">
                  <c:v>89.705882352941174</c:v>
                </c:pt>
                <c:pt idx="24">
                  <c:v>92.436974789915965</c:v>
                </c:pt>
                <c:pt idx="25">
                  <c:v>46.666666666666664</c:v>
                </c:pt>
                <c:pt idx="26">
                  <c:v>3.8461538461538463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150528"/>
        <c:axId val="102152448"/>
      </c:barChart>
      <c:catAx>
        <c:axId val="102150528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152448"/>
        <c:crosses val="autoZero"/>
        <c:auto val="1"/>
        <c:lblAlgn val="ctr"/>
        <c:lblOffset val="100"/>
        <c:noMultiLvlLbl val="1"/>
      </c:catAx>
      <c:valAx>
        <c:axId val="10215244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Percentage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150528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 Male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5.7098625383691396E-3"/>
                  <c:y val="-0.19466151636705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-0.0236x + 52.982
R² = 0.04856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SumTblValueOnly!$D$288:$D$309</c:f>
              <c:numCache>
                <c:formatCode>General</c:formatCode>
                <c:ptCount val="22"/>
                <c:pt idx="0">
                  <c:v>1990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2016</c:v>
                </c:pt>
                <c:pt idx="21">
                  <c:v>2017</c:v>
                </c:pt>
              </c:numCache>
            </c:numRef>
          </c:xVal>
          <c:yVal>
            <c:numRef>
              <c:f>SumTblValueOnly!$E$288:$E$309</c:f>
              <c:numCache>
                <c:formatCode>0.00</c:formatCode>
                <c:ptCount val="22"/>
                <c:pt idx="0">
                  <c:v>5.0100000000000007</c:v>
                </c:pt>
                <c:pt idx="1">
                  <c:v>7.6406666666666654</c:v>
                </c:pt>
                <c:pt idx="2">
                  <c:v>5.9711111111111101</c:v>
                </c:pt>
                <c:pt idx="3">
                  <c:v>5.9466666666666663</c:v>
                </c:pt>
                <c:pt idx="4">
                  <c:v>6.2530000000000001</c:v>
                </c:pt>
                <c:pt idx="5">
                  <c:v>6.2</c:v>
                </c:pt>
                <c:pt idx="6">
                  <c:v>6.4284210526315801</c:v>
                </c:pt>
                <c:pt idx="7">
                  <c:v>4.5433333333333339</c:v>
                </c:pt>
                <c:pt idx="8">
                  <c:v>5.46</c:v>
                </c:pt>
                <c:pt idx="9">
                  <c:v>5.0599999999999996</c:v>
                </c:pt>
                <c:pt idx="10">
                  <c:v>6.2349999999999994</c:v>
                </c:pt>
                <c:pt idx="11">
                  <c:v>5.75</c:v>
                </c:pt>
                <c:pt idx="12">
                  <c:v>7.08</c:v>
                </c:pt>
                <c:pt idx="13">
                  <c:v>4.333333333333333</c:v>
                </c:pt>
                <c:pt idx="14">
                  <c:v>5.63</c:v>
                </c:pt>
                <c:pt idx="15">
                  <c:v>5.79</c:v>
                </c:pt>
                <c:pt idx="16">
                  <c:v>4.9400000000000004</c:v>
                </c:pt>
                <c:pt idx="17">
                  <c:v>5.23</c:v>
                </c:pt>
                <c:pt idx="18">
                  <c:v>4.26</c:v>
                </c:pt>
                <c:pt idx="19">
                  <c:v>5.61</c:v>
                </c:pt>
                <c:pt idx="20">
                  <c:v>5.63</c:v>
                </c:pt>
                <c:pt idx="21">
                  <c:v>6.81</c:v>
                </c:pt>
              </c:numCache>
            </c:numRef>
          </c:y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52544"/>
        <c:axId val="102254464"/>
      </c:scatterChart>
      <c:valAx>
        <c:axId val="10225254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254464"/>
        <c:crosses val="autoZero"/>
        <c:crossBetween val="midCat"/>
      </c:valAx>
      <c:valAx>
        <c:axId val="1022544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25254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</a:t>
            </a:r>
            <a:r>
              <a:rPr lang="en-CA" baseline="0"/>
              <a:t> Spent Female </a:t>
            </a:r>
            <a:r>
              <a:rPr lang="en-CA"/>
              <a:t>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6.7680234885893503E-2"/>
                  <c:y val="-0.346443392689121"/>
                </c:manualLayout>
              </c:layout>
              <c:tx>
                <c:rich>
                  <a:bodyPr/>
                  <a:lstStyle/>
                  <a:p>
                    <a:pPr>
                      <a:defRPr b="0" i="0"/>
                    </a:pPr>
                    <a:r>
                      <a:rPr lang="en-US" b="0" i="0" baseline="0"/>
                      <a:t>y = -0.076x + 6.661</a:t>
                    </a:r>
                    <a:br>
                      <a:rPr lang="en-US" b="0" i="0" baseline="0"/>
                    </a:br>
                    <a:r>
                      <a:rPr lang="en-US" b="0" i="0" baseline="0"/>
                      <a:t>R² = 0.2401</a:t>
                    </a:r>
                  </a:p>
                  <a:p>
                    <a:pPr>
                      <a:defRPr b="0" i="0"/>
                    </a:pPr>
                    <a:r>
                      <a:rPr lang="en-US" b="0" i="0" baseline="0"/>
                      <a:t>p = 0.003662</a:t>
                    </a:r>
                    <a:endParaRPr lang="en-US" b="0" i="0"/>
                  </a:p>
                </c:rich>
              </c:tx>
              <c:numFmt formatCode="General" sourceLinked="0"/>
            </c:trendlineLbl>
          </c:trendline>
          <c:xVal>
            <c:numRef>
              <c:f>SumTblValueOnly!$J$288:$J$313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SumTblValueOnly!$K$288:$K$313</c:f>
              <c:numCache>
                <c:formatCode>0.00</c:formatCode>
                <c:ptCount val="26"/>
                <c:pt idx="0">
                  <c:v>5.54</c:v>
                </c:pt>
                <c:pt idx="1">
                  <c:v>5.2824999999999998</c:v>
                </c:pt>
                <c:pt idx="2">
                  <c:v>4.2620000000000005</c:v>
                </c:pt>
                <c:pt idx="3">
                  <c:v>3.9274999999999998</c:v>
                </c:pt>
                <c:pt idx="4">
                  <c:v>4.8353846153846156</c:v>
                </c:pt>
                <c:pt idx="5">
                  <c:v>4.3195555555555574</c:v>
                </c:pt>
                <c:pt idx="6">
                  <c:v>4.7002777777777771</c:v>
                </c:pt>
                <c:pt idx="7">
                  <c:v>5.1683870967741923</c:v>
                </c:pt>
                <c:pt idx="8">
                  <c:v>5.1380555555555567</c:v>
                </c:pt>
                <c:pt idx="9">
                  <c:v>4.1159999999999988</c:v>
                </c:pt>
                <c:pt idx="10">
                  <c:v>4.4665714285714291</c:v>
                </c:pt>
                <c:pt idx="11">
                  <c:v>4.5291891891891911</c:v>
                </c:pt>
                <c:pt idx="12">
                  <c:v>4.4353846153846153</c:v>
                </c:pt>
                <c:pt idx="13">
                  <c:v>5.1919607843137259</c:v>
                </c:pt>
                <c:pt idx="14">
                  <c:v>4.0230645161290326</c:v>
                </c:pt>
                <c:pt idx="15">
                  <c:v>3.6335294117647057</c:v>
                </c:pt>
                <c:pt idx="16">
                  <c:v>4.7831428571428578</c:v>
                </c:pt>
                <c:pt idx="17">
                  <c:v>4.538484848484849</c:v>
                </c:pt>
                <c:pt idx="18">
                  <c:v>3.2936363636363635</c:v>
                </c:pt>
                <c:pt idx="19">
                  <c:v>2.87</c:v>
                </c:pt>
                <c:pt idx="20">
                  <c:v>3.7753125000000001</c:v>
                </c:pt>
                <c:pt idx="21">
                  <c:v>3.1223076923076922</c:v>
                </c:pt>
                <c:pt idx="22">
                  <c:v>3.6512499999999997</c:v>
                </c:pt>
                <c:pt idx="23">
                  <c:v>4.1112068965517237</c:v>
                </c:pt>
                <c:pt idx="24">
                  <c:v>3.9352941176470591</c:v>
                </c:pt>
                <c:pt idx="25">
                  <c:v>5.0263999999999989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87232"/>
        <c:axId val="102293504"/>
      </c:scatterChart>
      <c:valAx>
        <c:axId val="10228723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293504"/>
        <c:crosses val="autoZero"/>
        <c:crossBetween val="midCat"/>
      </c:valAx>
      <c:valAx>
        <c:axId val="102293504"/>
        <c:scaling>
          <c:orientation val="minMax"/>
          <c:min val="2"/>
        </c:scaling>
        <c:delete val="0"/>
        <c:axPos val="l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2872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Length,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SumTblValueOnly!$I$185:$I$211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SumTblValueOnly!$J$185:$J$211</c:f>
              <c:numCache>
                <c:formatCode>0.00</c:formatCode>
                <c:ptCount val="27"/>
                <c:pt idx="0">
                  <c:v>126</c:v>
                </c:pt>
                <c:pt idx="1">
                  <c:v>144.26666666666668</c:v>
                </c:pt>
                <c:pt idx="2">
                  <c:v>128.53125</c:v>
                </c:pt>
                <c:pt idx="3">
                  <c:v>138.65934065934067</c:v>
                </c:pt>
                <c:pt idx="4">
                  <c:v>137.21428571428572</c:v>
                </c:pt>
                <c:pt idx="5">
                  <c:v>128.9795918367347</c:v>
                </c:pt>
                <c:pt idx="6">
                  <c:v>139.33333333333334</c:v>
                </c:pt>
                <c:pt idx="7">
                  <c:v>130.4180790960452</c:v>
                </c:pt>
                <c:pt idx="8">
                  <c:v>127</c:v>
                </c:pt>
                <c:pt idx="9">
                  <c:v>133.375</c:v>
                </c:pt>
                <c:pt idx="10">
                  <c:v>131</c:v>
                </c:pt>
                <c:pt idx="11">
                  <c:v>130.94117647058823</c:v>
                </c:pt>
                <c:pt idx="12">
                  <c:v>129.39361702127658</c:v>
                </c:pt>
                <c:pt idx="13">
                  <c:v>128.56363636363636</c:v>
                </c:pt>
                <c:pt idx="14">
                  <c:v>131.01942857142859</c:v>
                </c:pt>
                <c:pt idx="15">
                  <c:v>133.23199999999997</c:v>
                </c:pt>
                <c:pt idx="16">
                  <c:v>127.82</c:v>
                </c:pt>
                <c:pt idx="17">
                  <c:v>131.55416666666667</c:v>
                </c:pt>
                <c:pt idx="18">
                  <c:v>134.35235294117646</c:v>
                </c:pt>
                <c:pt idx="19">
                  <c:v>150.4848387096774</c:v>
                </c:pt>
                <c:pt idx="20">
                  <c:v>145.93176470588233</c:v>
                </c:pt>
                <c:pt idx="21">
                  <c:v>126.63137931034485</c:v>
                </c:pt>
                <c:pt idx="22">
                  <c:v>141.6</c:v>
                </c:pt>
                <c:pt idx="23">
                  <c:v>136.04874999999998</c:v>
                </c:pt>
                <c:pt idx="24" formatCode="General">
                  <c:v>125.89</c:v>
                </c:pt>
                <c:pt idx="25">
                  <c:v>134.5</c:v>
                </c:pt>
                <c:pt idx="26">
                  <c:v>122.76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387712"/>
        <c:axId val="102389632"/>
      </c:barChart>
      <c:catAx>
        <c:axId val="10238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389632"/>
        <c:crosses val="autoZero"/>
        <c:auto val="1"/>
        <c:lblAlgn val="ctr"/>
        <c:lblOffset val="100"/>
        <c:noMultiLvlLbl val="1"/>
      </c:catAx>
      <c:valAx>
        <c:axId val="10238963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38771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Length,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3.4280528493260402E-2"/>
                  <c:y val="-0.231653684798834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-0.0006x + 133.18
R² = 5.8E-07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0.4842055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SumTblValueOnly!$I$185:$I$211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SumTblValueOnly!$J$185:$J$211</c:f>
              <c:numCache>
                <c:formatCode>0.00</c:formatCode>
                <c:ptCount val="27"/>
                <c:pt idx="0">
                  <c:v>126</c:v>
                </c:pt>
                <c:pt idx="1">
                  <c:v>144.26666666666668</c:v>
                </c:pt>
                <c:pt idx="2">
                  <c:v>128.53125</c:v>
                </c:pt>
                <c:pt idx="3">
                  <c:v>138.65934065934067</c:v>
                </c:pt>
                <c:pt idx="4">
                  <c:v>137.21428571428572</c:v>
                </c:pt>
                <c:pt idx="5">
                  <c:v>128.9795918367347</c:v>
                </c:pt>
                <c:pt idx="6">
                  <c:v>139.33333333333334</c:v>
                </c:pt>
                <c:pt idx="7">
                  <c:v>130.4180790960452</c:v>
                </c:pt>
                <c:pt idx="8">
                  <c:v>127</c:v>
                </c:pt>
                <c:pt idx="9">
                  <c:v>133.375</c:v>
                </c:pt>
                <c:pt idx="10">
                  <c:v>131</c:v>
                </c:pt>
                <c:pt idx="11">
                  <c:v>130.94117647058823</c:v>
                </c:pt>
                <c:pt idx="12">
                  <c:v>129.39361702127658</c:v>
                </c:pt>
                <c:pt idx="13">
                  <c:v>128.56363636363636</c:v>
                </c:pt>
                <c:pt idx="14">
                  <c:v>131.01942857142859</c:v>
                </c:pt>
                <c:pt idx="15">
                  <c:v>133.23199999999997</c:v>
                </c:pt>
                <c:pt idx="16">
                  <c:v>127.82</c:v>
                </c:pt>
                <c:pt idx="17">
                  <c:v>131.55416666666667</c:v>
                </c:pt>
                <c:pt idx="18">
                  <c:v>134.35235294117646</c:v>
                </c:pt>
                <c:pt idx="19">
                  <c:v>150.4848387096774</c:v>
                </c:pt>
                <c:pt idx="20">
                  <c:v>145.93176470588233</c:v>
                </c:pt>
                <c:pt idx="21">
                  <c:v>126.63137931034485</c:v>
                </c:pt>
                <c:pt idx="22">
                  <c:v>141.6</c:v>
                </c:pt>
                <c:pt idx="23">
                  <c:v>136.04874999999998</c:v>
                </c:pt>
                <c:pt idx="24" formatCode="General">
                  <c:v>125.89</c:v>
                </c:pt>
                <c:pt idx="25">
                  <c:v>134.5</c:v>
                </c:pt>
                <c:pt idx="26">
                  <c:v>122.76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23168"/>
        <c:axId val="102429440"/>
      </c:scatterChart>
      <c:valAx>
        <c:axId val="10242316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429440"/>
        <c:crosses val="autoZero"/>
        <c:crossBetween val="midCat"/>
      </c:valAx>
      <c:valAx>
        <c:axId val="102429440"/>
        <c:scaling>
          <c:orientation val="minMax"/>
          <c:min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42316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Length,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SumTblValueOnly!$M$185:$M$210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cat>
          <c:val>
            <c:numRef>
              <c:f>SumTblValueOnly!$N$185:$N$210</c:f>
              <c:numCache>
                <c:formatCode>0.00</c:formatCode>
                <c:ptCount val="26"/>
                <c:pt idx="0">
                  <c:v>133.73684210526315</c:v>
                </c:pt>
                <c:pt idx="1">
                  <c:v>125.375</c:v>
                </c:pt>
                <c:pt idx="2">
                  <c:v>142.69999999999999</c:v>
                </c:pt>
                <c:pt idx="3">
                  <c:v>141.94444444444446</c:v>
                </c:pt>
                <c:pt idx="4">
                  <c:v>132.69230769230768</c:v>
                </c:pt>
                <c:pt idx="5">
                  <c:v>141.17391304347825</c:v>
                </c:pt>
                <c:pt idx="6">
                  <c:v>128.13513513513513</c:v>
                </c:pt>
                <c:pt idx="7">
                  <c:v>134.48387096774192</c:v>
                </c:pt>
                <c:pt idx="8">
                  <c:v>136.38461538461539</c:v>
                </c:pt>
                <c:pt idx="9">
                  <c:v>147.05479452054794</c:v>
                </c:pt>
                <c:pt idx="10">
                  <c:v>139.69999999999999</c:v>
                </c:pt>
                <c:pt idx="11">
                  <c:v>138.81081081081081</c:v>
                </c:pt>
                <c:pt idx="12">
                  <c:v>133.42857142857142</c:v>
                </c:pt>
                <c:pt idx="13">
                  <c:v>133.96882352941176</c:v>
                </c:pt>
                <c:pt idx="14">
                  <c:v>136.23307692307685</c:v>
                </c:pt>
                <c:pt idx="15">
                  <c:v>136.76764705882351</c:v>
                </c:pt>
                <c:pt idx="16">
                  <c:v>136.33338028169015</c:v>
                </c:pt>
                <c:pt idx="17">
                  <c:v>140.60030303030308</c:v>
                </c:pt>
                <c:pt idx="18">
                  <c:v>144.38166666666669</c:v>
                </c:pt>
                <c:pt idx="19">
                  <c:v>153.94499999999999</c:v>
                </c:pt>
                <c:pt idx="20">
                  <c:v>136.95791666666665</c:v>
                </c:pt>
                <c:pt idx="21">
                  <c:v>147.70128205128208</c:v>
                </c:pt>
                <c:pt idx="22">
                  <c:v>144.35849999999999</c:v>
                </c:pt>
                <c:pt idx="23">
                  <c:v>138.33000000000001</c:v>
                </c:pt>
                <c:pt idx="24">
                  <c:v>141.88</c:v>
                </c:pt>
                <c:pt idx="25">
                  <c:v>126.59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474496"/>
        <c:axId val="102476416"/>
      </c:barChart>
      <c:catAx>
        <c:axId val="10247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2476416"/>
        <c:crosses val="autoZero"/>
        <c:auto val="1"/>
        <c:lblAlgn val="ctr"/>
        <c:lblOffset val="100"/>
        <c:noMultiLvlLbl val="1"/>
      </c:catAx>
      <c:valAx>
        <c:axId val="1024764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47449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Length,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3.9753674858439298E-3"/>
                  <c:y val="-0.206956866240776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0.2369x - 336.37
R² = 0.07876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0.0828035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SumTblValueOnly!$M$185:$M$210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SumTblValueOnly!$N$185:$N$210</c:f>
              <c:numCache>
                <c:formatCode>0.00</c:formatCode>
                <c:ptCount val="26"/>
                <c:pt idx="0">
                  <c:v>133.73684210526315</c:v>
                </c:pt>
                <c:pt idx="1">
                  <c:v>125.375</c:v>
                </c:pt>
                <c:pt idx="2">
                  <c:v>142.69999999999999</c:v>
                </c:pt>
                <c:pt idx="3">
                  <c:v>141.94444444444446</c:v>
                </c:pt>
                <c:pt idx="4">
                  <c:v>132.69230769230768</c:v>
                </c:pt>
                <c:pt idx="5">
                  <c:v>141.17391304347825</c:v>
                </c:pt>
                <c:pt idx="6">
                  <c:v>128.13513513513513</c:v>
                </c:pt>
                <c:pt idx="7">
                  <c:v>134.48387096774192</c:v>
                </c:pt>
                <c:pt idx="8">
                  <c:v>136.38461538461539</c:v>
                </c:pt>
                <c:pt idx="9">
                  <c:v>147.05479452054794</c:v>
                </c:pt>
                <c:pt idx="10">
                  <c:v>139.69999999999999</c:v>
                </c:pt>
                <c:pt idx="11">
                  <c:v>138.81081081081081</c:v>
                </c:pt>
                <c:pt idx="12">
                  <c:v>133.42857142857142</c:v>
                </c:pt>
                <c:pt idx="13">
                  <c:v>133.96882352941176</c:v>
                </c:pt>
                <c:pt idx="14">
                  <c:v>136.23307692307685</c:v>
                </c:pt>
                <c:pt idx="15">
                  <c:v>136.76764705882351</c:v>
                </c:pt>
                <c:pt idx="16">
                  <c:v>136.33338028169015</c:v>
                </c:pt>
                <c:pt idx="17">
                  <c:v>140.60030303030308</c:v>
                </c:pt>
                <c:pt idx="18">
                  <c:v>144.38166666666669</c:v>
                </c:pt>
                <c:pt idx="19">
                  <c:v>153.94499999999999</c:v>
                </c:pt>
                <c:pt idx="20">
                  <c:v>136.95791666666665</c:v>
                </c:pt>
                <c:pt idx="21">
                  <c:v>147.70128205128208</c:v>
                </c:pt>
                <c:pt idx="22">
                  <c:v>144.35849999999999</c:v>
                </c:pt>
                <c:pt idx="23">
                  <c:v>138.33000000000001</c:v>
                </c:pt>
                <c:pt idx="24">
                  <c:v>141.88</c:v>
                </c:pt>
                <c:pt idx="25">
                  <c:v>126.59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9472"/>
        <c:axId val="103564800"/>
      </c:scatterChart>
      <c:valAx>
        <c:axId val="10248947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3564800"/>
        <c:crosses val="autoZero"/>
        <c:crossBetween val="midCat"/>
      </c:valAx>
      <c:valAx>
        <c:axId val="103564800"/>
        <c:scaling>
          <c:orientation val="minMax"/>
          <c:min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248947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Weight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SumTblValueOnly!$H$221:$H$247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SumTblValueOnly!$I$221:$I$247</c:f>
              <c:numCache>
                <c:formatCode>0.00</c:formatCode>
                <c:ptCount val="27"/>
                <c:pt idx="0" formatCode="General">
                  <c:v>9</c:v>
                </c:pt>
                <c:pt idx="1">
                  <c:v>21.684615384615384</c:v>
                </c:pt>
                <c:pt idx="2">
                  <c:v>14.313541666666671</c:v>
                </c:pt>
                <c:pt idx="3">
                  <c:v>15.465909090909092</c:v>
                </c:pt>
                <c:pt idx="4">
                  <c:v>13.836363636363638</c:v>
                </c:pt>
                <c:pt idx="5">
                  <c:v>12.897959183673478</c:v>
                </c:pt>
                <c:pt idx="6">
                  <c:v>18.666666666666668</c:v>
                </c:pt>
                <c:pt idx="7">
                  <c:v>12.969473684210525</c:v>
                </c:pt>
                <c:pt idx="8">
                  <c:v>11.607142857142858</c:v>
                </c:pt>
                <c:pt idx="9">
                  <c:v>14.25</c:v>
                </c:pt>
                <c:pt idx="10">
                  <c:v>15.333333333333334</c:v>
                </c:pt>
                <c:pt idx="11">
                  <c:v>14.129411764705882</c:v>
                </c:pt>
                <c:pt idx="12">
                  <c:v>12.625</c:v>
                </c:pt>
                <c:pt idx="13">
                  <c:v>13.534545454545453</c:v>
                </c:pt>
                <c:pt idx="14">
                  <c:v>11.874285714285714</c:v>
                </c:pt>
                <c:pt idx="15">
                  <c:v>10.64</c:v>
                </c:pt>
                <c:pt idx="16">
                  <c:v>11.2</c:v>
                </c:pt>
                <c:pt idx="17">
                  <c:v>13.430555555555552</c:v>
                </c:pt>
                <c:pt idx="18">
                  <c:v>14.416666666666666</c:v>
                </c:pt>
                <c:pt idx="19">
                  <c:v>13.879310344827585</c:v>
                </c:pt>
                <c:pt idx="20">
                  <c:v>12.705555555555556</c:v>
                </c:pt>
                <c:pt idx="21">
                  <c:v>12.006666666666666</c:v>
                </c:pt>
                <c:pt idx="22">
                  <c:v>11.016666666666669</c:v>
                </c:pt>
                <c:pt idx="23">
                  <c:v>10.599999999999998</c:v>
                </c:pt>
                <c:pt idx="24" formatCode="General">
                  <c:v>11.3</c:v>
                </c:pt>
                <c:pt idx="25" formatCode="General">
                  <c:v>10.75</c:v>
                </c:pt>
                <c:pt idx="26" formatCode="General">
                  <c:v>12.3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609856"/>
        <c:axId val="103611776"/>
      </c:barChart>
      <c:catAx>
        <c:axId val="10360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3611776"/>
        <c:crosses val="autoZero"/>
        <c:auto val="1"/>
        <c:lblAlgn val="ctr"/>
        <c:lblOffset val="100"/>
        <c:noMultiLvlLbl val="1"/>
      </c:catAx>
      <c:valAx>
        <c:axId val="1036117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360985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Weight,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1.9254084764828101E-2"/>
                  <c:y val="-0.267026055705301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-0.1489x + 311.45
R² = 0.21549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0.007368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SumTblValueOnly!$H$221:$H$247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SumTblValueOnly!$I$221:$I$247</c:f>
              <c:numCache>
                <c:formatCode>0.00</c:formatCode>
                <c:ptCount val="27"/>
                <c:pt idx="0" formatCode="General">
                  <c:v>9</c:v>
                </c:pt>
                <c:pt idx="1">
                  <c:v>21.684615384615384</c:v>
                </c:pt>
                <c:pt idx="2">
                  <c:v>14.313541666666671</c:v>
                </c:pt>
                <c:pt idx="3">
                  <c:v>15.465909090909092</c:v>
                </c:pt>
                <c:pt idx="4">
                  <c:v>13.836363636363638</c:v>
                </c:pt>
                <c:pt idx="5">
                  <c:v>12.897959183673478</c:v>
                </c:pt>
                <c:pt idx="6">
                  <c:v>18.666666666666668</c:v>
                </c:pt>
                <c:pt idx="7">
                  <c:v>12.969473684210525</c:v>
                </c:pt>
                <c:pt idx="8">
                  <c:v>11.607142857142858</c:v>
                </c:pt>
                <c:pt idx="9">
                  <c:v>14.25</c:v>
                </c:pt>
                <c:pt idx="10">
                  <c:v>15.333333333333334</c:v>
                </c:pt>
                <c:pt idx="11">
                  <c:v>14.129411764705882</c:v>
                </c:pt>
                <c:pt idx="12">
                  <c:v>12.625</c:v>
                </c:pt>
                <c:pt idx="13">
                  <c:v>13.534545454545453</c:v>
                </c:pt>
                <c:pt idx="14">
                  <c:v>11.874285714285714</c:v>
                </c:pt>
                <c:pt idx="15">
                  <c:v>10.64</c:v>
                </c:pt>
                <c:pt idx="16">
                  <c:v>11.2</c:v>
                </c:pt>
                <c:pt idx="17">
                  <c:v>13.430555555555552</c:v>
                </c:pt>
                <c:pt idx="18">
                  <c:v>14.416666666666666</c:v>
                </c:pt>
                <c:pt idx="19">
                  <c:v>13.879310344827585</c:v>
                </c:pt>
                <c:pt idx="20">
                  <c:v>12.705555555555556</c:v>
                </c:pt>
                <c:pt idx="21">
                  <c:v>12.006666666666666</c:v>
                </c:pt>
                <c:pt idx="22">
                  <c:v>11.016666666666669</c:v>
                </c:pt>
                <c:pt idx="23">
                  <c:v>10.599999999999998</c:v>
                </c:pt>
                <c:pt idx="24" formatCode="General">
                  <c:v>11.3</c:v>
                </c:pt>
                <c:pt idx="25" formatCode="General">
                  <c:v>10.75</c:v>
                </c:pt>
                <c:pt idx="26" formatCode="General">
                  <c:v>12.3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07008"/>
        <c:axId val="103708928"/>
      </c:scatterChart>
      <c:valAx>
        <c:axId val="10370700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03708928"/>
        <c:crosses val="autoZero"/>
        <c:crossBetween val="midCat"/>
      </c:valAx>
      <c:valAx>
        <c:axId val="1037089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0370700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Weight,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SumTblValueOnly!$K$221:$K$246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cat>
          <c:val>
            <c:numRef>
              <c:f>SumTblValueOnly!$L$221:$L$246</c:f>
              <c:numCache>
                <c:formatCode>0.00</c:formatCode>
                <c:ptCount val="26"/>
                <c:pt idx="0">
                  <c:v>15.078571428571431</c:v>
                </c:pt>
                <c:pt idx="1">
                  <c:v>10.5625</c:v>
                </c:pt>
                <c:pt idx="2">
                  <c:v>12.68</c:v>
                </c:pt>
                <c:pt idx="3">
                  <c:v>11.574999999999999</c:v>
                </c:pt>
                <c:pt idx="4">
                  <c:v>11.446153846153845</c:v>
                </c:pt>
                <c:pt idx="5">
                  <c:v>12.233333333333333</c:v>
                </c:pt>
                <c:pt idx="6">
                  <c:v>9.63170731707317</c:v>
                </c:pt>
                <c:pt idx="7">
                  <c:v>12.559375000000001</c:v>
                </c:pt>
                <c:pt idx="8">
                  <c:v>13.108108108108109</c:v>
                </c:pt>
                <c:pt idx="9">
                  <c:v>13.07894736842105</c:v>
                </c:pt>
                <c:pt idx="10">
                  <c:v>12.385714285714286</c:v>
                </c:pt>
                <c:pt idx="11">
                  <c:v>12.16</c:v>
                </c:pt>
                <c:pt idx="12">
                  <c:v>10.653846153846153</c:v>
                </c:pt>
                <c:pt idx="13">
                  <c:v>12.558823529411766</c:v>
                </c:pt>
                <c:pt idx="14">
                  <c:v>10.279032258064515</c:v>
                </c:pt>
                <c:pt idx="15">
                  <c:v>9.447058823529412</c:v>
                </c:pt>
                <c:pt idx="16">
                  <c:v>12.382142857142858</c:v>
                </c:pt>
                <c:pt idx="17">
                  <c:v>12.742424242424242</c:v>
                </c:pt>
                <c:pt idx="18">
                  <c:v>9.9272727272727277</c:v>
                </c:pt>
                <c:pt idx="19">
                  <c:v>10.5</c:v>
                </c:pt>
                <c:pt idx="20">
                  <c:v>9.8279999999999994</c:v>
                </c:pt>
                <c:pt idx="21">
                  <c:v>10.253846153846155</c:v>
                </c:pt>
                <c:pt idx="22">
                  <c:v>11.117500000000001</c:v>
                </c:pt>
                <c:pt idx="23">
                  <c:v>10.849137931034482</c:v>
                </c:pt>
                <c:pt idx="24" formatCode="General">
                  <c:v>11.35</c:v>
                </c:pt>
                <c:pt idx="25" formatCode="General">
                  <c:v>11.59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445120"/>
        <c:axId val="113451392"/>
      </c:barChart>
      <c:catAx>
        <c:axId val="11344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13451392"/>
        <c:crosses val="autoZero"/>
        <c:auto val="1"/>
        <c:lblAlgn val="ctr"/>
        <c:lblOffset val="100"/>
        <c:noMultiLvlLbl val="1"/>
      </c:catAx>
      <c:valAx>
        <c:axId val="1134513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1344512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Weight,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0929286381575199E-2"/>
                  <c:y val="-0.36776336920149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-0.2235x + 13.955
R² = 0.31265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0.0169445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SumTblValueOnly!$K$221:$K$246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SumTblValueOnly!$L$221:$L$246</c:f>
              <c:numCache>
                <c:formatCode>0.00</c:formatCode>
                <c:ptCount val="26"/>
                <c:pt idx="0">
                  <c:v>15.078571428571431</c:v>
                </c:pt>
                <c:pt idx="1">
                  <c:v>10.5625</c:v>
                </c:pt>
                <c:pt idx="2">
                  <c:v>12.68</c:v>
                </c:pt>
                <c:pt idx="3">
                  <c:v>11.574999999999999</c:v>
                </c:pt>
                <c:pt idx="4">
                  <c:v>11.446153846153845</c:v>
                </c:pt>
                <c:pt idx="5">
                  <c:v>12.233333333333333</c:v>
                </c:pt>
                <c:pt idx="6">
                  <c:v>9.63170731707317</c:v>
                </c:pt>
                <c:pt idx="7">
                  <c:v>12.559375000000001</c:v>
                </c:pt>
                <c:pt idx="8">
                  <c:v>13.108108108108109</c:v>
                </c:pt>
                <c:pt idx="9">
                  <c:v>13.07894736842105</c:v>
                </c:pt>
                <c:pt idx="10">
                  <c:v>12.385714285714286</c:v>
                </c:pt>
                <c:pt idx="11">
                  <c:v>12.16</c:v>
                </c:pt>
                <c:pt idx="12">
                  <c:v>10.653846153846153</c:v>
                </c:pt>
                <c:pt idx="13">
                  <c:v>12.558823529411766</c:v>
                </c:pt>
                <c:pt idx="14">
                  <c:v>10.279032258064515</c:v>
                </c:pt>
                <c:pt idx="15">
                  <c:v>9.447058823529412</c:v>
                </c:pt>
                <c:pt idx="16">
                  <c:v>12.382142857142858</c:v>
                </c:pt>
                <c:pt idx="17">
                  <c:v>12.742424242424242</c:v>
                </c:pt>
                <c:pt idx="18">
                  <c:v>9.9272727272727277</c:v>
                </c:pt>
                <c:pt idx="19">
                  <c:v>10.5</c:v>
                </c:pt>
                <c:pt idx="20">
                  <c:v>9.8279999999999994</c:v>
                </c:pt>
                <c:pt idx="21">
                  <c:v>10.253846153846155</c:v>
                </c:pt>
                <c:pt idx="22">
                  <c:v>11.117500000000001</c:v>
                </c:pt>
                <c:pt idx="23">
                  <c:v>10.849137931034482</c:v>
                </c:pt>
                <c:pt idx="24" formatCode="General">
                  <c:v>11.35</c:v>
                </c:pt>
                <c:pt idx="25" formatCode="General">
                  <c:v>11.59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72640"/>
        <c:axId val="113474560"/>
      </c:scatterChart>
      <c:valAx>
        <c:axId val="11347264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13474560"/>
        <c:crosses val="autoZero"/>
        <c:crossBetween val="midCat"/>
      </c:valAx>
      <c:valAx>
        <c:axId val="113474560"/>
        <c:scaling>
          <c:orientation val="minMax"/>
          <c:min val="8"/>
        </c:scaling>
        <c:delete val="0"/>
        <c:axPos val="l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134726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 sz="1800"/>
              <a:t>Percentage</a:t>
            </a:r>
            <a:r>
              <a:rPr lang="en-US" sz="1800" baseline="0"/>
              <a:t> Gravid Capelin vs Date</a:t>
            </a:r>
            <a:endParaRPr lang="en-US" sz="18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3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5034679987035501"/>
                  <c:y val="-0.36971850216836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-0.4303x + 18523
R² = 0.00479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SumTblValueOnly!$F$320:$F$345</c:f>
              <c:numCache>
                <c:formatCode>d\-mmm</c:formatCode>
                <c:ptCount val="26"/>
                <c:pt idx="0">
                  <c:v>42941</c:v>
                </c:pt>
                <c:pt idx="1">
                  <c:v>42945</c:v>
                </c:pt>
                <c:pt idx="2">
                  <c:v>42946</c:v>
                </c:pt>
                <c:pt idx="3">
                  <c:v>42947</c:v>
                </c:pt>
                <c:pt idx="4">
                  <c:v>42947</c:v>
                </c:pt>
                <c:pt idx="5">
                  <c:v>42948</c:v>
                </c:pt>
                <c:pt idx="6">
                  <c:v>42949</c:v>
                </c:pt>
                <c:pt idx="7">
                  <c:v>42950</c:v>
                </c:pt>
                <c:pt idx="8">
                  <c:v>42950</c:v>
                </c:pt>
                <c:pt idx="9">
                  <c:v>42951</c:v>
                </c:pt>
                <c:pt idx="10">
                  <c:v>42951</c:v>
                </c:pt>
                <c:pt idx="11">
                  <c:v>42952</c:v>
                </c:pt>
                <c:pt idx="12">
                  <c:v>42952</c:v>
                </c:pt>
                <c:pt idx="13">
                  <c:v>42953</c:v>
                </c:pt>
                <c:pt idx="14">
                  <c:v>42954</c:v>
                </c:pt>
                <c:pt idx="15">
                  <c:v>42954</c:v>
                </c:pt>
                <c:pt idx="16">
                  <c:v>42954</c:v>
                </c:pt>
                <c:pt idx="17">
                  <c:v>42955</c:v>
                </c:pt>
                <c:pt idx="18">
                  <c:v>42956</c:v>
                </c:pt>
                <c:pt idx="19">
                  <c:v>42956</c:v>
                </c:pt>
                <c:pt idx="20">
                  <c:v>42957</c:v>
                </c:pt>
                <c:pt idx="21">
                  <c:v>42957</c:v>
                </c:pt>
                <c:pt idx="22">
                  <c:v>42957</c:v>
                </c:pt>
                <c:pt idx="23">
                  <c:v>42958</c:v>
                </c:pt>
                <c:pt idx="24">
                  <c:v>42958</c:v>
                </c:pt>
                <c:pt idx="25">
                  <c:v>42961</c:v>
                </c:pt>
              </c:numCache>
            </c:numRef>
          </c:xVal>
          <c:yVal>
            <c:numRef>
              <c:f>SumTblValueOnly!$G$320:$G$345</c:f>
              <c:numCache>
                <c:formatCode>General</c:formatCode>
                <c:ptCount val="26"/>
                <c:pt idx="0">
                  <c:v>39.6</c:v>
                </c:pt>
                <c:pt idx="1">
                  <c:v>39.24</c:v>
                </c:pt>
                <c:pt idx="2">
                  <c:v>32.89</c:v>
                </c:pt>
                <c:pt idx="3">
                  <c:v>16.670000000000002</c:v>
                </c:pt>
                <c:pt idx="4">
                  <c:v>33.65</c:v>
                </c:pt>
                <c:pt idx="5">
                  <c:v>24.29</c:v>
                </c:pt>
                <c:pt idx="6">
                  <c:v>79.45</c:v>
                </c:pt>
                <c:pt idx="7">
                  <c:v>72.41</c:v>
                </c:pt>
                <c:pt idx="8">
                  <c:v>88.89</c:v>
                </c:pt>
                <c:pt idx="9">
                  <c:v>18.100000000000001</c:v>
                </c:pt>
                <c:pt idx="10">
                  <c:v>8.89</c:v>
                </c:pt>
                <c:pt idx="11">
                  <c:v>78.97</c:v>
                </c:pt>
                <c:pt idx="12">
                  <c:v>51.69</c:v>
                </c:pt>
                <c:pt idx="13">
                  <c:v>4.8099999999999996</c:v>
                </c:pt>
                <c:pt idx="14">
                  <c:v>92.44</c:v>
                </c:pt>
                <c:pt idx="15">
                  <c:v>70.34</c:v>
                </c:pt>
                <c:pt idx="16">
                  <c:v>7.69</c:v>
                </c:pt>
                <c:pt idx="17">
                  <c:v>49.51</c:v>
                </c:pt>
                <c:pt idx="18">
                  <c:v>89.71</c:v>
                </c:pt>
                <c:pt idx="19">
                  <c:v>6.67</c:v>
                </c:pt>
                <c:pt idx="20">
                  <c:v>24.14</c:v>
                </c:pt>
                <c:pt idx="21">
                  <c:v>57.47</c:v>
                </c:pt>
                <c:pt idx="22">
                  <c:v>4.17</c:v>
                </c:pt>
                <c:pt idx="23">
                  <c:v>3.85</c:v>
                </c:pt>
                <c:pt idx="24">
                  <c:v>22.22</c:v>
                </c:pt>
                <c:pt idx="25">
                  <c:v>46.67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1744"/>
        <c:axId val="114833664"/>
      </c:scatterChart>
      <c:valAx>
        <c:axId val="11483174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d\-mmm" sourceLinked="1"/>
        <c:majorTickMark val="none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14833664"/>
        <c:crosses val="autoZero"/>
        <c:crossBetween val="midCat"/>
      </c:valAx>
      <c:valAx>
        <c:axId val="1148336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</a:t>
                </a:r>
                <a:r>
                  <a:rPr lang="en-US" baseline="0"/>
                  <a:t> Gravid</a:t>
                </a:r>
                <a:endParaRPr lang="en-US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1483174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% Gravid and Spent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Female Capelin,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964376149017"/>
          <c:y val="0.13150684931506801"/>
          <c:w val="0.84018540358666605"/>
          <c:h val="0.6407919558000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'% Gr-Sp Grphs'!$B$1</c:f>
              <c:strCache>
                <c:ptCount val="1"/>
                <c:pt idx="0">
                  <c:v>% Gravid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Grphs'!$B$2:$B$28</c:f>
              <c:numCache>
                <c:formatCode>General</c:formatCode>
                <c:ptCount val="27"/>
                <c:pt idx="0">
                  <c:v>3.85</c:v>
                </c:pt>
                <c:pt idx="1">
                  <c:v>46.67</c:v>
                </c:pt>
                <c:pt idx="2">
                  <c:v>92.44</c:v>
                </c:pt>
                <c:pt idx="3">
                  <c:v>89.71</c:v>
                </c:pt>
                <c:pt idx="4">
                  <c:v>55.84</c:v>
                </c:pt>
                <c:pt idx="5">
                  <c:v>70.34</c:v>
                </c:pt>
                <c:pt idx="6">
                  <c:v>7.69</c:v>
                </c:pt>
                <c:pt idx="7">
                  <c:v>78.97</c:v>
                </c:pt>
                <c:pt idx="8">
                  <c:v>24.14</c:v>
                </c:pt>
                <c:pt idx="9">
                  <c:v>16.670000000000002</c:v>
                </c:pt>
                <c:pt idx="10">
                  <c:v>6.67</c:v>
                </c:pt>
                <c:pt idx="11">
                  <c:v>18.100000000000001</c:v>
                </c:pt>
                <c:pt idx="12">
                  <c:v>57.47</c:v>
                </c:pt>
                <c:pt idx="13">
                  <c:v>79.45</c:v>
                </c:pt>
                <c:pt idx="14">
                  <c:v>39.24</c:v>
                </c:pt>
                <c:pt idx="15">
                  <c:v>4.8099999999999996</c:v>
                </c:pt>
                <c:pt idx="16">
                  <c:v>4.17</c:v>
                </c:pt>
                <c:pt idx="17">
                  <c:v>32.89</c:v>
                </c:pt>
                <c:pt idx="18">
                  <c:v>39.6</c:v>
                </c:pt>
                <c:pt idx="19">
                  <c:v>72.41</c:v>
                </c:pt>
                <c:pt idx="20">
                  <c:v>88.89</c:v>
                </c:pt>
                <c:pt idx="21">
                  <c:v>51.69</c:v>
                </c:pt>
                <c:pt idx="22">
                  <c:v>33.65</c:v>
                </c:pt>
                <c:pt idx="23">
                  <c:v>24.286000000000001</c:v>
                </c:pt>
                <c:pt idx="24">
                  <c:v>8.89</c:v>
                </c:pt>
                <c:pt idx="25">
                  <c:v>22.22</c:v>
                </c:pt>
                <c:pt idx="26">
                  <c:v>49.51</c:v>
                </c:pt>
              </c:numCache>
            </c:numRef>
          </c:val>
        </c:ser>
        <c:ser>
          <c:idx val="1"/>
          <c:order val="1"/>
          <c:tx>
            <c:strRef>
              <c:f>'% Gr-Sp Grphs'!$C$1</c:f>
              <c:strCache>
                <c:ptCount val="1"/>
                <c:pt idx="0">
                  <c:v>% Spent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Grphs'!$C$2:$C$28</c:f>
              <c:numCache>
                <c:formatCode>General</c:formatCode>
                <c:ptCount val="27"/>
                <c:pt idx="0">
                  <c:v>0</c:v>
                </c:pt>
                <c:pt idx="1">
                  <c:v>53.33</c:v>
                </c:pt>
                <c:pt idx="2">
                  <c:v>7.56</c:v>
                </c:pt>
                <c:pt idx="3">
                  <c:v>10.29</c:v>
                </c:pt>
                <c:pt idx="4">
                  <c:v>32.47</c:v>
                </c:pt>
                <c:pt idx="5">
                  <c:v>26.27</c:v>
                </c:pt>
                <c:pt idx="6">
                  <c:v>89.74</c:v>
                </c:pt>
                <c:pt idx="7">
                  <c:v>19.309999999999999</c:v>
                </c:pt>
                <c:pt idx="8">
                  <c:v>58.62</c:v>
                </c:pt>
                <c:pt idx="9">
                  <c:v>83.33</c:v>
                </c:pt>
                <c:pt idx="10">
                  <c:v>87.41</c:v>
                </c:pt>
                <c:pt idx="11">
                  <c:v>80.17</c:v>
                </c:pt>
                <c:pt idx="12">
                  <c:v>39.46</c:v>
                </c:pt>
                <c:pt idx="13">
                  <c:v>20.55</c:v>
                </c:pt>
                <c:pt idx="14">
                  <c:v>50.63</c:v>
                </c:pt>
                <c:pt idx="15">
                  <c:v>73.08</c:v>
                </c:pt>
                <c:pt idx="16">
                  <c:v>79.17</c:v>
                </c:pt>
                <c:pt idx="17">
                  <c:v>57.72</c:v>
                </c:pt>
                <c:pt idx="18">
                  <c:v>59.41</c:v>
                </c:pt>
                <c:pt idx="19">
                  <c:v>27.59</c:v>
                </c:pt>
                <c:pt idx="20">
                  <c:v>11.11</c:v>
                </c:pt>
                <c:pt idx="21">
                  <c:v>46.07</c:v>
                </c:pt>
                <c:pt idx="22">
                  <c:v>51.92</c:v>
                </c:pt>
                <c:pt idx="23">
                  <c:v>72.86</c:v>
                </c:pt>
                <c:pt idx="24">
                  <c:v>90</c:v>
                </c:pt>
                <c:pt idx="25">
                  <c:v>77.78</c:v>
                </c:pt>
                <c:pt idx="26">
                  <c:v>48.53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611520"/>
        <c:axId val="113613440"/>
      </c:barChart>
      <c:catAx>
        <c:axId val="11361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3613440"/>
        <c:crosses val="autoZero"/>
        <c:auto val="1"/>
        <c:lblAlgn val="ctr"/>
        <c:lblOffset val="100"/>
        <c:noMultiLvlLbl val="0"/>
      </c:catAx>
      <c:valAx>
        <c:axId val="1136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% capelin abundance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361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% Gravid Capelin,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Gr-Sp Grphs'!$B$1</c:f>
              <c:strCache>
                <c:ptCount val="1"/>
                <c:pt idx="0">
                  <c:v>% Gravid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Grphs'!$B$2:$B$28</c:f>
              <c:numCache>
                <c:formatCode>General</c:formatCode>
                <c:ptCount val="27"/>
                <c:pt idx="0">
                  <c:v>3.85</c:v>
                </c:pt>
                <c:pt idx="1">
                  <c:v>46.67</c:v>
                </c:pt>
                <c:pt idx="2">
                  <c:v>92.44</c:v>
                </c:pt>
                <c:pt idx="3">
                  <c:v>89.71</c:v>
                </c:pt>
                <c:pt idx="4">
                  <c:v>55.84</c:v>
                </c:pt>
                <c:pt idx="5">
                  <c:v>70.34</c:v>
                </c:pt>
                <c:pt idx="6">
                  <c:v>7.69</c:v>
                </c:pt>
                <c:pt idx="7">
                  <c:v>78.97</c:v>
                </c:pt>
                <c:pt idx="8">
                  <c:v>24.14</c:v>
                </c:pt>
                <c:pt idx="9">
                  <c:v>16.670000000000002</c:v>
                </c:pt>
                <c:pt idx="10">
                  <c:v>6.67</c:v>
                </c:pt>
                <c:pt idx="11">
                  <c:v>18.100000000000001</c:v>
                </c:pt>
                <c:pt idx="12">
                  <c:v>57.47</c:v>
                </c:pt>
                <c:pt idx="13">
                  <c:v>79.45</c:v>
                </c:pt>
                <c:pt idx="14">
                  <c:v>39.24</c:v>
                </c:pt>
                <c:pt idx="15">
                  <c:v>4.8099999999999996</c:v>
                </c:pt>
                <c:pt idx="16">
                  <c:v>4.17</c:v>
                </c:pt>
                <c:pt idx="17">
                  <c:v>32.89</c:v>
                </c:pt>
                <c:pt idx="18">
                  <c:v>39.6</c:v>
                </c:pt>
                <c:pt idx="19">
                  <c:v>72.41</c:v>
                </c:pt>
                <c:pt idx="20">
                  <c:v>88.89</c:v>
                </c:pt>
                <c:pt idx="21">
                  <c:v>51.69</c:v>
                </c:pt>
                <c:pt idx="22">
                  <c:v>33.65</c:v>
                </c:pt>
                <c:pt idx="23">
                  <c:v>24.286000000000001</c:v>
                </c:pt>
                <c:pt idx="24">
                  <c:v>8.89</c:v>
                </c:pt>
                <c:pt idx="25">
                  <c:v>22.22</c:v>
                </c:pt>
                <c:pt idx="26">
                  <c:v>49.51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642496"/>
        <c:axId val="113648768"/>
      </c:barChart>
      <c:catAx>
        <c:axId val="11364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3648768"/>
        <c:crosses val="autoZero"/>
        <c:auto val="1"/>
        <c:lblAlgn val="ctr"/>
        <c:lblOffset val="100"/>
        <c:noMultiLvlLbl val="0"/>
      </c:catAx>
      <c:valAx>
        <c:axId val="113648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capelin abundance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364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% Spent Capelin,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Gr-Sp Grphs'!$C$1</c:f>
              <c:strCache>
                <c:ptCount val="1"/>
                <c:pt idx="0">
                  <c:v>% Spent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Grphs'!$C$2:$C$28</c:f>
              <c:numCache>
                <c:formatCode>General</c:formatCode>
                <c:ptCount val="27"/>
                <c:pt idx="0">
                  <c:v>0</c:v>
                </c:pt>
                <c:pt idx="1">
                  <c:v>53.33</c:v>
                </c:pt>
                <c:pt idx="2">
                  <c:v>7.56</c:v>
                </c:pt>
                <c:pt idx="3">
                  <c:v>10.29</c:v>
                </c:pt>
                <c:pt idx="4">
                  <c:v>32.47</c:v>
                </c:pt>
                <c:pt idx="5">
                  <c:v>26.27</c:v>
                </c:pt>
                <c:pt idx="6">
                  <c:v>89.74</c:v>
                </c:pt>
                <c:pt idx="7">
                  <c:v>19.309999999999999</c:v>
                </c:pt>
                <c:pt idx="8">
                  <c:v>58.62</c:v>
                </c:pt>
                <c:pt idx="9">
                  <c:v>83.33</c:v>
                </c:pt>
                <c:pt idx="10">
                  <c:v>87.41</c:v>
                </c:pt>
                <c:pt idx="11">
                  <c:v>80.17</c:v>
                </c:pt>
                <c:pt idx="12">
                  <c:v>39.46</c:v>
                </c:pt>
                <c:pt idx="13">
                  <c:v>20.55</c:v>
                </c:pt>
                <c:pt idx="14">
                  <c:v>50.63</c:v>
                </c:pt>
                <c:pt idx="15">
                  <c:v>73.08</c:v>
                </c:pt>
                <c:pt idx="16">
                  <c:v>79.17</c:v>
                </c:pt>
                <c:pt idx="17">
                  <c:v>57.72</c:v>
                </c:pt>
                <c:pt idx="18">
                  <c:v>59.41</c:v>
                </c:pt>
                <c:pt idx="19">
                  <c:v>27.59</c:v>
                </c:pt>
                <c:pt idx="20">
                  <c:v>11.11</c:v>
                </c:pt>
                <c:pt idx="21">
                  <c:v>46.07</c:v>
                </c:pt>
                <c:pt idx="22">
                  <c:v>51.92</c:v>
                </c:pt>
                <c:pt idx="23">
                  <c:v>72.86</c:v>
                </c:pt>
                <c:pt idx="24">
                  <c:v>90</c:v>
                </c:pt>
                <c:pt idx="25">
                  <c:v>77.78</c:v>
                </c:pt>
                <c:pt idx="26">
                  <c:v>48.53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681536"/>
        <c:axId val="113683456"/>
      </c:barChart>
      <c:catAx>
        <c:axId val="11368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3683456"/>
        <c:crosses val="autoZero"/>
        <c:auto val="1"/>
        <c:lblAlgn val="ctr"/>
        <c:lblOffset val="100"/>
        <c:noMultiLvlLbl val="0"/>
      </c:catAx>
      <c:valAx>
        <c:axId val="1136834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% capelin abunacne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368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sv-SE" sz="1400" b="0" i="0" baseline="0">
                <a:effectLst/>
                <a:latin typeface="Times New Roman"/>
                <a:cs typeface="Times New Roman"/>
              </a:rPr>
              <a:t>% Gravid Capelin, 1990-2017</a:t>
            </a:r>
            <a:endParaRPr lang="sv-SE" sz="1400">
              <a:effectLst/>
              <a:latin typeface="Times New Roman"/>
              <a:cs typeface="Times New Roman"/>
            </a:endParaRPr>
          </a:p>
        </c:rich>
      </c:tx>
      <c:layout>
        <c:manualLayout>
          <c:xMode val="edge"/>
          <c:yMode val="edge"/>
          <c:x val="0.30852285690437098"/>
          <c:y val="4.629624127172780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'% Gr-Sp Grphs'!$B$1</c:f>
              <c:strCache>
                <c:ptCount val="1"/>
                <c:pt idx="0">
                  <c:v>% 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07856765254167"/>
                  <c:y val="-0.46614551397198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latin typeface="Times New Roman"/>
                        <a:cs typeface="Times New Roman"/>
                      </a:rPr>
                      <a:t>y = -0.6003x + 1243.9
R² = 0.0273</a:t>
                    </a:r>
                  </a:p>
                  <a:p>
                    <a:pPr>
                      <a:defRPr/>
                    </a:pPr>
                    <a:r>
                      <a:rPr lang="en-US" baseline="0">
                        <a:latin typeface="Times New Roman"/>
                        <a:cs typeface="Times New Roman"/>
                      </a:rPr>
                      <a:t>p=0.0336</a:t>
                    </a:r>
                    <a:endParaRPr lang="en-US">
                      <a:latin typeface="Times New Roman"/>
                      <a:cs typeface="Times New Roman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'% Gr-Sp Grphs'!$B$2:$B$28</c:f>
              <c:numCache>
                <c:formatCode>General</c:formatCode>
                <c:ptCount val="27"/>
                <c:pt idx="0">
                  <c:v>3.85</c:v>
                </c:pt>
                <c:pt idx="1">
                  <c:v>46.67</c:v>
                </c:pt>
                <c:pt idx="2">
                  <c:v>92.44</c:v>
                </c:pt>
                <c:pt idx="3">
                  <c:v>89.71</c:v>
                </c:pt>
                <c:pt idx="4">
                  <c:v>55.84</c:v>
                </c:pt>
                <c:pt idx="5">
                  <c:v>70.34</c:v>
                </c:pt>
                <c:pt idx="6">
                  <c:v>7.69</c:v>
                </c:pt>
                <c:pt idx="7">
                  <c:v>78.97</c:v>
                </c:pt>
                <c:pt idx="8">
                  <c:v>24.14</c:v>
                </c:pt>
                <c:pt idx="9">
                  <c:v>16.670000000000002</c:v>
                </c:pt>
                <c:pt idx="10">
                  <c:v>6.67</c:v>
                </c:pt>
                <c:pt idx="11">
                  <c:v>18.100000000000001</c:v>
                </c:pt>
                <c:pt idx="12">
                  <c:v>57.47</c:v>
                </c:pt>
                <c:pt idx="13">
                  <c:v>79.45</c:v>
                </c:pt>
                <c:pt idx="14">
                  <c:v>39.24</c:v>
                </c:pt>
                <c:pt idx="15">
                  <c:v>4.8099999999999996</c:v>
                </c:pt>
                <c:pt idx="16">
                  <c:v>4.17</c:v>
                </c:pt>
                <c:pt idx="17">
                  <c:v>32.89</c:v>
                </c:pt>
                <c:pt idx="18">
                  <c:v>39.6</c:v>
                </c:pt>
                <c:pt idx="19">
                  <c:v>72.41</c:v>
                </c:pt>
                <c:pt idx="20">
                  <c:v>88.89</c:v>
                </c:pt>
                <c:pt idx="21">
                  <c:v>51.69</c:v>
                </c:pt>
                <c:pt idx="22">
                  <c:v>33.65</c:v>
                </c:pt>
                <c:pt idx="23">
                  <c:v>24.286000000000001</c:v>
                </c:pt>
                <c:pt idx="24">
                  <c:v>8.89</c:v>
                </c:pt>
                <c:pt idx="25">
                  <c:v>22.22</c:v>
                </c:pt>
                <c:pt idx="26">
                  <c:v>49.51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29536"/>
        <c:axId val="113731456"/>
      </c:scatterChart>
      <c:valAx>
        <c:axId val="11372953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0">
                    <a:latin typeface="Times New Roman"/>
                    <a:cs typeface="Times New Roman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113731456"/>
        <c:crosses val="autoZero"/>
        <c:crossBetween val="midCat"/>
      </c:valAx>
      <c:valAx>
        <c:axId val="1137314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>
                    <a:latin typeface="Times New Roman"/>
                    <a:cs typeface="Times New Roman"/>
                  </a:rPr>
                  <a:t>% Gravid Capelin</a:t>
                </a:r>
              </a:p>
            </c:rich>
          </c:tx>
          <c:layout>
            <c:manualLayout>
              <c:xMode val="edge"/>
              <c:yMode val="edge"/>
              <c:x val="3.8888888888888903E-2"/>
              <c:y val="0.297029017206183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113729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aseline="0">
                <a:latin typeface="Times New Roman"/>
              </a:defRPr>
            </a:pPr>
            <a:r>
              <a:rPr lang="en-US" sz="1400" b="0" baseline="0">
                <a:latin typeface="Times New Roman"/>
              </a:rPr>
              <a:t>% Spent Capelin,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'% Gr-Sp Grphs'!$C$1</c:f>
              <c:strCache>
                <c:ptCount val="1"/>
                <c:pt idx="0">
                  <c:v>% Spent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37554680664917E-2"/>
                  <c:y val="-0.24572360746573299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latin typeface="Times New Roman"/>
                      </a:defRPr>
                    </a:pPr>
                    <a:r>
                      <a:rPr lang="en-US" baseline="0">
                        <a:latin typeface="Times New Roman"/>
                      </a:rPr>
                      <a:t>y = 1.2956x - 2545
R² = 0.14031</a:t>
                    </a:r>
                  </a:p>
                  <a:p>
                    <a:pPr>
                      <a:defRPr>
                        <a:latin typeface="Times New Roman"/>
                      </a:defRPr>
                    </a:pPr>
                    <a:r>
                      <a:rPr lang="en-US" baseline="0">
                        <a:latin typeface="Times New Roman"/>
                      </a:rPr>
                      <a:t>p=0.0409</a:t>
                    </a:r>
                    <a:endParaRPr lang="en-US">
                      <a:latin typeface="Times New Roman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'% Gr-Sp Grphs'!$C$2:$C$28</c:f>
              <c:numCache>
                <c:formatCode>General</c:formatCode>
                <c:ptCount val="27"/>
                <c:pt idx="0">
                  <c:v>0</c:v>
                </c:pt>
                <c:pt idx="1">
                  <c:v>53.33</c:v>
                </c:pt>
                <c:pt idx="2">
                  <c:v>7.56</c:v>
                </c:pt>
                <c:pt idx="3">
                  <c:v>10.29</c:v>
                </c:pt>
                <c:pt idx="4">
                  <c:v>32.47</c:v>
                </c:pt>
                <c:pt idx="5">
                  <c:v>26.27</c:v>
                </c:pt>
                <c:pt idx="6">
                  <c:v>89.74</c:v>
                </c:pt>
                <c:pt idx="7">
                  <c:v>19.309999999999999</c:v>
                </c:pt>
                <c:pt idx="8">
                  <c:v>58.62</c:v>
                </c:pt>
                <c:pt idx="9">
                  <c:v>83.33</c:v>
                </c:pt>
                <c:pt idx="10">
                  <c:v>87.41</c:v>
                </c:pt>
                <c:pt idx="11">
                  <c:v>80.17</c:v>
                </c:pt>
                <c:pt idx="12">
                  <c:v>39.46</c:v>
                </c:pt>
                <c:pt idx="13">
                  <c:v>20.55</c:v>
                </c:pt>
                <c:pt idx="14">
                  <c:v>50.63</c:v>
                </c:pt>
                <c:pt idx="15">
                  <c:v>73.08</c:v>
                </c:pt>
                <c:pt idx="16">
                  <c:v>79.17</c:v>
                </c:pt>
                <c:pt idx="17">
                  <c:v>57.72</c:v>
                </c:pt>
                <c:pt idx="18">
                  <c:v>59.41</c:v>
                </c:pt>
                <c:pt idx="19">
                  <c:v>27.59</c:v>
                </c:pt>
                <c:pt idx="20">
                  <c:v>11.11</c:v>
                </c:pt>
                <c:pt idx="21">
                  <c:v>46.07</c:v>
                </c:pt>
                <c:pt idx="22">
                  <c:v>51.92</c:v>
                </c:pt>
                <c:pt idx="23">
                  <c:v>72.86</c:v>
                </c:pt>
                <c:pt idx="24">
                  <c:v>90</c:v>
                </c:pt>
                <c:pt idx="25">
                  <c:v>77.78</c:v>
                </c:pt>
                <c:pt idx="26">
                  <c:v>48.53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60896"/>
        <c:axId val="113766784"/>
      </c:scatterChart>
      <c:valAx>
        <c:axId val="113760896"/>
        <c:scaling>
          <c:orientation val="minMax"/>
          <c:max val="2017"/>
          <c:min val="1990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000">
                <a:latin typeface="Times New Roman"/>
                <a:ea typeface="헤드라인A"/>
              </a:defRPr>
            </a:pPr>
            <a:endParaRPr lang="en-US"/>
          </a:p>
        </c:txPr>
        <c:crossAx val="113766784"/>
        <c:crosses val="autoZero"/>
        <c:crossBetween val="midCat"/>
      </c:valAx>
      <c:valAx>
        <c:axId val="11376678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baseline="0">
                <a:latin typeface="Times New Roman"/>
              </a:defRPr>
            </a:pPr>
            <a:endParaRPr lang="en-US"/>
          </a:p>
        </c:txPr>
        <c:crossAx val="113760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>
                <a:latin typeface="Times New Roman" charset="0"/>
                <a:ea typeface="Times New Roman" charset="0"/>
                <a:cs typeface="Times New Roman" charset="0"/>
              </a:rPr>
              <a:t>Foulton's</a:t>
            </a:r>
            <a:r>
              <a:rPr lang="en-US" sz="1400" baseline="0">
                <a:latin typeface="Times New Roman" charset="0"/>
                <a:ea typeface="Times New Roman" charset="0"/>
                <a:cs typeface="Times New Roman" charset="0"/>
              </a:rPr>
              <a:t> K Gravid Capelin, 1990-2017</a:t>
            </a:r>
            <a:endParaRPr lang="en-US" sz="14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[1]COMU_SPENT_CONDITION!$B$1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317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61037197936464E-2"/>
                  <c:y val="-0.4077212504125610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y = -0.0669x + 139.57</a:t>
                    </a:r>
                    <a:br>
                      <a:rPr lang="en-US" baseline="0"/>
                    </a:br>
                    <a:r>
                      <a:rPr lang="en-US" baseline="0"/>
                      <a:t>R² = 0.29835</a:t>
                    </a:r>
                  </a:p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p=0.0045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Gr_Cond!$A$2:$A$28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Gr_Cond!$B$2:$B$27</c:f>
              <c:numCache>
                <c:formatCode>0.00</c:formatCode>
                <c:ptCount val="26"/>
                <c:pt idx="0">
                  <c:v>4.5</c:v>
                </c:pt>
                <c:pt idx="1">
                  <c:v>7.2153846153846155</c:v>
                </c:pt>
                <c:pt idx="2">
                  <c:v>6.5777894736842093</c:v>
                </c:pt>
                <c:pt idx="3">
                  <c:v>5.7496590909090921</c:v>
                </c:pt>
                <c:pt idx="4">
                  <c:v>5.0250000000000004</c:v>
                </c:pt>
                <c:pt idx="5">
                  <c:v>5.9446938775510212</c:v>
                </c:pt>
                <c:pt idx="6">
                  <c:v>6.8233333333333333</c:v>
                </c:pt>
                <c:pt idx="7">
                  <c:v>5.8396045197740118</c:v>
                </c:pt>
                <c:pt idx="8">
                  <c:v>5.7692307692307692</c:v>
                </c:pt>
                <c:pt idx="9">
                  <c:v>5.7112499999999997</c:v>
                </c:pt>
                <c:pt idx="10">
                  <c:v>6.7399999999999993</c:v>
                </c:pt>
                <c:pt idx="11">
                  <c:v>6.2305882352941175</c:v>
                </c:pt>
                <c:pt idx="12">
                  <c:v>5.9376595744680865</c:v>
                </c:pt>
                <c:pt idx="13">
                  <c:v>6.4569090909090896</c:v>
                </c:pt>
                <c:pt idx="14">
                  <c:v>5.2648571428571422</c:v>
                </c:pt>
                <c:pt idx="15">
                  <c:v>4.54</c:v>
                </c:pt>
                <c:pt idx="16">
                  <c:v>5.36</c:v>
                </c:pt>
                <c:pt idx="17">
                  <c:v>5.8477777777777762</c:v>
                </c:pt>
                <c:pt idx="18">
                  <c:v>6.0676470588235309</c:v>
                </c:pt>
                <c:pt idx="19">
                  <c:v>3.9506896551724129</c:v>
                </c:pt>
                <c:pt idx="20">
                  <c:v>3.9976470588235289</c:v>
                </c:pt>
                <c:pt idx="21">
                  <c:v>5.7744186046511627</c:v>
                </c:pt>
                <c:pt idx="22">
                  <c:v>3.8049999999999997</c:v>
                </c:pt>
                <c:pt idx="23">
                  <c:v>4.2442857142857138</c:v>
                </c:pt>
                <c:pt idx="24">
                  <c:v>5.6520000000000001</c:v>
                </c:pt>
                <c:pt idx="25">
                  <c:v>4.415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4944"/>
        <c:axId val="101796864"/>
      </c:scatterChart>
      <c:valAx>
        <c:axId val="10179494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 b="1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  <a:r>
                  <a:rPr lang="en-US" sz="1200" b="1" baseline="0">
                    <a:latin typeface="Times New Roman" charset="0"/>
                    <a:ea typeface="Times New Roman" charset="0"/>
                    <a:cs typeface="Times New Roman" charset="0"/>
                  </a:rPr>
                  <a:t> </a:t>
                </a:r>
                <a:endParaRPr lang="en-US" sz="1200" b="1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1796864"/>
        <c:crosses val="autoZero"/>
        <c:crossBetween val="midCat"/>
      </c:valAx>
      <c:valAx>
        <c:axId val="101796864"/>
        <c:scaling>
          <c:orientation val="minMax"/>
          <c:min val="3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charset="0"/>
                    <a:ea typeface="Times New Roman" charset="0"/>
                    <a:cs typeface="Times New Roman" charset="0"/>
                  </a:rPr>
                  <a:t>Foulton's</a:t>
                </a:r>
                <a:r>
                  <a:rPr lang="en-US" sz="1200" b="1" baseline="0">
                    <a:latin typeface="Times New Roman" charset="0"/>
                    <a:ea typeface="Times New Roman" charset="0"/>
                    <a:cs typeface="Times New Roman" charset="0"/>
                  </a:rPr>
                  <a:t> K</a:t>
                </a:r>
                <a:endParaRPr lang="en-US" sz="1200" b="1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017949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Spent Capelin Condition (Foulton's K), 1990-2017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'[1]CAPELIN_SPENT_CONDITION.csv'!$B$2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41275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9388826396700398E-2"/>
                  <c:y val="-0.4055235223761590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y = -0.0632x + 130.97</a:t>
                    </a:r>
                    <a:br>
                      <a:rPr lang="en-US" baseline="0"/>
                    </a:br>
                    <a:r>
                      <a:rPr lang="en-US" baseline="0"/>
                      <a:t>R² = 0.42603</a:t>
                    </a:r>
                  </a:p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p=0.00041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Sp_Cond!$A$2:$A$27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Sp_Cond!$B$2:$B$27</c:f>
              <c:numCache>
                <c:formatCode>0.00</c:formatCode>
                <c:ptCount val="26"/>
                <c:pt idx="0">
                  <c:v>5.54</c:v>
                </c:pt>
                <c:pt idx="1">
                  <c:v>5.2824999999999998</c:v>
                </c:pt>
                <c:pt idx="2">
                  <c:v>4.2620000000000005</c:v>
                </c:pt>
                <c:pt idx="3">
                  <c:v>3.9274999999999998</c:v>
                </c:pt>
                <c:pt idx="4">
                  <c:v>4.8353846153846156</c:v>
                </c:pt>
                <c:pt idx="5">
                  <c:v>4.3195555555555574</c:v>
                </c:pt>
                <c:pt idx="6">
                  <c:v>4.7002777777777771</c:v>
                </c:pt>
                <c:pt idx="7">
                  <c:v>5.1683870967741923</c:v>
                </c:pt>
                <c:pt idx="8">
                  <c:v>5.1380555555555567</c:v>
                </c:pt>
                <c:pt idx="9">
                  <c:v>4.1159999999999988</c:v>
                </c:pt>
                <c:pt idx="10">
                  <c:v>4.4665714285714291</c:v>
                </c:pt>
                <c:pt idx="11">
                  <c:v>4.5291891891891911</c:v>
                </c:pt>
                <c:pt idx="12">
                  <c:v>4.4353846153846153</c:v>
                </c:pt>
                <c:pt idx="13">
                  <c:v>5.1919607843137259</c:v>
                </c:pt>
                <c:pt idx="14">
                  <c:v>4.0230645161290326</c:v>
                </c:pt>
                <c:pt idx="15">
                  <c:v>3.6335294117647057</c:v>
                </c:pt>
                <c:pt idx="16">
                  <c:v>4.7831428571428578</c:v>
                </c:pt>
                <c:pt idx="17">
                  <c:v>4.538484848484849</c:v>
                </c:pt>
                <c:pt idx="18">
                  <c:v>3.2936363636363635</c:v>
                </c:pt>
                <c:pt idx="19">
                  <c:v>2.87</c:v>
                </c:pt>
                <c:pt idx="20">
                  <c:v>3.7753125000000001</c:v>
                </c:pt>
                <c:pt idx="21">
                  <c:v>3.1223076923076922</c:v>
                </c:pt>
                <c:pt idx="22">
                  <c:v>3.6512499999999997</c:v>
                </c:pt>
                <c:pt idx="23">
                  <c:v>4.1112068965517237</c:v>
                </c:pt>
                <c:pt idx="24">
                  <c:v>3.9352941176470591</c:v>
                </c:pt>
                <c:pt idx="25">
                  <c:v>5.0263999999999989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7536"/>
        <c:axId val="101939456"/>
      </c:scatterChart>
      <c:valAx>
        <c:axId val="10193753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  <a:r>
                  <a:rPr lang="en-US" sz="1200" baseline="0">
                    <a:latin typeface="Times New Roman" charset="0"/>
                    <a:ea typeface="Times New Roman" charset="0"/>
                    <a:cs typeface="Times New Roman" charset="0"/>
                  </a:rPr>
                  <a:t> </a:t>
                </a:r>
                <a:endParaRPr lang="en-US" sz="120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1939456"/>
        <c:crosses val="autoZero"/>
        <c:crossBetween val="midCat"/>
      </c:valAx>
      <c:valAx>
        <c:axId val="101939456"/>
        <c:scaling>
          <c:orientation val="minMax"/>
          <c:max val="7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Foulton's K</a:t>
                </a:r>
              </a:p>
            </c:rich>
          </c:tx>
          <c:layout>
            <c:manualLayout>
              <c:xMode val="edge"/>
              <c:yMode val="edge"/>
              <c:x val="2.5096525096525098E-2"/>
              <c:y val="0.41432577271124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0193753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 Foulton's K,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Female Capelin Condition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20661601080495001"/>
          <c:y val="3.24675324675324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308262654112"/>
          <c:y val="0.130588235294118"/>
          <c:w val="0.85617047127269297"/>
          <c:h val="0.73561278369615601"/>
        </c:manualLayout>
      </c:layout>
      <c:scatterChart>
        <c:scatterStyle val="lineMarker"/>
        <c:varyColors val="0"/>
        <c:ser>
          <c:idx val="0"/>
          <c:order val="0"/>
          <c:tx>
            <c:strRef>
              <c:f>F_Cond!$B$1</c:f>
              <c:strCache>
                <c:ptCount val="1"/>
                <c:pt idx="0">
                  <c:v>Foulton's 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41275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3921137170414499E-2"/>
                  <c:y val="-0.4780846456692909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-0.0757x + 156.34</a:t>
                    </a:r>
                    <a:b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0.41029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p=0.00042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F_Cond!$A$2:$A$28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F_Cond!$B$2:$B$28</c:f>
              <c:numCache>
                <c:formatCode>0.00</c:formatCode>
                <c:ptCount val="27"/>
                <c:pt idx="0">
                  <c:v>4.8217647058823525</c:v>
                </c:pt>
                <c:pt idx="1">
                  <c:v>6.3466666666666676</c:v>
                </c:pt>
                <c:pt idx="2">
                  <c:v>6.4771844660194171</c:v>
                </c:pt>
                <c:pt idx="3">
                  <c:v>5.5978571428571424</c:v>
                </c:pt>
                <c:pt idx="4">
                  <c:v>4.4416666666666655</c:v>
                </c:pt>
                <c:pt idx="5">
                  <c:v>5.6969841269841277</c:v>
                </c:pt>
                <c:pt idx="6">
                  <c:v>4.476041666666668</c:v>
                </c:pt>
                <c:pt idx="7">
                  <c:v>5.6303703703703709</c:v>
                </c:pt>
                <c:pt idx="8">
                  <c:v>5.3015094339622646</c:v>
                </c:pt>
                <c:pt idx="9">
                  <c:v>5.2422727272727281</c:v>
                </c:pt>
                <c:pt idx="10">
                  <c:v>4.2052499999999995</c:v>
                </c:pt>
                <c:pt idx="11">
                  <c:v>4.8112643678160927</c:v>
                </c:pt>
                <c:pt idx="12">
                  <c:v>5.2906395348837201</c:v>
                </c:pt>
                <c:pt idx="13">
                  <c:v>6.0704411764705872</c:v>
                </c:pt>
                <c:pt idx="14">
                  <c:v>5.2363333333333335</c:v>
                </c:pt>
                <c:pt idx="15">
                  <c:v>4.0510344827586211</c:v>
                </c:pt>
                <c:pt idx="16">
                  <c:v>3.7065000000000006</c:v>
                </c:pt>
                <c:pt idx="17">
                  <c:v>5.2099090909090924</c:v>
                </c:pt>
                <c:pt idx="18">
                  <c:v>5.0584000000000007</c:v>
                </c:pt>
                <c:pt idx="19">
                  <c:v>3.7700000000000005</c:v>
                </c:pt>
                <c:pt idx="20">
                  <c:v>3.8789473684210529</c:v>
                </c:pt>
                <c:pt idx="21">
                  <c:v>4.8469642857142858</c:v>
                </c:pt>
                <c:pt idx="22">
                  <c:v>3.3535443037974693</c:v>
                </c:pt>
                <c:pt idx="23">
                  <c:v>3.7395744680851055</c:v>
                </c:pt>
                <c:pt idx="24">
                  <c:v>4.2334920634920632</c:v>
                </c:pt>
                <c:pt idx="25">
                  <c:v>4.0266666666666664</c:v>
                </c:pt>
                <c:pt idx="26">
                  <c:v>5.7008333333333336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8176"/>
        <c:axId val="115000832"/>
      </c:scatterChart>
      <c:valAx>
        <c:axId val="11497817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000832"/>
        <c:crosses val="autoZero"/>
        <c:crossBetween val="midCat"/>
      </c:valAx>
      <c:valAx>
        <c:axId val="115000832"/>
        <c:scaling>
          <c:orientation val="minMax"/>
          <c:min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Foulton's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497817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Foulton's K Male Capelin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Condition, 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159584881889764"/>
          <c:y val="4.01146131805157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M_Cond!$B$1</c:f>
              <c:strCache>
                <c:ptCount val="1"/>
                <c:pt idx="0">
                  <c:v>Foulton's K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41275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807613615227201E-2"/>
                  <c:y val="-0.3277476485652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-0.0643x + 134.41</a:t>
                    </a:r>
                    <a:b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0.24301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p=0.019</a:t>
                    </a:r>
                    <a:endParaRPr lang="en-US" sz="10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M_Cond!$A$2:$A$24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M_Cond!$B$2:$B$24</c:f>
              <c:numCache>
                <c:formatCode>0.00</c:formatCode>
                <c:ptCount val="23"/>
                <c:pt idx="0">
                  <c:v>5.0100000000000007</c:v>
                </c:pt>
                <c:pt idx="2">
                  <c:v>7.6406666666666654</c:v>
                </c:pt>
                <c:pt idx="3">
                  <c:v>5.9711111111111101</c:v>
                </c:pt>
                <c:pt idx="4">
                  <c:v>5.9466666666666663</c:v>
                </c:pt>
                <c:pt idx="5">
                  <c:v>6.2530000000000001</c:v>
                </c:pt>
                <c:pt idx="6">
                  <c:v>6.2</c:v>
                </c:pt>
                <c:pt idx="7">
                  <c:v>6.4284210526315801</c:v>
                </c:pt>
                <c:pt idx="8">
                  <c:v>4.5433333333333339</c:v>
                </c:pt>
                <c:pt idx="9">
                  <c:v>5.46</c:v>
                </c:pt>
                <c:pt idx="10">
                  <c:v>5.0599999999999996</c:v>
                </c:pt>
                <c:pt idx="11">
                  <c:v>6.2349999999999994</c:v>
                </c:pt>
                <c:pt idx="12">
                  <c:v>5.75</c:v>
                </c:pt>
                <c:pt idx="13">
                  <c:v>7.08</c:v>
                </c:pt>
                <c:pt idx="14">
                  <c:v>4.333333333333333</c:v>
                </c:pt>
                <c:pt idx="15">
                  <c:v>5.63</c:v>
                </c:pt>
                <c:pt idx="16">
                  <c:v>5.79</c:v>
                </c:pt>
                <c:pt idx="17">
                  <c:v>4.9400000000000004</c:v>
                </c:pt>
                <c:pt idx="18">
                  <c:v>5.23</c:v>
                </c:pt>
                <c:pt idx="19">
                  <c:v>4.26</c:v>
                </c:pt>
                <c:pt idx="20">
                  <c:v>5.61</c:v>
                </c:pt>
                <c:pt idx="21">
                  <c:v>5.63</c:v>
                </c:pt>
                <c:pt idx="22">
                  <c:v>6.81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60096"/>
        <c:axId val="115062272"/>
      </c:scatterChart>
      <c:valAx>
        <c:axId val="11506009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062272"/>
        <c:crosses val="autoZero"/>
        <c:crossBetween val="midCat"/>
      </c:valAx>
      <c:valAx>
        <c:axId val="115062272"/>
        <c:scaling>
          <c:orientation val="minMax"/>
          <c:min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Foulton's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06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Gravid Female Capelin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Length, 1990-2017</a:t>
            </a:r>
            <a:endParaRPr lang="en-US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Gr_Lgth!$B$1</c:f>
              <c:strCache>
                <c:ptCount val="1"/>
                <c:pt idx="0">
                  <c:v>Forklength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96457445687301E-2"/>
                  <c:y val="-0.2399358864971599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0.0934x - 53.538</a:t>
                    </a:r>
                    <a:b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0.01211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p=0.600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Gr_Lgth!$A$2:$A$28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Gr_Lgth!$B$2:$B$27</c:f>
              <c:numCache>
                <c:formatCode>0.00</c:formatCode>
                <c:ptCount val="26"/>
                <c:pt idx="0">
                  <c:v>126</c:v>
                </c:pt>
                <c:pt idx="1">
                  <c:v>144.26666666666668</c:v>
                </c:pt>
                <c:pt idx="2">
                  <c:v>128.53125</c:v>
                </c:pt>
                <c:pt idx="3">
                  <c:v>138.65934065934067</c:v>
                </c:pt>
                <c:pt idx="4">
                  <c:v>137.21428571428572</c:v>
                </c:pt>
                <c:pt idx="5">
                  <c:v>128.9795918367347</c:v>
                </c:pt>
                <c:pt idx="6">
                  <c:v>139.33333333333334</c:v>
                </c:pt>
                <c:pt idx="7">
                  <c:v>130.4180790960452</c:v>
                </c:pt>
                <c:pt idx="8">
                  <c:v>127</c:v>
                </c:pt>
                <c:pt idx="9">
                  <c:v>133.375</c:v>
                </c:pt>
                <c:pt idx="10">
                  <c:v>131</c:v>
                </c:pt>
                <c:pt idx="11">
                  <c:v>130.94117647058823</c:v>
                </c:pt>
                <c:pt idx="12">
                  <c:v>129.39361702127658</c:v>
                </c:pt>
                <c:pt idx="13">
                  <c:v>128.56363636363636</c:v>
                </c:pt>
                <c:pt idx="14">
                  <c:v>131.01942857142859</c:v>
                </c:pt>
                <c:pt idx="15">
                  <c:v>133.23199999999997</c:v>
                </c:pt>
                <c:pt idx="16">
                  <c:v>127.82</c:v>
                </c:pt>
                <c:pt idx="17">
                  <c:v>131.55416666666667</c:v>
                </c:pt>
                <c:pt idx="18">
                  <c:v>134.35235294117646</c:v>
                </c:pt>
                <c:pt idx="19">
                  <c:v>150.4848387096774</c:v>
                </c:pt>
                <c:pt idx="20">
                  <c:v>145.93176470588233</c:v>
                </c:pt>
                <c:pt idx="21">
                  <c:v>126.63137931034485</c:v>
                </c:pt>
                <c:pt idx="22">
                  <c:v>141.6</c:v>
                </c:pt>
                <c:pt idx="23">
                  <c:v>136.04874999999998</c:v>
                </c:pt>
                <c:pt idx="24">
                  <c:v>125.89000000000001</c:v>
                </c:pt>
                <c:pt idx="25">
                  <c:v>134.5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44576"/>
        <c:axId val="115154944"/>
      </c:scatterChart>
      <c:valAx>
        <c:axId val="11514457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154944"/>
        <c:crosses val="autoZero"/>
        <c:crossBetween val="midCat"/>
      </c:valAx>
      <c:valAx>
        <c:axId val="115154944"/>
        <c:scaling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Forklength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14457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Spent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Female Capelin Length, 1990-2017</a:t>
            </a:r>
            <a:endParaRPr lang="en-US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Sp_Lgth!$B$1</c:f>
              <c:strCache>
                <c:ptCount val="1"/>
                <c:pt idx="0">
                  <c:v>FL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01489361702128E-2"/>
                  <c:y val="-0.1598411260539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0.3905x - 643.48</a:t>
                    </a:r>
                    <a:b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0.21645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p=0.019</a:t>
                    </a:r>
                    <a:endParaRPr lang="en-US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Sp_Lgth!$A$2:$A$27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Sp_Lgth!$B$2:$B$27</c:f>
              <c:numCache>
                <c:formatCode>0.00</c:formatCode>
                <c:ptCount val="26"/>
                <c:pt idx="0">
                  <c:v>133.73684210526315</c:v>
                </c:pt>
                <c:pt idx="1">
                  <c:v>125.375</c:v>
                </c:pt>
                <c:pt idx="2">
                  <c:v>142.69999999999999</c:v>
                </c:pt>
                <c:pt idx="3">
                  <c:v>141.94444444444446</c:v>
                </c:pt>
                <c:pt idx="4">
                  <c:v>132.69230769230768</c:v>
                </c:pt>
                <c:pt idx="5">
                  <c:v>141.17391304347825</c:v>
                </c:pt>
                <c:pt idx="6">
                  <c:v>128.13513513513513</c:v>
                </c:pt>
                <c:pt idx="7">
                  <c:v>134.48387096774192</c:v>
                </c:pt>
                <c:pt idx="8">
                  <c:v>136.38461538461539</c:v>
                </c:pt>
                <c:pt idx="9">
                  <c:v>147.05479452054794</c:v>
                </c:pt>
                <c:pt idx="10">
                  <c:v>139.69999999999999</c:v>
                </c:pt>
                <c:pt idx="11">
                  <c:v>138.81081081081081</c:v>
                </c:pt>
                <c:pt idx="12">
                  <c:v>133.42857142857142</c:v>
                </c:pt>
                <c:pt idx="13">
                  <c:v>133.96882352941176</c:v>
                </c:pt>
                <c:pt idx="14">
                  <c:v>136.23307692307685</c:v>
                </c:pt>
                <c:pt idx="15">
                  <c:v>136.76764705882351</c:v>
                </c:pt>
                <c:pt idx="16">
                  <c:v>136.33338028169015</c:v>
                </c:pt>
                <c:pt idx="17">
                  <c:v>140.60030303030308</c:v>
                </c:pt>
                <c:pt idx="18">
                  <c:v>144.38166666666669</c:v>
                </c:pt>
                <c:pt idx="19">
                  <c:v>153.94499999999999</c:v>
                </c:pt>
                <c:pt idx="20">
                  <c:v>136.95791666666665</c:v>
                </c:pt>
                <c:pt idx="21">
                  <c:v>147.70128205128208</c:v>
                </c:pt>
                <c:pt idx="22">
                  <c:v>144.35849999999999</c:v>
                </c:pt>
                <c:pt idx="23">
                  <c:v>138.33353658536586</c:v>
                </c:pt>
                <c:pt idx="24">
                  <c:v>141.88</c:v>
                </c:pt>
                <c:pt idx="25">
                  <c:v>126.59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09344"/>
        <c:axId val="115211264"/>
      </c:scatterChart>
      <c:valAx>
        <c:axId val="11520934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211264"/>
        <c:crosses val="autoZero"/>
        <c:crossBetween val="midCat"/>
      </c:valAx>
      <c:valAx>
        <c:axId val="115211264"/>
        <c:scaling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Forklength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152093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Female Capelin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Length, 1990-2017</a:t>
            </a:r>
            <a:endParaRPr lang="en-US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F_Lgth!$B$1</c:f>
              <c:strCache>
                <c:ptCount val="1"/>
                <c:pt idx="0">
                  <c:v>Forklength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840546697038702E-2"/>
                  <c:y val="-0.2978996027650939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0.2881x - 440.08</a:t>
                    </a:r>
                    <a:b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0.1544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p=0.047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F_Lgth!$A$2:$A$28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F_Lgth!$B$2:$B$28</c:f>
              <c:numCache>
                <c:formatCode>0.00</c:formatCode>
                <c:ptCount val="27"/>
                <c:pt idx="0">
                  <c:v>133.86956521739131</c:v>
                </c:pt>
                <c:pt idx="1">
                  <c:v>138.38235294117646</c:v>
                </c:pt>
                <c:pt idx="2">
                  <c:v>128.28846153846155</c:v>
                </c:pt>
                <c:pt idx="3">
                  <c:v>139.05940594059405</c:v>
                </c:pt>
                <c:pt idx="4">
                  <c:v>137.62264150943398</c:v>
                </c:pt>
                <c:pt idx="5">
                  <c:v>129.66666666666666</c:v>
                </c:pt>
                <c:pt idx="6">
                  <c:v>141.0612244897959</c:v>
                </c:pt>
                <c:pt idx="7">
                  <c:v>129.87557603686636</c:v>
                </c:pt>
                <c:pt idx="8">
                  <c:v>130.20754716981133</c:v>
                </c:pt>
                <c:pt idx="9">
                  <c:v>135.87234042553192</c:v>
                </c:pt>
                <c:pt idx="10">
                  <c:v>145.82499999999999</c:v>
                </c:pt>
                <c:pt idx="11">
                  <c:v>137.98850574712642</c:v>
                </c:pt>
                <c:pt idx="12">
                  <c:v>133.22674418604652</c:v>
                </c:pt>
                <c:pt idx="13">
                  <c:v>129.55072463768116</c:v>
                </c:pt>
                <c:pt idx="14">
                  <c:v>132.7248888888889</c:v>
                </c:pt>
                <c:pt idx="15">
                  <c:v>134.70522222222215</c:v>
                </c:pt>
                <c:pt idx="16">
                  <c:v>134.44599999999997</c:v>
                </c:pt>
                <c:pt idx="17">
                  <c:v>134.37576576576581</c:v>
                </c:pt>
                <c:pt idx="18">
                  <c:v>138.47600000000003</c:v>
                </c:pt>
                <c:pt idx="19">
                  <c:v>148.78162790697669</c:v>
                </c:pt>
                <c:pt idx="20">
                  <c:v>146.77526315789473</c:v>
                </c:pt>
                <c:pt idx="21">
                  <c:v>131.6373214285714</c:v>
                </c:pt>
                <c:pt idx="22">
                  <c:v>143.83632911392408</c:v>
                </c:pt>
                <c:pt idx="23">
                  <c:v>142.97354166666665</c:v>
                </c:pt>
                <c:pt idx="24">
                  <c:v>137.51</c:v>
                </c:pt>
                <c:pt idx="25">
                  <c:v>140.47999999999999</c:v>
                </c:pt>
                <c:pt idx="26">
                  <c:v>127.96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29184"/>
        <c:axId val="100030720"/>
      </c:scatterChart>
      <c:valAx>
        <c:axId val="10002918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00030720"/>
        <c:crosses val="autoZero"/>
        <c:crossBetween val="midCat"/>
      </c:valAx>
      <c:valAx>
        <c:axId val="100030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0002918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Male Capelin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Length, 1990-2017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M_Lgth!$B$1</c:f>
              <c:strCache>
                <c:ptCount val="1"/>
                <c:pt idx="0">
                  <c:v>Length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7623075305497798E-3"/>
                  <c:y val="-0.2070384366390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0.2494x - 351.92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p=0.522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M_Lgth!$A$2:$A$24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M_Lgth!$B$2:$B$24</c:f>
              <c:numCache>
                <c:formatCode>0.00</c:formatCode>
                <c:ptCount val="23"/>
                <c:pt idx="0">
                  <c:v>128.19999999999999</c:v>
                </c:pt>
                <c:pt idx="1">
                  <c:v>146</c:v>
                </c:pt>
                <c:pt idx="2">
                  <c:v>141.4</c:v>
                </c:pt>
                <c:pt idx="3">
                  <c:v>153.22222222222223</c:v>
                </c:pt>
                <c:pt idx="4">
                  <c:v>152.28571428571428</c:v>
                </c:pt>
                <c:pt idx="5">
                  <c:v>142</c:v>
                </c:pt>
                <c:pt idx="6">
                  <c:v>150</c:v>
                </c:pt>
                <c:pt idx="7">
                  <c:v>145.10526315789474</c:v>
                </c:pt>
                <c:pt idx="8">
                  <c:v>145</c:v>
                </c:pt>
                <c:pt idx="9">
                  <c:v>150</c:v>
                </c:pt>
                <c:pt idx="10">
                  <c:v>157</c:v>
                </c:pt>
                <c:pt idx="11">
                  <c:v>141.5</c:v>
                </c:pt>
                <c:pt idx="12">
                  <c:v>152.4</c:v>
                </c:pt>
                <c:pt idx="13">
                  <c:v>150.21</c:v>
                </c:pt>
                <c:pt idx="14">
                  <c:v>141.81666666666666</c:v>
                </c:pt>
                <c:pt idx="15">
                  <c:v>152.08000000000001</c:v>
                </c:pt>
                <c:pt idx="16">
                  <c:v>154.88</c:v>
                </c:pt>
                <c:pt idx="17">
                  <c:v>165.76</c:v>
                </c:pt>
                <c:pt idx="18">
                  <c:v>136.84074074074073</c:v>
                </c:pt>
                <c:pt idx="19">
                  <c:v>165.14</c:v>
                </c:pt>
                <c:pt idx="20">
                  <c:v>141.82</c:v>
                </c:pt>
                <c:pt idx="21">
                  <c:v>134</c:v>
                </c:pt>
                <c:pt idx="22">
                  <c:v>142.5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87808"/>
        <c:axId val="115689728"/>
      </c:scatterChart>
      <c:valAx>
        <c:axId val="11568780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89728"/>
        <c:crosses val="autoZero"/>
        <c:crossBetween val="midCat"/>
      </c:valAx>
      <c:valAx>
        <c:axId val="115689728"/>
        <c:scaling>
          <c:orientation val="minMax"/>
          <c:min val="8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Capelin</a:t>
                </a:r>
                <a:r>
                  <a:rPr lang="en-US" baseline="0">
                    <a:latin typeface="Times New Roman" charset="0"/>
                    <a:ea typeface="Times New Roman" charset="0"/>
                    <a:cs typeface="Times New Roman" charset="0"/>
                  </a:rPr>
                  <a:t> Length </a:t>
                </a:r>
                <a:endParaRPr lang="en-US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8780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17" Type="http://schemas.openxmlformats.org/officeDocument/2006/relationships/chart" Target="../charts/chart15.xml"/><Relationship Id="rId2" Type="http://schemas.openxmlformats.org/officeDocument/2006/relationships/image" Target="../media/image2.png"/><Relationship Id="rId16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chart" Target="../charts/chart3.xml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18" Type="http://schemas.openxmlformats.org/officeDocument/2006/relationships/chart" Target="../charts/chart41.xml"/><Relationship Id="rId3" Type="http://schemas.openxmlformats.org/officeDocument/2006/relationships/chart" Target="../charts/chart26.xml"/><Relationship Id="rId21" Type="http://schemas.openxmlformats.org/officeDocument/2006/relationships/chart" Target="../charts/chart44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20" Type="http://schemas.openxmlformats.org/officeDocument/2006/relationships/chart" Target="../charts/chart43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23" Type="http://schemas.openxmlformats.org/officeDocument/2006/relationships/chart" Target="../charts/chart46.xml"/><Relationship Id="rId10" Type="http://schemas.openxmlformats.org/officeDocument/2006/relationships/chart" Target="../charts/chart33.xml"/><Relationship Id="rId19" Type="http://schemas.openxmlformats.org/officeDocument/2006/relationships/chart" Target="../charts/chart42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Relationship Id="rId22" Type="http://schemas.openxmlformats.org/officeDocument/2006/relationships/chart" Target="../charts/chart4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190500</xdr:colOff>
      <xdr:row>292</xdr:row>
      <xdr:rowOff>133350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190500</xdr:colOff>
      <xdr:row>292</xdr:row>
      <xdr:rowOff>133350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525780</xdr:colOff>
      <xdr:row>293</xdr:row>
      <xdr:rowOff>83820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525780</xdr:colOff>
      <xdr:row>293</xdr:row>
      <xdr:rowOff>83820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296</xdr:row>
      <xdr:rowOff>76200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177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279400</xdr:colOff>
      <xdr:row>0</xdr:row>
      <xdr:rowOff>0</xdr:rowOff>
    </xdr:from>
    <xdr:to>
      <xdr:col>45</xdr:col>
      <xdr:colOff>749300</xdr:colOff>
      <xdr:row>67</xdr:row>
      <xdr:rowOff>114300</xdr:rowOff>
    </xdr:to>
    <xdr:pic>
      <xdr:nvPicPr>
        <xdr:cNvPr id="9221" name="Picture 5" descr="clip_image005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31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762000</xdr:colOff>
      <xdr:row>0</xdr:row>
      <xdr:rowOff>0</xdr:rowOff>
    </xdr:from>
    <xdr:to>
      <xdr:col>57</xdr:col>
      <xdr:colOff>406400</xdr:colOff>
      <xdr:row>67</xdr:row>
      <xdr:rowOff>114300</xdr:rowOff>
    </xdr:to>
    <xdr:pic>
      <xdr:nvPicPr>
        <xdr:cNvPr id="9222" name="Picture 6" descr="clip_image00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962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419100</xdr:colOff>
      <xdr:row>0</xdr:row>
      <xdr:rowOff>0</xdr:rowOff>
    </xdr:from>
    <xdr:to>
      <xdr:col>69</xdr:col>
      <xdr:colOff>63500</xdr:colOff>
      <xdr:row>67</xdr:row>
      <xdr:rowOff>114300</xdr:rowOff>
    </xdr:to>
    <xdr:pic>
      <xdr:nvPicPr>
        <xdr:cNvPr id="9223" name="Picture 7" descr="clip_image007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593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76200</xdr:colOff>
      <xdr:row>0</xdr:row>
      <xdr:rowOff>0</xdr:rowOff>
    </xdr:from>
    <xdr:to>
      <xdr:col>80</xdr:col>
      <xdr:colOff>546100</xdr:colOff>
      <xdr:row>1</xdr:row>
      <xdr:rowOff>165100</xdr:rowOff>
    </xdr:to>
    <xdr:pic>
      <xdr:nvPicPr>
        <xdr:cNvPr id="9224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22400" y="0"/>
          <a:ext cx="95504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558800</xdr:colOff>
      <xdr:row>0</xdr:row>
      <xdr:rowOff>0</xdr:rowOff>
    </xdr:from>
    <xdr:to>
      <xdr:col>92</xdr:col>
      <xdr:colOff>203200</xdr:colOff>
      <xdr:row>67</xdr:row>
      <xdr:rowOff>114300</xdr:rowOff>
    </xdr:to>
    <xdr:pic>
      <xdr:nvPicPr>
        <xdr:cNvPr id="9225" name="Picture 9" descr="clip_image00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55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184150</xdr:colOff>
      <xdr:row>30</xdr:row>
      <xdr:rowOff>184150</xdr:rowOff>
    </xdr:from>
    <xdr:to>
      <xdr:col>17</xdr:col>
      <xdr:colOff>6350</xdr:colOff>
      <xdr:row>45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228600</xdr:colOff>
      <xdr:row>30</xdr:row>
      <xdr:rowOff>158750</xdr:rowOff>
    </xdr:from>
    <xdr:to>
      <xdr:col>25</xdr:col>
      <xdr:colOff>533400</xdr:colOff>
      <xdr:row>45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222250</xdr:colOff>
      <xdr:row>47</xdr:row>
      <xdr:rowOff>120650</xdr:rowOff>
    </xdr:from>
    <xdr:to>
      <xdr:col>17</xdr:col>
      <xdr:colOff>165100</xdr:colOff>
      <xdr:row>63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323850</xdr:colOff>
      <xdr:row>47</xdr:row>
      <xdr:rowOff>107950</xdr:rowOff>
    </xdr:from>
    <xdr:to>
      <xdr:col>25</xdr:col>
      <xdr:colOff>660400</xdr:colOff>
      <xdr:row>63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133350</xdr:colOff>
      <xdr:row>80</xdr:row>
      <xdr:rowOff>184150</xdr:rowOff>
    </xdr:from>
    <xdr:to>
      <xdr:col>15</xdr:col>
      <xdr:colOff>19050</xdr:colOff>
      <xdr:row>95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450850</xdr:colOff>
      <xdr:row>80</xdr:row>
      <xdr:rowOff>133350</xdr:rowOff>
    </xdr:from>
    <xdr:to>
      <xdr:col>23</xdr:col>
      <xdr:colOff>69850</xdr:colOff>
      <xdr:row>95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120650</xdr:colOff>
      <xdr:row>96</xdr:row>
      <xdr:rowOff>95250</xdr:rowOff>
    </xdr:from>
    <xdr:to>
      <xdr:col>15</xdr:col>
      <xdr:colOff>6350</xdr:colOff>
      <xdr:row>111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450850</xdr:colOff>
      <xdr:row>96</xdr:row>
      <xdr:rowOff>107950</xdr:rowOff>
    </xdr:from>
    <xdr:to>
      <xdr:col>23</xdr:col>
      <xdr:colOff>69850</xdr:colOff>
      <xdr:row>112</xdr:row>
      <xdr:rowOff>6350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146050</xdr:colOff>
      <xdr:row>113</xdr:row>
      <xdr:rowOff>69850</xdr:rowOff>
    </xdr:from>
    <xdr:to>
      <xdr:col>15</xdr:col>
      <xdr:colOff>31750</xdr:colOff>
      <xdr:row>128</xdr:row>
      <xdr:rowOff>146050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438150</xdr:colOff>
      <xdr:row>113</xdr:row>
      <xdr:rowOff>57150</xdr:rowOff>
    </xdr:from>
    <xdr:to>
      <xdr:col>23</xdr:col>
      <xdr:colOff>57150</xdr:colOff>
      <xdr:row>128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171450</xdr:colOff>
      <xdr:row>130</xdr:row>
      <xdr:rowOff>6350</xdr:rowOff>
    </xdr:from>
    <xdr:to>
      <xdr:col>15</xdr:col>
      <xdr:colOff>57150</xdr:colOff>
      <xdr:row>145</xdr:row>
      <xdr:rowOff>82550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323850</xdr:colOff>
      <xdr:row>130</xdr:row>
      <xdr:rowOff>19050</xdr:rowOff>
    </xdr:from>
    <xdr:to>
      <xdr:col>22</xdr:col>
      <xdr:colOff>768350</xdr:colOff>
      <xdr:row>145</xdr:row>
      <xdr:rowOff>95250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698500</xdr:colOff>
      <xdr:row>146</xdr:row>
      <xdr:rowOff>88900</xdr:rowOff>
    </xdr:from>
    <xdr:to>
      <xdr:col>27</xdr:col>
      <xdr:colOff>104775</xdr:colOff>
      <xdr:row>161</xdr:row>
      <xdr:rowOff>158750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250825</xdr:colOff>
      <xdr:row>146</xdr:row>
      <xdr:rowOff>76200</xdr:rowOff>
    </xdr:from>
    <xdr:to>
      <xdr:col>32</xdr:col>
      <xdr:colOff>657225</xdr:colOff>
      <xdr:row>161</xdr:row>
      <xdr:rowOff>152400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466725</xdr:colOff>
      <xdr:row>168</xdr:row>
      <xdr:rowOff>166687</xdr:rowOff>
    </xdr:from>
    <xdr:to>
      <xdr:col>27</xdr:col>
      <xdr:colOff>28575</xdr:colOff>
      <xdr:row>192</xdr:row>
      <xdr:rowOff>142875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385234</xdr:colOff>
      <xdr:row>26</xdr:row>
      <xdr:rowOff>182034</xdr:rowOff>
    </xdr:from>
    <xdr:to>
      <xdr:col>9</xdr:col>
      <xdr:colOff>829734</xdr:colOff>
      <xdr:row>41</xdr:row>
      <xdr:rowOff>84668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300568</xdr:colOff>
      <xdr:row>26</xdr:row>
      <xdr:rowOff>82547</xdr:rowOff>
    </xdr:from>
    <xdr:to>
      <xdr:col>21</xdr:col>
      <xdr:colOff>0</xdr:colOff>
      <xdr:row>41</xdr:row>
      <xdr:rowOff>50799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364067</xdr:colOff>
      <xdr:row>42</xdr:row>
      <xdr:rowOff>42333</xdr:rowOff>
    </xdr:from>
    <xdr:to>
      <xdr:col>9</xdr:col>
      <xdr:colOff>812800</xdr:colOff>
      <xdr:row>58</xdr:row>
      <xdr:rowOff>-1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448733</xdr:colOff>
      <xdr:row>59</xdr:row>
      <xdr:rowOff>25399</xdr:rowOff>
    </xdr:from>
    <xdr:to>
      <xdr:col>10</xdr:col>
      <xdr:colOff>135466</xdr:colOff>
      <xdr:row>74</xdr:row>
      <xdr:rowOff>118532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397933</xdr:colOff>
      <xdr:row>76</xdr:row>
      <xdr:rowOff>160865</xdr:rowOff>
    </xdr:from>
    <xdr:to>
      <xdr:col>10</xdr:col>
      <xdr:colOff>152399</xdr:colOff>
      <xdr:row>92</xdr:row>
      <xdr:rowOff>67732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414866</xdr:colOff>
      <xdr:row>93</xdr:row>
      <xdr:rowOff>143933</xdr:rowOff>
    </xdr:from>
    <xdr:to>
      <xdr:col>10</xdr:col>
      <xdr:colOff>203199</xdr:colOff>
      <xdr:row>109</xdr:row>
      <xdr:rowOff>33865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279401</xdr:colOff>
      <xdr:row>42</xdr:row>
      <xdr:rowOff>93134</xdr:rowOff>
    </xdr:from>
    <xdr:to>
      <xdr:col>21</xdr:col>
      <xdr:colOff>0</xdr:colOff>
      <xdr:row>58</xdr:row>
      <xdr:rowOff>67732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313266</xdr:colOff>
      <xdr:row>59</xdr:row>
      <xdr:rowOff>93131</xdr:rowOff>
    </xdr:from>
    <xdr:to>
      <xdr:col>21</xdr:col>
      <xdr:colOff>4232</xdr:colOff>
      <xdr:row>74</xdr:row>
      <xdr:rowOff>118532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20</xdr:row>
      <xdr:rowOff>123825</xdr:rowOff>
    </xdr:from>
    <xdr:to>
      <xdr:col>5</xdr:col>
      <xdr:colOff>190500</xdr:colOff>
      <xdr:row>39</xdr:row>
      <xdr:rowOff>38100</xdr:rowOff>
    </xdr:to>
    <xdr:graphicFrame macro=""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5</xdr:col>
      <xdr:colOff>619125</xdr:colOff>
      <xdr:row>20</xdr:row>
      <xdr:rowOff>161925</xdr:rowOff>
    </xdr:from>
    <xdr:to>
      <xdr:col>10</xdr:col>
      <xdr:colOff>571500</xdr:colOff>
      <xdr:row>39</xdr:row>
      <xdr:rowOff>76200</xdr:rowOff>
    </xdr:to>
    <xdr:graphicFrame macro=""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5</xdr:col>
      <xdr:colOff>381000</xdr:colOff>
      <xdr:row>0</xdr:row>
      <xdr:rowOff>161925</xdr:rowOff>
    </xdr:from>
    <xdr:to>
      <xdr:col>10</xdr:col>
      <xdr:colOff>333375</xdr:colOff>
      <xdr:row>19</xdr:row>
      <xdr:rowOff>76200</xdr:rowOff>
    </xdr:to>
    <xdr:graphicFrame macro=""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0</xdr:col>
      <xdr:colOff>95250</xdr:colOff>
      <xdr:row>61</xdr:row>
      <xdr:rowOff>57150</xdr:rowOff>
    </xdr:from>
    <xdr:to>
      <xdr:col>5</xdr:col>
      <xdr:colOff>47625</xdr:colOff>
      <xdr:row>79</xdr:row>
      <xdr:rowOff>161925</xdr:rowOff>
    </xdr:to>
    <xdr:graphicFrame macro=""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0</xdr:col>
      <xdr:colOff>238125</xdr:colOff>
      <xdr:row>41</xdr:row>
      <xdr:rowOff>0</xdr:rowOff>
    </xdr:from>
    <xdr:to>
      <xdr:col>5</xdr:col>
      <xdr:colOff>190500</xdr:colOff>
      <xdr:row>59</xdr:row>
      <xdr:rowOff>104775</xdr:rowOff>
    </xdr:to>
    <xdr:graphicFrame macro=""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5</xdr:col>
      <xdr:colOff>704850</xdr:colOff>
      <xdr:row>61</xdr:row>
      <xdr:rowOff>9525</xdr:rowOff>
    </xdr:from>
    <xdr:to>
      <xdr:col>10</xdr:col>
      <xdr:colOff>657225</xdr:colOff>
      <xdr:row>79</xdr:row>
      <xdr:rowOff>114300</xdr:rowOff>
    </xdr:to>
    <xdr:graphicFrame macro=""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>
    <xdr:from>
      <xdr:col>5</xdr:col>
      <xdr:colOff>628650</xdr:colOff>
      <xdr:row>40</xdr:row>
      <xdr:rowOff>123825</xdr:rowOff>
    </xdr:from>
    <xdr:to>
      <xdr:col>10</xdr:col>
      <xdr:colOff>581025</xdr:colOff>
      <xdr:row>59</xdr:row>
      <xdr:rowOff>38100</xdr:rowOff>
    </xdr:to>
    <xdr:graphicFrame macro=""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152400</xdr:rowOff>
    </xdr:from>
    <xdr:to>
      <xdr:col>5</xdr:col>
      <xdr:colOff>104775</xdr:colOff>
      <xdr:row>19</xdr:row>
      <xdr:rowOff>66675</xdr:rowOff>
    </xdr:to>
    <xdr:graphicFrame macro=""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>
    <xdr:from>
      <xdr:col>0</xdr:col>
      <xdr:colOff>152400</xdr:colOff>
      <xdr:row>100</xdr:row>
      <xdr:rowOff>57150</xdr:rowOff>
    </xdr:from>
    <xdr:to>
      <xdr:col>5</xdr:col>
      <xdr:colOff>104775</xdr:colOff>
      <xdr:row>118</xdr:row>
      <xdr:rowOff>161925</xdr:rowOff>
    </xdr:to>
    <xdr:graphicFrame macro=""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>
    <xdr:from>
      <xdr:col>0</xdr:col>
      <xdr:colOff>209550</xdr:colOff>
      <xdr:row>81</xdr:row>
      <xdr:rowOff>9525</xdr:rowOff>
    </xdr:from>
    <xdr:to>
      <xdr:col>5</xdr:col>
      <xdr:colOff>161925</xdr:colOff>
      <xdr:row>99</xdr:row>
      <xdr:rowOff>114300</xdr:rowOff>
    </xdr:to>
    <xdr:graphicFrame macro=""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twoCellAnchor>
  <xdr:twoCellAnchor>
    <xdr:from>
      <xdr:col>5</xdr:col>
      <xdr:colOff>514350</xdr:colOff>
      <xdr:row>119</xdr:row>
      <xdr:rowOff>142875</xdr:rowOff>
    </xdr:from>
    <xdr:to>
      <xdr:col>10</xdr:col>
      <xdr:colOff>466725</xdr:colOff>
      <xdr:row>138</xdr:row>
      <xdr:rowOff>57150</xdr:rowOff>
    </xdr:to>
    <xdr:graphicFrame macro=""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twoCellAnchor>
  <xdr:twoCellAnchor>
    <xdr:from>
      <xdr:col>0</xdr:col>
      <xdr:colOff>190500</xdr:colOff>
      <xdr:row>120</xdr:row>
      <xdr:rowOff>0</xdr:rowOff>
    </xdr:from>
    <xdr:to>
      <xdr:col>5</xdr:col>
      <xdr:colOff>142875</xdr:colOff>
      <xdr:row>138</xdr:row>
      <xdr:rowOff>104775</xdr:rowOff>
    </xdr:to>
    <xdr:graphicFrame macro=""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twoCellAnchor>
  <xdr:twoCellAnchor>
    <xdr:from>
      <xdr:col>5</xdr:col>
      <xdr:colOff>638175</xdr:colOff>
      <xdr:row>81</xdr:row>
      <xdr:rowOff>28575</xdr:rowOff>
    </xdr:from>
    <xdr:to>
      <xdr:col>10</xdr:col>
      <xdr:colOff>590550</xdr:colOff>
      <xdr:row>99</xdr:row>
      <xdr:rowOff>133350</xdr:rowOff>
    </xdr:to>
    <xdr:graphicFrame macro=""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twoCellAnchor>
  <xdr:twoCellAnchor>
    <xdr:from>
      <xdr:col>5</xdr:col>
      <xdr:colOff>457200</xdr:colOff>
      <xdr:row>100</xdr:row>
      <xdr:rowOff>114300</xdr:rowOff>
    </xdr:from>
    <xdr:to>
      <xdr:col>10</xdr:col>
      <xdr:colOff>409575</xdr:colOff>
      <xdr:row>119</xdr:row>
      <xdr:rowOff>28575</xdr:rowOff>
    </xdr:to>
    <xdr:graphicFrame macro=""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twoCellAnchor>
  <xdr:twoCellAnchor>
    <xdr:from>
      <xdr:col>0</xdr:col>
      <xdr:colOff>285750</xdr:colOff>
      <xdr:row>160</xdr:row>
      <xdr:rowOff>47625</xdr:rowOff>
    </xdr:from>
    <xdr:to>
      <xdr:col>5</xdr:col>
      <xdr:colOff>238125</xdr:colOff>
      <xdr:row>178</xdr:row>
      <xdr:rowOff>152400</xdr:rowOff>
    </xdr:to>
    <xdr:graphicFrame macro=""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twoCellAnchor>
  <xdr:twoCellAnchor>
    <xdr:from>
      <xdr:col>0</xdr:col>
      <xdr:colOff>238125</xdr:colOff>
      <xdr:row>180</xdr:row>
      <xdr:rowOff>171450</xdr:rowOff>
    </xdr:from>
    <xdr:to>
      <xdr:col>5</xdr:col>
      <xdr:colOff>190500</xdr:colOff>
      <xdr:row>199</xdr:row>
      <xdr:rowOff>85725</xdr:rowOff>
    </xdr:to>
    <xdr:graphicFrame macro=""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twoCellAnchor>
  <xdr:twoCellAnchor>
    <xdr:from>
      <xdr:col>5</xdr:col>
      <xdr:colOff>542925</xdr:colOff>
      <xdr:row>160</xdr:row>
      <xdr:rowOff>0</xdr:rowOff>
    </xdr:from>
    <xdr:to>
      <xdr:col>10</xdr:col>
      <xdr:colOff>495300</xdr:colOff>
      <xdr:row>178</xdr:row>
      <xdr:rowOff>104775</xdr:rowOff>
    </xdr:to>
    <xdr:graphicFrame macro=""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twoCellAnchor>
  <xdr:twoCellAnchor>
    <xdr:from>
      <xdr:col>5</xdr:col>
      <xdr:colOff>438150</xdr:colOff>
      <xdr:row>180</xdr:row>
      <xdr:rowOff>133350</xdr:rowOff>
    </xdr:from>
    <xdr:to>
      <xdr:col>10</xdr:col>
      <xdr:colOff>390525</xdr:colOff>
      <xdr:row>199</xdr:row>
      <xdr:rowOff>47625</xdr:rowOff>
    </xdr:to>
    <xdr:graphicFrame macro=""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twoCellAnchor>
  <xdr:twoCellAnchor>
    <xdr:from>
      <xdr:col>0</xdr:col>
      <xdr:colOff>285750</xdr:colOff>
      <xdr:row>200</xdr:row>
      <xdr:rowOff>114300</xdr:rowOff>
    </xdr:from>
    <xdr:to>
      <xdr:col>5</xdr:col>
      <xdr:colOff>238125</xdr:colOff>
      <xdr:row>219</xdr:row>
      <xdr:rowOff>28575</xdr:rowOff>
    </xdr:to>
    <xdr:graphicFrame macro=""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twoCellAnchor>
  <xdr:twoCellAnchor>
    <xdr:from>
      <xdr:col>0</xdr:col>
      <xdr:colOff>133350</xdr:colOff>
      <xdr:row>221</xdr:row>
      <xdr:rowOff>171450</xdr:rowOff>
    </xdr:from>
    <xdr:to>
      <xdr:col>5</xdr:col>
      <xdr:colOff>85725</xdr:colOff>
      <xdr:row>240</xdr:row>
      <xdr:rowOff>85725</xdr:rowOff>
    </xdr:to>
    <xdr:graphicFrame macro=""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twoCellAnchor>
  <xdr:twoCellAnchor>
    <xdr:from>
      <xdr:col>5</xdr:col>
      <xdr:colOff>485775</xdr:colOff>
      <xdr:row>200</xdr:row>
      <xdr:rowOff>95250</xdr:rowOff>
    </xdr:from>
    <xdr:to>
      <xdr:col>10</xdr:col>
      <xdr:colOff>438150</xdr:colOff>
      <xdr:row>219</xdr:row>
      <xdr:rowOff>9525</xdr:rowOff>
    </xdr:to>
    <xdr:graphicFrame macro=""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twoCellAnchor>
  <xdr:twoCellAnchor>
    <xdr:from>
      <xdr:col>5</xdr:col>
      <xdr:colOff>457200</xdr:colOff>
      <xdr:row>221</xdr:row>
      <xdr:rowOff>161925</xdr:rowOff>
    </xdr:from>
    <xdr:to>
      <xdr:col>10</xdr:col>
      <xdr:colOff>409575</xdr:colOff>
      <xdr:row>240</xdr:row>
      <xdr:rowOff>76200</xdr:rowOff>
    </xdr:to>
    <xdr:graphicFrame macro=""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twoCellAnchor>
  <xdr:twoCellAnchor>
    <xdr:from>
      <xdr:col>0</xdr:col>
      <xdr:colOff>295275</xdr:colOff>
      <xdr:row>140</xdr:row>
      <xdr:rowOff>47625</xdr:rowOff>
    </xdr:from>
    <xdr:to>
      <xdr:col>5</xdr:col>
      <xdr:colOff>247650</xdr:colOff>
      <xdr:row>158</xdr:row>
      <xdr:rowOff>152400</xdr:rowOff>
    </xdr:to>
    <xdr:graphicFrame macro=""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25400</xdr:rowOff>
    </xdr:from>
    <xdr:to>
      <xdr:col>10</xdr:col>
      <xdr:colOff>88900</xdr:colOff>
      <xdr:row>21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1</xdr:row>
      <xdr:rowOff>82550</xdr:rowOff>
    </xdr:from>
    <xdr:to>
      <xdr:col>15</xdr:col>
      <xdr:colOff>508000</xdr:colOff>
      <xdr:row>14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88900</xdr:colOff>
      <xdr:row>13</xdr:row>
      <xdr:rowOff>209550</xdr:rowOff>
    </xdr:from>
    <xdr:to>
      <xdr:col>15</xdr:col>
      <xdr:colOff>533400</xdr:colOff>
      <xdr:row>26</xdr:row>
      <xdr:rowOff>146050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247650</xdr:colOff>
      <xdr:row>27</xdr:row>
      <xdr:rowOff>133350</xdr:rowOff>
    </xdr:from>
    <xdr:to>
      <xdr:col>9</xdr:col>
      <xdr:colOff>609600</xdr:colOff>
      <xdr:row>47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133350</xdr:colOff>
      <xdr:row>27</xdr:row>
      <xdr:rowOff>120650</xdr:rowOff>
    </xdr:from>
    <xdr:to>
      <xdr:col>16</xdr:col>
      <xdr:colOff>419100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393700</xdr:colOff>
      <xdr:row>22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11</xdr:col>
      <xdr:colOff>800100</xdr:colOff>
      <xdr:row>24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463550</xdr:colOff>
      <xdr:row>3</xdr:row>
      <xdr:rowOff>101600</xdr:rowOff>
    </xdr:from>
    <xdr:to>
      <xdr:col>11</xdr:col>
      <xdr:colOff>279400</xdr:colOff>
      <xdr:row>23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3</xdr:row>
      <xdr:rowOff>127000</xdr:rowOff>
    </xdr:from>
    <xdr:to>
      <xdr:col>13</xdr:col>
      <xdr:colOff>266700</xdr:colOff>
      <xdr:row>24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3</xdr:row>
      <xdr:rowOff>101600</xdr:rowOff>
    </xdr:from>
    <xdr:to>
      <xdr:col>12</xdr:col>
      <xdr:colOff>584200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4</xdr:row>
      <xdr:rowOff>57150</xdr:rowOff>
    </xdr:from>
    <xdr:to>
      <xdr:col>12</xdr:col>
      <xdr:colOff>355600</xdr:colOff>
      <xdr:row>20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171450</xdr:rowOff>
    </xdr:from>
    <xdr:to>
      <xdr:col>13</xdr:col>
      <xdr:colOff>546100</xdr:colOff>
      <xdr:row>24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4</xdr:row>
      <xdr:rowOff>190500</xdr:rowOff>
    </xdr:from>
    <xdr:to>
      <xdr:col>12</xdr:col>
      <xdr:colOff>698500</xdr:colOff>
      <xdr:row>21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285750</xdr:colOff>
      <xdr:row>57</xdr:row>
      <xdr:rowOff>47625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285750</xdr:colOff>
      <xdr:row>57</xdr:row>
      <xdr:rowOff>47625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0</xdr:colOff>
      <xdr:row>58</xdr:row>
      <xdr:rowOff>45720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0</xdr:colOff>
      <xdr:row>58</xdr:row>
      <xdr:rowOff>45720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cintosh%20HD:Users:karagerrow:Downloads:Capelin_Charts_Summary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U_SPENT_CONDITION"/>
      <sheetName val="CAPELIN_SPENT_CONDITION.csv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504"/>
  <sheetViews>
    <sheetView workbookViewId="0">
      <pane ySplit="1" topLeftCell="A2" activePane="bottomLeft" state="frozen"/>
      <selection activeCell="G1" sqref="G1"/>
      <selection pane="bottomLeft" activeCell="L14" sqref="L14"/>
    </sheetView>
  </sheetViews>
  <sheetFormatPr defaultColWidth="17.28515625" defaultRowHeight="15" customHeight="1" x14ac:dyDescent="0.2"/>
  <cols>
    <col min="1" max="1" width="5.7109375" customWidth="1"/>
    <col min="2" max="2" width="7.28515625" customWidth="1"/>
    <col min="3" max="3" width="4.42578125" customWidth="1"/>
    <col min="4" max="4" width="6" customWidth="1"/>
    <col min="5" max="5" width="7.140625" customWidth="1"/>
    <col min="6" max="6" width="9.42578125" customWidth="1"/>
    <col min="7" max="8" width="8.42578125" customWidth="1"/>
    <col min="9" max="9" width="7.42578125" customWidth="1"/>
    <col min="10" max="10" width="11.140625" customWidth="1"/>
    <col min="11" max="11" width="8" customWidth="1"/>
    <col min="12" max="12" width="11.28515625" customWidth="1"/>
    <col min="13" max="13" width="6.85546875" customWidth="1"/>
    <col min="14" max="14" width="12" customWidth="1"/>
    <col min="15" max="15" width="9.85546875" customWidth="1"/>
    <col min="16" max="16" width="9.7109375" style="104" customWidth="1"/>
    <col min="17" max="17" width="8.85546875" customWidth="1"/>
    <col min="18" max="18" width="10.7109375" customWidth="1"/>
    <col min="19" max="26" width="8.85546875" customWidth="1"/>
  </cols>
  <sheetData>
    <row r="1" spans="1:26" ht="14.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93" t="s">
        <v>488</v>
      </c>
      <c r="S1" s="193" t="s">
        <v>489</v>
      </c>
      <c r="T1" s="193" t="s">
        <v>306</v>
      </c>
      <c r="U1" s="193" t="s">
        <v>490</v>
      </c>
      <c r="V1" s="193" t="s">
        <v>491</v>
      </c>
      <c r="W1" s="193" t="s">
        <v>566</v>
      </c>
      <c r="X1" s="190" t="s">
        <v>567</v>
      </c>
      <c r="Y1" s="3"/>
      <c r="Z1" s="3"/>
    </row>
    <row r="2" spans="1:26" s="189" customFormat="1" ht="14.1" customHeight="1" x14ac:dyDescent="0.25">
      <c r="A2" s="191">
        <v>1</v>
      </c>
      <c r="B2" s="191">
        <v>2017</v>
      </c>
      <c r="C2" s="191">
        <v>5</v>
      </c>
      <c r="D2" s="191">
        <v>8</v>
      </c>
      <c r="E2" s="191" t="s">
        <v>370</v>
      </c>
      <c r="F2" s="191" t="s">
        <v>18</v>
      </c>
      <c r="G2"/>
      <c r="H2" s="191">
        <v>140</v>
      </c>
      <c r="I2" s="191">
        <v>13</v>
      </c>
      <c r="J2" s="191" t="s">
        <v>19</v>
      </c>
      <c r="K2" s="191" t="s">
        <v>20</v>
      </c>
      <c r="L2" s="191" t="s">
        <v>21</v>
      </c>
      <c r="M2" s="191" t="s">
        <v>27</v>
      </c>
      <c r="N2" s="191" t="s">
        <v>33</v>
      </c>
      <c r="O2"/>
      <c r="P2" s="104">
        <v>217</v>
      </c>
      <c r="Q2"/>
      <c r="R2">
        <v>14</v>
      </c>
      <c r="S2">
        <v>2744</v>
      </c>
      <c r="T2">
        <v>4.74</v>
      </c>
      <c r="U2"/>
      <c r="V2"/>
      <c r="W2">
        <v>3.9</v>
      </c>
      <c r="X2" s="190">
        <f>I2*W2</f>
        <v>50.699999999999996</v>
      </c>
      <c r="Y2" s="190"/>
      <c r="Z2" s="190"/>
    </row>
    <row r="3" spans="1:26" s="189" customFormat="1" ht="14.1" customHeight="1" x14ac:dyDescent="0.25">
      <c r="A3" s="191">
        <v>2</v>
      </c>
      <c r="B3" s="191">
        <v>2017</v>
      </c>
      <c r="C3" s="191">
        <v>5</v>
      </c>
      <c r="D3" s="191">
        <v>8</v>
      </c>
      <c r="E3" s="191" t="s">
        <v>370</v>
      </c>
      <c r="F3" s="191" t="s">
        <v>18</v>
      </c>
      <c r="G3"/>
      <c r="H3" s="191">
        <v>115</v>
      </c>
      <c r="I3" s="191">
        <v>11</v>
      </c>
      <c r="J3" s="191" t="s">
        <v>19</v>
      </c>
      <c r="K3" s="191" t="s">
        <v>20</v>
      </c>
      <c r="L3" s="191" t="s">
        <v>30</v>
      </c>
      <c r="M3" s="191" t="s">
        <v>22</v>
      </c>
      <c r="N3" s="191" t="s">
        <v>25</v>
      </c>
      <c r="O3"/>
      <c r="P3" s="104">
        <v>217</v>
      </c>
      <c r="Q3"/>
      <c r="R3">
        <v>11.5</v>
      </c>
      <c r="S3">
        <v>1520.88</v>
      </c>
      <c r="T3">
        <v>7.23</v>
      </c>
      <c r="U3"/>
      <c r="V3"/>
      <c r="W3">
        <v>4.5999999999999996</v>
      </c>
      <c r="X3" s="190">
        <f t="shared" ref="X3:X66" si="0">I3*W3</f>
        <v>50.599999999999994</v>
      </c>
      <c r="Y3" s="190"/>
      <c r="Z3" s="190"/>
    </row>
    <row r="4" spans="1:26" s="189" customFormat="1" ht="14.1" customHeight="1" x14ac:dyDescent="0.25">
      <c r="A4" s="191">
        <v>3</v>
      </c>
      <c r="B4" s="191">
        <v>2017</v>
      </c>
      <c r="C4" s="191">
        <v>5</v>
      </c>
      <c r="D4" s="191">
        <v>8</v>
      </c>
      <c r="E4" s="191" t="s">
        <v>370</v>
      </c>
      <c r="F4" s="191" t="s">
        <v>18</v>
      </c>
      <c r="G4"/>
      <c r="H4" s="191">
        <v>100</v>
      </c>
      <c r="I4" s="191">
        <v>5.5</v>
      </c>
      <c r="J4" s="191" t="s">
        <v>19</v>
      </c>
      <c r="K4" s="191" t="s">
        <v>20</v>
      </c>
      <c r="L4" s="191" t="s">
        <v>30</v>
      </c>
      <c r="M4" s="191" t="s">
        <v>22</v>
      </c>
      <c r="N4" s="191" t="s">
        <v>24</v>
      </c>
      <c r="O4"/>
      <c r="P4" s="104">
        <v>217</v>
      </c>
      <c r="Q4"/>
      <c r="R4">
        <v>10</v>
      </c>
      <c r="S4">
        <v>1000</v>
      </c>
      <c r="T4">
        <v>5.5</v>
      </c>
      <c r="U4"/>
      <c r="V4"/>
      <c r="W4" s="317">
        <v>4.5999999999999996</v>
      </c>
      <c r="X4" s="190">
        <f t="shared" si="0"/>
        <v>25.299999999999997</v>
      </c>
      <c r="Y4" s="190"/>
      <c r="Z4" s="190"/>
    </row>
    <row r="5" spans="1:26" s="189" customFormat="1" ht="14.1" customHeight="1" x14ac:dyDescent="0.25">
      <c r="A5" s="191">
        <v>4</v>
      </c>
      <c r="B5" s="191">
        <v>2017</v>
      </c>
      <c r="C5" s="191">
        <v>5</v>
      </c>
      <c r="D5" s="191">
        <v>8</v>
      </c>
      <c r="E5" s="191" t="s">
        <v>370</v>
      </c>
      <c r="F5" s="191" t="s">
        <v>18</v>
      </c>
      <c r="G5"/>
      <c r="H5" s="191">
        <v>125</v>
      </c>
      <c r="I5" s="191">
        <v>15</v>
      </c>
      <c r="J5" s="191" t="s">
        <v>19</v>
      </c>
      <c r="K5" s="191" t="s">
        <v>20</v>
      </c>
      <c r="L5" s="191" t="s">
        <v>30</v>
      </c>
      <c r="M5" s="191" t="s">
        <v>27</v>
      </c>
      <c r="N5" s="191" t="s">
        <v>24</v>
      </c>
      <c r="O5"/>
      <c r="P5" s="104">
        <v>217</v>
      </c>
      <c r="Q5"/>
      <c r="R5">
        <v>12.5</v>
      </c>
      <c r="S5">
        <v>1953.13</v>
      </c>
      <c r="T5">
        <v>7.68</v>
      </c>
      <c r="U5"/>
      <c r="V5"/>
      <c r="W5" s="317">
        <v>4.5999999999999996</v>
      </c>
      <c r="X5" s="190">
        <f t="shared" si="0"/>
        <v>69</v>
      </c>
      <c r="Y5" s="190"/>
      <c r="Z5" s="190"/>
    </row>
    <row r="6" spans="1:26" s="189" customFormat="1" ht="14.1" customHeight="1" x14ac:dyDescent="0.25">
      <c r="A6" s="191">
        <v>5</v>
      </c>
      <c r="B6" s="191">
        <v>2017</v>
      </c>
      <c r="C6" s="191">
        <v>5</v>
      </c>
      <c r="D6" s="191">
        <v>8</v>
      </c>
      <c r="E6" s="191" t="s">
        <v>370</v>
      </c>
      <c r="F6" s="191" t="s">
        <v>18</v>
      </c>
      <c r="G6"/>
      <c r="H6" s="191">
        <v>135</v>
      </c>
      <c r="I6" s="191">
        <v>14</v>
      </c>
      <c r="J6" s="191" t="s">
        <v>19</v>
      </c>
      <c r="K6" s="191" t="s">
        <v>20</v>
      </c>
      <c r="L6" s="191" t="s">
        <v>21</v>
      </c>
      <c r="M6" s="191" t="s">
        <v>22</v>
      </c>
      <c r="N6" s="191" t="s">
        <v>33</v>
      </c>
      <c r="O6"/>
      <c r="P6" s="104">
        <v>217</v>
      </c>
      <c r="Q6"/>
      <c r="R6">
        <v>13.5</v>
      </c>
      <c r="S6">
        <v>2460.38</v>
      </c>
      <c r="T6">
        <v>5.69</v>
      </c>
      <c r="U6"/>
      <c r="V6"/>
      <c r="W6" s="317">
        <v>3.9</v>
      </c>
      <c r="X6" s="190">
        <f t="shared" si="0"/>
        <v>54.6</v>
      </c>
      <c r="Y6" s="190"/>
      <c r="Z6" s="190"/>
    </row>
    <row r="7" spans="1:26" s="189" customFormat="1" ht="14.1" customHeight="1" x14ac:dyDescent="0.25">
      <c r="A7" s="191">
        <v>6</v>
      </c>
      <c r="B7" s="191">
        <v>2017</v>
      </c>
      <c r="C7" s="191">
        <v>5</v>
      </c>
      <c r="D7" s="191">
        <v>8</v>
      </c>
      <c r="E7" s="191" t="s">
        <v>370</v>
      </c>
      <c r="F7" s="191" t="s">
        <v>18</v>
      </c>
      <c r="G7"/>
      <c r="H7" s="191">
        <v>120</v>
      </c>
      <c r="I7" s="191">
        <v>11.5</v>
      </c>
      <c r="J7" s="191" t="s">
        <v>19</v>
      </c>
      <c r="K7" s="191" t="s">
        <v>20</v>
      </c>
      <c r="L7" s="191" t="s">
        <v>21</v>
      </c>
      <c r="M7" s="191" t="s">
        <v>27</v>
      </c>
      <c r="N7" s="191" t="s">
        <v>25</v>
      </c>
      <c r="O7"/>
      <c r="P7" s="104">
        <v>217</v>
      </c>
      <c r="Q7"/>
      <c r="R7">
        <v>12</v>
      </c>
      <c r="S7">
        <v>1728</v>
      </c>
      <c r="T7">
        <v>6.66</v>
      </c>
      <c r="U7"/>
      <c r="V7"/>
      <c r="W7" s="317">
        <v>3.9</v>
      </c>
      <c r="X7" s="190">
        <f t="shared" si="0"/>
        <v>44.85</v>
      </c>
      <c r="Y7" s="190"/>
      <c r="Z7" s="190"/>
    </row>
    <row r="8" spans="1:26" s="189" customFormat="1" ht="14.1" customHeight="1" x14ac:dyDescent="0.25">
      <c r="A8" s="191">
        <v>7</v>
      </c>
      <c r="B8" s="191">
        <v>2017</v>
      </c>
      <c r="C8" s="191">
        <v>5</v>
      </c>
      <c r="D8" s="191">
        <v>8</v>
      </c>
      <c r="E8" s="191" t="s">
        <v>370</v>
      </c>
      <c r="F8" s="191" t="s">
        <v>18</v>
      </c>
      <c r="G8"/>
      <c r="H8" s="191">
        <v>110</v>
      </c>
      <c r="I8" s="191">
        <v>9.5</v>
      </c>
      <c r="J8" s="191" t="s">
        <v>19</v>
      </c>
      <c r="K8" s="191" t="s">
        <v>20</v>
      </c>
      <c r="L8" s="191" t="s">
        <v>30</v>
      </c>
      <c r="M8" s="191" t="s">
        <v>22</v>
      </c>
      <c r="N8" s="191" t="s">
        <v>25</v>
      </c>
      <c r="O8"/>
      <c r="P8" s="104">
        <v>217</v>
      </c>
      <c r="Q8"/>
      <c r="R8">
        <v>11</v>
      </c>
      <c r="S8">
        <v>1331</v>
      </c>
      <c r="T8">
        <v>7.14</v>
      </c>
      <c r="U8"/>
      <c r="V8"/>
      <c r="W8" s="317">
        <v>4.5999999999999996</v>
      </c>
      <c r="X8" s="190">
        <f t="shared" si="0"/>
        <v>43.699999999999996</v>
      </c>
      <c r="Y8" s="190"/>
      <c r="Z8" s="190"/>
    </row>
    <row r="9" spans="1:26" s="189" customFormat="1" ht="14.1" customHeight="1" x14ac:dyDescent="0.25">
      <c r="A9" s="191">
        <v>8</v>
      </c>
      <c r="B9" s="191">
        <v>2017</v>
      </c>
      <c r="C9" s="191">
        <v>5</v>
      </c>
      <c r="D9" s="191">
        <v>8</v>
      </c>
      <c r="E9" s="191" t="s">
        <v>370</v>
      </c>
      <c r="F9" s="191" t="s">
        <v>18</v>
      </c>
      <c r="G9"/>
      <c r="H9" s="191">
        <v>135</v>
      </c>
      <c r="I9" s="191">
        <v>14</v>
      </c>
      <c r="J9" s="191" t="s">
        <v>19</v>
      </c>
      <c r="K9" s="191" t="s">
        <v>20</v>
      </c>
      <c r="L9" s="191" t="s">
        <v>21</v>
      </c>
      <c r="M9" s="191" t="s">
        <v>22</v>
      </c>
      <c r="N9" s="191" t="s">
        <v>24</v>
      </c>
      <c r="O9"/>
      <c r="P9" s="104">
        <v>217</v>
      </c>
      <c r="Q9"/>
      <c r="R9">
        <v>13.5</v>
      </c>
      <c r="S9">
        <v>2460.38</v>
      </c>
      <c r="T9">
        <v>5.69</v>
      </c>
      <c r="U9"/>
      <c r="V9"/>
      <c r="W9" s="317">
        <v>3.9</v>
      </c>
      <c r="X9" s="190">
        <f t="shared" si="0"/>
        <v>54.6</v>
      </c>
      <c r="Y9" s="190"/>
      <c r="Z9" s="190"/>
    </row>
    <row r="10" spans="1:26" s="189" customFormat="1" ht="14.1" customHeight="1" x14ac:dyDescent="0.25">
      <c r="A10" s="191">
        <v>9</v>
      </c>
      <c r="B10" s="191">
        <v>2017</v>
      </c>
      <c r="C10" s="191">
        <v>5</v>
      </c>
      <c r="D10" s="191">
        <v>8</v>
      </c>
      <c r="E10" s="191" t="s">
        <v>370</v>
      </c>
      <c r="F10" s="191" t="s">
        <v>18</v>
      </c>
      <c r="G10"/>
      <c r="H10" s="191">
        <v>80</v>
      </c>
      <c r="I10" s="191">
        <v>7</v>
      </c>
      <c r="J10" s="191" t="s">
        <v>19</v>
      </c>
      <c r="K10" s="191" t="s">
        <v>20</v>
      </c>
      <c r="L10" s="191" t="s">
        <v>30</v>
      </c>
      <c r="M10" s="191" t="s">
        <v>22</v>
      </c>
      <c r="N10" s="191" t="s">
        <v>371</v>
      </c>
      <c r="O10"/>
      <c r="P10" s="104">
        <v>217</v>
      </c>
      <c r="Q10"/>
      <c r="R10">
        <v>8</v>
      </c>
      <c r="S10">
        <v>512</v>
      </c>
      <c r="T10">
        <v>13.67</v>
      </c>
      <c r="U10"/>
      <c r="V10"/>
      <c r="W10" s="317">
        <v>4.5999999999999996</v>
      </c>
      <c r="X10" s="190">
        <f t="shared" si="0"/>
        <v>32.199999999999996</v>
      </c>
      <c r="Y10" s="190"/>
      <c r="Z10" s="190"/>
    </row>
    <row r="11" spans="1:26" s="189" customFormat="1" ht="14.1" customHeight="1" x14ac:dyDescent="0.25">
      <c r="A11" s="191">
        <v>10</v>
      </c>
      <c r="B11" s="191">
        <v>2017</v>
      </c>
      <c r="C11" s="191">
        <v>5</v>
      </c>
      <c r="D11" s="191">
        <v>8</v>
      </c>
      <c r="E11" s="191" t="s">
        <v>370</v>
      </c>
      <c r="F11" s="191" t="s">
        <v>18</v>
      </c>
      <c r="G11"/>
      <c r="H11" s="191">
        <v>135</v>
      </c>
      <c r="I11" s="191">
        <v>16.5</v>
      </c>
      <c r="J11" s="191" t="s">
        <v>19</v>
      </c>
      <c r="K11" s="191" t="s">
        <v>20</v>
      </c>
      <c r="L11" s="191" t="s">
        <v>30</v>
      </c>
      <c r="M11" s="191" t="s">
        <v>22</v>
      </c>
      <c r="N11" s="191" t="s">
        <v>23</v>
      </c>
      <c r="O11"/>
      <c r="P11" s="104">
        <v>217</v>
      </c>
      <c r="Q11"/>
      <c r="R11">
        <v>13.5</v>
      </c>
      <c r="S11">
        <v>2460.38</v>
      </c>
      <c r="T11">
        <v>6.71</v>
      </c>
      <c r="U11"/>
      <c r="V11"/>
      <c r="W11" s="317">
        <v>4.5999999999999996</v>
      </c>
      <c r="X11" s="190">
        <f t="shared" si="0"/>
        <v>75.899999999999991</v>
      </c>
      <c r="Y11" s="190"/>
      <c r="Z11" s="190"/>
    </row>
    <row r="12" spans="1:26" s="189" customFormat="1" ht="14.1" customHeight="1" x14ac:dyDescent="0.25">
      <c r="A12" s="191">
        <v>11</v>
      </c>
      <c r="B12" s="191">
        <v>2017</v>
      </c>
      <c r="C12" s="191">
        <v>5</v>
      </c>
      <c r="D12" s="191">
        <v>8</v>
      </c>
      <c r="E12" s="191" t="s">
        <v>370</v>
      </c>
      <c r="F12" s="191" t="s">
        <v>18</v>
      </c>
      <c r="G12"/>
      <c r="H12" s="191">
        <v>130</v>
      </c>
      <c r="I12" s="191">
        <v>16.5</v>
      </c>
      <c r="J12" s="191" t="s">
        <v>19</v>
      </c>
      <c r="K12" s="191" t="s">
        <v>20</v>
      </c>
      <c r="L12" s="191" t="s">
        <v>30</v>
      </c>
      <c r="M12" s="191" t="s">
        <v>26</v>
      </c>
      <c r="N12" s="191" t="s">
        <v>24</v>
      </c>
      <c r="O12"/>
      <c r="P12" s="104">
        <v>217</v>
      </c>
      <c r="Q12"/>
      <c r="R12">
        <v>13</v>
      </c>
      <c r="S12">
        <v>2197</v>
      </c>
      <c r="T12">
        <v>7.51</v>
      </c>
      <c r="U12"/>
      <c r="V12"/>
      <c r="W12" s="317">
        <v>4.5999999999999996</v>
      </c>
      <c r="X12" s="190">
        <f t="shared" si="0"/>
        <v>75.899999999999991</v>
      </c>
      <c r="Y12" s="190"/>
      <c r="Z12" s="190"/>
    </row>
    <row r="13" spans="1:26" s="189" customFormat="1" ht="14.1" customHeight="1" x14ac:dyDescent="0.25">
      <c r="A13" s="191">
        <v>12</v>
      </c>
      <c r="B13" s="191">
        <v>2017</v>
      </c>
      <c r="C13" s="191">
        <v>5</v>
      </c>
      <c r="D13" s="191">
        <v>8</v>
      </c>
      <c r="E13" s="191" t="s">
        <v>370</v>
      </c>
      <c r="F13" s="191" t="s">
        <v>18</v>
      </c>
      <c r="G13"/>
      <c r="H13" s="191">
        <v>120</v>
      </c>
      <c r="I13" s="191">
        <v>10</v>
      </c>
      <c r="J13" s="191" t="s">
        <v>19</v>
      </c>
      <c r="K13" s="191" t="s">
        <v>20</v>
      </c>
      <c r="L13" s="191" t="s">
        <v>30</v>
      </c>
      <c r="M13" s="191" t="s">
        <v>372</v>
      </c>
      <c r="N13" s="191" t="s">
        <v>24</v>
      </c>
      <c r="O13"/>
      <c r="P13" s="104">
        <v>217</v>
      </c>
      <c r="Q13"/>
      <c r="R13">
        <v>12</v>
      </c>
      <c r="S13">
        <v>1728</v>
      </c>
      <c r="T13">
        <v>5.79</v>
      </c>
      <c r="U13"/>
      <c r="V13"/>
      <c r="W13" s="317">
        <v>4.5999999999999996</v>
      </c>
      <c r="X13" s="190">
        <f t="shared" si="0"/>
        <v>46</v>
      </c>
      <c r="Y13" s="190"/>
      <c r="Z13" s="190"/>
    </row>
    <row r="14" spans="1:26" s="189" customFormat="1" ht="14.1" customHeight="1" x14ac:dyDescent="0.25">
      <c r="A14" s="191">
        <v>13</v>
      </c>
      <c r="B14" s="191">
        <v>2017</v>
      </c>
      <c r="C14" s="191">
        <v>5</v>
      </c>
      <c r="D14" s="191">
        <v>8</v>
      </c>
      <c r="E14" s="191" t="s">
        <v>370</v>
      </c>
      <c r="F14" s="191" t="s">
        <v>18</v>
      </c>
      <c r="G14"/>
      <c r="H14" s="191">
        <v>120</v>
      </c>
      <c r="I14" s="191">
        <v>9.3000000000000007</v>
      </c>
      <c r="J14" s="191" t="s">
        <v>19</v>
      </c>
      <c r="K14" s="191" t="s">
        <v>20</v>
      </c>
      <c r="L14" s="191" t="s">
        <v>30</v>
      </c>
      <c r="M14" s="191" t="s">
        <v>31</v>
      </c>
      <c r="N14" s="191" t="s">
        <v>24</v>
      </c>
      <c r="O14"/>
      <c r="P14" s="104">
        <v>217</v>
      </c>
      <c r="Q14"/>
      <c r="R14">
        <v>12</v>
      </c>
      <c r="S14">
        <v>1728</v>
      </c>
      <c r="T14">
        <v>5.38</v>
      </c>
      <c r="U14"/>
      <c r="V14"/>
      <c r="W14" s="317">
        <v>4.5999999999999996</v>
      </c>
      <c r="X14" s="190">
        <f t="shared" si="0"/>
        <v>42.78</v>
      </c>
      <c r="Y14" s="190"/>
      <c r="Z14" s="190"/>
    </row>
    <row r="15" spans="1:26" s="189" customFormat="1" ht="14.1" customHeight="1" x14ac:dyDescent="0.25">
      <c r="A15" s="191">
        <v>14</v>
      </c>
      <c r="B15" s="191">
        <v>2017</v>
      </c>
      <c r="C15" s="191">
        <v>5</v>
      </c>
      <c r="D15" s="191">
        <v>8</v>
      </c>
      <c r="E15" s="191" t="s">
        <v>370</v>
      </c>
      <c r="F15" s="191" t="s">
        <v>18</v>
      </c>
      <c r="G15"/>
      <c r="H15" s="191">
        <v>125</v>
      </c>
      <c r="I15" s="191">
        <v>12.3</v>
      </c>
      <c r="J15" s="191" t="s">
        <v>19</v>
      </c>
      <c r="K15" s="191" t="s">
        <v>20</v>
      </c>
      <c r="L15" s="191" t="s">
        <v>30</v>
      </c>
      <c r="M15" s="191" t="s">
        <v>27</v>
      </c>
      <c r="N15" s="191" t="s">
        <v>24</v>
      </c>
      <c r="O15"/>
      <c r="P15" s="104">
        <v>217</v>
      </c>
      <c r="Q15"/>
      <c r="R15">
        <v>12.5</v>
      </c>
      <c r="S15">
        <v>1953.13</v>
      </c>
      <c r="T15">
        <v>6.3</v>
      </c>
      <c r="U15"/>
      <c r="V15"/>
      <c r="W15" s="317">
        <v>4.5999999999999996</v>
      </c>
      <c r="X15" s="190">
        <f t="shared" si="0"/>
        <v>56.58</v>
      </c>
      <c r="Y15" s="190"/>
      <c r="Z15" s="190"/>
    </row>
    <row r="16" spans="1:26" s="189" customFormat="1" ht="14.1" customHeight="1" x14ac:dyDescent="0.25">
      <c r="A16" s="191">
        <v>15</v>
      </c>
      <c r="B16" s="191">
        <v>2017</v>
      </c>
      <c r="C16" s="191">
        <v>5</v>
      </c>
      <c r="D16" s="191">
        <v>8</v>
      </c>
      <c r="E16" s="191" t="s">
        <v>370</v>
      </c>
      <c r="F16" s="191" t="s">
        <v>18</v>
      </c>
      <c r="G16"/>
      <c r="H16" s="191">
        <v>130</v>
      </c>
      <c r="I16" s="191">
        <v>12.6</v>
      </c>
      <c r="J16" s="191" t="s">
        <v>19</v>
      </c>
      <c r="K16" s="191" t="s">
        <v>20</v>
      </c>
      <c r="L16" s="191" t="s">
        <v>30</v>
      </c>
      <c r="M16" s="191" t="s">
        <v>22</v>
      </c>
      <c r="N16" s="191" t="s">
        <v>23</v>
      </c>
      <c r="O16"/>
      <c r="P16" s="104">
        <v>217</v>
      </c>
      <c r="Q16"/>
      <c r="R16">
        <v>13</v>
      </c>
      <c r="S16">
        <v>2197</v>
      </c>
      <c r="T16">
        <v>5.74</v>
      </c>
      <c r="U16"/>
      <c r="V16"/>
      <c r="W16" s="317">
        <v>4.5999999999999996</v>
      </c>
      <c r="X16" s="190">
        <f t="shared" si="0"/>
        <v>57.959999999999994</v>
      </c>
      <c r="Y16" s="190"/>
      <c r="Z16" s="190"/>
    </row>
    <row r="17" spans="1:26" s="189" customFormat="1" ht="14.1" customHeight="1" x14ac:dyDescent="0.25">
      <c r="A17" s="191">
        <v>16</v>
      </c>
      <c r="B17" s="191">
        <v>2017</v>
      </c>
      <c r="C17" s="191">
        <v>5</v>
      </c>
      <c r="D17" s="191">
        <v>8</v>
      </c>
      <c r="E17" s="191" t="s">
        <v>370</v>
      </c>
      <c r="F17" s="191" t="s">
        <v>18</v>
      </c>
      <c r="G17"/>
      <c r="H17" s="191">
        <v>110</v>
      </c>
      <c r="I17" s="191">
        <v>9.6999999999999993</v>
      </c>
      <c r="J17" s="191" t="s">
        <v>19</v>
      </c>
      <c r="K17" s="191" t="s">
        <v>20</v>
      </c>
      <c r="L17" s="191" t="s">
        <v>21</v>
      </c>
      <c r="M17" s="191" t="s">
        <v>27</v>
      </c>
      <c r="N17" s="191" t="s">
        <v>25</v>
      </c>
      <c r="O17"/>
      <c r="P17" s="104">
        <v>217</v>
      </c>
      <c r="Q17"/>
      <c r="R17">
        <v>11</v>
      </c>
      <c r="S17">
        <v>1331</v>
      </c>
      <c r="T17">
        <v>7.29</v>
      </c>
      <c r="U17"/>
      <c r="V17"/>
      <c r="W17" s="317">
        <v>3.9</v>
      </c>
      <c r="X17" s="190">
        <f t="shared" si="0"/>
        <v>37.83</v>
      </c>
      <c r="Y17" s="190"/>
      <c r="Z17" s="190"/>
    </row>
    <row r="18" spans="1:26" s="189" customFormat="1" ht="14.1" customHeight="1" x14ac:dyDescent="0.25">
      <c r="A18" s="191">
        <v>18</v>
      </c>
      <c r="B18" s="191">
        <v>2017</v>
      </c>
      <c r="C18" s="191">
        <v>5</v>
      </c>
      <c r="D18" s="191">
        <v>8</v>
      </c>
      <c r="E18" s="191" t="s">
        <v>370</v>
      </c>
      <c r="F18" s="191" t="s">
        <v>18</v>
      </c>
      <c r="G18"/>
      <c r="H18" s="191">
        <v>120</v>
      </c>
      <c r="I18" s="191">
        <v>10.5</v>
      </c>
      <c r="J18" s="191" t="s">
        <v>19</v>
      </c>
      <c r="K18" s="191" t="s">
        <v>20</v>
      </c>
      <c r="L18" s="191" t="s">
        <v>30</v>
      </c>
      <c r="M18" s="191" t="s">
        <v>26</v>
      </c>
      <c r="N18" s="191" t="s">
        <v>24</v>
      </c>
      <c r="O18"/>
      <c r="P18" s="104">
        <v>217</v>
      </c>
      <c r="Q18"/>
      <c r="R18">
        <v>12</v>
      </c>
      <c r="S18">
        <v>1728</v>
      </c>
      <c r="T18">
        <v>6.08</v>
      </c>
      <c r="U18"/>
      <c r="V18"/>
      <c r="W18" s="317">
        <v>4.5999999999999996</v>
      </c>
      <c r="X18" s="190">
        <f t="shared" si="0"/>
        <v>48.3</v>
      </c>
      <c r="Y18" s="190"/>
      <c r="Z18" s="190"/>
    </row>
    <row r="19" spans="1:26" s="189" customFormat="1" ht="14.1" customHeight="1" x14ac:dyDescent="0.25">
      <c r="A19" s="191">
        <v>20</v>
      </c>
      <c r="B19" s="191">
        <v>2017</v>
      </c>
      <c r="C19" s="191">
        <v>5</v>
      </c>
      <c r="D19" s="191">
        <v>8</v>
      </c>
      <c r="E19" s="191" t="s">
        <v>370</v>
      </c>
      <c r="F19" s="191" t="s">
        <v>18</v>
      </c>
      <c r="G19"/>
      <c r="H19" s="191">
        <v>130</v>
      </c>
      <c r="I19" s="191">
        <v>8.5</v>
      </c>
      <c r="J19" s="191" t="s">
        <v>19</v>
      </c>
      <c r="K19" s="191" t="s">
        <v>20</v>
      </c>
      <c r="L19" s="191" t="s">
        <v>21</v>
      </c>
      <c r="M19" s="191" t="s">
        <v>27</v>
      </c>
      <c r="N19" s="191" t="s">
        <v>33</v>
      </c>
      <c r="O19"/>
      <c r="P19" s="104">
        <v>217</v>
      </c>
      <c r="Q19"/>
      <c r="R19">
        <v>13</v>
      </c>
      <c r="S19">
        <v>2197</v>
      </c>
      <c r="T19">
        <v>3.87</v>
      </c>
      <c r="U19"/>
      <c r="V19"/>
      <c r="W19" s="317">
        <v>3.9</v>
      </c>
      <c r="X19" s="190">
        <f t="shared" si="0"/>
        <v>33.15</v>
      </c>
      <c r="Y19" s="190"/>
      <c r="Z19" s="190"/>
    </row>
    <row r="20" spans="1:26" s="189" customFormat="1" ht="14.1" customHeight="1" x14ac:dyDescent="0.25">
      <c r="A20" s="191">
        <v>21</v>
      </c>
      <c r="B20" s="191">
        <v>2017</v>
      </c>
      <c r="C20" s="191">
        <v>5</v>
      </c>
      <c r="D20" s="191">
        <v>8</v>
      </c>
      <c r="E20" s="191" t="s">
        <v>370</v>
      </c>
      <c r="F20" s="191" t="s">
        <v>18</v>
      </c>
      <c r="G20"/>
      <c r="H20" s="191">
        <v>135</v>
      </c>
      <c r="I20" s="191">
        <v>12.5</v>
      </c>
      <c r="J20" s="191" t="s">
        <v>19</v>
      </c>
      <c r="K20" s="191" t="s">
        <v>20</v>
      </c>
      <c r="L20" s="191" t="s">
        <v>30</v>
      </c>
      <c r="M20" s="191" t="s">
        <v>22</v>
      </c>
      <c r="N20" s="191" t="s">
        <v>39</v>
      </c>
      <c r="O20"/>
      <c r="P20" s="104">
        <v>217</v>
      </c>
      <c r="Q20"/>
      <c r="R20">
        <v>13.5</v>
      </c>
      <c r="S20">
        <v>2460.38</v>
      </c>
      <c r="T20">
        <v>5.08</v>
      </c>
      <c r="U20"/>
      <c r="V20"/>
      <c r="W20" s="317">
        <v>4.5999999999999996</v>
      </c>
      <c r="X20" s="190">
        <f t="shared" si="0"/>
        <v>57.499999999999993</v>
      </c>
      <c r="Y20" s="190"/>
      <c r="Z20" s="190"/>
    </row>
    <row r="21" spans="1:26" s="189" customFormat="1" ht="14.1" customHeight="1" x14ac:dyDescent="0.25">
      <c r="A21" s="191">
        <v>22</v>
      </c>
      <c r="B21" s="191">
        <v>2017</v>
      </c>
      <c r="C21" s="191">
        <v>5</v>
      </c>
      <c r="D21" s="191">
        <v>8</v>
      </c>
      <c r="E21" s="191" t="s">
        <v>370</v>
      </c>
      <c r="F21" s="191" t="s">
        <v>18</v>
      </c>
      <c r="G21"/>
      <c r="H21" s="191">
        <v>125</v>
      </c>
      <c r="I21" s="191">
        <v>11</v>
      </c>
      <c r="J21" s="191" t="s">
        <v>19</v>
      </c>
      <c r="K21" s="191" t="s">
        <v>20</v>
      </c>
      <c r="L21" s="191" t="s">
        <v>30</v>
      </c>
      <c r="M21" s="191" t="s">
        <v>22</v>
      </c>
      <c r="N21" s="191" t="s">
        <v>25</v>
      </c>
      <c r="O21"/>
      <c r="P21" s="104">
        <v>217</v>
      </c>
      <c r="Q21"/>
      <c r="R21">
        <v>12.5</v>
      </c>
      <c r="S21">
        <v>1953.13</v>
      </c>
      <c r="T21">
        <v>5.63</v>
      </c>
      <c r="U21"/>
      <c r="V21"/>
      <c r="W21" s="317">
        <v>4.5999999999999996</v>
      </c>
      <c r="X21" s="190">
        <f t="shared" si="0"/>
        <v>50.599999999999994</v>
      </c>
      <c r="Y21" s="190"/>
      <c r="Z21" s="190"/>
    </row>
    <row r="22" spans="1:26" s="189" customFormat="1" ht="14.1" customHeight="1" x14ac:dyDescent="0.25">
      <c r="A22" s="191">
        <v>23</v>
      </c>
      <c r="B22" s="191">
        <v>2017</v>
      </c>
      <c r="C22" s="191">
        <v>5</v>
      </c>
      <c r="D22" s="191">
        <v>8</v>
      </c>
      <c r="E22" s="191" t="s">
        <v>370</v>
      </c>
      <c r="F22" s="191" t="s">
        <v>18</v>
      </c>
      <c r="G22"/>
      <c r="H22" s="191">
        <v>135</v>
      </c>
      <c r="I22" s="191">
        <v>11</v>
      </c>
      <c r="J22" s="191" t="s">
        <v>19</v>
      </c>
      <c r="K22" s="191" t="s">
        <v>20</v>
      </c>
      <c r="L22" s="191" t="s">
        <v>30</v>
      </c>
      <c r="M22" s="191" t="s">
        <v>22</v>
      </c>
      <c r="N22" s="191" t="s">
        <v>23</v>
      </c>
      <c r="O22"/>
      <c r="P22" s="104">
        <v>217</v>
      </c>
      <c r="Q22"/>
      <c r="R22">
        <v>13.5</v>
      </c>
      <c r="S22">
        <v>2460.38</v>
      </c>
      <c r="T22">
        <v>4.47</v>
      </c>
      <c r="U22"/>
      <c r="V22"/>
      <c r="W22" s="317">
        <v>4.5999999999999996</v>
      </c>
      <c r="X22" s="190">
        <f t="shared" si="0"/>
        <v>50.599999999999994</v>
      </c>
      <c r="Y22" s="190"/>
      <c r="Z22" s="190"/>
    </row>
    <row r="23" spans="1:26" s="189" customFormat="1" ht="14.1" customHeight="1" x14ac:dyDescent="0.25">
      <c r="A23" s="191">
        <v>24</v>
      </c>
      <c r="B23" s="191">
        <v>2017</v>
      </c>
      <c r="C23" s="191">
        <v>5</v>
      </c>
      <c r="D23" s="191">
        <v>8</v>
      </c>
      <c r="E23" s="191" t="s">
        <v>370</v>
      </c>
      <c r="F23" s="191" t="s">
        <v>18</v>
      </c>
      <c r="G23"/>
      <c r="H23" s="191">
        <v>105</v>
      </c>
      <c r="I23" s="191">
        <v>7.5</v>
      </c>
      <c r="J23" s="191" t="s">
        <v>19</v>
      </c>
      <c r="K23" s="191" t="s">
        <v>20</v>
      </c>
      <c r="L23" s="191" t="s">
        <v>21</v>
      </c>
      <c r="M23" s="191" t="s">
        <v>22</v>
      </c>
      <c r="N23" s="191" t="s">
        <v>25</v>
      </c>
      <c r="O23"/>
      <c r="P23" s="104">
        <v>217</v>
      </c>
      <c r="Q23"/>
      <c r="R23">
        <v>10.5</v>
      </c>
      <c r="S23">
        <v>1157.6300000000001</v>
      </c>
      <c r="T23">
        <v>6.48</v>
      </c>
      <c r="U23"/>
      <c r="V23"/>
      <c r="W23" s="317">
        <v>3.9</v>
      </c>
      <c r="X23" s="190">
        <f t="shared" si="0"/>
        <v>29.25</v>
      </c>
      <c r="Y23" s="190"/>
      <c r="Z23" s="190"/>
    </row>
    <row r="24" spans="1:26" s="189" customFormat="1" ht="14.1" customHeight="1" x14ac:dyDescent="0.25">
      <c r="A24" s="191">
        <v>25</v>
      </c>
      <c r="B24" s="191">
        <v>2017</v>
      </c>
      <c r="C24" s="191">
        <v>5</v>
      </c>
      <c r="D24" s="191">
        <v>8</v>
      </c>
      <c r="E24" s="191" t="s">
        <v>370</v>
      </c>
      <c r="F24" s="191" t="s">
        <v>18</v>
      </c>
      <c r="G24"/>
      <c r="H24" s="191">
        <v>115</v>
      </c>
      <c r="I24" s="191">
        <v>10.5</v>
      </c>
      <c r="J24" s="191" t="s">
        <v>19</v>
      </c>
      <c r="K24" s="191" t="s">
        <v>20</v>
      </c>
      <c r="L24" s="191" t="s">
        <v>30</v>
      </c>
      <c r="M24" s="191" t="s">
        <v>22</v>
      </c>
      <c r="N24" s="191" t="s">
        <v>25</v>
      </c>
      <c r="O24"/>
      <c r="P24" s="104">
        <v>217</v>
      </c>
      <c r="Q24"/>
      <c r="R24">
        <v>11.5</v>
      </c>
      <c r="S24">
        <v>1520.88</v>
      </c>
      <c r="T24">
        <v>6.9</v>
      </c>
      <c r="U24"/>
      <c r="V24"/>
      <c r="W24" s="317">
        <v>4.5999999999999996</v>
      </c>
      <c r="X24" s="190">
        <f t="shared" si="0"/>
        <v>48.3</v>
      </c>
      <c r="Y24" s="190"/>
      <c r="Z24" s="190"/>
    </row>
    <row r="25" spans="1:26" s="189" customFormat="1" ht="14.1" customHeight="1" x14ac:dyDescent="0.25">
      <c r="A25" s="191">
        <v>26</v>
      </c>
      <c r="B25" s="191">
        <v>2017</v>
      </c>
      <c r="C25" s="191">
        <v>5</v>
      </c>
      <c r="D25" s="191">
        <v>8</v>
      </c>
      <c r="E25" s="191" t="s">
        <v>370</v>
      </c>
      <c r="F25" s="191" t="s">
        <v>18</v>
      </c>
      <c r="G25"/>
      <c r="H25" s="191">
        <v>145</v>
      </c>
      <c r="I25" s="191">
        <v>16.5</v>
      </c>
      <c r="J25" s="191" t="s">
        <v>19</v>
      </c>
      <c r="K25" s="191" t="s">
        <v>20</v>
      </c>
      <c r="L25" s="191" t="s">
        <v>30</v>
      </c>
      <c r="M25" s="191" t="s">
        <v>22</v>
      </c>
      <c r="N25" s="191" t="s">
        <v>24</v>
      </c>
      <c r="O25" s="191" t="s">
        <v>373</v>
      </c>
      <c r="P25" s="104">
        <v>217</v>
      </c>
      <c r="Q25" t="s">
        <v>362</v>
      </c>
      <c r="R25">
        <v>14.5</v>
      </c>
      <c r="S25">
        <v>3048.63</v>
      </c>
      <c r="T25">
        <v>5.41</v>
      </c>
      <c r="U25"/>
      <c r="V25"/>
      <c r="W25" s="317">
        <v>4.5999999999999996</v>
      </c>
      <c r="X25" s="190">
        <f t="shared" si="0"/>
        <v>75.899999999999991</v>
      </c>
      <c r="Y25" s="190"/>
      <c r="Z25" s="190"/>
    </row>
    <row r="26" spans="1:26" s="189" customFormat="1" ht="14.1" customHeight="1" x14ac:dyDescent="0.25">
      <c r="A26" s="191">
        <v>28</v>
      </c>
      <c r="B26" s="191">
        <v>2017</v>
      </c>
      <c r="C26" s="191">
        <v>5</v>
      </c>
      <c r="D26" s="191">
        <v>8</v>
      </c>
      <c r="E26" s="191" t="s">
        <v>370</v>
      </c>
      <c r="F26" s="191" t="s">
        <v>18</v>
      </c>
      <c r="G26"/>
      <c r="H26" s="191">
        <v>100</v>
      </c>
      <c r="I26" s="191">
        <v>8.5</v>
      </c>
      <c r="J26" s="191" t="s">
        <v>19</v>
      </c>
      <c r="K26" s="191" t="s">
        <v>20</v>
      </c>
      <c r="L26" s="191" t="s">
        <v>30</v>
      </c>
      <c r="M26" s="191" t="s">
        <v>22</v>
      </c>
      <c r="N26" s="191" t="s">
        <v>25</v>
      </c>
      <c r="O26" s="191" t="s">
        <v>376</v>
      </c>
      <c r="P26" s="104">
        <v>217</v>
      </c>
      <c r="Q26" t="s">
        <v>362</v>
      </c>
      <c r="R26">
        <v>10</v>
      </c>
      <c r="S26">
        <v>1000</v>
      </c>
      <c r="T26">
        <v>8.5</v>
      </c>
      <c r="U26"/>
      <c r="V26"/>
      <c r="W26" s="317">
        <v>4.5999999999999996</v>
      </c>
      <c r="X26" s="190">
        <f t="shared" si="0"/>
        <v>39.099999999999994</v>
      </c>
      <c r="Y26" s="190"/>
      <c r="Z26" s="190"/>
    </row>
    <row r="27" spans="1:26" s="189" customFormat="1" ht="14.1" customHeight="1" x14ac:dyDescent="0.25">
      <c r="A27" s="191">
        <v>29</v>
      </c>
      <c r="B27" s="191">
        <v>2017</v>
      </c>
      <c r="C27" s="191">
        <v>5</v>
      </c>
      <c r="D27" s="191">
        <v>8</v>
      </c>
      <c r="E27" s="191" t="s">
        <v>370</v>
      </c>
      <c r="F27" s="191" t="s">
        <v>18</v>
      </c>
      <c r="G27"/>
      <c r="H27" s="191">
        <v>130</v>
      </c>
      <c r="I27" s="191">
        <v>9.5</v>
      </c>
      <c r="J27" s="191" t="s">
        <v>19</v>
      </c>
      <c r="K27" s="191" t="s">
        <v>20</v>
      </c>
      <c r="L27" s="191" t="s">
        <v>30</v>
      </c>
      <c r="M27" s="191" t="s">
        <v>27</v>
      </c>
      <c r="N27" s="191" t="s">
        <v>33</v>
      </c>
      <c r="O27" s="191" t="s">
        <v>377</v>
      </c>
      <c r="P27" s="104">
        <v>217</v>
      </c>
      <c r="Q27" t="s">
        <v>362</v>
      </c>
      <c r="R27">
        <v>13</v>
      </c>
      <c r="S27">
        <v>2197</v>
      </c>
      <c r="T27">
        <v>4.32</v>
      </c>
      <c r="U27"/>
      <c r="V27"/>
      <c r="W27" s="317">
        <v>4.5999999999999996</v>
      </c>
      <c r="X27" s="190">
        <f t="shared" si="0"/>
        <v>43.699999999999996</v>
      </c>
      <c r="Y27" s="190"/>
      <c r="Z27" s="190"/>
    </row>
    <row r="28" spans="1:26" s="189" customFormat="1" ht="14.1" customHeight="1" x14ac:dyDescent="0.25">
      <c r="A28" s="191">
        <v>30</v>
      </c>
      <c r="B28" s="191">
        <v>2017</v>
      </c>
      <c r="C28" s="191">
        <v>5</v>
      </c>
      <c r="D28" s="191">
        <v>8</v>
      </c>
      <c r="E28" s="191" t="s">
        <v>370</v>
      </c>
      <c r="F28" s="191" t="s">
        <v>18</v>
      </c>
      <c r="G28"/>
      <c r="H28" s="191">
        <v>120</v>
      </c>
      <c r="I28" s="191">
        <v>9.5</v>
      </c>
      <c r="J28" s="191" t="s">
        <v>19</v>
      </c>
      <c r="K28" s="191" t="s">
        <v>20</v>
      </c>
      <c r="L28" s="191" t="s">
        <v>21</v>
      </c>
      <c r="M28" s="191" t="s">
        <v>22</v>
      </c>
      <c r="N28" s="191" t="s">
        <v>33</v>
      </c>
      <c r="O28" s="197"/>
      <c r="P28" s="104">
        <v>217</v>
      </c>
      <c r="Q28"/>
      <c r="R28">
        <v>12</v>
      </c>
      <c r="S28">
        <v>1728</v>
      </c>
      <c r="T28">
        <v>5.5</v>
      </c>
      <c r="U28"/>
      <c r="V28"/>
      <c r="W28" s="317">
        <v>3.9</v>
      </c>
      <c r="X28" s="190">
        <f t="shared" si="0"/>
        <v>37.049999999999997</v>
      </c>
      <c r="Y28" s="190"/>
      <c r="Z28" s="190"/>
    </row>
    <row r="29" spans="1:26" s="189" customFormat="1" ht="14.1" customHeight="1" x14ac:dyDescent="0.25">
      <c r="A29" s="191">
        <v>31</v>
      </c>
      <c r="B29" s="191">
        <v>2017</v>
      </c>
      <c r="C29" s="191">
        <v>5</v>
      </c>
      <c r="D29" s="191">
        <v>8</v>
      </c>
      <c r="E29" s="191" t="s">
        <v>370</v>
      </c>
      <c r="F29" s="191" t="s">
        <v>18</v>
      </c>
      <c r="G29"/>
      <c r="H29" s="191">
        <v>123</v>
      </c>
      <c r="I29" s="191">
        <v>8.5</v>
      </c>
      <c r="J29" s="191" t="s">
        <v>19</v>
      </c>
      <c r="K29" s="191" t="s">
        <v>20</v>
      </c>
      <c r="L29" s="191" t="s">
        <v>30</v>
      </c>
      <c r="M29" s="191" t="s">
        <v>27</v>
      </c>
      <c r="N29" s="191" t="s">
        <v>33</v>
      </c>
      <c r="O29" s="197"/>
      <c r="P29" s="104">
        <v>217</v>
      </c>
      <c r="Q29"/>
      <c r="R29">
        <v>12.3</v>
      </c>
      <c r="S29">
        <v>1860.87</v>
      </c>
      <c r="T29">
        <v>4.57</v>
      </c>
      <c r="U29"/>
      <c r="V29"/>
      <c r="W29" s="317">
        <v>4.5999999999999996</v>
      </c>
      <c r="X29" s="190">
        <f t="shared" si="0"/>
        <v>39.099999999999994</v>
      </c>
      <c r="Y29" s="190"/>
      <c r="Z29" s="190"/>
    </row>
    <row r="30" spans="1:26" s="189" customFormat="1" ht="14.1" customHeight="1" x14ac:dyDescent="0.25">
      <c r="A30" s="191">
        <v>32</v>
      </c>
      <c r="B30" s="191">
        <v>2017</v>
      </c>
      <c r="C30" s="191">
        <v>5</v>
      </c>
      <c r="D30" s="191">
        <v>8</v>
      </c>
      <c r="E30" s="191" t="s">
        <v>370</v>
      </c>
      <c r="F30" s="191" t="s">
        <v>18</v>
      </c>
      <c r="G30"/>
      <c r="H30" s="191">
        <v>124</v>
      </c>
      <c r="I30" s="191">
        <v>11.7</v>
      </c>
      <c r="J30" s="191" t="s">
        <v>19</v>
      </c>
      <c r="K30" s="191" t="s">
        <v>20</v>
      </c>
      <c r="L30" s="191" t="s">
        <v>30</v>
      </c>
      <c r="M30" s="191" t="s">
        <v>26</v>
      </c>
      <c r="N30" s="191" t="s">
        <v>39</v>
      </c>
      <c r="O30" s="197"/>
      <c r="P30" s="104">
        <v>217</v>
      </c>
      <c r="Q30"/>
      <c r="R30">
        <v>12.4</v>
      </c>
      <c r="S30">
        <v>1906.62</v>
      </c>
      <c r="T30">
        <v>6.14</v>
      </c>
      <c r="U30"/>
      <c r="V30"/>
      <c r="W30" s="317">
        <v>4.5999999999999996</v>
      </c>
      <c r="X30" s="190">
        <f t="shared" si="0"/>
        <v>53.819999999999993</v>
      </c>
      <c r="Y30" s="190"/>
      <c r="Z30" s="190"/>
    </row>
    <row r="31" spans="1:26" s="189" customFormat="1" ht="14.1" customHeight="1" x14ac:dyDescent="0.25">
      <c r="A31" s="191">
        <v>34</v>
      </c>
      <c r="B31" s="191">
        <v>2017</v>
      </c>
      <c r="C31" s="191">
        <v>6</v>
      </c>
      <c r="D31" s="191">
        <v>8</v>
      </c>
      <c r="E31" s="197"/>
      <c r="F31" s="191" t="s">
        <v>18</v>
      </c>
      <c r="G31"/>
      <c r="H31" s="191">
        <v>130</v>
      </c>
      <c r="I31" s="191">
        <v>12</v>
      </c>
      <c r="J31" s="191" t="s">
        <v>19</v>
      </c>
      <c r="K31" s="191" t="s">
        <v>20</v>
      </c>
      <c r="L31" s="191" t="s">
        <v>30</v>
      </c>
      <c r="M31" s="197"/>
      <c r="N31" s="197"/>
      <c r="O31"/>
      <c r="P31" s="104">
        <v>218</v>
      </c>
      <c r="Q31"/>
      <c r="R31">
        <v>13</v>
      </c>
      <c r="S31">
        <v>2197</v>
      </c>
      <c r="T31">
        <v>5.46</v>
      </c>
      <c r="U31"/>
      <c r="V31"/>
      <c r="W31" s="317">
        <v>4.5999999999999996</v>
      </c>
      <c r="X31" s="190">
        <f t="shared" si="0"/>
        <v>55.199999999999996</v>
      </c>
      <c r="Y31" s="190"/>
      <c r="Z31" s="190"/>
    </row>
    <row r="32" spans="1:26" s="189" customFormat="1" ht="14.1" customHeight="1" x14ac:dyDescent="0.25">
      <c r="A32" s="191">
        <v>36</v>
      </c>
      <c r="B32" s="191">
        <v>2017</v>
      </c>
      <c r="C32" s="191">
        <v>6</v>
      </c>
      <c r="D32" s="191">
        <v>8</v>
      </c>
      <c r="E32" s="197"/>
      <c r="F32" s="191" t="s">
        <v>18</v>
      </c>
      <c r="G32"/>
      <c r="H32" s="191">
        <v>120</v>
      </c>
      <c r="I32" s="191">
        <v>9</v>
      </c>
      <c r="J32" s="191" t="s">
        <v>19</v>
      </c>
      <c r="K32" s="191" t="s">
        <v>20</v>
      </c>
      <c r="L32" s="191" t="s">
        <v>30</v>
      </c>
      <c r="M32" s="191" t="s">
        <v>22</v>
      </c>
      <c r="N32" s="191" t="s">
        <v>25</v>
      </c>
      <c r="O32"/>
      <c r="P32" s="104">
        <v>218</v>
      </c>
      <c r="Q32"/>
      <c r="R32">
        <v>12</v>
      </c>
      <c r="S32">
        <v>1728</v>
      </c>
      <c r="T32">
        <v>5.21</v>
      </c>
      <c r="U32"/>
      <c r="V32"/>
      <c r="W32" s="317">
        <v>4.5999999999999996</v>
      </c>
      <c r="X32" s="190">
        <f t="shared" si="0"/>
        <v>41.4</v>
      </c>
      <c r="Y32" s="190"/>
      <c r="Z32" s="190"/>
    </row>
    <row r="33" spans="1:26" s="189" customFormat="1" ht="14.1" customHeight="1" x14ac:dyDescent="0.25">
      <c r="A33" s="191">
        <v>38</v>
      </c>
      <c r="B33" s="191">
        <v>2017</v>
      </c>
      <c r="C33" s="191">
        <v>6</v>
      </c>
      <c r="D33" s="191">
        <v>8</v>
      </c>
      <c r="E33" s="197"/>
      <c r="F33" s="191" t="s">
        <v>18</v>
      </c>
      <c r="G33"/>
      <c r="H33" s="191">
        <v>125</v>
      </c>
      <c r="I33" s="191">
        <v>10.7</v>
      </c>
      <c r="J33" s="191" t="s">
        <v>19</v>
      </c>
      <c r="K33" s="191" t="s">
        <v>20</v>
      </c>
      <c r="L33" s="191" t="s">
        <v>30</v>
      </c>
      <c r="M33" s="191" t="s">
        <v>27</v>
      </c>
      <c r="N33" s="191" t="s">
        <v>25</v>
      </c>
      <c r="O33"/>
      <c r="P33" s="104">
        <v>218</v>
      </c>
      <c r="Q33"/>
      <c r="R33">
        <v>12.5</v>
      </c>
      <c r="S33">
        <v>1953.13</v>
      </c>
      <c r="T33">
        <v>5.48</v>
      </c>
      <c r="U33"/>
      <c r="V33"/>
      <c r="W33" s="317">
        <v>4.5999999999999996</v>
      </c>
      <c r="X33" s="190">
        <f t="shared" si="0"/>
        <v>49.219999999999992</v>
      </c>
      <c r="Y33" s="190"/>
      <c r="Z33" s="190"/>
    </row>
    <row r="34" spans="1:26" s="189" customFormat="1" ht="14.1" customHeight="1" x14ac:dyDescent="0.25">
      <c r="A34" s="191">
        <v>39</v>
      </c>
      <c r="B34" s="191">
        <v>2017</v>
      </c>
      <c r="C34" s="191">
        <v>6</v>
      </c>
      <c r="D34" s="191">
        <v>8</v>
      </c>
      <c r="E34"/>
      <c r="F34" s="191" t="s">
        <v>18</v>
      </c>
      <c r="G34"/>
      <c r="H34" s="191">
        <v>112</v>
      </c>
      <c r="I34" s="191">
        <v>10.199999999999999</v>
      </c>
      <c r="J34" s="191" t="s">
        <v>19</v>
      </c>
      <c r="K34" s="191" t="s">
        <v>20</v>
      </c>
      <c r="L34" s="191" t="s">
        <v>21</v>
      </c>
      <c r="M34" s="191" t="s">
        <v>22</v>
      </c>
      <c r="N34" s="191" t="s">
        <v>25</v>
      </c>
      <c r="O34" s="191" t="s">
        <v>379</v>
      </c>
      <c r="P34" s="104">
        <v>218</v>
      </c>
      <c r="Q34" t="s">
        <v>362</v>
      </c>
      <c r="R34">
        <v>11.2</v>
      </c>
      <c r="S34">
        <v>1404.93</v>
      </c>
      <c r="T34">
        <v>7.26</v>
      </c>
      <c r="U34"/>
      <c r="V34"/>
      <c r="W34" s="317">
        <v>3.9</v>
      </c>
      <c r="X34" s="190">
        <f t="shared" si="0"/>
        <v>39.779999999999994</v>
      </c>
      <c r="Y34" s="190"/>
      <c r="Z34" s="190"/>
    </row>
    <row r="35" spans="1:26" s="189" customFormat="1" ht="14.1" customHeight="1" x14ac:dyDescent="0.25">
      <c r="A35" s="191">
        <v>40</v>
      </c>
      <c r="B35" s="191">
        <v>2017</v>
      </c>
      <c r="C35" s="191">
        <v>6</v>
      </c>
      <c r="D35" s="191">
        <v>8</v>
      </c>
      <c r="E35"/>
      <c r="F35" s="191" t="s">
        <v>18</v>
      </c>
      <c r="G35"/>
      <c r="H35" s="191">
        <v>125</v>
      </c>
      <c r="I35" s="191">
        <v>14.7</v>
      </c>
      <c r="J35" s="191" t="s">
        <v>19</v>
      </c>
      <c r="K35" s="191" t="s">
        <v>20</v>
      </c>
      <c r="L35" s="191" t="s">
        <v>30</v>
      </c>
      <c r="M35" s="191" t="s">
        <v>22</v>
      </c>
      <c r="N35" s="191" t="s">
        <v>23</v>
      </c>
      <c r="O35" s="191" t="s">
        <v>380</v>
      </c>
      <c r="P35" s="104">
        <v>218</v>
      </c>
      <c r="Q35" t="s">
        <v>362</v>
      </c>
      <c r="R35">
        <v>12.5</v>
      </c>
      <c r="S35">
        <v>1953.13</v>
      </c>
      <c r="T35">
        <v>7.53</v>
      </c>
      <c r="U35"/>
      <c r="V35"/>
      <c r="W35" s="317">
        <v>4.5999999999999996</v>
      </c>
      <c r="X35" s="190">
        <f t="shared" si="0"/>
        <v>67.61999999999999</v>
      </c>
      <c r="Y35" s="190"/>
      <c r="Z35" s="190"/>
    </row>
    <row r="36" spans="1:26" s="189" customFormat="1" ht="14.1" customHeight="1" x14ac:dyDescent="0.25">
      <c r="A36" s="191">
        <v>41</v>
      </c>
      <c r="B36" s="191">
        <v>2017</v>
      </c>
      <c r="C36" s="191">
        <v>6</v>
      </c>
      <c r="D36" s="191">
        <v>8</v>
      </c>
      <c r="E36"/>
      <c r="F36" s="191" t="s">
        <v>18</v>
      </c>
      <c r="G36"/>
      <c r="H36" s="191">
        <v>125</v>
      </c>
      <c r="I36" s="191">
        <v>10.3</v>
      </c>
      <c r="J36" s="191" t="s">
        <v>19</v>
      </c>
      <c r="K36" s="191" t="s">
        <v>20</v>
      </c>
      <c r="L36" s="191" t="s">
        <v>30</v>
      </c>
      <c r="M36" s="191" t="s">
        <v>27</v>
      </c>
      <c r="N36" s="191" t="s">
        <v>25</v>
      </c>
      <c r="O36" s="191" t="s">
        <v>381</v>
      </c>
      <c r="P36" s="104">
        <v>218</v>
      </c>
      <c r="Q36" t="s">
        <v>362</v>
      </c>
      <c r="R36">
        <v>12.5</v>
      </c>
      <c r="S36">
        <v>1953.13</v>
      </c>
      <c r="T36">
        <v>5.27</v>
      </c>
      <c r="U36"/>
      <c r="V36"/>
      <c r="W36" s="317">
        <v>4.5999999999999996</v>
      </c>
      <c r="X36" s="190">
        <f t="shared" si="0"/>
        <v>47.38</v>
      </c>
      <c r="Y36" s="190"/>
      <c r="Z36" s="190"/>
    </row>
    <row r="37" spans="1:26" s="189" customFormat="1" ht="14.1" customHeight="1" x14ac:dyDescent="0.25">
      <c r="A37" s="191">
        <v>43</v>
      </c>
      <c r="B37" s="191">
        <v>2017</v>
      </c>
      <c r="C37" s="191">
        <v>6</v>
      </c>
      <c r="D37" s="191">
        <v>8</v>
      </c>
      <c r="E37"/>
      <c r="F37" s="191" t="s">
        <v>18</v>
      </c>
      <c r="G37"/>
      <c r="H37" s="191">
        <v>135</v>
      </c>
      <c r="I37" s="191">
        <v>14.5</v>
      </c>
      <c r="J37" s="191" t="s">
        <v>19</v>
      </c>
      <c r="K37" s="191" t="s">
        <v>20</v>
      </c>
      <c r="L37" s="191" t="s">
        <v>30</v>
      </c>
      <c r="M37" s="191" t="s">
        <v>26</v>
      </c>
      <c r="N37" s="191" t="s">
        <v>25</v>
      </c>
      <c r="O37" s="191" t="s">
        <v>383</v>
      </c>
      <c r="P37" s="104">
        <v>218</v>
      </c>
      <c r="Q37" t="s">
        <v>362</v>
      </c>
      <c r="R37">
        <v>13.5</v>
      </c>
      <c r="S37">
        <v>2460.38</v>
      </c>
      <c r="T37">
        <v>5.89</v>
      </c>
      <c r="U37"/>
      <c r="V37"/>
      <c r="W37" s="317">
        <v>4.5999999999999996</v>
      </c>
      <c r="X37" s="190">
        <f t="shared" si="0"/>
        <v>66.699999999999989</v>
      </c>
      <c r="Y37" s="190"/>
      <c r="Z37" s="190"/>
    </row>
    <row r="38" spans="1:26" s="189" customFormat="1" ht="14.1" customHeight="1" x14ac:dyDescent="0.25">
      <c r="A38" s="191">
        <v>44</v>
      </c>
      <c r="B38" s="191">
        <v>2017</v>
      </c>
      <c r="C38" s="191">
        <v>6</v>
      </c>
      <c r="D38" s="191">
        <v>8</v>
      </c>
      <c r="E38"/>
      <c r="F38" s="191" t="s">
        <v>18</v>
      </c>
      <c r="G38"/>
      <c r="H38" s="191">
        <v>140</v>
      </c>
      <c r="I38" s="191">
        <v>14.5</v>
      </c>
      <c r="J38" s="191" t="s">
        <v>19</v>
      </c>
      <c r="K38" s="191" t="s">
        <v>20</v>
      </c>
      <c r="L38" s="191" t="s">
        <v>30</v>
      </c>
      <c r="M38" s="191" t="s">
        <v>22</v>
      </c>
      <c r="N38" s="191" t="s">
        <v>24</v>
      </c>
      <c r="O38"/>
      <c r="P38" s="104">
        <v>218</v>
      </c>
      <c r="Q38"/>
      <c r="R38">
        <v>14</v>
      </c>
      <c r="S38">
        <v>2744</v>
      </c>
      <c r="T38">
        <v>5.28</v>
      </c>
      <c r="U38"/>
      <c r="V38"/>
      <c r="W38" s="317">
        <v>4.5999999999999996</v>
      </c>
      <c r="X38" s="190">
        <f t="shared" si="0"/>
        <v>66.699999999999989</v>
      </c>
      <c r="Y38" s="190"/>
      <c r="Z38" s="190"/>
    </row>
    <row r="39" spans="1:26" s="189" customFormat="1" ht="14.1" customHeight="1" x14ac:dyDescent="0.25">
      <c r="A39" s="191">
        <v>45</v>
      </c>
      <c r="B39" s="191">
        <v>2017</v>
      </c>
      <c r="C39" s="191">
        <v>6</v>
      </c>
      <c r="D39" s="191">
        <v>8</v>
      </c>
      <c r="E39"/>
      <c r="F39" s="191" t="s">
        <v>18</v>
      </c>
      <c r="G39"/>
      <c r="H39" s="191">
        <v>120</v>
      </c>
      <c r="I39" s="191">
        <v>11</v>
      </c>
      <c r="J39" s="191" t="s">
        <v>19</v>
      </c>
      <c r="K39" s="191" t="s">
        <v>20</v>
      </c>
      <c r="L39" s="191" t="s">
        <v>30</v>
      </c>
      <c r="M39" s="191" t="s">
        <v>22</v>
      </c>
      <c r="N39" s="191" t="s">
        <v>25</v>
      </c>
      <c r="O39" s="191" t="s">
        <v>384</v>
      </c>
      <c r="P39" s="104">
        <v>218</v>
      </c>
      <c r="Q39" t="s">
        <v>362</v>
      </c>
      <c r="R39">
        <v>12</v>
      </c>
      <c r="S39">
        <v>1728</v>
      </c>
      <c r="T39">
        <v>6.37</v>
      </c>
      <c r="U39"/>
      <c r="V39"/>
      <c r="W39" s="317">
        <v>4.5999999999999996</v>
      </c>
      <c r="X39" s="190">
        <f t="shared" si="0"/>
        <v>50.599999999999994</v>
      </c>
      <c r="Y39" s="190"/>
      <c r="Z39" s="190"/>
    </row>
    <row r="40" spans="1:26" s="189" customFormat="1" ht="14.1" customHeight="1" x14ac:dyDescent="0.25">
      <c r="A40" s="191">
        <v>46</v>
      </c>
      <c r="B40" s="191">
        <v>2017</v>
      </c>
      <c r="C40" s="191">
        <v>6</v>
      </c>
      <c r="D40" s="191">
        <v>8</v>
      </c>
      <c r="E40"/>
      <c r="F40" s="191" t="s">
        <v>18</v>
      </c>
      <c r="G40"/>
      <c r="H40" s="191">
        <v>105</v>
      </c>
      <c r="I40" s="191">
        <v>6.7</v>
      </c>
      <c r="J40" s="191" t="s">
        <v>19</v>
      </c>
      <c r="K40" s="191" t="s">
        <v>20</v>
      </c>
      <c r="L40" s="191" t="s">
        <v>30</v>
      </c>
      <c r="M40" s="191" t="s">
        <v>372</v>
      </c>
      <c r="N40" s="191" t="s">
        <v>25</v>
      </c>
      <c r="O40" s="191" t="s">
        <v>385</v>
      </c>
      <c r="P40" s="104">
        <v>218</v>
      </c>
      <c r="Q40" t="s">
        <v>375</v>
      </c>
      <c r="R40">
        <v>10.5</v>
      </c>
      <c r="S40">
        <v>1157.6300000000001</v>
      </c>
      <c r="T40">
        <v>5.79</v>
      </c>
      <c r="U40"/>
      <c r="V40"/>
      <c r="W40" s="317">
        <v>4.5999999999999996</v>
      </c>
      <c r="X40" s="190">
        <f t="shared" si="0"/>
        <v>30.819999999999997</v>
      </c>
      <c r="Y40" s="190"/>
      <c r="Z40" s="190"/>
    </row>
    <row r="41" spans="1:26" s="189" customFormat="1" ht="14.1" customHeight="1" x14ac:dyDescent="0.25">
      <c r="A41" s="191">
        <v>47</v>
      </c>
      <c r="B41" s="191">
        <v>2017</v>
      </c>
      <c r="C41" s="191">
        <v>6</v>
      </c>
      <c r="D41" s="191">
        <v>8</v>
      </c>
      <c r="E41"/>
      <c r="F41" s="191" t="s">
        <v>18</v>
      </c>
      <c r="G41"/>
      <c r="H41" s="191">
        <v>130</v>
      </c>
      <c r="I41" s="191">
        <v>13.5</v>
      </c>
      <c r="J41" s="191" t="s">
        <v>19</v>
      </c>
      <c r="K41" s="191" t="s">
        <v>20</v>
      </c>
      <c r="L41" s="191" t="s">
        <v>30</v>
      </c>
      <c r="M41" s="191" t="s">
        <v>27</v>
      </c>
      <c r="N41" s="191" t="s">
        <v>23</v>
      </c>
      <c r="O41" s="191" t="s">
        <v>386</v>
      </c>
      <c r="P41" s="104">
        <v>218</v>
      </c>
      <c r="Q41" t="s">
        <v>362</v>
      </c>
      <c r="R41">
        <v>13</v>
      </c>
      <c r="S41">
        <v>2197</v>
      </c>
      <c r="T41">
        <v>6.14</v>
      </c>
      <c r="U41"/>
      <c r="V41"/>
      <c r="W41" s="317">
        <v>4.5999999999999996</v>
      </c>
      <c r="X41" s="190">
        <f t="shared" si="0"/>
        <v>62.099999999999994</v>
      </c>
      <c r="Y41" s="190"/>
      <c r="Z41" s="190"/>
    </row>
    <row r="42" spans="1:26" s="189" customFormat="1" ht="14.1" customHeight="1" x14ac:dyDescent="0.25">
      <c r="A42" s="191">
        <v>48</v>
      </c>
      <c r="B42" s="191">
        <v>2017</v>
      </c>
      <c r="C42" s="191">
        <v>6</v>
      </c>
      <c r="D42" s="191">
        <v>8</v>
      </c>
      <c r="E42"/>
      <c r="F42" s="191" t="s">
        <v>18</v>
      </c>
      <c r="G42"/>
      <c r="H42" s="191">
        <v>130</v>
      </c>
      <c r="I42" s="191">
        <v>9.5</v>
      </c>
      <c r="J42" s="191" t="s">
        <v>19</v>
      </c>
      <c r="K42" s="191" t="s">
        <v>20</v>
      </c>
      <c r="L42" s="191" t="s">
        <v>21</v>
      </c>
      <c r="M42" s="191" t="s">
        <v>26</v>
      </c>
      <c r="N42" s="191" t="s">
        <v>23</v>
      </c>
      <c r="O42" s="191" t="s">
        <v>387</v>
      </c>
      <c r="P42" s="104">
        <v>218</v>
      </c>
      <c r="Q42" t="s">
        <v>362</v>
      </c>
      <c r="R42">
        <v>13</v>
      </c>
      <c r="S42">
        <v>2197</v>
      </c>
      <c r="T42">
        <v>4.32</v>
      </c>
      <c r="U42"/>
      <c r="V42"/>
      <c r="W42" s="317">
        <v>3.9</v>
      </c>
      <c r="X42" s="190">
        <f t="shared" si="0"/>
        <v>37.049999999999997</v>
      </c>
      <c r="Y42" s="190"/>
      <c r="Z42" s="190"/>
    </row>
    <row r="43" spans="1:26" s="189" customFormat="1" ht="14.1" customHeight="1" x14ac:dyDescent="0.25">
      <c r="A43" s="191">
        <v>49</v>
      </c>
      <c r="B43" s="191">
        <v>2017</v>
      </c>
      <c r="C43" s="191">
        <v>6</v>
      </c>
      <c r="D43" s="191">
        <v>8</v>
      </c>
      <c r="E43"/>
      <c r="F43" s="191" t="s">
        <v>18</v>
      </c>
      <c r="G43"/>
      <c r="H43" s="191">
        <v>120</v>
      </c>
      <c r="I43" s="191">
        <v>8</v>
      </c>
      <c r="J43" s="191" t="s">
        <v>19</v>
      </c>
      <c r="K43" s="191" t="s">
        <v>20</v>
      </c>
      <c r="L43" s="191" t="s">
        <v>30</v>
      </c>
      <c r="M43" s="191" t="s">
        <v>22</v>
      </c>
      <c r="N43" s="191" t="s">
        <v>25</v>
      </c>
      <c r="O43" s="191" t="s">
        <v>388</v>
      </c>
      <c r="P43" s="104">
        <v>218</v>
      </c>
      <c r="Q43" t="s">
        <v>362</v>
      </c>
      <c r="R43">
        <v>12</v>
      </c>
      <c r="S43">
        <v>1728</v>
      </c>
      <c r="T43">
        <v>4.63</v>
      </c>
      <c r="U43"/>
      <c r="V43"/>
      <c r="W43" s="317">
        <v>4.5999999999999996</v>
      </c>
      <c r="X43" s="190">
        <f t="shared" si="0"/>
        <v>36.799999999999997</v>
      </c>
      <c r="Y43" s="190"/>
      <c r="Z43" s="190"/>
    </row>
    <row r="44" spans="1:26" s="189" customFormat="1" ht="14.1" customHeight="1" x14ac:dyDescent="0.25">
      <c r="A44" s="191">
        <v>50</v>
      </c>
      <c r="B44" s="191">
        <v>2017</v>
      </c>
      <c r="C44" s="191">
        <v>6</v>
      </c>
      <c r="D44" s="191">
        <v>8</v>
      </c>
      <c r="E44"/>
      <c r="F44" s="191" t="s">
        <v>28</v>
      </c>
      <c r="G44"/>
      <c r="H44" s="191">
        <v>63</v>
      </c>
      <c r="I44" s="191">
        <v>4</v>
      </c>
      <c r="J44" s="191" t="s">
        <v>19</v>
      </c>
      <c r="K44" s="191" t="s">
        <v>20</v>
      </c>
      <c r="L44" s="191" t="s">
        <v>30</v>
      </c>
      <c r="M44" s="197"/>
      <c r="N44" s="191" t="s">
        <v>371</v>
      </c>
      <c r="O44" s="191" t="s">
        <v>389</v>
      </c>
      <c r="P44" s="104">
        <v>218</v>
      </c>
      <c r="Q44" t="s">
        <v>362</v>
      </c>
      <c r="R44">
        <v>6.3</v>
      </c>
      <c r="S44">
        <v>250.05</v>
      </c>
      <c r="T44">
        <v>16</v>
      </c>
      <c r="U44"/>
      <c r="V44"/>
      <c r="W44" s="317">
        <v>4.5999999999999996</v>
      </c>
      <c r="X44" s="190">
        <f t="shared" si="0"/>
        <v>18.399999999999999</v>
      </c>
      <c r="Y44" s="190"/>
      <c r="Z44" s="190"/>
    </row>
    <row r="45" spans="1:26" s="189" customFormat="1" ht="14.1" customHeight="1" x14ac:dyDescent="0.25">
      <c r="A45" s="191">
        <v>51</v>
      </c>
      <c r="B45" s="191">
        <v>2017</v>
      </c>
      <c r="C45" s="191">
        <v>6</v>
      </c>
      <c r="D45" s="191">
        <v>8</v>
      </c>
      <c r="E45"/>
      <c r="F45" s="191" t="s">
        <v>18</v>
      </c>
      <c r="G45"/>
      <c r="H45" s="191">
        <v>135</v>
      </c>
      <c r="I45" s="191">
        <v>17.5</v>
      </c>
      <c r="J45" s="191" t="s">
        <v>19</v>
      </c>
      <c r="K45" s="191" t="s">
        <v>20</v>
      </c>
      <c r="L45" s="191" t="s">
        <v>30</v>
      </c>
      <c r="M45" s="191" t="s">
        <v>26</v>
      </c>
      <c r="N45" s="191" t="s">
        <v>24</v>
      </c>
      <c r="O45" s="191" t="s">
        <v>390</v>
      </c>
      <c r="P45" s="104">
        <v>218</v>
      </c>
      <c r="Q45" t="s">
        <v>362</v>
      </c>
      <c r="R45">
        <v>13.5</v>
      </c>
      <c r="S45">
        <v>2460.38</v>
      </c>
      <c r="T45">
        <v>7.11</v>
      </c>
      <c r="U45"/>
      <c r="V45"/>
      <c r="W45" s="317">
        <v>4.5999999999999996</v>
      </c>
      <c r="X45" s="190">
        <f t="shared" si="0"/>
        <v>80.5</v>
      </c>
      <c r="Y45" s="190"/>
      <c r="Z45" s="190"/>
    </row>
    <row r="46" spans="1:26" s="189" customFormat="1" ht="14.1" customHeight="1" x14ac:dyDescent="0.25">
      <c r="A46" s="191">
        <v>52</v>
      </c>
      <c r="B46" s="191">
        <v>2017</v>
      </c>
      <c r="C46" s="191">
        <v>6</v>
      </c>
      <c r="D46" s="191">
        <v>8</v>
      </c>
      <c r="E46"/>
      <c r="F46" s="191" t="s">
        <v>18</v>
      </c>
      <c r="G46"/>
      <c r="H46" s="191">
        <v>140</v>
      </c>
      <c r="I46" s="191">
        <v>12.5</v>
      </c>
      <c r="J46" s="191" t="s">
        <v>19</v>
      </c>
      <c r="K46" s="191" t="s">
        <v>20</v>
      </c>
      <c r="L46" s="191" t="s">
        <v>21</v>
      </c>
      <c r="M46" s="191" t="s">
        <v>22</v>
      </c>
      <c r="N46" s="191" t="s">
        <v>23</v>
      </c>
      <c r="O46" s="197"/>
      <c r="P46" s="104">
        <v>218</v>
      </c>
      <c r="Q46"/>
      <c r="R46">
        <v>14</v>
      </c>
      <c r="S46">
        <v>2744</v>
      </c>
      <c r="T46">
        <v>4.5599999999999996</v>
      </c>
      <c r="U46"/>
      <c r="V46"/>
      <c r="W46" s="317">
        <v>3.9</v>
      </c>
      <c r="X46" s="190">
        <f t="shared" si="0"/>
        <v>48.75</v>
      </c>
      <c r="Y46" s="190"/>
      <c r="Z46" s="190"/>
    </row>
    <row r="47" spans="1:26" s="189" customFormat="1" ht="14.1" customHeight="1" x14ac:dyDescent="0.25">
      <c r="A47" s="191">
        <v>53</v>
      </c>
      <c r="B47" s="191">
        <v>2017</v>
      </c>
      <c r="C47" s="191">
        <v>6</v>
      </c>
      <c r="D47" s="191">
        <v>8</v>
      </c>
      <c r="E47"/>
      <c r="F47" s="191" t="s">
        <v>18</v>
      </c>
      <c r="G47"/>
      <c r="H47" s="191">
        <v>128</v>
      </c>
      <c r="I47" s="191">
        <v>10.5</v>
      </c>
      <c r="J47" s="191" t="s">
        <v>19</v>
      </c>
      <c r="K47" s="191" t="s">
        <v>20</v>
      </c>
      <c r="L47" s="191" t="s">
        <v>21</v>
      </c>
      <c r="M47" s="191" t="s">
        <v>22</v>
      </c>
      <c r="N47" s="191" t="s">
        <v>23</v>
      </c>
      <c r="O47" s="191" t="s">
        <v>391</v>
      </c>
      <c r="P47" s="104">
        <v>218</v>
      </c>
      <c r="Q47" t="s">
        <v>362</v>
      </c>
      <c r="R47">
        <v>12.8</v>
      </c>
      <c r="S47">
        <v>2097.15</v>
      </c>
      <c r="T47">
        <v>5.01</v>
      </c>
      <c r="U47"/>
      <c r="V47"/>
      <c r="W47" s="317">
        <v>3.9</v>
      </c>
      <c r="X47" s="190">
        <f t="shared" si="0"/>
        <v>40.949999999999996</v>
      </c>
      <c r="Y47" s="190"/>
      <c r="Z47" s="190"/>
    </row>
    <row r="48" spans="1:26" s="189" customFormat="1" ht="14.1" customHeight="1" x14ac:dyDescent="0.25">
      <c r="A48" s="191">
        <v>54</v>
      </c>
      <c r="B48" s="191">
        <v>2017</v>
      </c>
      <c r="C48" s="191">
        <v>6</v>
      </c>
      <c r="D48" s="191">
        <v>8</v>
      </c>
      <c r="E48"/>
      <c r="F48" s="191" t="s">
        <v>18</v>
      </c>
      <c r="G48"/>
      <c r="H48" s="191">
        <v>130</v>
      </c>
      <c r="I48" s="191">
        <v>15.5</v>
      </c>
      <c r="J48" s="191" t="s">
        <v>19</v>
      </c>
      <c r="K48" s="191" t="s">
        <v>20</v>
      </c>
      <c r="L48" s="191" t="s">
        <v>30</v>
      </c>
      <c r="M48" s="191" t="s">
        <v>26</v>
      </c>
      <c r="N48" s="191" t="s">
        <v>25</v>
      </c>
      <c r="O48" s="197"/>
      <c r="P48" s="104">
        <v>218</v>
      </c>
      <c r="Q48"/>
      <c r="R48">
        <v>13</v>
      </c>
      <c r="S48">
        <v>2197</v>
      </c>
      <c r="T48">
        <v>7.06</v>
      </c>
      <c r="U48"/>
      <c r="V48"/>
      <c r="W48" s="317">
        <v>4.5999999999999996</v>
      </c>
      <c r="X48" s="190">
        <f t="shared" si="0"/>
        <v>71.3</v>
      </c>
      <c r="Y48" s="190"/>
      <c r="Z48" s="190"/>
    </row>
    <row r="49" spans="1:26" s="189" customFormat="1" ht="14.1" customHeight="1" x14ac:dyDescent="0.25">
      <c r="A49" s="191">
        <v>55</v>
      </c>
      <c r="B49" s="191">
        <v>2017</v>
      </c>
      <c r="C49" s="191">
        <v>6</v>
      </c>
      <c r="D49" s="191">
        <v>8</v>
      </c>
      <c r="E49"/>
      <c r="F49" s="191" t="s">
        <v>18</v>
      </c>
      <c r="G49"/>
      <c r="H49" s="191">
        <v>117</v>
      </c>
      <c r="I49" s="191">
        <v>8</v>
      </c>
      <c r="J49" s="191" t="s">
        <v>19</v>
      </c>
      <c r="K49" s="191" t="s">
        <v>20</v>
      </c>
      <c r="L49" s="191" t="s">
        <v>21</v>
      </c>
      <c r="M49" s="191" t="s">
        <v>26</v>
      </c>
      <c r="N49" s="191" t="s">
        <v>25</v>
      </c>
      <c r="O49" s="191" t="s">
        <v>392</v>
      </c>
      <c r="P49" s="104">
        <v>218</v>
      </c>
      <c r="Q49" t="s">
        <v>362</v>
      </c>
      <c r="R49">
        <v>11.7</v>
      </c>
      <c r="S49">
        <v>1601.61</v>
      </c>
      <c r="T49">
        <v>4.99</v>
      </c>
      <c r="U49"/>
      <c r="V49"/>
      <c r="W49" s="317">
        <v>3.9</v>
      </c>
      <c r="X49" s="190">
        <f t="shared" si="0"/>
        <v>31.2</v>
      </c>
      <c r="Y49" s="190"/>
      <c r="Z49" s="190"/>
    </row>
    <row r="50" spans="1:26" s="189" customFormat="1" ht="14.1" customHeight="1" x14ac:dyDescent="0.25">
      <c r="A50" s="191">
        <v>56</v>
      </c>
      <c r="B50" s="191">
        <v>2017</v>
      </c>
      <c r="C50" s="191">
        <v>6</v>
      </c>
      <c r="D50" s="191">
        <v>8</v>
      </c>
      <c r="E50"/>
      <c r="F50" s="191" t="s">
        <v>18</v>
      </c>
      <c r="G50"/>
      <c r="H50" s="191">
        <v>120</v>
      </c>
      <c r="I50" s="191">
        <v>7</v>
      </c>
      <c r="J50" s="191" t="s">
        <v>19</v>
      </c>
      <c r="K50" s="191" t="s">
        <v>20</v>
      </c>
      <c r="L50" s="191" t="s">
        <v>21</v>
      </c>
      <c r="M50" s="191" t="s">
        <v>27</v>
      </c>
      <c r="N50" s="191" t="s">
        <v>25</v>
      </c>
      <c r="O50" s="191" t="s">
        <v>393</v>
      </c>
      <c r="P50" s="104">
        <v>218</v>
      </c>
      <c r="Q50" t="s">
        <v>362</v>
      </c>
      <c r="R50">
        <v>12</v>
      </c>
      <c r="S50">
        <v>1728</v>
      </c>
      <c r="T50">
        <v>4.05</v>
      </c>
      <c r="U50"/>
      <c r="V50"/>
      <c r="W50" s="317">
        <v>3.9</v>
      </c>
      <c r="X50" s="190">
        <f t="shared" si="0"/>
        <v>27.3</v>
      </c>
      <c r="Y50" s="190"/>
      <c r="Z50" s="190"/>
    </row>
    <row r="51" spans="1:26" s="189" customFormat="1" ht="14.1" customHeight="1" x14ac:dyDescent="0.25">
      <c r="A51" s="191">
        <v>57</v>
      </c>
      <c r="B51" s="191">
        <v>2017</v>
      </c>
      <c r="C51" s="191">
        <v>6</v>
      </c>
      <c r="D51" s="191">
        <v>8</v>
      </c>
      <c r="E51"/>
      <c r="F51" s="191" t="s">
        <v>18</v>
      </c>
      <c r="G51"/>
      <c r="H51" s="191">
        <v>137</v>
      </c>
      <c r="I51" s="191">
        <v>10.7</v>
      </c>
      <c r="J51" s="191" t="s">
        <v>19</v>
      </c>
      <c r="K51" s="191" t="s">
        <v>20</v>
      </c>
      <c r="L51" s="191" t="s">
        <v>21</v>
      </c>
      <c r="M51" s="191" t="s">
        <v>27</v>
      </c>
      <c r="N51" s="191" t="s">
        <v>39</v>
      </c>
      <c r="O51" s="191" t="s">
        <v>394</v>
      </c>
      <c r="P51" s="104">
        <v>218</v>
      </c>
      <c r="Q51" t="s">
        <v>362</v>
      </c>
      <c r="R51">
        <v>13.7</v>
      </c>
      <c r="S51">
        <v>2571.35</v>
      </c>
      <c r="T51">
        <v>4.16</v>
      </c>
      <c r="U51"/>
      <c r="V51"/>
      <c r="W51" s="317">
        <v>3.9</v>
      </c>
      <c r="X51" s="190">
        <f t="shared" si="0"/>
        <v>41.73</v>
      </c>
      <c r="Y51" s="190"/>
      <c r="Z51" s="190"/>
    </row>
    <row r="52" spans="1:26" s="189" customFormat="1" ht="14.1" customHeight="1" x14ac:dyDescent="0.25">
      <c r="A52" s="191">
        <v>58</v>
      </c>
      <c r="B52" s="191">
        <v>2017</v>
      </c>
      <c r="C52" s="191">
        <v>6</v>
      </c>
      <c r="D52" s="191">
        <v>8</v>
      </c>
      <c r="E52"/>
      <c r="F52" s="191" t="s">
        <v>18</v>
      </c>
      <c r="G52"/>
      <c r="H52" s="191">
        <v>130</v>
      </c>
      <c r="I52" s="191">
        <v>13.7</v>
      </c>
      <c r="J52" s="191" t="s">
        <v>19</v>
      </c>
      <c r="K52" s="191" t="s">
        <v>20</v>
      </c>
      <c r="L52" s="191" t="s">
        <v>30</v>
      </c>
      <c r="M52" s="191" t="s">
        <v>27</v>
      </c>
      <c r="N52" s="191" t="s">
        <v>24</v>
      </c>
      <c r="O52" s="191" t="s">
        <v>395</v>
      </c>
      <c r="P52" s="104">
        <v>218</v>
      </c>
      <c r="Q52" t="s">
        <v>375</v>
      </c>
      <c r="R52">
        <v>13</v>
      </c>
      <c r="S52">
        <v>2197</v>
      </c>
      <c r="T52">
        <v>6.24</v>
      </c>
      <c r="U52"/>
      <c r="V52"/>
      <c r="W52" s="317">
        <v>4.5999999999999996</v>
      </c>
      <c r="X52" s="190">
        <f t="shared" si="0"/>
        <v>63.019999999999989</v>
      </c>
      <c r="Y52" s="190"/>
      <c r="Z52" s="190"/>
    </row>
    <row r="53" spans="1:26" s="189" customFormat="1" ht="14.1" customHeight="1" x14ac:dyDescent="0.25">
      <c r="A53" s="191">
        <v>59</v>
      </c>
      <c r="B53" s="191">
        <v>2017</v>
      </c>
      <c r="C53" s="191">
        <v>6</v>
      </c>
      <c r="D53" s="191">
        <v>8</v>
      </c>
      <c r="E53"/>
      <c r="F53" s="191" t="s">
        <v>18</v>
      </c>
      <c r="G53"/>
      <c r="H53" s="191">
        <v>120</v>
      </c>
      <c r="I53" s="191">
        <v>8.5</v>
      </c>
      <c r="J53" s="191" t="s">
        <v>19</v>
      </c>
      <c r="K53" s="191" t="s">
        <v>20</v>
      </c>
      <c r="L53" s="191" t="s">
        <v>21</v>
      </c>
      <c r="M53" s="191" t="s">
        <v>22</v>
      </c>
      <c r="N53" s="191" t="s">
        <v>33</v>
      </c>
      <c r="O53"/>
      <c r="P53" s="104">
        <v>218</v>
      </c>
      <c r="Q53"/>
      <c r="R53">
        <v>12</v>
      </c>
      <c r="S53">
        <v>1728</v>
      </c>
      <c r="T53">
        <v>4.92</v>
      </c>
      <c r="U53"/>
      <c r="V53"/>
      <c r="W53" s="317">
        <v>3.9</v>
      </c>
      <c r="X53" s="190">
        <f t="shared" si="0"/>
        <v>33.15</v>
      </c>
      <c r="Y53" s="190"/>
      <c r="Z53" s="190"/>
    </row>
    <row r="54" spans="1:26" s="189" customFormat="1" ht="14.1" customHeight="1" x14ac:dyDescent="0.25">
      <c r="A54" s="191">
        <v>60</v>
      </c>
      <c r="B54" s="191">
        <v>2017</v>
      </c>
      <c r="C54" s="191">
        <v>6</v>
      </c>
      <c r="D54" s="191">
        <v>8</v>
      </c>
      <c r="E54"/>
      <c r="F54" s="191" t="s">
        <v>18</v>
      </c>
      <c r="G54"/>
      <c r="H54" s="191">
        <v>110</v>
      </c>
      <c r="I54" s="191">
        <v>10.4</v>
      </c>
      <c r="J54" s="191" t="s">
        <v>19</v>
      </c>
      <c r="K54" s="191" t="s">
        <v>20</v>
      </c>
      <c r="L54" s="191" t="s">
        <v>21</v>
      </c>
      <c r="M54" s="191" t="s">
        <v>27</v>
      </c>
      <c r="N54" s="191" t="s">
        <v>25</v>
      </c>
      <c r="O54" s="197"/>
      <c r="P54" s="104">
        <v>218</v>
      </c>
      <c r="Q54"/>
      <c r="R54">
        <v>11</v>
      </c>
      <c r="S54">
        <v>1331</v>
      </c>
      <c r="T54">
        <v>7.81</v>
      </c>
      <c r="U54"/>
      <c r="V54"/>
      <c r="W54" s="317">
        <v>3.9</v>
      </c>
      <c r="X54" s="190">
        <f t="shared" si="0"/>
        <v>40.56</v>
      </c>
      <c r="Y54" s="190"/>
      <c r="Z54" s="190"/>
    </row>
    <row r="55" spans="1:26" s="189" customFormat="1" ht="14.1" customHeight="1" x14ac:dyDescent="0.25">
      <c r="A55" s="191">
        <v>61</v>
      </c>
      <c r="B55" s="191">
        <v>2017</v>
      </c>
      <c r="C55" s="191">
        <v>6</v>
      </c>
      <c r="D55" s="191">
        <v>8</v>
      </c>
      <c r="E55"/>
      <c r="F55" s="191" t="s">
        <v>18</v>
      </c>
      <c r="G55"/>
      <c r="H55" s="191">
        <v>135</v>
      </c>
      <c r="I55" s="191">
        <v>14.5</v>
      </c>
      <c r="J55" s="191" t="s">
        <v>19</v>
      </c>
      <c r="K55" s="191" t="s">
        <v>20</v>
      </c>
      <c r="L55" s="191" t="s">
        <v>30</v>
      </c>
      <c r="M55" s="191" t="s">
        <v>26</v>
      </c>
      <c r="N55" s="191" t="s">
        <v>24</v>
      </c>
      <c r="O55"/>
      <c r="P55" s="104">
        <v>218</v>
      </c>
      <c r="Q55"/>
      <c r="R55">
        <v>13.5</v>
      </c>
      <c r="S55">
        <v>2460.38</v>
      </c>
      <c r="T55">
        <v>5.89</v>
      </c>
      <c r="U55"/>
      <c r="V55"/>
      <c r="W55" s="317">
        <v>4.5999999999999996</v>
      </c>
      <c r="X55" s="190">
        <f t="shared" si="0"/>
        <v>66.699999999999989</v>
      </c>
      <c r="Y55" s="190"/>
      <c r="Z55" s="190"/>
    </row>
    <row r="56" spans="1:26" s="189" customFormat="1" ht="14.1" customHeight="1" x14ac:dyDescent="0.25">
      <c r="A56" s="191">
        <v>62</v>
      </c>
      <c r="B56" s="191">
        <v>2017</v>
      </c>
      <c r="C56" s="191">
        <v>6</v>
      </c>
      <c r="D56" s="191">
        <v>8</v>
      </c>
      <c r="E56"/>
      <c r="F56" s="191" t="s">
        <v>18</v>
      </c>
      <c r="G56"/>
      <c r="H56" s="191">
        <v>145</v>
      </c>
      <c r="I56" s="191">
        <v>15.2</v>
      </c>
      <c r="J56" s="191" t="s">
        <v>19</v>
      </c>
      <c r="K56" s="191" t="s">
        <v>20</v>
      </c>
      <c r="L56" s="191" t="s">
        <v>21</v>
      </c>
      <c r="M56" s="191" t="s">
        <v>22</v>
      </c>
      <c r="N56" s="191" t="s">
        <v>25</v>
      </c>
      <c r="O56" s="191" t="s">
        <v>396</v>
      </c>
      <c r="P56" s="104">
        <v>218</v>
      </c>
      <c r="Q56" t="s">
        <v>362</v>
      </c>
      <c r="R56">
        <v>14.5</v>
      </c>
      <c r="S56">
        <v>3048.63</v>
      </c>
      <c r="T56">
        <v>4.99</v>
      </c>
      <c r="U56"/>
      <c r="V56"/>
      <c r="W56" s="317">
        <v>3.9</v>
      </c>
      <c r="X56" s="190">
        <f t="shared" si="0"/>
        <v>59.279999999999994</v>
      </c>
      <c r="Y56" s="190"/>
      <c r="Z56" s="190"/>
    </row>
    <row r="57" spans="1:26" s="189" customFormat="1" ht="14.1" customHeight="1" x14ac:dyDescent="0.25">
      <c r="A57" s="191">
        <v>63</v>
      </c>
      <c r="B57" s="191">
        <v>2017</v>
      </c>
      <c r="C57" s="191">
        <v>6</v>
      </c>
      <c r="D57" s="191">
        <v>8</v>
      </c>
      <c r="E57"/>
      <c r="F57" s="191" t="s">
        <v>18</v>
      </c>
      <c r="G57"/>
      <c r="H57" s="191">
        <v>125</v>
      </c>
      <c r="I57" s="191">
        <v>12.3</v>
      </c>
      <c r="J57" s="191" t="s">
        <v>19</v>
      </c>
      <c r="K57" s="191" t="s">
        <v>20</v>
      </c>
      <c r="L57" s="191" t="s">
        <v>30</v>
      </c>
      <c r="M57" s="191" t="s">
        <v>22</v>
      </c>
      <c r="N57" s="191" t="s">
        <v>24</v>
      </c>
      <c r="O57" s="197"/>
      <c r="P57" s="104">
        <v>218</v>
      </c>
      <c r="Q57"/>
      <c r="R57">
        <v>12.5</v>
      </c>
      <c r="S57">
        <v>1953.13</v>
      </c>
      <c r="T57">
        <v>6.3</v>
      </c>
      <c r="U57"/>
      <c r="V57"/>
      <c r="W57" s="317">
        <v>4.5999999999999996</v>
      </c>
      <c r="X57" s="190">
        <f t="shared" si="0"/>
        <v>56.58</v>
      </c>
      <c r="Y57" s="190"/>
      <c r="Z57" s="190"/>
    </row>
    <row r="58" spans="1:26" s="189" customFormat="1" ht="14.1" customHeight="1" x14ac:dyDescent="0.25">
      <c r="A58" s="191">
        <v>64</v>
      </c>
      <c r="B58" s="191">
        <v>2017</v>
      </c>
      <c r="C58" s="191">
        <v>6</v>
      </c>
      <c r="D58" s="191">
        <v>8</v>
      </c>
      <c r="E58"/>
      <c r="F58" s="191" t="s">
        <v>18</v>
      </c>
      <c r="G58"/>
      <c r="H58" s="191">
        <v>125</v>
      </c>
      <c r="I58" s="191">
        <v>11</v>
      </c>
      <c r="J58" s="191" t="s">
        <v>19</v>
      </c>
      <c r="K58" s="191" t="s">
        <v>20</v>
      </c>
      <c r="L58" s="191" t="s">
        <v>30</v>
      </c>
      <c r="M58" s="191" t="s">
        <v>27</v>
      </c>
      <c r="N58" s="191" t="s">
        <v>24</v>
      </c>
      <c r="O58" s="191" t="s">
        <v>397</v>
      </c>
      <c r="P58" s="104">
        <v>218</v>
      </c>
      <c r="Q58" t="s">
        <v>362</v>
      </c>
      <c r="R58">
        <v>12.5</v>
      </c>
      <c r="S58">
        <v>1953.13</v>
      </c>
      <c r="T58">
        <v>5.63</v>
      </c>
      <c r="U58"/>
      <c r="V58"/>
      <c r="W58" s="317">
        <v>4.5999999999999996</v>
      </c>
      <c r="X58" s="190">
        <f t="shared" si="0"/>
        <v>50.599999999999994</v>
      </c>
      <c r="Y58" s="190"/>
      <c r="Z58" s="190"/>
    </row>
    <row r="59" spans="1:26" s="189" customFormat="1" ht="14.1" customHeight="1" x14ac:dyDescent="0.25">
      <c r="A59" s="191">
        <v>65</v>
      </c>
      <c r="B59" s="191">
        <v>2017</v>
      </c>
      <c r="C59" s="191">
        <v>6</v>
      </c>
      <c r="D59" s="191">
        <v>8</v>
      </c>
      <c r="E59"/>
      <c r="F59" s="191" t="s">
        <v>18</v>
      </c>
      <c r="G59"/>
      <c r="H59" s="191">
        <v>117</v>
      </c>
      <c r="I59" s="191">
        <v>11</v>
      </c>
      <c r="J59" s="191" t="s">
        <v>19</v>
      </c>
      <c r="K59" s="191" t="s">
        <v>20</v>
      </c>
      <c r="L59" s="191" t="s">
        <v>21</v>
      </c>
      <c r="M59" s="197"/>
      <c r="N59" s="197"/>
      <c r="O59" s="197"/>
      <c r="P59" s="104">
        <v>218</v>
      </c>
      <c r="Q59"/>
      <c r="R59">
        <v>11.7</v>
      </c>
      <c r="S59">
        <v>1601.61</v>
      </c>
      <c r="T59">
        <v>6.87</v>
      </c>
      <c r="U59"/>
      <c r="V59"/>
      <c r="W59" s="317">
        <v>3.9</v>
      </c>
      <c r="X59" s="190">
        <f t="shared" si="0"/>
        <v>42.9</v>
      </c>
      <c r="Y59" s="190"/>
      <c r="Z59" s="190"/>
    </row>
    <row r="60" spans="1:26" s="189" customFormat="1" ht="14.1" customHeight="1" x14ac:dyDescent="0.25">
      <c r="A60" s="191">
        <v>66</v>
      </c>
      <c r="B60" s="191">
        <v>2017</v>
      </c>
      <c r="C60" s="191">
        <v>6</v>
      </c>
      <c r="D60" s="191">
        <v>8</v>
      </c>
      <c r="E60"/>
      <c r="F60" s="191" t="s">
        <v>28</v>
      </c>
      <c r="G60"/>
      <c r="H60" s="197"/>
      <c r="I60" s="197"/>
      <c r="J60" s="191" t="s">
        <v>19</v>
      </c>
      <c r="K60" s="191" t="s">
        <v>20</v>
      </c>
      <c r="L60" s="191" t="s">
        <v>30</v>
      </c>
      <c r="M60" s="197"/>
      <c r="N60" s="191" t="s">
        <v>371</v>
      </c>
      <c r="O60" s="191" t="s">
        <v>398</v>
      </c>
      <c r="P60" s="104">
        <v>218</v>
      </c>
      <c r="Q60" t="s">
        <v>375</v>
      </c>
      <c r="R60"/>
      <c r="S60"/>
      <c r="T60"/>
      <c r="U60"/>
      <c r="V60"/>
      <c r="W60" s="317">
        <v>4.5999999999999996</v>
      </c>
      <c r="X60" s="190"/>
      <c r="Y60" s="190"/>
      <c r="Z60" s="190"/>
    </row>
    <row r="61" spans="1:26" s="189" customFormat="1" ht="14.1" customHeight="1" x14ac:dyDescent="0.25">
      <c r="A61" s="191">
        <v>67</v>
      </c>
      <c r="B61" s="191">
        <v>2017</v>
      </c>
      <c r="C61" s="191">
        <v>6</v>
      </c>
      <c r="D61" s="191">
        <v>8</v>
      </c>
      <c r="E61"/>
      <c r="F61" s="191" t="s">
        <v>18</v>
      </c>
      <c r="G61"/>
      <c r="H61" s="191">
        <v>110</v>
      </c>
      <c r="I61" s="191">
        <v>6</v>
      </c>
      <c r="J61" s="191" t="s">
        <v>19</v>
      </c>
      <c r="K61" s="191" t="s">
        <v>20</v>
      </c>
      <c r="L61" s="191" t="s">
        <v>21</v>
      </c>
      <c r="M61" s="191" t="s">
        <v>22</v>
      </c>
      <c r="N61" s="191" t="s">
        <v>25</v>
      </c>
      <c r="O61"/>
      <c r="P61" s="104">
        <v>218</v>
      </c>
      <c r="Q61"/>
      <c r="R61">
        <v>11</v>
      </c>
      <c r="S61">
        <v>1331</v>
      </c>
      <c r="T61">
        <v>4.51</v>
      </c>
      <c r="U61"/>
      <c r="V61"/>
      <c r="W61" s="317">
        <v>3.9</v>
      </c>
      <c r="X61" s="190">
        <f t="shared" si="0"/>
        <v>23.4</v>
      </c>
      <c r="Y61" s="190"/>
      <c r="Z61" s="190"/>
    </row>
    <row r="62" spans="1:26" s="189" customFormat="1" ht="14.1" customHeight="1" x14ac:dyDescent="0.25">
      <c r="A62" s="191">
        <v>68</v>
      </c>
      <c r="B62" s="191">
        <v>2017</v>
      </c>
      <c r="C62" s="191">
        <v>6</v>
      </c>
      <c r="D62" s="191">
        <v>8</v>
      </c>
      <c r="E62"/>
      <c r="F62" s="191" t="s">
        <v>18</v>
      </c>
      <c r="G62"/>
      <c r="H62" s="191">
        <v>110</v>
      </c>
      <c r="I62" s="191">
        <v>7.3</v>
      </c>
      <c r="J62" s="191" t="s">
        <v>19</v>
      </c>
      <c r="K62" s="191" t="s">
        <v>20</v>
      </c>
      <c r="L62" s="191" t="s">
        <v>21</v>
      </c>
      <c r="M62" s="191" t="s">
        <v>22</v>
      </c>
      <c r="N62" s="191" t="s">
        <v>25</v>
      </c>
      <c r="O62" s="191" t="s">
        <v>399</v>
      </c>
      <c r="P62" s="104">
        <v>218</v>
      </c>
      <c r="Q62" t="s">
        <v>362</v>
      </c>
      <c r="R62">
        <v>11</v>
      </c>
      <c r="S62">
        <v>1331</v>
      </c>
      <c r="T62">
        <v>5.48</v>
      </c>
      <c r="U62"/>
      <c r="V62"/>
      <c r="W62" s="317">
        <v>3.9</v>
      </c>
      <c r="X62" s="190">
        <f t="shared" si="0"/>
        <v>28.47</v>
      </c>
      <c r="Y62" s="190"/>
      <c r="Z62" s="190"/>
    </row>
    <row r="63" spans="1:26" s="189" customFormat="1" ht="14.1" customHeight="1" x14ac:dyDescent="0.25">
      <c r="A63" s="191">
        <v>69</v>
      </c>
      <c r="B63" s="191">
        <v>2017</v>
      </c>
      <c r="C63" s="191">
        <v>6</v>
      </c>
      <c r="D63" s="191">
        <v>8</v>
      </c>
      <c r="E63"/>
      <c r="F63" s="191" t="s">
        <v>18</v>
      </c>
      <c r="G63"/>
      <c r="H63" s="191">
        <v>125</v>
      </c>
      <c r="I63" s="191">
        <v>12</v>
      </c>
      <c r="J63" s="191" t="s">
        <v>19</v>
      </c>
      <c r="K63" s="191" t="s">
        <v>20</v>
      </c>
      <c r="L63" s="191" t="s">
        <v>30</v>
      </c>
      <c r="M63" s="191" t="s">
        <v>22</v>
      </c>
      <c r="N63" s="191" t="s">
        <v>23</v>
      </c>
      <c r="O63" s="191" t="s">
        <v>400</v>
      </c>
      <c r="P63" s="104">
        <v>218</v>
      </c>
      <c r="Q63" t="s">
        <v>362</v>
      </c>
      <c r="R63">
        <v>12.5</v>
      </c>
      <c r="S63">
        <v>1953.13</v>
      </c>
      <c r="T63">
        <v>6.14</v>
      </c>
      <c r="U63"/>
      <c r="V63"/>
      <c r="W63" s="317">
        <v>4.5999999999999996</v>
      </c>
      <c r="X63" s="190">
        <f t="shared" si="0"/>
        <v>55.199999999999996</v>
      </c>
      <c r="Y63" s="190"/>
      <c r="Z63" s="190"/>
    </row>
    <row r="64" spans="1:26" s="189" customFormat="1" ht="14.1" customHeight="1" x14ac:dyDescent="0.25">
      <c r="A64" s="191">
        <v>70</v>
      </c>
      <c r="B64" s="191">
        <v>2017</v>
      </c>
      <c r="C64" s="191">
        <v>6</v>
      </c>
      <c r="D64" s="191">
        <v>8</v>
      </c>
      <c r="E64"/>
      <c r="F64" s="191" t="s">
        <v>18</v>
      </c>
      <c r="G64"/>
      <c r="H64" s="191">
        <v>115</v>
      </c>
      <c r="I64" s="191">
        <v>5.5</v>
      </c>
      <c r="J64" s="191" t="s">
        <v>19</v>
      </c>
      <c r="K64" s="191" t="s">
        <v>20</v>
      </c>
      <c r="L64" s="191" t="s">
        <v>21</v>
      </c>
      <c r="M64" s="191" t="s">
        <v>27</v>
      </c>
      <c r="N64" s="191" t="s">
        <v>23</v>
      </c>
      <c r="O64" s="191" t="s">
        <v>401</v>
      </c>
      <c r="P64" s="104">
        <v>218</v>
      </c>
      <c r="Q64" t="s">
        <v>362</v>
      </c>
      <c r="R64">
        <v>11.5</v>
      </c>
      <c r="S64">
        <v>1520.88</v>
      </c>
      <c r="T64">
        <v>3.62</v>
      </c>
      <c r="U64"/>
      <c r="V64"/>
      <c r="W64" s="317">
        <v>3.9</v>
      </c>
      <c r="X64" s="190">
        <f t="shared" si="0"/>
        <v>21.45</v>
      </c>
      <c r="Y64" s="190"/>
      <c r="Z64" s="190"/>
    </row>
    <row r="65" spans="1:26" s="189" customFormat="1" ht="14.1" customHeight="1" x14ac:dyDescent="0.25">
      <c r="A65" s="191">
        <v>71</v>
      </c>
      <c r="B65" s="191">
        <v>2017</v>
      </c>
      <c r="C65" s="191">
        <v>6</v>
      </c>
      <c r="D65" s="191">
        <v>8</v>
      </c>
      <c r="E65"/>
      <c r="F65" s="191" t="s">
        <v>18</v>
      </c>
      <c r="G65"/>
      <c r="H65" s="191">
        <v>119</v>
      </c>
      <c r="I65" s="191">
        <v>13</v>
      </c>
      <c r="J65" s="191" t="s">
        <v>19</v>
      </c>
      <c r="K65" s="191" t="s">
        <v>20</v>
      </c>
      <c r="L65" s="191" t="s">
        <v>30</v>
      </c>
      <c r="M65" s="191" t="s">
        <v>27</v>
      </c>
      <c r="N65" s="191" t="s">
        <v>23</v>
      </c>
      <c r="O65" s="191" t="s">
        <v>402</v>
      </c>
      <c r="P65" s="104">
        <v>218</v>
      </c>
      <c r="Q65" t="s">
        <v>362</v>
      </c>
      <c r="R65">
        <v>11.9</v>
      </c>
      <c r="S65">
        <v>1685.16</v>
      </c>
      <c r="T65">
        <v>7.71</v>
      </c>
      <c r="U65"/>
      <c r="V65"/>
      <c r="W65" s="317">
        <v>4.5999999999999996</v>
      </c>
      <c r="X65" s="190">
        <f t="shared" si="0"/>
        <v>59.8</v>
      </c>
      <c r="Y65" s="190"/>
      <c r="Z65" s="190"/>
    </row>
    <row r="66" spans="1:26" s="189" customFormat="1" ht="14.1" customHeight="1" x14ac:dyDescent="0.25">
      <c r="A66" s="191">
        <v>72</v>
      </c>
      <c r="B66" s="191">
        <v>2017</v>
      </c>
      <c r="C66" s="191">
        <v>6</v>
      </c>
      <c r="D66" s="191">
        <v>8</v>
      </c>
      <c r="E66"/>
      <c r="F66" s="191" t="s">
        <v>18</v>
      </c>
      <c r="G66"/>
      <c r="H66" s="191">
        <v>125</v>
      </c>
      <c r="I66" s="191">
        <v>7</v>
      </c>
      <c r="J66" s="191" t="s">
        <v>19</v>
      </c>
      <c r="K66" s="191" t="s">
        <v>20</v>
      </c>
      <c r="L66" s="191" t="s">
        <v>30</v>
      </c>
      <c r="M66" s="191" t="s">
        <v>26</v>
      </c>
      <c r="N66" s="191" t="s">
        <v>23</v>
      </c>
      <c r="O66" s="191" t="s">
        <v>403</v>
      </c>
      <c r="P66" s="104">
        <v>218</v>
      </c>
      <c r="Q66" t="s">
        <v>362</v>
      </c>
      <c r="R66">
        <v>12.5</v>
      </c>
      <c r="S66">
        <v>1953.13</v>
      </c>
      <c r="T66">
        <v>3.58</v>
      </c>
      <c r="U66"/>
      <c r="V66"/>
      <c r="W66" s="317">
        <v>4.5999999999999996</v>
      </c>
      <c r="X66" s="190">
        <f t="shared" si="0"/>
        <v>32.199999999999996</v>
      </c>
      <c r="Y66" s="190"/>
      <c r="Z66" s="190"/>
    </row>
    <row r="67" spans="1:26" s="189" customFormat="1" ht="14.1" customHeight="1" x14ac:dyDescent="0.25">
      <c r="A67" s="191">
        <v>73</v>
      </c>
      <c r="B67" s="191">
        <v>2017</v>
      </c>
      <c r="C67" s="191">
        <v>6</v>
      </c>
      <c r="D67" s="191">
        <v>8</v>
      </c>
      <c r="E67"/>
      <c r="F67" s="191" t="s">
        <v>28</v>
      </c>
      <c r="G67"/>
      <c r="H67" s="191">
        <v>60</v>
      </c>
      <c r="I67"/>
      <c r="J67" s="191" t="s">
        <v>19</v>
      </c>
      <c r="K67" s="191" t="s">
        <v>20</v>
      </c>
      <c r="L67" s="197"/>
      <c r="M67"/>
      <c r="N67" s="191" t="s">
        <v>371</v>
      </c>
      <c r="O67" s="191" t="s">
        <v>404</v>
      </c>
      <c r="P67" s="104">
        <v>218</v>
      </c>
      <c r="Q67" t="s">
        <v>375</v>
      </c>
      <c r="R67">
        <v>6</v>
      </c>
      <c r="S67">
        <v>216</v>
      </c>
      <c r="T67"/>
      <c r="U67"/>
      <c r="V67"/>
      <c r="W67"/>
      <c r="X67" s="190"/>
      <c r="Y67" s="190"/>
      <c r="Z67" s="190"/>
    </row>
    <row r="68" spans="1:26" s="189" customFormat="1" ht="14.1" customHeight="1" x14ac:dyDescent="0.25">
      <c r="A68" s="191">
        <v>74</v>
      </c>
      <c r="B68" s="191">
        <v>2017</v>
      </c>
      <c r="C68" s="191">
        <v>6</v>
      </c>
      <c r="D68" s="191">
        <v>8</v>
      </c>
      <c r="E68"/>
      <c r="F68" s="191" t="s">
        <v>18</v>
      </c>
      <c r="G68"/>
      <c r="H68" s="191">
        <v>115</v>
      </c>
      <c r="I68" s="191">
        <v>8.5</v>
      </c>
      <c r="J68" s="191" t="s">
        <v>19</v>
      </c>
      <c r="K68" s="191" t="s">
        <v>20</v>
      </c>
      <c r="L68" s="191" t="s">
        <v>30</v>
      </c>
      <c r="M68" s="191" t="s">
        <v>22</v>
      </c>
      <c r="N68" s="191" t="s">
        <v>25</v>
      </c>
      <c r="O68" s="191" t="s">
        <v>405</v>
      </c>
      <c r="P68" s="104">
        <v>218</v>
      </c>
      <c r="Q68" t="s">
        <v>375</v>
      </c>
      <c r="R68">
        <v>11.5</v>
      </c>
      <c r="S68">
        <v>1520.88</v>
      </c>
      <c r="T68">
        <v>5.59</v>
      </c>
      <c r="U68"/>
      <c r="V68"/>
      <c r="W68" s="317">
        <v>4.5999999999999996</v>
      </c>
      <c r="X68" s="190">
        <f t="shared" ref="X68:X118" si="1">I68*W68</f>
        <v>39.099999999999994</v>
      </c>
      <c r="Y68" s="190"/>
      <c r="Z68" s="190"/>
    </row>
    <row r="69" spans="1:26" s="189" customFormat="1" ht="14.1" customHeight="1" x14ac:dyDescent="0.25">
      <c r="A69" s="191">
        <v>75</v>
      </c>
      <c r="B69" s="191">
        <v>2017</v>
      </c>
      <c r="C69" s="191">
        <v>6</v>
      </c>
      <c r="D69" s="191">
        <v>8</v>
      </c>
      <c r="E69"/>
      <c r="F69" s="191" t="s">
        <v>18</v>
      </c>
      <c r="G69"/>
      <c r="H69" s="191">
        <v>137</v>
      </c>
      <c r="I69" s="191">
        <v>10.5</v>
      </c>
      <c r="J69" s="191" t="s">
        <v>19</v>
      </c>
      <c r="K69" s="191" t="s">
        <v>20</v>
      </c>
      <c r="L69" s="191" t="s">
        <v>21</v>
      </c>
      <c r="M69" s="191" t="s">
        <v>31</v>
      </c>
      <c r="N69" s="191" t="s">
        <v>25</v>
      </c>
      <c r="O69" s="191" t="s">
        <v>406</v>
      </c>
      <c r="P69" s="104">
        <v>218</v>
      </c>
      <c r="Q69" t="s">
        <v>362</v>
      </c>
      <c r="R69">
        <v>13.7</v>
      </c>
      <c r="S69">
        <v>2571.35</v>
      </c>
      <c r="T69">
        <v>4.08</v>
      </c>
      <c r="U69"/>
      <c r="V69"/>
      <c r="W69" s="317">
        <v>3.9</v>
      </c>
      <c r="X69" s="190">
        <f t="shared" si="1"/>
        <v>40.949999999999996</v>
      </c>
      <c r="Y69" s="190"/>
      <c r="Z69" s="190"/>
    </row>
    <row r="70" spans="1:26" s="189" customFormat="1" ht="14.1" customHeight="1" x14ac:dyDescent="0.25">
      <c r="A70" s="191">
        <v>76</v>
      </c>
      <c r="B70" s="191">
        <v>2017</v>
      </c>
      <c r="C70" s="191">
        <v>6</v>
      </c>
      <c r="D70" s="191">
        <v>8</v>
      </c>
      <c r="E70"/>
      <c r="F70" s="191" t="s">
        <v>18</v>
      </c>
      <c r="G70"/>
      <c r="H70" s="191">
        <v>105</v>
      </c>
      <c r="I70" s="191">
        <v>10</v>
      </c>
      <c r="J70" s="191" t="s">
        <v>19</v>
      </c>
      <c r="K70" s="191" t="s">
        <v>20</v>
      </c>
      <c r="L70" s="191" t="s">
        <v>30</v>
      </c>
      <c r="M70" s="191" t="s">
        <v>27</v>
      </c>
      <c r="N70" s="191" t="s">
        <v>25</v>
      </c>
      <c r="O70" s="191" t="s">
        <v>407</v>
      </c>
      <c r="P70" s="104">
        <v>218</v>
      </c>
      <c r="Q70" t="s">
        <v>362</v>
      </c>
      <c r="R70">
        <v>10.5</v>
      </c>
      <c r="S70">
        <v>1157.6300000000001</v>
      </c>
      <c r="T70">
        <v>8.64</v>
      </c>
      <c r="U70"/>
      <c r="V70"/>
      <c r="W70" s="317">
        <v>4.5999999999999996</v>
      </c>
      <c r="X70" s="190">
        <f t="shared" si="1"/>
        <v>46</v>
      </c>
      <c r="Y70" s="190"/>
      <c r="Z70" s="190"/>
    </row>
    <row r="71" spans="1:26" s="189" customFormat="1" ht="14.1" customHeight="1" x14ac:dyDescent="0.25">
      <c r="A71" s="191">
        <v>77</v>
      </c>
      <c r="B71" s="191">
        <v>2017</v>
      </c>
      <c r="C71" s="191">
        <v>6</v>
      </c>
      <c r="D71" s="191">
        <v>8</v>
      </c>
      <c r="E71"/>
      <c r="F71" s="191" t="s">
        <v>18</v>
      </c>
      <c r="G71"/>
      <c r="H71" s="191">
        <v>125</v>
      </c>
      <c r="I71" s="191">
        <v>10.6</v>
      </c>
      <c r="J71" s="191" t="s">
        <v>19</v>
      </c>
      <c r="K71" s="191" t="s">
        <v>20</v>
      </c>
      <c r="L71" s="191" t="s">
        <v>30</v>
      </c>
      <c r="M71" s="191" t="s">
        <v>26</v>
      </c>
      <c r="N71" s="191" t="s">
        <v>33</v>
      </c>
      <c r="O71" s="191" t="s">
        <v>408</v>
      </c>
      <c r="P71" s="104">
        <v>218</v>
      </c>
      <c r="Q71" t="s">
        <v>362</v>
      </c>
      <c r="R71">
        <v>12.5</v>
      </c>
      <c r="S71">
        <v>1953.13</v>
      </c>
      <c r="T71">
        <v>5.43</v>
      </c>
      <c r="U71"/>
      <c r="V71"/>
      <c r="W71" s="317">
        <v>4.5999999999999996</v>
      </c>
      <c r="X71" s="190">
        <f t="shared" si="1"/>
        <v>48.76</v>
      </c>
      <c r="Y71" s="190"/>
      <c r="Z71" s="190"/>
    </row>
    <row r="72" spans="1:26" s="189" customFormat="1" ht="14.1" customHeight="1" x14ac:dyDescent="0.25">
      <c r="A72" s="191">
        <v>78</v>
      </c>
      <c r="B72" s="191">
        <v>2017</v>
      </c>
      <c r="C72" s="191">
        <v>6</v>
      </c>
      <c r="D72" s="191">
        <v>8</v>
      </c>
      <c r="E72"/>
      <c r="F72" s="191" t="s">
        <v>18</v>
      </c>
      <c r="G72"/>
      <c r="H72" s="191">
        <v>103</v>
      </c>
      <c r="I72" s="191">
        <v>8</v>
      </c>
      <c r="J72" s="191" t="s">
        <v>19</v>
      </c>
      <c r="K72" s="191" t="s">
        <v>20</v>
      </c>
      <c r="L72" s="191" t="s">
        <v>21</v>
      </c>
      <c r="M72" s="191" t="s">
        <v>22</v>
      </c>
      <c r="N72" s="191" t="s">
        <v>25</v>
      </c>
      <c r="O72" s="197"/>
      <c r="P72" s="104">
        <v>218</v>
      </c>
      <c r="Q72"/>
      <c r="R72">
        <v>10.3</v>
      </c>
      <c r="S72">
        <v>1092.73</v>
      </c>
      <c r="T72">
        <v>7.32</v>
      </c>
      <c r="U72"/>
      <c r="V72"/>
      <c r="W72" s="317">
        <v>3.9</v>
      </c>
      <c r="X72" s="190">
        <f t="shared" si="1"/>
        <v>31.2</v>
      </c>
      <c r="Y72" s="190"/>
      <c r="Z72" s="190"/>
    </row>
    <row r="73" spans="1:26" s="189" customFormat="1" ht="14.1" customHeight="1" x14ac:dyDescent="0.25">
      <c r="A73" s="191">
        <v>79</v>
      </c>
      <c r="B73" s="191">
        <v>2017</v>
      </c>
      <c r="C73" s="191">
        <v>6</v>
      </c>
      <c r="D73" s="191">
        <v>8</v>
      </c>
      <c r="E73"/>
      <c r="F73" s="191" t="s">
        <v>18</v>
      </c>
      <c r="G73"/>
      <c r="H73" s="191">
        <v>115</v>
      </c>
      <c r="I73" s="191">
        <v>10.5</v>
      </c>
      <c r="J73" s="191" t="s">
        <v>19</v>
      </c>
      <c r="K73" s="191" t="s">
        <v>20</v>
      </c>
      <c r="L73" s="191" t="s">
        <v>30</v>
      </c>
      <c r="M73" s="191" t="s">
        <v>27</v>
      </c>
      <c r="N73" s="191" t="s">
        <v>25</v>
      </c>
      <c r="O73" s="191" t="s">
        <v>409</v>
      </c>
      <c r="P73" s="104">
        <v>218</v>
      </c>
      <c r="Q73" t="s">
        <v>375</v>
      </c>
      <c r="R73">
        <v>11.5</v>
      </c>
      <c r="S73">
        <v>1520.88</v>
      </c>
      <c r="T73">
        <v>6.9</v>
      </c>
      <c r="U73"/>
      <c r="V73"/>
      <c r="W73" s="317">
        <v>4.5999999999999996</v>
      </c>
      <c r="X73" s="190">
        <f t="shared" si="1"/>
        <v>48.3</v>
      </c>
      <c r="Y73" s="190"/>
      <c r="Z73" s="190"/>
    </row>
    <row r="74" spans="1:26" s="189" customFormat="1" ht="14.1" customHeight="1" x14ac:dyDescent="0.25">
      <c r="A74" s="191">
        <v>80</v>
      </c>
      <c r="B74" s="191">
        <v>2017</v>
      </c>
      <c r="C74" s="191">
        <v>6</v>
      </c>
      <c r="D74" s="191">
        <v>8</v>
      </c>
      <c r="E74"/>
      <c r="F74" s="191" t="s">
        <v>18</v>
      </c>
      <c r="G74"/>
      <c r="H74" s="191">
        <v>130</v>
      </c>
      <c r="I74" s="191">
        <v>9.6999999999999993</v>
      </c>
      <c r="J74" s="191" t="s">
        <v>19</v>
      </c>
      <c r="K74" s="191" t="s">
        <v>20</v>
      </c>
      <c r="L74" s="191" t="s">
        <v>21</v>
      </c>
      <c r="M74" s="191" t="s">
        <v>27</v>
      </c>
      <c r="N74" s="191" t="s">
        <v>25</v>
      </c>
      <c r="O74" s="197"/>
      <c r="P74" s="104">
        <v>218</v>
      </c>
      <c r="Q74"/>
      <c r="R74">
        <v>13</v>
      </c>
      <c r="S74">
        <v>2197</v>
      </c>
      <c r="T74">
        <v>4.42</v>
      </c>
      <c r="U74"/>
      <c r="V74"/>
      <c r="W74" s="317">
        <v>3.9</v>
      </c>
      <c r="X74" s="190">
        <f t="shared" si="1"/>
        <v>37.83</v>
      </c>
      <c r="Y74" s="190"/>
      <c r="Z74" s="190"/>
    </row>
    <row r="75" spans="1:26" s="189" customFormat="1" ht="14.1" customHeight="1" x14ac:dyDescent="0.25">
      <c r="A75" s="191">
        <v>81</v>
      </c>
      <c r="B75" s="191">
        <v>2017</v>
      </c>
      <c r="C75" s="191">
        <v>6</v>
      </c>
      <c r="D75" s="191">
        <v>8</v>
      </c>
      <c r="E75"/>
      <c r="F75" s="191" t="s">
        <v>18</v>
      </c>
      <c r="G75"/>
      <c r="H75" s="191">
        <v>134</v>
      </c>
      <c r="I75" s="191">
        <v>11.5</v>
      </c>
      <c r="J75" s="191" t="s">
        <v>19</v>
      </c>
      <c r="K75" s="191" t="s">
        <v>20</v>
      </c>
      <c r="L75" s="191" t="s">
        <v>21</v>
      </c>
      <c r="M75" s="191" t="s">
        <v>27</v>
      </c>
      <c r="N75" s="191" t="s">
        <v>24</v>
      </c>
      <c r="O75" s="197"/>
      <c r="P75" s="104">
        <v>218</v>
      </c>
      <c r="Q75"/>
      <c r="R75">
        <v>13.4</v>
      </c>
      <c r="S75">
        <v>2406.1</v>
      </c>
      <c r="T75">
        <v>4.78</v>
      </c>
      <c r="U75"/>
      <c r="V75"/>
      <c r="W75" s="317">
        <v>3.9</v>
      </c>
      <c r="X75" s="190">
        <f t="shared" si="1"/>
        <v>44.85</v>
      </c>
      <c r="Y75" s="190"/>
      <c r="Z75" s="190"/>
    </row>
    <row r="76" spans="1:26" s="189" customFormat="1" ht="14.1" customHeight="1" x14ac:dyDescent="0.25">
      <c r="A76" s="191">
        <v>83</v>
      </c>
      <c r="B76" s="191">
        <v>2017</v>
      </c>
      <c r="C76" s="191">
        <v>6</v>
      </c>
      <c r="D76" s="191">
        <v>8</v>
      </c>
      <c r="E76"/>
      <c r="F76" s="191" t="s">
        <v>18</v>
      </c>
      <c r="G76"/>
      <c r="H76" s="191">
        <v>124</v>
      </c>
      <c r="I76" s="197"/>
      <c r="J76" s="191" t="s">
        <v>19</v>
      </c>
      <c r="K76" s="191" t="s">
        <v>20</v>
      </c>
      <c r="L76" s="191" t="s">
        <v>21</v>
      </c>
      <c r="M76" s="191" t="s">
        <v>26</v>
      </c>
      <c r="N76" s="191" t="s">
        <v>25</v>
      </c>
      <c r="O76" s="191" t="s">
        <v>410</v>
      </c>
      <c r="P76" s="104">
        <v>218</v>
      </c>
      <c r="Q76" t="s">
        <v>362</v>
      </c>
      <c r="R76">
        <v>12.4</v>
      </c>
      <c r="S76">
        <v>1906.62</v>
      </c>
      <c r="T76"/>
      <c r="U76"/>
      <c r="V76"/>
      <c r="W76" s="317">
        <v>3.9</v>
      </c>
      <c r="X76" s="190"/>
      <c r="Y76" s="190"/>
      <c r="Z76" s="190"/>
    </row>
    <row r="77" spans="1:26" s="189" customFormat="1" ht="14.1" customHeight="1" x14ac:dyDescent="0.25">
      <c r="A77" s="191">
        <v>84</v>
      </c>
      <c r="B77" s="191">
        <v>2017</v>
      </c>
      <c r="C77" s="191">
        <v>6</v>
      </c>
      <c r="D77" s="191">
        <v>8</v>
      </c>
      <c r="E77"/>
      <c r="F77" s="191" t="s">
        <v>18</v>
      </c>
      <c r="G77"/>
      <c r="H77" s="191">
        <v>127</v>
      </c>
      <c r="I77" s="191">
        <v>11.3</v>
      </c>
      <c r="J77" s="191" t="s">
        <v>19</v>
      </c>
      <c r="K77" s="191" t="s">
        <v>20</v>
      </c>
      <c r="L77" s="191" t="s">
        <v>30</v>
      </c>
      <c r="M77" s="191" t="s">
        <v>22</v>
      </c>
      <c r="N77" s="191" t="s">
        <v>25</v>
      </c>
      <c r="O77" s="191" t="s">
        <v>411</v>
      </c>
      <c r="P77" s="104">
        <v>218</v>
      </c>
      <c r="Q77" t="s">
        <v>375</v>
      </c>
      <c r="R77">
        <v>12.7</v>
      </c>
      <c r="S77">
        <v>2048.38</v>
      </c>
      <c r="T77">
        <v>5.52</v>
      </c>
      <c r="U77"/>
      <c r="V77"/>
      <c r="W77" s="317">
        <v>4.5999999999999996</v>
      </c>
      <c r="X77" s="190">
        <f t="shared" si="1"/>
        <v>51.98</v>
      </c>
      <c r="Y77" s="190"/>
      <c r="Z77" s="190"/>
    </row>
    <row r="78" spans="1:26" s="189" customFormat="1" ht="14.1" customHeight="1" x14ac:dyDescent="0.25">
      <c r="A78" s="191">
        <v>85</v>
      </c>
      <c r="B78" s="191">
        <v>2017</v>
      </c>
      <c r="C78" s="191">
        <v>6</v>
      </c>
      <c r="D78" s="191">
        <v>8</v>
      </c>
      <c r="E78"/>
      <c r="F78" s="191" t="s">
        <v>18</v>
      </c>
      <c r="G78"/>
      <c r="H78" s="191">
        <v>124</v>
      </c>
      <c r="I78" s="191">
        <v>11.5</v>
      </c>
      <c r="J78" s="191" t="s">
        <v>19</v>
      </c>
      <c r="K78" s="191" t="s">
        <v>20</v>
      </c>
      <c r="L78" s="191" t="s">
        <v>30</v>
      </c>
      <c r="M78" s="191" t="s">
        <v>27</v>
      </c>
      <c r="N78" s="191" t="s">
        <v>39</v>
      </c>
      <c r="O78" s="191" t="s">
        <v>412</v>
      </c>
      <c r="P78" s="104">
        <v>218</v>
      </c>
      <c r="Q78" t="s">
        <v>362</v>
      </c>
      <c r="R78">
        <v>12.4</v>
      </c>
      <c r="S78">
        <v>1906.62</v>
      </c>
      <c r="T78">
        <v>6.03</v>
      </c>
      <c r="U78"/>
      <c r="V78"/>
      <c r="W78" s="317">
        <v>4.5999999999999996</v>
      </c>
      <c r="X78" s="190">
        <f t="shared" si="1"/>
        <v>52.9</v>
      </c>
      <c r="Y78" s="190"/>
      <c r="Z78" s="190"/>
    </row>
    <row r="79" spans="1:26" s="189" customFormat="1" ht="14.1" customHeight="1" x14ac:dyDescent="0.25">
      <c r="A79" s="191">
        <v>86</v>
      </c>
      <c r="B79" s="191">
        <v>2017</v>
      </c>
      <c r="C79" s="191">
        <v>6</v>
      </c>
      <c r="D79" s="191">
        <v>8</v>
      </c>
      <c r="E79"/>
      <c r="F79" s="191" t="s">
        <v>18</v>
      </c>
      <c r="G79"/>
      <c r="H79" s="191">
        <v>120</v>
      </c>
      <c r="I79" s="191">
        <v>11.5</v>
      </c>
      <c r="J79" s="191" t="s">
        <v>19</v>
      </c>
      <c r="K79" s="191" t="s">
        <v>20</v>
      </c>
      <c r="L79" s="191" t="s">
        <v>30</v>
      </c>
      <c r="M79" s="191" t="s">
        <v>22</v>
      </c>
      <c r="N79" s="191" t="s">
        <v>25</v>
      </c>
      <c r="O79"/>
      <c r="P79" s="104">
        <v>218</v>
      </c>
      <c r="Q79"/>
      <c r="R79">
        <v>12</v>
      </c>
      <c r="S79">
        <v>1728</v>
      </c>
      <c r="T79">
        <v>6.66</v>
      </c>
      <c r="U79"/>
      <c r="V79"/>
      <c r="W79" s="317">
        <v>4.5999999999999996</v>
      </c>
      <c r="X79" s="190">
        <f t="shared" si="1"/>
        <v>52.9</v>
      </c>
      <c r="Y79" s="190"/>
      <c r="Z79" s="190"/>
    </row>
    <row r="80" spans="1:26" s="189" customFormat="1" ht="14.1" customHeight="1" x14ac:dyDescent="0.25">
      <c r="A80" s="191">
        <v>87</v>
      </c>
      <c r="B80" s="191">
        <v>2017</v>
      </c>
      <c r="C80" s="191">
        <v>7</v>
      </c>
      <c r="D80" s="191">
        <v>8</v>
      </c>
      <c r="E80"/>
      <c r="F80" s="191" t="s">
        <v>18</v>
      </c>
      <c r="G80"/>
      <c r="H80" s="191">
        <v>125</v>
      </c>
      <c r="I80" s="191">
        <v>11</v>
      </c>
      <c r="J80" s="191" t="s">
        <v>19</v>
      </c>
      <c r="K80" s="191" t="s">
        <v>20</v>
      </c>
      <c r="L80" s="191" t="s">
        <v>21</v>
      </c>
      <c r="M80" s="191" t="s">
        <v>22</v>
      </c>
      <c r="N80" s="191" t="s">
        <v>23</v>
      </c>
      <c r="O80" s="197"/>
      <c r="P80" s="104">
        <v>219</v>
      </c>
      <c r="Q80"/>
      <c r="R80">
        <v>12.5</v>
      </c>
      <c r="S80">
        <v>1953.13</v>
      </c>
      <c r="T80">
        <v>5.63</v>
      </c>
      <c r="U80"/>
      <c r="V80"/>
      <c r="W80" s="317">
        <v>3.9</v>
      </c>
      <c r="X80" s="190">
        <f t="shared" si="1"/>
        <v>42.9</v>
      </c>
      <c r="Y80" s="190"/>
      <c r="Z80" s="190"/>
    </row>
    <row r="81" spans="1:26" s="189" customFormat="1" ht="14.1" customHeight="1" x14ac:dyDescent="0.25">
      <c r="A81" s="191">
        <v>88</v>
      </c>
      <c r="B81" s="191">
        <v>2017</v>
      </c>
      <c r="C81" s="191">
        <v>7</v>
      </c>
      <c r="D81" s="191">
        <v>8</v>
      </c>
      <c r="E81"/>
      <c r="F81" s="191" t="s">
        <v>18</v>
      </c>
      <c r="G81"/>
      <c r="H81" s="191">
        <v>120</v>
      </c>
      <c r="I81" s="191">
        <v>12</v>
      </c>
      <c r="J81" s="191" t="s">
        <v>19</v>
      </c>
      <c r="K81" s="191" t="s">
        <v>20</v>
      </c>
      <c r="L81" s="191" t="s">
        <v>30</v>
      </c>
      <c r="M81" s="191" t="s">
        <v>22</v>
      </c>
      <c r="N81" s="191" t="s">
        <v>24</v>
      </c>
      <c r="O81" s="191" t="s">
        <v>413</v>
      </c>
      <c r="P81" s="104">
        <v>219</v>
      </c>
      <c r="Q81" t="s">
        <v>362</v>
      </c>
      <c r="R81">
        <v>12</v>
      </c>
      <c r="S81">
        <v>1728</v>
      </c>
      <c r="T81">
        <v>6.94</v>
      </c>
      <c r="U81"/>
      <c r="V81"/>
      <c r="W81" s="317">
        <v>4.5999999999999996</v>
      </c>
      <c r="X81" s="190">
        <f t="shared" si="1"/>
        <v>55.199999999999996</v>
      </c>
      <c r="Y81" s="190"/>
      <c r="Z81" s="190"/>
    </row>
    <row r="82" spans="1:26" s="189" customFormat="1" ht="14.1" customHeight="1" x14ac:dyDescent="0.25">
      <c r="A82" s="191">
        <v>89</v>
      </c>
      <c r="B82" s="191">
        <v>2017</v>
      </c>
      <c r="C82" s="191">
        <v>7</v>
      </c>
      <c r="D82" s="191">
        <v>8</v>
      </c>
      <c r="E82"/>
      <c r="F82" s="191" t="s">
        <v>18</v>
      </c>
      <c r="G82"/>
      <c r="H82" s="191">
        <v>110</v>
      </c>
      <c r="I82" s="191">
        <v>10.8</v>
      </c>
      <c r="J82" s="191" t="s">
        <v>19</v>
      </c>
      <c r="K82" s="191" t="s">
        <v>20</v>
      </c>
      <c r="L82" s="191" t="s">
        <v>30</v>
      </c>
      <c r="M82" s="191" t="s">
        <v>22</v>
      </c>
      <c r="N82" s="191" t="s">
        <v>25</v>
      </c>
      <c r="O82" s="191" t="s">
        <v>414</v>
      </c>
      <c r="P82" s="104">
        <v>219</v>
      </c>
      <c r="Q82" t="s">
        <v>362</v>
      </c>
      <c r="R82">
        <v>11</v>
      </c>
      <c r="S82">
        <v>1331</v>
      </c>
      <c r="T82">
        <v>8.11</v>
      </c>
      <c r="U82"/>
      <c r="V82"/>
      <c r="W82" s="317">
        <v>4.5999999999999996</v>
      </c>
      <c r="X82" s="190">
        <f t="shared" si="1"/>
        <v>49.68</v>
      </c>
      <c r="Y82" s="190"/>
      <c r="Z82" s="190"/>
    </row>
    <row r="83" spans="1:26" s="189" customFormat="1" ht="14.1" customHeight="1" x14ac:dyDescent="0.25">
      <c r="A83" s="191">
        <v>90</v>
      </c>
      <c r="B83" s="191">
        <v>2017</v>
      </c>
      <c r="C83" s="191">
        <v>7</v>
      </c>
      <c r="D83" s="191">
        <v>8</v>
      </c>
      <c r="E83"/>
      <c r="F83" s="191" t="s">
        <v>18</v>
      </c>
      <c r="G83"/>
      <c r="H83" s="191">
        <v>132</v>
      </c>
      <c r="I83" s="191">
        <v>14.7</v>
      </c>
      <c r="J83" s="191" t="s">
        <v>19</v>
      </c>
      <c r="K83" s="191" t="s">
        <v>20</v>
      </c>
      <c r="L83" s="191" t="s">
        <v>30</v>
      </c>
      <c r="M83" s="191" t="s">
        <v>22</v>
      </c>
      <c r="N83" s="191" t="s">
        <v>24</v>
      </c>
      <c r="O83"/>
      <c r="P83" s="104">
        <v>219</v>
      </c>
      <c r="Q83"/>
      <c r="R83">
        <v>13.2</v>
      </c>
      <c r="S83">
        <v>2299.9699999999998</v>
      </c>
      <c r="T83">
        <v>6.39</v>
      </c>
      <c r="U83"/>
      <c r="V83"/>
      <c r="W83" s="317">
        <v>4.5999999999999996</v>
      </c>
      <c r="X83" s="190">
        <f t="shared" si="1"/>
        <v>67.61999999999999</v>
      </c>
      <c r="Y83" s="190"/>
      <c r="Z83" s="190"/>
    </row>
    <row r="84" spans="1:26" s="189" customFormat="1" ht="14.1" customHeight="1" x14ac:dyDescent="0.25">
      <c r="A84" s="191">
        <v>91</v>
      </c>
      <c r="B84" s="191">
        <v>2017</v>
      </c>
      <c r="C84" s="191">
        <v>7</v>
      </c>
      <c r="D84" s="191">
        <v>8</v>
      </c>
      <c r="E84"/>
      <c r="F84" s="191" t="s">
        <v>18</v>
      </c>
      <c r="G84"/>
      <c r="H84" s="191">
        <v>125</v>
      </c>
      <c r="I84" s="191">
        <v>9.8000000000000007</v>
      </c>
      <c r="J84" s="191" t="s">
        <v>19</v>
      </c>
      <c r="K84" s="191" t="s">
        <v>20</v>
      </c>
      <c r="L84" s="191" t="s">
        <v>21</v>
      </c>
      <c r="M84" s="191" t="s">
        <v>27</v>
      </c>
      <c r="N84" s="191" t="s">
        <v>24</v>
      </c>
      <c r="O84" s="197"/>
      <c r="P84" s="104">
        <v>219</v>
      </c>
      <c r="Q84"/>
      <c r="R84">
        <v>12.5</v>
      </c>
      <c r="S84">
        <v>1953.13</v>
      </c>
      <c r="T84">
        <v>5.0199999999999996</v>
      </c>
      <c r="U84"/>
      <c r="V84"/>
      <c r="W84" s="317">
        <v>3.9</v>
      </c>
      <c r="X84" s="190">
        <f t="shared" si="1"/>
        <v>38.22</v>
      </c>
      <c r="Y84" s="190"/>
      <c r="Z84" s="190"/>
    </row>
    <row r="85" spans="1:26" s="189" customFormat="1" ht="14.1" customHeight="1" x14ac:dyDescent="0.25">
      <c r="A85" s="191">
        <v>92</v>
      </c>
      <c r="B85" s="191">
        <v>2017</v>
      </c>
      <c r="C85" s="191">
        <v>7</v>
      </c>
      <c r="D85" s="191">
        <v>8</v>
      </c>
      <c r="E85"/>
      <c r="F85" s="191" t="s">
        <v>18</v>
      </c>
      <c r="G85"/>
      <c r="H85" s="191">
        <v>123</v>
      </c>
      <c r="I85" s="191">
        <v>11.8</v>
      </c>
      <c r="J85" s="191" t="s">
        <v>19</v>
      </c>
      <c r="K85" s="191" t="s">
        <v>20</v>
      </c>
      <c r="L85" s="191" t="s">
        <v>30</v>
      </c>
      <c r="M85" s="191" t="s">
        <v>22</v>
      </c>
      <c r="N85" s="191" t="s">
        <v>24</v>
      </c>
      <c r="O85" s="197"/>
      <c r="P85" s="104">
        <v>219</v>
      </c>
      <c r="Q85"/>
      <c r="R85">
        <v>12.3</v>
      </c>
      <c r="S85">
        <v>1860.87</v>
      </c>
      <c r="T85">
        <v>6.34</v>
      </c>
      <c r="U85"/>
      <c r="V85"/>
      <c r="W85" s="317">
        <v>4.5999999999999996</v>
      </c>
      <c r="X85" s="190">
        <f t="shared" si="1"/>
        <v>54.28</v>
      </c>
      <c r="Y85" s="190"/>
      <c r="Z85" s="190"/>
    </row>
    <row r="86" spans="1:26" s="189" customFormat="1" ht="14.1" customHeight="1" x14ac:dyDescent="0.25">
      <c r="A86" s="191">
        <v>93</v>
      </c>
      <c r="B86" s="191">
        <v>2017</v>
      </c>
      <c r="C86" s="191">
        <v>7</v>
      </c>
      <c r="D86" s="191">
        <v>8</v>
      </c>
      <c r="E86"/>
      <c r="F86" s="191" t="s">
        <v>18</v>
      </c>
      <c r="G86"/>
      <c r="H86" s="191">
        <v>120</v>
      </c>
      <c r="I86" s="191">
        <v>10.7</v>
      </c>
      <c r="J86" s="191" t="s">
        <v>19</v>
      </c>
      <c r="K86" s="191" t="s">
        <v>20</v>
      </c>
      <c r="L86" s="191" t="s">
        <v>21</v>
      </c>
      <c r="M86" s="191" t="s">
        <v>22</v>
      </c>
      <c r="N86" s="191" t="s">
        <v>25</v>
      </c>
      <c r="O86" s="197"/>
      <c r="P86" s="104">
        <v>219</v>
      </c>
      <c r="Q86"/>
      <c r="R86">
        <v>12</v>
      </c>
      <c r="S86">
        <v>1728</v>
      </c>
      <c r="T86">
        <v>6.19</v>
      </c>
      <c r="U86"/>
      <c r="V86"/>
      <c r="W86" s="317">
        <v>3.9</v>
      </c>
      <c r="X86" s="190">
        <f t="shared" si="1"/>
        <v>41.73</v>
      </c>
      <c r="Y86" s="190"/>
      <c r="Z86" s="190"/>
    </row>
    <row r="87" spans="1:26" s="189" customFormat="1" ht="14.1" customHeight="1" x14ac:dyDescent="0.25">
      <c r="A87" s="191">
        <v>94</v>
      </c>
      <c r="B87" s="191">
        <v>2017</v>
      </c>
      <c r="C87" s="191">
        <v>7</v>
      </c>
      <c r="D87" s="191">
        <v>8</v>
      </c>
      <c r="E87"/>
      <c r="F87" s="191" t="s">
        <v>18</v>
      </c>
      <c r="G87"/>
      <c r="H87" s="191">
        <v>135</v>
      </c>
      <c r="I87" s="191">
        <v>12.7</v>
      </c>
      <c r="J87" s="191" t="s">
        <v>19</v>
      </c>
      <c r="K87" s="191" t="s">
        <v>20</v>
      </c>
      <c r="L87" s="191" t="s">
        <v>21</v>
      </c>
      <c r="M87" s="191" t="s">
        <v>22</v>
      </c>
      <c r="N87" s="191" t="s">
        <v>33</v>
      </c>
      <c r="O87"/>
      <c r="P87" s="104">
        <v>219</v>
      </c>
      <c r="Q87"/>
      <c r="R87">
        <v>13.5</v>
      </c>
      <c r="S87">
        <v>2460.38</v>
      </c>
      <c r="T87">
        <v>5.16</v>
      </c>
      <c r="U87"/>
      <c r="V87"/>
      <c r="W87" s="317">
        <v>3.9</v>
      </c>
      <c r="X87" s="190">
        <f t="shared" si="1"/>
        <v>49.529999999999994</v>
      </c>
      <c r="Y87" s="190"/>
      <c r="Z87" s="190"/>
    </row>
    <row r="88" spans="1:26" s="189" customFormat="1" ht="14.1" customHeight="1" x14ac:dyDescent="0.25">
      <c r="A88" s="191">
        <v>95</v>
      </c>
      <c r="B88" s="191">
        <v>2017</v>
      </c>
      <c r="C88" s="191">
        <v>7</v>
      </c>
      <c r="D88" s="191">
        <v>8</v>
      </c>
      <c r="E88"/>
      <c r="F88" s="191" t="s">
        <v>18</v>
      </c>
      <c r="G88"/>
      <c r="H88" s="191">
        <v>117</v>
      </c>
      <c r="I88" s="191">
        <v>8.1999999999999993</v>
      </c>
      <c r="J88" s="191" t="s">
        <v>19</v>
      </c>
      <c r="K88" s="191" t="s">
        <v>20</v>
      </c>
      <c r="L88" s="191" t="s">
        <v>21</v>
      </c>
      <c r="M88" s="191" t="s">
        <v>22</v>
      </c>
      <c r="N88" s="191" t="s">
        <v>23</v>
      </c>
      <c r="O88"/>
      <c r="P88" s="104">
        <v>219</v>
      </c>
      <c r="Q88"/>
      <c r="R88">
        <v>11.7</v>
      </c>
      <c r="S88">
        <v>1601.61</v>
      </c>
      <c r="T88">
        <v>5.12</v>
      </c>
      <c r="U88"/>
      <c r="V88"/>
      <c r="W88" s="317">
        <v>3.9</v>
      </c>
      <c r="X88" s="190">
        <f t="shared" si="1"/>
        <v>31.979999999999997</v>
      </c>
      <c r="Y88" s="190"/>
      <c r="Z88" s="190"/>
    </row>
    <row r="89" spans="1:26" s="189" customFormat="1" ht="14.1" customHeight="1" x14ac:dyDescent="0.25">
      <c r="A89" s="191">
        <v>96</v>
      </c>
      <c r="B89" s="191">
        <v>2017</v>
      </c>
      <c r="C89" s="191">
        <v>7</v>
      </c>
      <c r="D89" s="191">
        <v>8</v>
      </c>
      <c r="E89"/>
      <c r="F89" s="191" t="s">
        <v>18</v>
      </c>
      <c r="G89"/>
      <c r="H89" s="191">
        <v>125</v>
      </c>
      <c r="I89" s="191">
        <v>10.1</v>
      </c>
      <c r="J89" s="191" t="s">
        <v>19</v>
      </c>
      <c r="K89" s="191" t="s">
        <v>20</v>
      </c>
      <c r="L89" s="191" t="s">
        <v>21</v>
      </c>
      <c r="M89" s="191" t="s">
        <v>26</v>
      </c>
      <c r="N89" s="191" t="s">
        <v>23</v>
      </c>
      <c r="O89" s="197"/>
      <c r="P89" s="104">
        <v>219</v>
      </c>
      <c r="Q89"/>
      <c r="R89">
        <v>12.5</v>
      </c>
      <c r="S89">
        <v>1953.13</v>
      </c>
      <c r="T89">
        <v>5.17</v>
      </c>
      <c r="U89"/>
      <c r="V89"/>
      <c r="W89" s="317">
        <v>3.9</v>
      </c>
      <c r="X89" s="190">
        <f t="shared" si="1"/>
        <v>39.39</v>
      </c>
      <c r="Y89" s="190"/>
      <c r="Z89" s="190"/>
    </row>
    <row r="90" spans="1:26" s="189" customFormat="1" ht="14.1" customHeight="1" x14ac:dyDescent="0.25">
      <c r="A90" s="191">
        <v>97</v>
      </c>
      <c r="B90" s="191">
        <v>2017</v>
      </c>
      <c r="C90" s="191">
        <v>7</v>
      </c>
      <c r="D90" s="191">
        <v>8</v>
      </c>
      <c r="E90"/>
      <c r="F90" s="191" t="s">
        <v>18</v>
      </c>
      <c r="G90"/>
      <c r="H90" s="191">
        <v>130</v>
      </c>
      <c r="I90" s="191">
        <v>14.2</v>
      </c>
      <c r="J90" s="191" t="s">
        <v>19</v>
      </c>
      <c r="K90" s="191" t="s">
        <v>20</v>
      </c>
      <c r="L90" s="191" t="s">
        <v>30</v>
      </c>
      <c r="M90" s="191" t="s">
        <v>26</v>
      </c>
      <c r="N90" s="191" t="s">
        <v>23</v>
      </c>
      <c r="O90" s="197"/>
      <c r="P90" s="104">
        <v>219</v>
      </c>
      <c r="Q90"/>
      <c r="R90">
        <v>13</v>
      </c>
      <c r="S90">
        <v>2197</v>
      </c>
      <c r="T90">
        <v>6.46</v>
      </c>
      <c r="U90"/>
      <c r="V90"/>
      <c r="W90" s="317">
        <v>4.5999999999999996</v>
      </c>
      <c r="X90" s="190">
        <f t="shared" si="1"/>
        <v>65.319999999999993</v>
      </c>
      <c r="Y90" s="190"/>
      <c r="Z90" s="190"/>
    </row>
    <row r="91" spans="1:26" s="189" customFormat="1" ht="14.1" customHeight="1" x14ac:dyDescent="0.25">
      <c r="A91" s="191">
        <v>98</v>
      </c>
      <c r="B91" s="191">
        <v>2017</v>
      </c>
      <c r="C91" s="191">
        <v>7</v>
      </c>
      <c r="D91" s="191">
        <v>8</v>
      </c>
      <c r="E91"/>
      <c r="F91" s="191" t="s">
        <v>18</v>
      </c>
      <c r="G91"/>
      <c r="H91" s="191">
        <v>127</v>
      </c>
      <c r="I91" s="191">
        <v>14.7</v>
      </c>
      <c r="J91" s="191" t="s">
        <v>19</v>
      </c>
      <c r="K91" s="191" t="s">
        <v>20</v>
      </c>
      <c r="L91" s="191" t="s">
        <v>21</v>
      </c>
      <c r="M91" s="191" t="s">
        <v>26</v>
      </c>
      <c r="N91" s="191" t="s">
        <v>25</v>
      </c>
      <c r="O91"/>
      <c r="P91" s="104">
        <v>219</v>
      </c>
      <c r="Q91"/>
      <c r="R91">
        <v>12.7</v>
      </c>
      <c r="S91">
        <v>2048.38</v>
      </c>
      <c r="T91">
        <v>7.18</v>
      </c>
      <c r="U91"/>
      <c r="V91"/>
      <c r="W91" s="317">
        <v>3.9</v>
      </c>
      <c r="X91" s="190">
        <f t="shared" si="1"/>
        <v>57.33</v>
      </c>
      <c r="Y91" s="190"/>
      <c r="Z91" s="190"/>
    </row>
    <row r="92" spans="1:26" s="189" customFormat="1" ht="14.1" customHeight="1" x14ac:dyDescent="0.25">
      <c r="A92" s="191">
        <v>99</v>
      </c>
      <c r="B92" s="191">
        <v>2017</v>
      </c>
      <c r="C92" s="191">
        <v>7</v>
      </c>
      <c r="D92" s="191">
        <v>8</v>
      </c>
      <c r="E92"/>
      <c r="F92" s="191" t="s">
        <v>18</v>
      </c>
      <c r="G92"/>
      <c r="H92" s="191">
        <v>124</v>
      </c>
      <c r="I92" s="191">
        <v>12.5</v>
      </c>
      <c r="J92" s="191" t="s">
        <v>19</v>
      </c>
      <c r="K92" s="191" t="s">
        <v>20</v>
      </c>
      <c r="L92" s="191" t="s">
        <v>30</v>
      </c>
      <c r="M92" s="191" t="s">
        <v>22</v>
      </c>
      <c r="N92" s="191" t="s">
        <v>23</v>
      </c>
      <c r="O92" s="191" t="s">
        <v>415</v>
      </c>
      <c r="P92" s="104">
        <v>219</v>
      </c>
      <c r="Q92" t="s">
        <v>362</v>
      </c>
      <c r="R92">
        <v>12.4</v>
      </c>
      <c r="S92">
        <v>1906.62</v>
      </c>
      <c r="T92">
        <v>6.56</v>
      </c>
      <c r="U92"/>
      <c r="V92"/>
      <c r="W92" s="317">
        <v>4.5999999999999996</v>
      </c>
      <c r="X92" s="190">
        <f t="shared" si="1"/>
        <v>57.499999999999993</v>
      </c>
      <c r="Y92" s="190"/>
      <c r="Z92" s="190"/>
    </row>
    <row r="93" spans="1:26" s="189" customFormat="1" ht="14.1" customHeight="1" x14ac:dyDescent="0.25">
      <c r="A93" s="191">
        <v>100</v>
      </c>
      <c r="B93" s="191">
        <v>2017</v>
      </c>
      <c r="C93" s="191">
        <v>7</v>
      </c>
      <c r="D93" s="191">
        <v>8</v>
      </c>
      <c r="E93"/>
      <c r="F93" s="191" t="s">
        <v>18</v>
      </c>
      <c r="G93"/>
      <c r="H93" s="191">
        <v>130</v>
      </c>
      <c r="I93" s="191">
        <v>12</v>
      </c>
      <c r="J93" s="191" t="s">
        <v>19</v>
      </c>
      <c r="K93" s="191" t="s">
        <v>20</v>
      </c>
      <c r="L93" s="191" t="s">
        <v>30</v>
      </c>
      <c r="M93" s="191" t="s">
        <v>27</v>
      </c>
      <c r="N93" s="191" t="s">
        <v>24</v>
      </c>
      <c r="O93" s="191" t="s">
        <v>416</v>
      </c>
      <c r="P93" s="104">
        <v>219</v>
      </c>
      <c r="Q93" t="s">
        <v>362</v>
      </c>
      <c r="R93">
        <v>13</v>
      </c>
      <c r="S93">
        <v>2197</v>
      </c>
      <c r="T93">
        <v>5.46</v>
      </c>
      <c r="U93"/>
      <c r="V93"/>
      <c r="W93" s="317">
        <v>4.5999999999999996</v>
      </c>
      <c r="X93" s="190">
        <f t="shared" si="1"/>
        <v>55.199999999999996</v>
      </c>
      <c r="Y93" s="190"/>
      <c r="Z93" s="190"/>
    </row>
    <row r="94" spans="1:26" s="189" customFormat="1" ht="14.1" customHeight="1" x14ac:dyDescent="0.25">
      <c r="A94" s="191">
        <v>101</v>
      </c>
      <c r="B94" s="191">
        <v>2017</v>
      </c>
      <c r="C94" s="191">
        <v>7</v>
      </c>
      <c r="D94" s="191">
        <v>8</v>
      </c>
      <c r="E94"/>
      <c r="F94" s="191" t="s">
        <v>18</v>
      </c>
      <c r="G94"/>
      <c r="H94" s="191">
        <v>124</v>
      </c>
      <c r="I94" s="191">
        <v>10.3</v>
      </c>
      <c r="J94" s="191" t="s">
        <v>19</v>
      </c>
      <c r="K94" s="191" t="s">
        <v>20</v>
      </c>
      <c r="L94" s="191" t="s">
        <v>21</v>
      </c>
      <c r="M94" s="191" t="s">
        <v>27</v>
      </c>
      <c r="N94" s="191" t="s">
        <v>25</v>
      </c>
      <c r="O94" s="191" t="s">
        <v>417</v>
      </c>
      <c r="P94" s="104">
        <v>219</v>
      </c>
      <c r="Q94" t="s">
        <v>375</v>
      </c>
      <c r="R94">
        <v>12.4</v>
      </c>
      <c r="S94">
        <v>1906.62</v>
      </c>
      <c r="T94">
        <v>5.4</v>
      </c>
      <c r="U94"/>
      <c r="V94"/>
      <c r="W94" s="317">
        <v>3.9</v>
      </c>
      <c r="X94" s="190">
        <f t="shared" si="1"/>
        <v>40.17</v>
      </c>
      <c r="Y94" s="190"/>
      <c r="Z94" s="190"/>
    </row>
    <row r="95" spans="1:26" s="189" customFormat="1" ht="14.1" customHeight="1" x14ac:dyDescent="0.25">
      <c r="A95" s="191">
        <v>102</v>
      </c>
      <c r="B95" s="191">
        <v>2017</v>
      </c>
      <c r="C95" s="191">
        <v>7</v>
      </c>
      <c r="D95" s="191">
        <v>8</v>
      </c>
      <c r="E95"/>
      <c r="F95" s="191" t="s">
        <v>18</v>
      </c>
      <c r="G95"/>
      <c r="H95" s="191">
        <v>131</v>
      </c>
      <c r="I95" s="191">
        <v>9.4</v>
      </c>
      <c r="J95" s="191" t="s">
        <v>19</v>
      </c>
      <c r="K95" s="191" t="s">
        <v>20</v>
      </c>
      <c r="L95" s="191" t="s">
        <v>21</v>
      </c>
      <c r="M95" s="191" t="s">
        <v>27</v>
      </c>
      <c r="N95" s="191" t="s">
        <v>23</v>
      </c>
      <c r="O95" s="191" t="s">
        <v>418</v>
      </c>
      <c r="P95" s="104">
        <v>219</v>
      </c>
      <c r="Q95" t="s">
        <v>362</v>
      </c>
      <c r="R95">
        <v>13.1</v>
      </c>
      <c r="S95">
        <v>2248.09</v>
      </c>
      <c r="T95">
        <v>4.18</v>
      </c>
      <c r="U95"/>
      <c r="V95"/>
      <c r="W95" s="317">
        <v>3.9</v>
      </c>
      <c r="X95" s="190">
        <f t="shared" si="1"/>
        <v>36.660000000000004</v>
      </c>
      <c r="Y95" s="190"/>
      <c r="Z95" s="190"/>
    </row>
    <row r="96" spans="1:26" s="189" customFormat="1" ht="14.1" customHeight="1" x14ac:dyDescent="0.25">
      <c r="A96" s="191">
        <v>103</v>
      </c>
      <c r="B96" s="191">
        <v>2017</v>
      </c>
      <c r="C96" s="191">
        <v>7</v>
      </c>
      <c r="D96" s="191">
        <v>8</v>
      </c>
      <c r="E96"/>
      <c r="F96" s="191" t="s">
        <v>18</v>
      </c>
      <c r="G96"/>
      <c r="H96" s="191">
        <v>135</v>
      </c>
      <c r="I96" s="191">
        <v>12.5</v>
      </c>
      <c r="J96" s="191" t="s">
        <v>19</v>
      </c>
      <c r="K96" s="191" t="s">
        <v>20</v>
      </c>
      <c r="L96" s="191" t="s">
        <v>21</v>
      </c>
      <c r="M96" s="191" t="s">
        <v>27</v>
      </c>
      <c r="N96" s="191" t="s">
        <v>33</v>
      </c>
      <c r="O96"/>
      <c r="P96" s="104">
        <v>219</v>
      </c>
      <c r="Q96"/>
      <c r="R96">
        <v>13.5</v>
      </c>
      <c r="S96">
        <v>2460.38</v>
      </c>
      <c r="T96">
        <v>5.08</v>
      </c>
      <c r="U96"/>
      <c r="V96"/>
      <c r="W96" s="317">
        <v>3.9</v>
      </c>
      <c r="X96" s="190">
        <f t="shared" si="1"/>
        <v>48.75</v>
      </c>
      <c r="Y96" s="190"/>
      <c r="Z96" s="190"/>
    </row>
    <row r="97" spans="1:26" s="189" customFormat="1" ht="14.1" customHeight="1" x14ac:dyDescent="0.25">
      <c r="A97" s="191">
        <v>104</v>
      </c>
      <c r="B97" s="191">
        <v>2017</v>
      </c>
      <c r="C97" s="191">
        <v>7</v>
      </c>
      <c r="D97" s="191">
        <v>8</v>
      </c>
      <c r="E97"/>
      <c r="F97" s="191" t="s">
        <v>28</v>
      </c>
      <c r="G97"/>
      <c r="H97" s="191">
        <v>135</v>
      </c>
      <c r="I97" s="191">
        <v>12</v>
      </c>
      <c r="J97" s="191" t="s">
        <v>19</v>
      </c>
      <c r="K97" s="191" t="s">
        <v>20</v>
      </c>
      <c r="L97" s="191" t="s">
        <v>21</v>
      </c>
      <c r="M97" s="197"/>
      <c r="N97" s="191" t="s">
        <v>371</v>
      </c>
      <c r="O97"/>
      <c r="P97" s="104">
        <v>219</v>
      </c>
      <c r="Q97"/>
      <c r="R97">
        <v>13.5</v>
      </c>
      <c r="S97">
        <v>2460.38</v>
      </c>
      <c r="T97">
        <v>4.88</v>
      </c>
      <c r="U97"/>
      <c r="V97"/>
      <c r="W97" s="317">
        <v>3.9</v>
      </c>
      <c r="X97" s="190">
        <f t="shared" si="1"/>
        <v>46.8</v>
      </c>
      <c r="Y97" s="190"/>
      <c r="Z97" s="190"/>
    </row>
    <row r="98" spans="1:26" s="189" customFormat="1" ht="14.1" customHeight="1" x14ac:dyDescent="0.25">
      <c r="A98" s="191">
        <v>105</v>
      </c>
      <c r="B98" s="191">
        <v>2017</v>
      </c>
      <c r="C98" s="191">
        <v>7</v>
      </c>
      <c r="D98" s="191">
        <v>8</v>
      </c>
      <c r="E98"/>
      <c r="F98" s="191" t="s">
        <v>18</v>
      </c>
      <c r="G98"/>
      <c r="H98" s="197"/>
      <c r="I98" s="197"/>
      <c r="J98" s="191" t="s">
        <v>19</v>
      </c>
      <c r="K98" s="191" t="s">
        <v>20</v>
      </c>
      <c r="L98" s="191" t="s">
        <v>21</v>
      </c>
      <c r="M98" s="197"/>
      <c r="N98" s="191" t="s">
        <v>378</v>
      </c>
      <c r="O98"/>
      <c r="P98" s="104">
        <v>219</v>
      </c>
      <c r="Q98"/>
      <c r="R98"/>
      <c r="S98"/>
      <c r="T98"/>
      <c r="U98"/>
      <c r="V98"/>
      <c r="W98" s="317">
        <v>3.9</v>
      </c>
      <c r="X98" s="190"/>
      <c r="Y98" s="190"/>
      <c r="Z98" s="190"/>
    </row>
    <row r="99" spans="1:26" s="189" customFormat="1" ht="14.1" customHeight="1" x14ac:dyDescent="0.25">
      <c r="A99" s="191">
        <v>106</v>
      </c>
      <c r="B99" s="191">
        <v>2017</v>
      </c>
      <c r="C99" s="191">
        <v>7</v>
      </c>
      <c r="D99" s="191">
        <v>8</v>
      </c>
      <c r="E99"/>
      <c r="F99" s="191" t="s">
        <v>18</v>
      </c>
      <c r="G99"/>
      <c r="H99" s="191">
        <v>117</v>
      </c>
      <c r="I99" s="191">
        <v>9.6</v>
      </c>
      <c r="J99" s="191" t="s">
        <v>19</v>
      </c>
      <c r="K99" s="191" t="s">
        <v>20</v>
      </c>
      <c r="L99" s="191" t="s">
        <v>30</v>
      </c>
      <c r="M99" s="191" t="s">
        <v>26</v>
      </c>
      <c r="N99" s="191" t="s">
        <v>23</v>
      </c>
      <c r="O99"/>
      <c r="P99" s="104">
        <v>219</v>
      </c>
      <c r="Q99"/>
      <c r="R99">
        <v>11.7</v>
      </c>
      <c r="S99">
        <v>1601.61</v>
      </c>
      <c r="T99">
        <v>5.99</v>
      </c>
      <c r="U99"/>
      <c r="V99"/>
      <c r="W99" s="317">
        <v>4.5999999999999996</v>
      </c>
      <c r="X99" s="190">
        <f t="shared" si="1"/>
        <v>44.16</v>
      </c>
      <c r="Y99" s="190"/>
      <c r="Z99" s="190"/>
    </row>
    <row r="100" spans="1:26" s="189" customFormat="1" ht="14.1" customHeight="1" x14ac:dyDescent="0.25">
      <c r="A100" s="191">
        <v>107</v>
      </c>
      <c r="B100" s="191">
        <v>2017</v>
      </c>
      <c r="C100" s="191">
        <v>7</v>
      </c>
      <c r="D100" s="191">
        <v>8</v>
      </c>
      <c r="E100"/>
      <c r="F100" s="191" t="s">
        <v>18</v>
      </c>
      <c r="G100"/>
      <c r="H100" s="191">
        <v>125</v>
      </c>
      <c r="I100" s="191">
        <v>12</v>
      </c>
      <c r="J100" s="191" t="s">
        <v>19</v>
      </c>
      <c r="K100" s="191" t="s">
        <v>20</v>
      </c>
      <c r="L100" s="191" t="s">
        <v>30</v>
      </c>
      <c r="M100" s="191" t="s">
        <v>27</v>
      </c>
      <c r="N100" s="191" t="s">
        <v>24</v>
      </c>
      <c r="O100" s="197"/>
      <c r="P100" s="104">
        <v>219</v>
      </c>
      <c r="Q100"/>
      <c r="R100">
        <v>12.5</v>
      </c>
      <c r="S100">
        <v>1953.13</v>
      </c>
      <c r="T100">
        <v>6.14</v>
      </c>
      <c r="U100"/>
      <c r="V100"/>
      <c r="W100" s="317">
        <v>4.5999999999999996</v>
      </c>
      <c r="X100" s="190">
        <f t="shared" si="1"/>
        <v>55.199999999999996</v>
      </c>
      <c r="Y100" s="190"/>
      <c r="Z100" s="190"/>
    </row>
    <row r="101" spans="1:26" s="189" customFormat="1" ht="14.1" customHeight="1" x14ac:dyDescent="0.25">
      <c r="A101" s="191">
        <v>108</v>
      </c>
      <c r="B101" s="191">
        <v>2017</v>
      </c>
      <c r="C101" s="191">
        <v>7</v>
      </c>
      <c r="D101" s="191">
        <v>8</v>
      </c>
      <c r="E101"/>
      <c r="F101" s="191" t="s">
        <v>18</v>
      </c>
      <c r="G101"/>
      <c r="H101" s="191">
        <v>120</v>
      </c>
      <c r="I101" s="191">
        <v>9.6</v>
      </c>
      <c r="J101" s="191" t="s">
        <v>19</v>
      </c>
      <c r="K101" s="191" t="s">
        <v>20</v>
      </c>
      <c r="L101" s="191" t="s">
        <v>21</v>
      </c>
      <c r="M101" s="191" t="s">
        <v>26</v>
      </c>
      <c r="N101" s="191" t="s">
        <v>23</v>
      </c>
      <c r="O101" s="191" t="s">
        <v>419</v>
      </c>
      <c r="P101" s="104">
        <v>219</v>
      </c>
      <c r="Q101" t="s">
        <v>362</v>
      </c>
      <c r="R101">
        <v>12</v>
      </c>
      <c r="S101">
        <v>1728</v>
      </c>
      <c r="T101">
        <v>5.56</v>
      </c>
      <c r="U101"/>
      <c r="V101"/>
      <c r="W101" s="317">
        <v>3.9</v>
      </c>
      <c r="X101" s="190">
        <f t="shared" si="1"/>
        <v>37.44</v>
      </c>
      <c r="Y101" s="190"/>
      <c r="Z101" s="190"/>
    </row>
    <row r="102" spans="1:26" s="189" customFormat="1" ht="14.1" customHeight="1" x14ac:dyDescent="0.25">
      <c r="A102" s="191">
        <v>109</v>
      </c>
      <c r="B102" s="191">
        <v>2017</v>
      </c>
      <c r="C102" s="191">
        <v>7</v>
      </c>
      <c r="D102" s="191">
        <v>8</v>
      </c>
      <c r="E102"/>
      <c r="F102" s="191" t="s">
        <v>18</v>
      </c>
      <c r="G102"/>
      <c r="H102" s="191">
        <v>135</v>
      </c>
      <c r="I102" s="191">
        <v>13.2</v>
      </c>
      <c r="J102" s="191" t="s">
        <v>19</v>
      </c>
      <c r="K102" s="191" t="s">
        <v>20</v>
      </c>
      <c r="L102" s="191" t="s">
        <v>30</v>
      </c>
      <c r="M102" s="191" t="s">
        <v>22</v>
      </c>
      <c r="N102" s="191" t="s">
        <v>33</v>
      </c>
      <c r="O102" s="191" t="s">
        <v>420</v>
      </c>
      <c r="P102" s="104">
        <v>219</v>
      </c>
      <c r="Q102" t="s">
        <v>362</v>
      </c>
      <c r="R102">
        <v>13.5</v>
      </c>
      <c r="S102">
        <v>2460.38</v>
      </c>
      <c r="T102">
        <v>5.37</v>
      </c>
      <c r="U102"/>
      <c r="V102"/>
      <c r="W102" s="317">
        <v>4.5999999999999996</v>
      </c>
      <c r="X102" s="190">
        <f t="shared" si="1"/>
        <v>60.719999999999992</v>
      </c>
      <c r="Y102" s="190"/>
      <c r="Z102" s="190"/>
    </row>
    <row r="103" spans="1:26" s="189" customFormat="1" ht="14.1" customHeight="1" x14ac:dyDescent="0.25">
      <c r="A103" s="191">
        <v>110</v>
      </c>
      <c r="B103" s="191">
        <v>2017</v>
      </c>
      <c r="C103" s="191">
        <v>7</v>
      </c>
      <c r="D103" s="191">
        <v>8</v>
      </c>
      <c r="E103"/>
      <c r="F103" s="191" t="s">
        <v>18</v>
      </c>
      <c r="G103"/>
      <c r="H103" s="191">
        <v>123</v>
      </c>
      <c r="I103" s="191">
        <v>9.9</v>
      </c>
      <c r="J103" s="191" t="s">
        <v>19</v>
      </c>
      <c r="K103" s="191" t="s">
        <v>20</v>
      </c>
      <c r="L103" s="191" t="s">
        <v>21</v>
      </c>
      <c r="M103" s="191" t="s">
        <v>22</v>
      </c>
      <c r="N103" s="191" t="s">
        <v>25</v>
      </c>
      <c r="O103" s="191" t="s">
        <v>421</v>
      </c>
      <c r="P103" s="104">
        <v>219</v>
      </c>
      <c r="Q103" t="s">
        <v>362</v>
      </c>
      <c r="R103">
        <v>12.3</v>
      </c>
      <c r="S103">
        <v>1860.87</v>
      </c>
      <c r="T103">
        <v>5.32</v>
      </c>
      <c r="U103"/>
      <c r="V103"/>
      <c r="W103" s="317">
        <v>3.9</v>
      </c>
      <c r="X103" s="190">
        <f t="shared" si="1"/>
        <v>38.61</v>
      </c>
      <c r="Y103" s="190"/>
      <c r="Z103" s="190"/>
    </row>
    <row r="104" spans="1:26" s="189" customFormat="1" ht="14.1" customHeight="1" x14ac:dyDescent="0.25">
      <c r="A104" s="191">
        <v>111</v>
      </c>
      <c r="B104" s="191">
        <v>2017</v>
      </c>
      <c r="C104" s="191">
        <v>7</v>
      </c>
      <c r="D104" s="191">
        <v>8</v>
      </c>
      <c r="E104"/>
      <c r="F104" s="191" t="s">
        <v>18</v>
      </c>
      <c r="G104"/>
      <c r="H104" s="191">
        <v>125</v>
      </c>
      <c r="I104" s="191">
        <v>11.5</v>
      </c>
      <c r="J104" s="191" t="s">
        <v>19</v>
      </c>
      <c r="K104" s="191" t="s">
        <v>20</v>
      </c>
      <c r="L104" s="191" t="s">
        <v>21</v>
      </c>
      <c r="M104" s="191" t="s">
        <v>26</v>
      </c>
      <c r="N104" s="191" t="s">
        <v>23</v>
      </c>
      <c r="O104" s="191" t="s">
        <v>422</v>
      </c>
      <c r="P104" s="104">
        <v>219</v>
      </c>
      <c r="Q104" t="s">
        <v>362</v>
      </c>
      <c r="R104">
        <v>12.5</v>
      </c>
      <c r="S104">
        <v>1953.13</v>
      </c>
      <c r="T104">
        <v>5.89</v>
      </c>
      <c r="U104"/>
      <c r="V104"/>
      <c r="W104" s="317">
        <v>3.9</v>
      </c>
      <c r="X104" s="190">
        <f t="shared" si="1"/>
        <v>44.85</v>
      </c>
      <c r="Y104" s="190"/>
      <c r="Z104" s="190"/>
    </row>
    <row r="105" spans="1:26" s="189" customFormat="1" ht="14.1" customHeight="1" x14ac:dyDescent="0.25">
      <c r="A105" s="191">
        <v>112</v>
      </c>
      <c r="B105" s="191">
        <v>2017</v>
      </c>
      <c r="C105" s="191">
        <v>7</v>
      </c>
      <c r="D105" s="191">
        <v>8</v>
      </c>
      <c r="E105"/>
      <c r="F105" s="191" t="s">
        <v>18</v>
      </c>
      <c r="G105"/>
      <c r="H105" s="191">
        <v>134</v>
      </c>
      <c r="I105" s="191">
        <v>12</v>
      </c>
      <c r="J105" s="191" t="s">
        <v>19</v>
      </c>
      <c r="K105" s="191" t="s">
        <v>20</v>
      </c>
      <c r="L105" s="191" t="s">
        <v>21</v>
      </c>
      <c r="M105" s="191" t="s">
        <v>27</v>
      </c>
      <c r="N105" s="191" t="s">
        <v>24</v>
      </c>
      <c r="O105" s="191" t="s">
        <v>423</v>
      </c>
      <c r="P105" s="104">
        <v>219</v>
      </c>
      <c r="Q105" t="s">
        <v>362</v>
      </c>
      <c r="R105">
        <v>13.4</v>
      </c>
      <c r="S105">
        <v>2406.1</v>
      </c>
      <c r="T105">
        <v>4.99</v>
      </c>
      <c r="U105"/>
      <c r="V105"/>
      <c r="W105" s="317">
        <v>3.9</v>
      </c>
      <c r="X105" s="190">
        <f t="shared" si="1"/>
        <v>46.8</v>
      </c>
      <c r="Y105" s="190"/>
      <c r="Z105" s="190"/>
    </row>
    <row r="106" spans="1:26" s="189" customFormat="1" ht="14.1" customHeight="1" x14ac:dyDescent="0.25">
      <c r="A106" s="191">
        <v>113</v>
      </c>
      <c r="B106" s="191">
        <v>2017</v>
      </c>
      <c r="C106" s="191">
        <v>7</v>
      </c>
      <c r="D106" s="191">
        <v>8</v>
      </c>
      <c r="E106"/>
      <c r="F106" s="191" t="s">
        <v>18</v>
      </c>
      <c r="G106"/>
      <c r="H106" s="191">
        <v>124</v>
      </c>
      <c r="I106" s="191">
        <v>12.3</v>
      </c>
      <c r="J106" s="191" t="s">
        <v>19</v>
      </c>
      <c r="K106" s="191" t="s">
        <v>20</v>
      </c>
      <c r="L106" s="191" t="s">
        <v>30</v>
      </c>
      <c r="M106" s="191" t="s">
        <v>27</v>
      </c>
      <c r="N106" s="191" t="s">
        <v>24</v>
      </c>
      <c r="O106" s="191" t="s">
        <v>424</v>
      </c>
      <c r="P106" s="104">
        <v>219</v>
      </c>
      <c r="Q106" t="s">
        <v>375</v>
      </c>
      <c r="R106">
        <v>12.4</v>
      </c>
      <c r="S106">
        <v>1906.62</v>
      </c>
      <c r="T106">
        <v>6.45</v>
      </c>
      <c r="U106"/>
      <c r="V106"/>
      <c r="W106" s="317">
        <v>4.5999999999999996</v>
      </c>
      <c r="X106" s="190">
        <f t="shared" si="1"/>
        <v>56.58</v>
      </c>
      <c r="Y106" s="190"/>
      <c r="Z106" s="190"/>
    </row>
    <row r="107" spans="1:26" s="189" customFormat="1" ht="14.1" customHeight="1" x14ac:dyDescent="0.25">
      <c r="A107" s="191">
        <v>114</v>
      </c>
      <c r="B107" s="191">
        <v>2017</v>
      </c>
      <c r="C107" s="191">
        <v>7</v>
      </c>
      <c r="D107" s="191">
        <v>8</v>
      </c>
      <c r="E107"/>
      <c r="F107" s="191" t="s">
        <v>18</v>
      </c>
      <c r="G107"/>
      <c r="H107" s="191">
        <v>142</v>
      </c>
      <c r="I107" s="191">
        <v>14.3</v>
      </c>
      <c r="J107" s="191" t="s">
        <v>19</v>
      </c>
      <c r="K107" s="191" t="s">
        <v>20</v>
      </c>
      <c r="L107" s="191" t="s">
        <v>21</v>
      </c>
      <c r="M107" s="191" t="s">
        <v>26</v>
      </c>
      <c r="N107" s="191" t="s">
        <v>24</v>
      </c>
      <c r="O107"/>
      <c r="P107" s="104">
        <v>219</v>
      </c>
      <c r="Q107"/>
      <c r="R107">
        <v>14.2</v>
      </c>
      <c r="S107">
        <v>2863.29</v>
      </c>
      <c r="T107">
        <v>4.99</v>
      </c>
      <c r="U107"/>
      <c r="V107"/>
      <c r="W107" s="317">
        <v>3.9</v>
      </c>
      <c r="X107" s="190">
        <f t="shared" si="1"/>
        <v>55.77</v>
      </c>
      <c r="Y107" s="190"/>
      <c r="Z107" s="190"/>
    </row>
    <row r="108" spans="1:26" s="189" customFormat="1" ht="14.1" customHeight="1" x14ac:dyDescent="0.25">
      <c r="A108" s="191">
        <v>116</v>
      </c>
      <c r="B108" s="191">
        <v>2017</v>
      </c>
      <c r="C108" s="191">
        <v>7</v>
      </c>
      <c r="D108" s="191">
        <v>8</v>
      </c>
      <c r="E108"/>
      <c r="F108" s="191" t="s">
        <v>18</v>
      </c>
      <c r="G108"/>
      <c r="H108" s="191">
        <v>124</v>
      </c>
      <c r="I108" s="191">
        <v>12</v>
      </c>
      <c r="J108" s="191" t="s">
        <v>19</v>
      </c>
      <c r="K108" s="191" t="s">
        <v>20</v>
      </c>
      <c r="L108" s="191" t="s">
        <v>30</v>
      </c>
      <c r="M108" s="191" t="s">
        <v>22</v>
      </c>
      <c r="N108" s="191" t="s">
        <v>24</v>
      </c>
      <c r="O108" s="191" t="s">
        <v>425</v>
      </c>
      <c r="P108" s="104">
        <v>219</v>
      </c>
      <c r="Q108" t="s">
        <v>362</v>
      </c>
      <c r="R108">
        <v>12.4</v>
      </c>
      <c r="S108">
        <v>1906.62</v>
      </c>
      <c r="T108">
        <v>6.29</v>
      </c>
      <c r="U108"/>
      <c r="V108"/>
      <c r="W108" s="317">
        <v>4.5999999999999996</v>
      </c>
      <c r="X108" s="190">
        <f t="shared" si="1"/>
        <v>55.199999999999996</v>
      </c>
      <c r="Y108" s="190"/>
      <c r="Z108" s="190"/>
    </row>
    <row r="109" spans="1:26" s="189" customFormat="1" ht="14.1" customHeight="1" x14ac:dyDescent="0.25">
      <c r="A109" s="191">
        <v>117</v>
      </c>
      <c r="B109" s="191">
        <v>2017</v>
      </c>
      <c r="C109" s="191">
        <v>7</v>
      </c>
      <c r="D109" s="191">
        <v>8</v>
      </c>
      <c r="E109"/>
      <c r="F109" s="191" t="s">
        <v>18</v>
      </c>
      <c r="G109"/>
      <c r="H109" s="191">
        <v>131</v>
      </c>
      <c r="I109" s="191">
        <v>11.7</v>
      </c>
      <c r="J109" s="191" t="s">
        <v>19</v>
      </c>
      <c r="K109" s="191" t="s">
        <v>20</v>
      </c>
      <c r="L109" s="191" t="s">
        <v>21</v>
      </c>
      <c r="M109" s="191" t="s">
        <v>31</v>
      </c>
      <c r="N109" s="191" t="s">
        <v>24</v>
      </c>
      <c r="O109" s="197"/>
      <c r="P109" s="104">
        <v>219</v>
      </c>
      <c r="Q109"/>
      <c r="R109">
        <v>13.1</v>
      </c>
      <c r="S109">
        <v>2248.09</v>
      </c>
      <c r="T109">
        <v>5.2</v>
      </c>
      <c r="U109"/>
      <c r="V109"/>
      <c r="W109" s="317">
        <v>3.9</v>
      </c>
      <c r="X109" s="190">
        <f t="shared" si="1"/>
        <v>45.629999999999995</v>
      </c>
      <c r="Y109" s="190"/>
      <c r="Z109" s="190"/>
    </row>
    <row r="110" spans="1:26" s="189" customFormat="1" ht="14.1" customHeight="1" x14ac:dyDescent="0.25">
      <c r="A110" s="191">
        <v>118</v>
      </c>
      <c r="B110" s="191">
        <v>2017</v>
      </c>
      <c r="C110" s="191">
        <v>7</v>
      </c>
      <c r="D110" s="191">
        <v>8</v>
      </c>
      <c r="E110"/>
      <c r="F110" s="191" t="s">
        <v>18</v>
      </c>
      <c r="G110"/>
      <c r="H110" s="191">
        <v>126</v>
      </c>
      <c r="I110" s="191">
        <v>12.2</v>
      </c>
      <c r="J110" s="191" t="s">
        <v>19</v>
      </c>
      <c r="K110" s="191" t="s">
        <v>20</v>
      </c>
      <c r="L110" s="191" t="s">
        <v>30</v>
      </c>
      <c r="M110" s="191" t="s">
        <v>27</v>
      </c>
      <c r="N110" s="191" t="s">
        <v>24</v>
      </c>
      <c r="O110" s="197"/>
      <c r="P110" s="104">
        <v>219</v>
      </c>
      <c r="Q110"/>
      <c r="R110">
        <v>12.6</v>
      </c>
      <c r="S110">
        <v>2000.38</v>
      </c>
      <c r="T110">
        <v>6.1</v>
      </c>
      <c r="U110"/>
      <c r="V110"/>
      <c r="W110" s="317">
        <v>4.5999999999999996</v>
      </c>
      <c r="X110" s="190">
        <f t="shared" si="1"/>
        <v>56.11999999999999</v>
      </c>
      <c r="Y110" s="190"/>
      <c r="Z110" s="190"/>
    </row>
    <row r="111" spans="1:26" s="189" customFormat="1" ht="14.1" customHeight="1" x14ac:dyDescent="0.25">
      <c r="A111" s="191">
        <v>119</v>
      </c>
      <c r="B111" s="191">
        <v>2017</v>
      </c>
      <c r="C111" s="191">
        <v>7</v>
      </c>
      <c r="D111" s="191">
        <v>8</v>
      </c>
      <c r="E111"/>
      <c r="F111" s="191" t="s">
        <v>18</v>
      </c>
      <c r="G111"/>
      <c r="H111" s="191">
        <v>118</v>
      </c>
      <c r="I111" s="191">
        <v>12.6</v>
      </c>
      <c r="J111" s="191" t="s">
        <v>19</v>
      </c>
      <c r="K111" s="191" t="s">
        <v>20</v>
      </c>
      <c r="L111" s="191" t="s">
        <v>21</v>
      </c>
      <c r="M111" s="191" t="s">
        <v>31</v>
      </c>
      <c r="N111" s="191" t="s">
        <v>25</v>
      </c>
      <c r="O111" s="197"/>
      <c r="P111" s="104">
        <v>219</v>
      </c>
      <c r="Q111"/>
      <c r="R111">
        <v>11.8</v>
      </c>
      <c r="S111">
        <v>1643.03</v>
      </c>
      <c r="T111">
        <v>7.67</v>
      </c>
      <c r="U111"/>
      <c r="V111"/>
      <c r="W111" s="317">
        <v>3.9</v>
      </c>
      <c r="X111" s="190">
        <f t="shared" si="1"/>
        <v>49.14</v>
      </c>
      <c r="Y111" s="190"/>
      <c r="Z111" s="190"/>
    </row>
    <row r="112" spans="1:26" s="189" customFormat="1" ht="14.1" customHeight="1" x14ac:dyDescent="0.25">
      <c r="A112" s="191">
        <v>122</v>
      </c>
      <c r="B112" s="191">
        <v>2017</v>
      </c>
      <c r="C112" s="191">
        <v>7</v>
      </c>
      <c r="D112" s="191">
        <v>8</v>
      </c>
      <c r="E112"/>
      <c r="F112" s="191" t="s">
        <v>18</v>
      </c>
      <c r="G112"/>
      <c r="H112" s="191">
        <v>133</v>
      </c>
      <c r="I112" s="191">
        <v>10.7</v>
      </c>
      <c r="J112" s="191" t="s">
        <v>19</v>
      </c>
      <c r="K112" s="191" t="s">
        <v>20</v>
      </c>
      <c r="L112" s="191" t="s">
        <v>21</v>
      </c>
      <c r="M112" s="197"/>
      <c r="N112" s="197"/>
      <c r="O112" s="197"/>
      <c r="P112" s="104">
        <v>219</v>
      </c>
      <c r="Q112"/>
      <c r="R112">
        <v>13.3</v>
      </c>
      <c r="S112">
        <v>2352.64</v>
      </c>
      <c r="T112">
        <v>4.55</v>
      </c>
      <c r="U112"/>
      <c r="V112"/>
      <c r="W112" s="317">
        <v>3.9</v>
      </c>
      <c r="X112" s="190">
        <f t="shared" si="1"/>
        <v>41.73</v>
      </c>
      <c r="Y112" s="190"/>
      <c r="Z112" s="190"/>
    </row>
    <row r="113" spans="1:26" s="189" customFormat="1" ht="14.1" customHeight="1" x14ac:dyDescent="0.25">
      <c r="A113" s="191">
        <v>123</v>
      </c>
      <c r="B113" s="191">
        <v>2017</v>
      </c>
      <c r="C113" s="191">
        <v>7</v>
      </c>
      <c r="D113" s="191">
        <v>8</v>
      </c>
      <c r="E113"/>
      <c r="F113" s="191" t="s">
        <v>18</v>
      </c>
      <c r="G113"/>
      <c r="H113" s="191">
        <v>120</v>
      </c>
      <c r="I113" s="191">
        <v>12</v>
      </c>
      <c r="J113" s="191" t="s">
        <v>19</v>
      </c>
      <c r="K113" s="191" t="s">
        <v>20</v>
      </c>
      <c r="L113" s="191" t="s">
        <v>30</v>
      </c>
      <c r="M113" s="197"/>
      <c r="N113" s="197"/>
      <c r="O113" s="197"/>
      <c r="P113" s="104">
        <v>219</v>
      </c>
      <c r="Q113"/>
      <c r="R113">
        <v>12</v>
      </c>
      <c r="S113">
        <v>1728</v>
      </c>
      <c r="T113">
        <v>6.94</v>
      </c>
      <c r="U113"/>
      <c r="V113"/>
      <c r="W113" s="317">
        <v>4.5999999999999996</v>
      </c>
      <c r="X113" s="190">
        <f t="shared" si="1"/>
        <v>55.199999999999996</v>
      </c>
      <c r="Y113" s="190"/>
      <c r="Z113" s="190"/>
    </row>
    <row r="114" spans="1:26" s="189" customFormat="1" ht="14.1" customHeight="1" x14ac:dyDescent="0.25">
      <c r="A114" s="191">
        <v>124</v>
      </c>
      <c r="B114" s="191">
        <v>2017</v>
      </c>
      <c r="C114" s="191">
        <v>7</v>
      </c>
      <c r="D114" s="191">
        <v>8</v>
      </c>
      <c r="E114"/>
      <c r="F114" s="191" t="s">
        <v>18</v>
      </c>
      <c r="G114"/>
      <c r="H114" s="191">
        <v>125</v>
      </c>
      <c r="I114" s="191">
        <v>14.5</v>
      </c>
      <c r="J114" s="191" t="s">
        <v>19</v>
      </c>
      <c r="K114" s="191" t="s">
        <v>20</v>
      </c>
      <c r="L114" s="191" t="s">
        <v>30</v>
      </c>
      <c r="M114" s="191" t="s">
        <v>26</v>
      </c>
      <c r="N114" s="191" t="s">
        <v>24</v>
      </c>
      <c r="O114" s="197"/>
      <c r="P114" s="104">
        <v>219</v>
      </c>
      <c r="Q114"/>
      <c r="R114">
        <v>12.5</v>
      </c>
      <c r="S114">
        <v>1953.13</v>
      </c>
      <c r="T114">
        <v>7.42</v>
      </c>
      <c r="U114"/>
      <c r="V114"/>
      <c r="W114" s="317">
        <v>4.5999999999999996</v>
      </c>
      <c r="X114" s="190">
        <f t="shared" si="1"/>
        <v>66.699999999999989</v>
      </c>
      <c r="Y114" s="190"/>
      <c r="Z114" s="190"/>
    </row>
    <row r="115" spans="1:26" s="189" customFormat="1" ht="14.1" customHeight="1" x14ac:dyDescent="0.25">
      <c r="A115" s="191">
        <v>125</v>
      </c>
      <c r="B115" s="191">
        <v>2017</v>
      </c>
      <c r="C115" s="191">
        <v>7</v>
      </c>
      <c r="D115" s="191">
        <v>8</v>
      </c>
      <c r="E115"/>
      <c r="F115" s="191" t="s">
        <v>18</v>
      </c>
      <c r="G115"/>
      <c r="H115" s="191">
        <v>140</v>
      </c>
      <c r="I115" s="191">
        <v>15.5</v>
      </c>
      <c r="J115" s="191" t="s">
        <v>19</v>
      </c>
      <c r="K115" s="191" t="s">
        <v>20</v>
      </c>
      <c r="L115" s="191" t="s">
        <v>21</v>
      </c>
      <c r="M115" s="191" t="s">
        <v>22</v>
      </c>
      <c r="N115" s="191" t="s">
        <v>24</v>
      </c>
      <c r="O115" s="191" t="s">
        <v>427</v>
      </c>
      <c r="P115" s="104">
        <v>219</v>
      </c>
      <c r="Q115" t="s">
        <v>375</v>
      </c>
      <c r="R115">
        <v>14</v>
      </c>
      <c r="S115">
        <v>2744</v>
      </c>
      <c r="T115">
        <v>5.65</v>
      </c>
      <c r="U115"/>
      <c r="V115"/>
      <c r="W115" s="317">
        <v>3.9</v>
      </c>
      <c r="X115" s="190">
        <f t="shared" si="1"/>
        <v>60.449999999999996</v>
      </c>
      <c r="Y115" s="190"/>
      <c r="Z115" s="190"/>
    </row>
    <row r="116" spans="1:26" s="189" customFormat="1" ht="14.1" customHeight="1" x14ac:dyDescent="0.25">
      <c r="A116" s="191">
        <v>126</v>
      </c>
      <c r="B116" s="191">
        <v>2017</v>
      </c>
      <c r="C116" s="191">
        <v>7</v>
      </c>
      <c r="D116" s="191">
        <v>8</v>
      </c>
      <c r="E116"/>
      <c r="F116" s="191" t="s">
        <v>18</v>
      </c>
      <c r="G116"/>
      <c r="H116" s="191">
        <v>120</v>
      </c>
      <c r="I116" s="191">
        <v>10.199999999999999</v>
      </c>
      <c r="J116" s="191" t="s">
        <v>19</v>
      </c>
      <c r="K116" s="191" t="s">
        <v>20</v>
      </c>
      <c r="L116" s="191" t="s">
        <v>21</v>
      </c>
      <c r="M116" s="191" t="s">
        <v>26</v>
      </c>
      <c r="N116" s="191" t="s">
        <v>24</v>
      </c>
      <c r="O116" s="191" t="s">
        <v>428</v>
      </c>
      <c r="P116" s="104">
        <v>219</v>
      </c>
      <c r="Q116" t="s">
        <v>362</v>
      </c>
      <c r="R116">
        <v>12</v>
      </c>
      <c r="S116">
        <v>1728</v>
      </c>
      <c r="T116">
        <v>5.9</v>
      </c>
      <c r="U116"/>
      <c r="V116"/>
      <c r="W116" s="317">
        <v>3.9</v>
      </c>
      <c r="X116" s="190">
        <f t="shared" si="1"/>
        <v>39.779999999999994</v>
      </c>
      <c r="Y116" s="190"/>
      <c r="Z116" s="190"/>
    </row>
    <row r="117" spans="1:26" s="189" customFormat="1" ht="14.1" customHeight="1" x14ac:dyDescent="0.25">
      <c r="A117" s="191">
        <v>128</v>
      </c>
      <c r="B117" s="191">
        <v>2017</v>
      </c>
      <c r="C117" s="191">
        <v>7</v>
      </c>
      <c r="D117" s="191">
        <v>8</v>
      </c>
      <c r="E117"/>
      <c r="F117" s="191" t="s">
        <v>18</v>
      </c>
      <c r="G117"/>
      <c r="H117" s="191">
        <v>112</v>
      </c>
      <c r="I117" s="191">
        <v>10.5</v>
      </c>
      <c r="J117" s="191" t="s">
        <v>19</v>
      </c>
      <c r="K117" s="191" t="s">
        <v>20</v>
      </c>
      <c r="L117" s="191" t="s">
        <v>30</v>
      </c>
      <c r="M117" s="191" t="s">
        <v>26</v>
      </c>
      <c r="N117" s="191" t="s">
        <v>25</v>
      </c>
      <c r="O117" s="191" t="s">
        <v>430</v>
      </c>
      <c r="P117" s="104">
        <v>219</v>
      </c>
      <c r="Q117" t="s">
        <v>362</v>
      </c>
      <c r="R117">
        <v>11.2</v>
      </c>
      <c r="S117">
        <v>1404.93</v>
      </c>
      <c r="T117">
        <v>7.47</v>
      </c>
      <c r="U117"/>
      <c r="V117"/>
      <c r="W117" s="317">
        <v>4.5999999999999996</v>
      </c>
      <c r="X117" s="190">
        <f t="shared" si="1"/>
        <v>48.3</v>
      </c>
      <c r="Y117" s="190"/>
      <c r="Z117" s="190"/>
    </row>
    <row r="118" spans="1:26" s="189" customFormat="1" ht="14.1" customHeight="1" x14ac:dyDescent="0.25">
      <c r="A118" s="191">
        <v>129</v>
      </c>
      <c r="B118" s="191">
        <v>2017</v>
      </c>
      <c r="C118" s="191">
        <v>7</v>
      </c>
      <c r="D118" s="191">
        <v>8</v>
      </c>
      <c r="E118"/>
      <c r="F118" s="191" t="s">
        <v>18</v>
      </c>
      <c r="G118"/>
      <c r="H118" s="191">
        <v>130</v>
      </c>
      <c r="I118" s="191">
        <v>12.3</v>
      </c>
      <c r="J118" s="191" t="s">
        <v>19</v>
      </c>
      <c r="K118" s="191" t="s">
        <v>20</v>
      </c>
      <c r="L118" s="191" t="s">
        <v>30</v>
      </c>
      <c r="M118" s="191" t="s">
        <v>27</v>
      </c>
      <c r="N118" s="191" t="s">
        <v>24</v>
      </c>
      <c r="O118" s="191" t="s">
        <v>431</v>
      </c>
      <c r="P118" s="104">
        <v>219</v>
      </c>
      <c r="Q118" t="s">
        <v>362</v>
      </c>
      <c r="R118">
        <v>13</v>
      </c>
      <c r="S118">
        <v>2197</v>
      </c>
      <c r="T118">
        <v>5.6</v>
      </c>
      <c r="U118"/>
      <c r="V118"/>
      <c r="W118" s="317">
        <v>4.5999999999999996</v>
      </c>
      <c r="X118" s="190">
        <f t="shared" si="1"/>
        <v>56.58</v>
      </c>
      <c r="Y118" s="190"/>
      <c r="Z118" s="190"/>
    </row>
    <row r="119" spans="1:26" s="189" customFormat="1" ht="14.1" customHeight="1" x14ac:dyDescent="0.25">
      <c r="A119" s="191">
        <v>132</v>
      </c>
      <c r="B119" s="191">
        <v>2017</v>
      </c>
      <c r="C119" s="191">
        <v>7</v>
      </c>
      <c r="D119" s="191">
        <v>8</v>
      </c>
      <c r="E119"/>
      <c r="F119" s="191" t="s">
        <v>28</v>
      </c>
      <c r="G119"/>
      <c r="H119" s="197"/>
      <c r="I119" s="197"/>
      <c r="J119" s="191" t="s">
        <v>19</v>
      </c>
      <c r="K119" s="191" t="s">
        <v>20</v>
      </c>
      <c r="L119" s="197"/>
      <c r="M119" s="197"/>
      <c r="N119" s="191" t="s">
        <v>371</v>
      </c>
      <c r="O119" s="191" t="s">
        <v>434</v>
      </c>
      <c r="P119" s="104">
        <v>219</v>
      </c>
      <c r="Q119" t="s">
        <v>375</v>
      </c>
      <c r="R119"/>
      <c r="S119"/>
      <c r="T119"/>
      <c r="U119"/>
      <c r="V119"/>
      <c r="W119"/>
      <c r="X119" s="190"/>
      <c r="Y119" s="190"/>
      <c r="Z119" s="190"/>
    </row>
    <row r="120" spans="1:26" s="189" customFormat="1" ht="14.1" customHeight="1" x14ac:dyDescent="0.25">
      <c r="A120" s="191">
        <v>133</v>
      </c>
      <c r="B120" s="191">
        <v>2017</v>
      </c>
      <c r="C120" s="191">
        <v>7</v>
      </c>
      <c r="D120" s="191">
        <v>8</v>
      </c>
      <c r="E120"/>
      <c r="F120" s="191" t="s">
        <v>18</v>
      </c>
      <c r="G120"/>
      <c r="H120" s="191">
        <v>129</v>
      </c>
      <c r="I120" s="191">
        <v>10.4</v>
      </c>
      <c r="J120" s="191" t="s">
        <v>19</v>
      </c>
      <c r="K120" s="191" t="s">
        <v>20</v>
      </c>
      <c r="L120" s="191" t="s">
        <v>21</v>
      </c>
      <c r="M120" s="191" t="s">
        <v>22</v>
      </c>
      <c r="N120" s="191" t="s">
        <v>39</v>
      </c>
      <c r="O120"/>
      <c r="P120" s="104">
        <v>219</v>
      </c>
      <c r="Q120"/>
      <c r="R120">
        <v>12.9</v>
      </c>
      <c r="S120">
        <v>2146.69</v>
      </c>
      <c r="T120">
        <v>4.84</v>
      </c>
      <c r="U120"/>
      <c r="V120"/>
      <c r="W120" s="317">
        <v>3.9</v>
      </c>
      <c r="X120" s="190">
        <f t="shared" ref="X120:X155" si="2">I120*W120</f>
        <v>40.56</v>
      </c>
      <c r="Y120" s="190"/>
      <c r="Z120" s="190"/>
    </row>
    <row r="121" spans="1:26" s="189" customFormat="1" ht="14.1" customHeight="1" x14ac:dyDescent="0.25">
      <c r="A121" s="191">
        <v>134</v>
      </c>
      <c r="B121" s="191">
        <v>2017</v>
      </c>
      <c r="C121" s="191">
        <v>8</v>
      </c>
      <c r="D121" s="191">
        <v>8</v>
      </c>
      <c r="E121" s="191" t="s">
        <v>435</v>
      </c>
      <c r="F121" s="191" t="s">
        <v>28</v>
      </c>
      <c r="G121"/>
      <c r="H121" s="197"/>
      <c r="I121" s="197"/>
      <c r="J121" s="191" t="s">
        <v>19</v>
      </c>
      <c r="K121" s="191" t="s">
        <v>20</v>
      </c>
      <c r="L121" s="191" t="s">
        <v>21</v>
      </c>
      <c r="M121" s="197"/>
      <c r="N121" s="191" t="s">
        <v>378</v>
      </c>
      <c r="O121" s="191" t="s">
        <v>436</v>
      </c>
      <c r="P121" s="104">
        <v>220</v>
      </c>
      <c r="Q121" t="s">
        <v>375</v>
      </c>
      <c r="R121"/>
      <c r="S121"/>
      <c r="T121"/>
      <c r="U121"/>
      <c r="V121"/>
      <c r="W121" s="317">
        <v>3.9</v>
      </c>
      <c r="X121" s="190"/>
      <c r="Y121" s="190"/>
      <c r="Z121" s="190"/>
    </row>
    <row r="122" spans="1:26" s="189" customFormat="1" ht="14.1" customHeight="1" x14ac:dyDescent="0.25">
      <c r="A122" s="191">
        <v>135</v>
      </c>
      <c r="B122" s="191">
        <v>2017</v>
      </c>
      <c r="C122" s="191">
        <v>8</v>
      </c>
      <c r="D122" s="191">
        <v>8</v>
      </c>
      <c r="E122" s="191" t="s">
        <v>435</v>
      </c>
      <c r="F122" s="191" t="s">
        <v>18</v>
      </c>
      <c r="G122"/>
      <c r="H122" s="191">
        <v>120</v>
      </c>
      <c r="I122" s="191">
        <v>7</v>
      </c>
      <c r="J122" s="191" t="s">
        <v>19</v>
      </c>
      <c r="K122" s="191" t="s">
        <v>20</v>
      </c>
      <c r="L122" s="191" t="s">
        <v>30</v>
      </c>
      <c r="M122" s="191" t="s">
        <v>27</v>
      </c>
      <c r="N122" s="191" t="s">
        <v>25</v>
      </c>
      <c r="O122" s="191" t="s">
        <v>437</v>
      </c>
      <c r="P122" s="104">
        <v>220</v>
      </c>
      <c r="Q122" t="s">
        <v>362</v>
      </c>
      <c r="R122">
        <v>12</v>
      </c>
      <c r="S122">
        <v>1728</v>
      </c>
      <c r="T122">
        <v>4.05</v>
      </c>
      <c r="U122"/>
      <c r="V122"/>
      <c r="W122" s="317">
        <v>4.5999999999999996</v>
      </c>
      <c r="X122" s="190">
        <f t="shared" si="2"/>
        <v>32.199999999999996</v>
      </c>
      <c r="Y122" s="190"/>
      <c r="Z122" s="190"/>
    </row>
    <row r="123" spans="1:26" s="189" customFormat="1" ht="14.1" customHeight="1" x14ac:dyDescent="0.25">
      <c r="A123" s="191">
        <v>136</v>
      </c>
      <c r="B123" s="191">
        <v>2017</v>
      </c>
      <c r="C123" s="191">
        <v>8</v>
      </c>
      <c r="D123" s="191">
        <v>8</v>
      </c>
      <c r="E123" s="191" t="s">
        <v>435</v>
      </c>
      <c r="F123" s="191" t="s">
        <v>18</v>
      </c>
      <c r="G123"/>
      <c r="H123" s="191">
        <v>117</v>
      </c>
      <c r="I123" s="191">
        <v>7.8</v>
      </c>
      <c r="J123" s="191" t="s">
        <v>19</v>
      </c>
      <c r="K123" s="191" t="s">
        <v>20</v>
      </c>
      <c r="L123" s="191" t="s">
        <v>21</v>
      </c>
      <c r="M123" s="191" t="s">
        <v>22</v>
      </c>
      <c r="N123" s="191" t="s">
        <v>25</v>
      </c>
      <c r="O123"/>
      <c r="P123" s="104">
        <v>220</v>
      </c>
      <c r="Q123"/>
      <c r="R123">
        <v>11.7</v>
      </c>
      <c r="S123">
        <v>1601.61</v>
      </c>
      <c r="T123">
        <v>4.87</v>
      </c>
      <c r="U123"/>
      <c r="V123"/>
      <c r="W123" s="317">
        <v>3.9</v>
      </c>
      <c r="X123" s="190">
        <f t="shared" si="2"/>
        <v>30.419999999999998</v>
      </c>
      <c r="Y123" s="190"/>
      <c r="Z123" s="190"/>
    </row>
    <row r="124" spans="1:26" s="189" customFormat="1" ht="14.1" customHeight="1" x14ac:dyDescent="0.25">
      <c r="A124" s="191">
        <v>138</v>
      </c>
      <c r="B124" s="191">
        <v>2017</v>
      </c>
      <c r="C124" s="191">
        <v>8</v>
      </c>
      <c r="D124" s="191">
        <v>8</v>
      </c>
      <c r="E124" s="191" t="s">
        <v>435</v>
      </c>
      <c r="F124" s="191" t="s">
        <v>18</v>
      </c>
      <c r="G124"/>
      <c r="H124" s="191">
        <v>135</v>
      </c>
      <c r="I124" s="191">
        <v>12.6</v>
      </c>
      <c r="J124" s="191" t="s">
        <v>19</v>
      </c>
      <c r="K124" s="191" t="s">
        <v>20</v>
      </c>
      <c r="L124" s="191" t="s">
        <v>30</v>
      </c>
      <c r="M124" s="191" t="s">
        <v>26</v>
      </c>
      <c r="N124" s="191" t="s">
        <v>23</v>
      </c>
      <c r="O124" s="191" t="s">
        <v>438</v>
      </c>
      <c r="P124" s="104">
        <v>220</v>
      </c>
      <c r="Q124" t="s">
        <v>375</v>
      </c>
      <c r="R124">
        <v>13.5</v>
      </c>
      <c r="S124">
        <v>2460.38</v>
      </c>
      <c r="T124">
        <v>5.12</v>
      </c>
      <c r="U124"/>
      <c r="V124"/>
      <c r="W124" s="317">
        <v>4.5999999999999996</v>
      </c>
      <c r="X124" s="190">
        <f t="shared" si="2"/>
        <v>57.959999999999994</v>
      </c>
      <c r="Y124" s="190"/>
      <c r="Z124" s="190"/>
    </row>
    <row r="125" spans="1:26" s="189" customFormat="1" ht="14.1" customHeight="1" x14ac:dyDescent="0.25">
      <c r="A125" s="191">
        <v>139</v>
      </c>
      <c r="B125" s="191">
        <v>2017</v>
      </c>
      <c r="C125" s="191">
        <v>8</v>
      </c>
      <c r="D125" s="191">
        <v>8</v>
      </c>
      <c r="E125" s="191" t="s">
        <v>435</v>
      </c>
      <c r="F125" s="191" t="s">
        <v>18</v>
      </c>
      <c r="G125"/>
      <c r="H125" s="191">
        <v>115</v>
      </c>
      <c r="I125" s="191">
        <v>12.3</v>
      </c>
      <c r="J125" s="191" t="s">
        <v>19</v>
      </c>
      <c r="K125" s="191" t="s">
        <v>20</v>
      </c>
      <c r="L125" s="191" t="s">
        <v>30</v>
      </c>
      <c r="M125" s="191" t="s">
        <v>22</v>
      </c>
      <c r="N125" s="191" t="s">
        <v>25</v>
      </c>
      <c r="O125"/>
      <c r="P125" s="104">
        <v>220</v>
      </c>
      <c r="Q125"/>
      <c r="R125">
        <v>11.5</v>
      </c>
      <c r="S125">
        <v>1520.88</v>
      </c>
      <c r="T125">
        <v>8.09</v>
      </c>
      <c r="U125"/>
      <c r="V125"/>
      <c r="W125" s="317">
        <v>4.5999999999999996</v>
      </c>
      <c r="X125" s="190">
        <f t="shared" si="2"/>
        <v>56.58</v>
      </c>
      <c r="Y125" s="190"/>
      <c r="Z125" s="190"/>
    </row>
    <row r="126" spans="1:26" s="189" customFormat="1" ht="14.1" customHeight="1" x14ac:dyDescent="0.25">
      <c r="A126" s="191">
        <v>141</v>
      </c>
      <c r="B126" s="191">
        <v>2017</v>
      </c>
      <c r="C126" s="191">
        <v>8</v>
      </c>
      <c r="D126" s="191">
        <v>8</v>
      </c>
      <c r="E126" s="191" t="s">
        <v>435</v>
      </c>
      <c r="F126" s="191" t="s">
        <v>18</v>
      </c>
      <c r="G126"/>
      <c r="H126" s="191">
        <v>145</v>
      </c>
      <c r="I126" s="191">
        <v>14.9</v>
      </c>
      <c r="J126" s="191" t="s">
        <v>19</v>
      </c>
      <c r="K126" s="191" t="s">
        <v>20</v>
      </c>
      <c r="L126" s="191" t="s">
        <v>21</v>
      </c>
      <c r="M126" s="191" t="s">
        <v>27</v>
      </c>
      <c r="N126" s="191" t="s">
        <v>24</v>
      </c>
      <c r="O126" s="191" t="s">
        <v>441</v>
      </c>
      <c r="P126" s="104">
        <v>220</v>
      </c>
      <c r="Q126" t="s">
        <v>362</v>
      </c>
      <c r="R126">
        <v>14.5</v>
      </c>
      <c r="S126">
        <v>3048.63</v>
      </c>
      <c r="T126">
        <v>4.8899999999999997</v>
      </c>
      <c r="U126"/>
      <c r="V126"/>
      <c r="W126" s="317">
        <v>3.9</v>
      </c>
      <c r="X126" s="190">
        <f t="shared" si="2"/>
        <v>58.11</v>
      </c>
      <c r="Y126" s="190"/>
      <c r="Z126" s="190"/>
    </row>
    <row r="127" spans="1:26" s="189" customFormat="1" ht="14.1" customHeight="1" x14ac:dyDescent="0.25">
      <c r="A127" s="191">
        <v>142</v>
      </c>
      <c r="B127" s="191">
        <v>2017</v>
      </c>
      <c r="C127" s="191">
        <v>8</v>
      </c>
      <c r="D127" s="191">
        <v>8</v>
      </c>
      <c r="E127" s="191" t="s">
        <v>435</v>
      </c>
      <c r="F127" s="191" t="s">
        <v>18</v>
      </c>
      <c r="G127"/>
      <c r="H127" s="191">
        <v>127</v>
      </c>
      <c r="I127" s="191">
        <v>9.8000000000000007</v>
      </c>
      <c r="J127" s="191" t="s">
        <v>19</v>
      </c>
      <c r="K127" s="191" t="s">
        <v>20</v>
      </c>
      <c r="L127" s="191" t="s">
        <v>21</v>
      </c>
      <c r="M127" s="191" t="s">
        <v>26</v>
      </c>
      <c r="N127" s="191" t="s">
        <v>25</v>
      </c>
      <c r="O127" s="191" t="s">
        <v>442</v>
      </c>
      <c r="P127" s="104">
        <v>220</v>
      </c>
      <c r="Q127" t="s">
        <v>362</v>
      </c>
      <c r="R127">
        <v>12.7</v>
      </c>
      <c r="S127">
        <v>2048.38</v>
      </c>
      <c r="T127">
        <v>4.78</v>
      </c>
      <c r="U127"/>
      <c r="V127"/>
      <c r="W127" s="317">
        <v>3.9</v>
      </c>
      <c r="X127" s="190">
        <f t="shared" si="2"/>
        <v>38.22</v>
      </c>
      <c r="Y127" s="190"/>
      <c r="Z127" s="190"/>
    </row>
    <row r="128" spans="1:26" s="189" customFormat="1" ht="14.1" customHeight="1" x14ac:dyDescent="0.25">
      <c r="A128" s="191">
        <v>143</v>
      </c>
      <c r="B128" s="191">
        <v>2017</v>
      </c>
      <c r="C128" s="191">
        <v>8</v>
      </c>
      <c r="D128" s="191">
        <v>8</v>
      </c>
      <c r="E128" s="191" t="s">
        <v>435</v>
      </c>
      <c r="F128" s="191" t="s">
        <v>28</v>
      </c>
      <c r="G128"/>
      <c r="H128" s="197"/>
      <c r="I128" s="197"/>
      <c r="J128" s="191" t="s">
        <v>19</v>
      </c>
      <c r="K128" s="191" t="s">
        <v>20</v>
      </c>
      <c r="L128" s="191" t="s">
        <v>30</v>
      </c>
      <c r="M128" s="197"/>
      <c r="N128" s="191" t="s">
        <v>378</v>
      </c>
      <c r="O128" s="191" t="s">
        <v>443</v>
      </c>
      <c r="P128" s="104">
        <v>220</v>
      </c>
      <c r="Q128" t="s">
        <v>362</v>
      </c>
      <c r="R128"/>
      <c r="S128"/>
      <c r="T128"/>
      <c r="U128"/>
      <c r="V128"/>
      <c r="W128" s="317">
        <v>4.5999999999999996</v>
      </c>
      <c r="X128" s="190"/>
      <c r="Y128" s="190"/>
      <c r="Z128" s="190"/>
    </row>
    <row r="129" spans="1:26" s="189" customFormat="1" ht="14.1" customHeight="1" x14ac:dyDescent="0.25">
      <c r="A129" s="191">
        <v>144</v>
      </c>
      <c r="B129" s="191">
        <v>2017</v>
      </c>
      <c r="C129" s="191">
        <v>8</v>
      </c>
      <c r="D129" s="191">
        <v>8</v>
      </c>
      <c r="E129" s="191" t="s">
        <v>435</v>
      </c>
      <c r="F129" s="191" t="s">
        <v>18</v>
      </c>
      <c r="G129"/>
      <c r="H129" s="191">
        <v>110</v>
      </c>
      <c r="I129" s="191">
        <v>10.9</v>
      </c>
      <c r="J129" s="191" t="s">
        <v>19</v>
      </c>
      <c r="K129" s="191" t="s">
        <v>20</v>
      </c>
      <c r="L129" s="191" t="s">
        <v>30</v>
      </c>
      <c r="M129" s="191" t="s">
        <v>26</v>
      </c>
      <c r="N129" s="191" t="s">
        <v>25</v>
      </c>
      <c r="O129" s="191" t="s">
        <v>444</v>
      </c>
      <c r="P129" s="104">
        <v>220</v>
      </c>
      <c r="Q129" t="s">
        <v>362</v>
      </c>
      <c r="R129">
        <v>11</v>
      </c>
      <c r="S129">
        <v>1331</v>
      </c>
      <c r="T129">
        <v>8.19</v>
      </c>
      <c r="U129"/>
      <c r="V129"/>
      <c r="W129" s="317">
        <v>4.5999999999999996</v>
      </c>
      <c r="X129" s="190">
        <f t="shared" si="2"/>
        <v>50.14</v>
      </c>
      <c r="Y129" s="190"/>
      <c r="Z129" s="190"/>
    </row>
    <row r="130" spans="1:26" s="189" customFormat="1" ht="14.1" customHeight="1" x14ac:dyDescent="0.25">
      <c r="A130" s="191">
        <v>145</v>
      </c>
      <c r="B130" s="191">
        <v>2017</v>
      </c>
      <c r="C130" s="191">
        <v>8</v>
      </c>
      <c r="D130" s="191">
        <v>8</v>
      </c>
      <c r="E130" s="191" t="s">
        <v>435</v>
      </c>
      <c r="F130" s="191" t="s">
        <v>18</v>
      </c>
      <c r="G130"/>
      <c r="H130" s="191">
        <v>135</v>
      </c>
      <c r="I130" s="191">
        <v>10.8</v>
      </c>
      <c r="J130" s="191" t="s">
        <v>19</v>
      </c>
      <c r="K130" s="191" t="s">
        <v>20</v>
      </c>
      <c r="L130" s="191" t="s">
        <v>30</v>
      </c>
      <c r="M130" s="191" t="s">
        <v>22</v>
      </c>
      <c r="N130" s="191" t="s">
        <v>25</v>
      </c>
      <c r="O130" s="191" t="s">
        <v>445</v>
      </c>
      <c r="P130" s="104">
        <v>220</v>
      </c>
      <c r="Q130" t="s">
        <v>362</v>
      </c>
      <c r="R130">
        <v>13.5</v>
      </c>
      <c r="S130">
        <v>2460.38</v>
      </c>
      <c r="T130">
        <v>4.3899999999999997</v>
      </c>
      <c r="U130"/>
      <c r="V130"/>
      <c r="W130" s="317">
        <v>4.5999999999999996</v>
      </c>
      <c r="X130" s="190">
        <f t="shared" si="2"/>
        <v>49.68</v>
      </c>
      <c r="Y130" s="190"/>
      <c r="Z130" s="190"/>
    </row>
    <row r="131" spans="1:26" s="189" customFormat="1" ht="14.1" customHeight="1" x14ac:dyDescent="0.25">
      <c r="A131" s="191">
        <v>146</v>
      </c>
      <c r="B131" s="191">
        <v>2017</v>
      </c>
      <c r="C131" s="191">
        <v>8</v>
      </c>
      <c r="D131" s="191">
        <v>8</v>
      </c>
      <c r="E131" s="191" t="s">
        <v>435</v>
      </c>
      <c r="F131" s="191" t="s">
        <v>18</v>
      </c>
      <c r="G131"/>
      <c r="H131" s="197"/>
      <c r="I131" s="197"/>
      <c r="J131" s="191" t="s">
        <v>19</v>
      </c>
      <c r="K131" s="191" t="s">
        <v>20</v>
      </c>
      <c r="L131" s="191" t="s">
        <v>30</v>
      </c>
      <c r="M131" s="191" t="s">
        <v>26</v>
      </c>
      <c r="N131" s="191" t="s">
        <v>378</v>
      </c>
      <c r="O131" s="197"/>
      <c r="P131" s="104">
        <v>220</v>
      </c>
      <c r="Q131"/>
      <c r="R131"/>
      <c r="S131"/>
      <c r="T131"/>
      <c r="U131"/>
      <c r="V131"/>
      <c r="W131" s="317">
        <v>4.5999999999999996</v>
      </c>
      <c r="X131" s="190"/>
      <c r="Y131" s="190"/>
      <c r="Z131" s="190"/>
    </row>
    <row r="132" spans="1:26" s="189" customFormat="1" ht="14.1" customHeight="1" x14ac:dyDescent="0.25">
      <c r="A132" s="191">
        <v>149</v>
      </c>
      <c r="B132" s="191">
        <v>2017</v>
      </c>
      <c r="C132" s="191">
        <v>8</v>
      </c>
      <c r="D132" s="191">
        <v>8</v>
      </c>
      <c r="E132" s="191" t="s">
        <v>435</v>
      </c>
      <c r="F132" s="191" t="s">
        <v>18</v>
      </c>
      <c r="G132"/>
      <c r="H132" s="191">
        <v>140</v>
      </c>
      <c r="I132" s="191">
        <v>8.8000000000000007</v>
      </c>
      <c r="J132" s="191" t="s">
        <v>19</v>
      </c>
      <c r="K132" s="191" t="s">
        <v>20</v>
      </c>
      <c r="L132" s="191" t="s">
        <v>21</v>
      </c>
      <c r="M132" s="197"/>
      <c r="N132" s="191" t="s">
        <v>25</v>
      </c>
      <c r="O132" s="197"/>
      <c r="P132" s="104">
        <v>220</v>
      </c>
      <c r="Q132"/>
      <c r="R132">
        <v>14</v>
      </c>
      <c r="S132">
        <v>2744</v>
      </c>
      <c r="T132">
        <v>3.19</v>
      </c>
      <c r="U132"/>
      <c r="V132"/>
      <c r="W132" s="317">
        <v>3.9</v>
      </c>
      <c r="X132" s="190">
        <f t="shared" si="2"/>
        <v>34.32</v>
      </c>
      <c r="Y132" s="190"/>
      <c r="Z132" s="190"/>
    </row>
    <row r="133" spans="1:26" s="189" customFormat="1" ht="14.1" customHeight="1" x14ac:dyDescent="0.25">
      <c r="A133" s="191">
        <v>150</v>
      </c>
      <c r="B133" s="191">
        <v>2017</v>
      </c>
      <c r="C133" s="191">
        <v>8</v>
      </c>
      <c r="D133" s="191">
        <v>8</v>
      </c>
      <c r="E133" s="191" t="s">
        <v>435</v>
      </c>
      <c r="F133" s="191" t="s">
        <v>18</v>
      </c>
      <c r="G133"/>
      <c r="H133" s="191">
        <v>130</v>
      </c>
      <c r="I133" s="191">
        <v>6.3</v>
      </c>
      <c r="J133" s="191" t="s">
        <v>19</v>
      </c>
      <c r="K133" s="191" t="s">
        <v>20</v>
      </c>
      <c r="L133" s="191" t="s">
        <v>21</v>
      </c>
      <c r="M133" s="191" t="s">
        <v>22</v>
      </c>
      <c r="N133" s="191" t="s">
        <v>25</v>
      </c>
      <c r="O133" s="191" t="s">
        <v>447</v>
      </c>
      <c r="P133" s="104">
        <v>220</v>
      </c>
      <c r="Q133" t="s">
        <v>375</v>
      </c>
      <c r="R133">
        <v>13</v>
      </c>
      <c r="S133">
        <v>2197</v>
      </c>
      <c r="T133">
        <v>2.84</v>
      </c>
      <c r="U133"/>
      <c r="V133"/>
      <c r="W133" s="317">
        <v>3.9</v>
      </c>
      <c r="X133" s="190">
        <f t="shared" si="2"/>
        <v>24.57</v>
      </c>
      <c r="Y133" s="190"/>
      <c r="Z133" s="190"/>
    </row>
    <row r="134" spans="1:26" s="189" customFormat="1" ht="14.1" customHeight="1" x14ac:dyDescent="0.25">
      <c r="A134" s="191">
        <v>151</v>
      </c>
      <c r="B134" s="191">
        <v>2017</v>
      </c>
      <c r="C134" s="191">
        <v>8</v>
      </c>
      <c r="D134" s="191">
        <v>8</v>
      </c>
      <c r="E134" s="191" t="s">
        <v>435</v>
      </c>
      <c r="F134" s="191" t="s">
        <v>18</v>
      </c>
      <c r="G134"/>
      <c r="H134" s="191">
        <v>130</v>
      </c>
      <c r="I134" s="191">
        <v>13.5</v>
      </c>
      <c r="J134" s="191" t="s">
        <v>19</v>
      </c>
      <c r="K134" s="191" t="s">
        <v>20</v>
      </c>
      <c r="L134" s="191" t="s">
        <v>30</v>
      </c>
      <c r="M134" s="191" t="s">
        <v>22</v>
      </c>
      <c r="N134" s="191" t="s">
        <v>25</v>
      </c>
      <c r="O134"/>
      <c r="P134" s="104">
        <v>220</v>
      </c>
      <c r="Q134"/>
      <c r="R134">
        <v>13</v>
      </c>
      <c r="S134">
        <v>2197</v>
      </c>
      <c r="T134">
        <v>6.14</v>
      </c>
      <c r="U134"/>
      <c r="V134"/>
      <c r="W134" s="317">
        <v>4.5999999999999996</v>
      </c>
      <c r="X134" s="190">
        <f t="shared" si="2"/>
        <v>62.099999999999994</v>
      </c>
      <c r="Y134" s="190"/>
      <c r="Z134" s="190"/>
    </row>
    <row r="135" spans="1:26" s="189" customFormat="1" ht="14.1" customHeight="1" x14ac:dyDescent="0.25">
      <c r="A135" s="191">
        <v>152</v>
      </c>
      <c r="B135" s="191">
        <v>2017</v>
      </c>
      <c r="C135" s="191">
        <v>8</v>
      </c>
      <c r="D135" s="191">
        <v>8</v>
      </c>
      <c r="E135" s="191" t="s">
        <v>435</v>
      </c>
      <c r="F135" s="191" t="s">
        <v>18</v>
      </c>
      <c r="G135"/>
      <c r="H135" s="191">
        <v>135</v>
      </c>
      <c r="I135" s="191">
        <v>13</v>
      </c>
      <c r="J135" s="191" t="s">
        <v>19</v>
      </c>
      <c r="K135" s="191" t="s">
        <v>20</v>
      </c>
      <c r="L135" s="191" t="s">
        <v>21</v>
      </c>
      <c r="M135" s="191" t="s">
        <v>22</v>
      </c>
      <c r="N135" s="191" t="s">
        <v>33</v>
      </c>
      <c r="O135" s="197"/>
      <c r="P135" s="104">
        <v>220</v>
      </c>
      <c r="Q135"/>
      <c r="R135">
        <v>13.5</v>
      </c>
      <c r="S135">
        <v>2460.38</v>
      </c>
      <c r="T135">
        <v>5.28</v>
      </c>
      <c r="U135"/>
      <c r="V135"/>
      <c r="W135" s="317">
        <v>3.9</v>
      </c>
      <c r="X135" s="190">
        <f t="shared" si="2"/>
        <v>50.699999999999996</v>
      </c>
      <c r="Y135" s="190"/>
      <c r="Z135" s="190"/>
    </row>
    <row r="136" spans="1:26" s="189" customFormat="1" ht="14.1" customHeight="1" x14ac:dyDescent="0.25">
      <c r="A136" s="191">
        <v>153</v>
      </c>
      <c r="B136" s="191">
        <v>2017</v>
      </c>
      <c r="C136" s="191">
        <v>8</v>
      </c>
      <c r="D136" s="191">
        <v>8</v>
      </c>
      <c r="E136" s="191" t="s">
        <v>435</v>
      </c>
      <c r="F136" s="191" t="s">
        <v>18</v>
      </c>
      <c r="G136"/>
      <c r="H136" s="191">
        <v>135</v>
      </c>
      <c r="I136" s="191">
        <v>14.9</v>
      </c>
      <c r="J136" s="191" t="s">
        <v>19</v>
      </c>
      <c r="K136" s="191" t="s">
        <v>20</v>
      </c>
      <c r="L136" s="191" t="s">
        <v>30</v>
      </c>
      <c r="M136" s="197"/>
      <c r="N136" s="191" t="s">
        <v>23</v>
      </c>
      <c r="O136" s="191" t="s">
        <v>448</v>
      </c>
      <c r="P136" s="104">
        <v>220</v>
      </c>
      <c r="Q136" t="s">
        <v>375</v>
      </c>
      <c r="R136">
        <v>13.5</v>
      </c>
      <c r="S136">
        <v>2460.38</v>
      </c>
      <c r="T136">
        <v>6.06</v>
      </c>
      <c r="U136"/>
      <c r="V136"/>
      <c r="W136" s="317">
        <v>4.5999999999999996</v>
      </c>
      <c r="X136" s="190">
        <f t="shared" si="2"/>
        <v>68.539999999999992</v>
      </c>
      <c r="Y136" s="190"/>
      <c r="Z136" s="190"/>
    </row>
    <row r="137" spans="1:26" s="189" customFormat="1" ht="14.1" customHeight="1" x14ac:dyDescent="0.25">
      <c r="A137" s="191">
        <v>154</v>
      </c>
      <c r="B137" s="191">
        <v>2017</v>
      </c>
      <c r="C137" s="191">
        <v>8</v>
      </c>
      <c r="D137" s="191">
        <v>8</v>
      </c>
      <c r="E137" s="191" t="s">
        <v>435</v>
      </c>
      <c r="F137" s="191" t="s">
        <v>18</v>
      </c>
      <c r="G137"/>
      <c r="H137" s="191">
        <v>126</v>
      </c>
      <c r="I137" s="191">
        <v>7.5</v>
      </c>
      <c r="J137" s="191" t="s">
        <v>19</v>
      </c>
      <c r="K137" s="191" t="s">
        <v>20</v>
      </c>
      <c r="L137" s="191" t="s">
        <v>21</v>
      </c>
      <c r="M137" s="191" t="s">
        <v>22</v>
      </c>
      <c r="N137" s="191" t="s">
        <v>23</v>
      </c>
      <c r="O137" s="191" t="s">
        <v>449</v>
      </c>
      <c r="P137" s="104">
        <v>220</v>
      </c>
      <c r="Q137" t="s">
        <v>362</v>
      </c>
      <c r="R137">
        <v>12.6</v>
      </c>
      <c r="S137">
        <v>2000.38</v>
      </c>
      <c r="T137">
        <v>3.75</v>
      </c>
      <c r="U137"/>
      <c r="V137"/>
      <c r="W137" s="317">
        <v>3.9</v>
      </c>
      <c r="X137" s="190">
        <f t="shared" si="2"/>
        <v>29.25</v>
      </c>
      <c r="Y137" s="190"/>
      <c r="Z137" s="190"/>
    </row>
    <row r="138" spans="1:26" s="189" customFormat="1" ht="14.1" customHeight="1" x14ac:dyDescent="0.25">
      <c r="A138" s="191">
        <v>155</v>
      </c>
      <c r="B138" s="191">
        <v>2017</v>
      </c>
      <c r="C138" s="191">
        <v>8</v>
      </c>
      <c r="D138" s="191">
        <v>8</v>
      </c>
      <c r="E138" s="191" t="s">
        <v>435</v>
      </c>
      <c r="F138" s="191" t="s">
        <v>18</v>
      </c>
      <c r="G138"/>
      <c r="H138" s="191">
        <v>135</v>
      </c>
      <c r="I138" s="191">
        <v>14</v>
      </c>
      <c r="J138" s="191" t="s">
        <v>19</v>
      </c>
      <c r="K138" s="191" t="s">
        <v>20</v>
      </c>
      <c r="L138" s="191" t="s">
        <v>30</v>
      </c>
      <c r="M138" s="191" t="s">
        <v>26</v>
      </c>
      <c r="N138" s="191" t="s">
        <v>23</v>
      </c>
      <c r="O138"/>
      <c r="P138" s="104">
        <v>220</v>
      </c>
      <c r="Q138"/>
      <c r="R138">
        <v>13.5</v>
      </c>
      <c r="S138">
        <v>2460.38</v>
      </c>
      <c r="T138">
        <v>5.69</v>
      </c>
      <c r="U138"/>
      <c r="V138"/>
      <c r="W138" s="317">
        <v>4.5999999999999996</v>
      </c>
      <c r="X138" s="190">
        <f t="shared" si="2"/>
        <v>64.399999999999991</v>
      </c>
      <c r="Y138" s="190"/>
      <c r="Z138" s="190"/>
    </row>
    <row r="139" spans="1:26" s="189" customFormat="1" ht="14.1" customHeight="1" x14ac:dyDescent="0.25">
      <c r="A139" s="191">
        <v>156</v>
      </c>
      <c r="B139" s="191">
        <v>2017</v>
      </c>
      <c r="C139" s="191">
        <v>8</v>
      </c>
      <c r="D139" s="191">
        <v>8</v>
      </c>
      <c r="E139" s="191" t="s">
        <v>435</v>
      </c>
      <c r="F139" s="191" t="s">
        <v>18</v>
      </c>
      <c r="G139"/>
      <c r="H139" s="191">
        <v>130</v>
      </c>
      <c r="I139" s="191">
        <v>9.5</v>
      </c>
      <c r="J139" s="191" t="s">
        <v>19</v>
      </c>
      <c r="K139" s="191" t="s">
        <v>20</v>
      </c>
      <c r="L139" s="191" t="s">
        <v>21</v>
      </c>
      <c r="M139" s="191" t="s">
        <v>22</v>
      </c>
      <c r="N139" s="191" t="s">
        <v>25</v>
      </c>
      <c r="O139" s="197"/>
      <c r="P139" s="104">
        <v>220</v>
      </c>
      <c r="Q139"/>
      <c r="R139">
        <v>13</v>
      </c>
      <c r="S139">
        <v>2197</v>
      </c>
      <c r="T139">
        <v>4.32</v>
      </c>
      <c r="U139"/>
      <c r="V139"/>
      <c r="W139" s="317">
        <v>3.9</v>
      </c>
      <c r="X139" s="190">
        <f t="shared" si="2"/>
        <v>37.049999999999997</v>
      </c>
      <c r="Y139" s="190"/>
      <c r="Z139" s="190"/>
    </row>
    <row r="140" spans="1:26" s="189" customFormat="1" ht="14.1" customHeight="1" x14ac:dyDescent="0.25">
      <c r="A140" s="191">
        <v>157</v>
      </c>
      <c r="B140" s="191">
        <v>2017</v>
      </c>
      <c r="C140" s="191">
        <v>8</v>
      </c>
      <c r="D140" s="191">
        <v>8</v>
      </c>
      <c r="E140" s="191" t="s">
        <v>435</v>
      </c>
      <c r="F140" s="191" t="s">
        <v>18</v>
      </c>
      <c r="G140"/>
      <c r="H140" s="191">
        <v>100</v>
      </c>
      <c r="I140" s="191">
        <v>7.7</v>
      </c>
      <c r="J140" s="191" t="s">
        <v>19</v>
      </c>
      <c r="K140" s="191" t="s">
        <v>20</v>
      </c>
      <c r="L140" s="191" t="s">
        <v>21</v>
      </c>
      <c r="M140" s="191" t="s">
        <v>26</v>
      </c>
      <c r="N140" s="191" t="s">
        <v>25</v>
      </c>
      <c r="O140" s="191" t="s">
        <v>450</v>
      </c>
      <c r="P140" s="104">
        <v>220</v>
      </c>
      <c r="Q140" t="s">
        <v>362</v>
      </c>
      <c r="R140">
        <v>10</v>
      </c>
      <c r="S140">
        <v>1000</v>
      </c>
      <c r="T140">
        <v>7.7</v>
      </c>
      <c r="U140"/>
      <c r="V140"/>
      <c r="W140" s="317">
        <v>3.9</v>
      </c>
      <c r="X140" s="190">
        <f t="shared" si="2"/>
        <v>30.03</v>
      </c>
      <c r="Y140" s="190"/>
      <c r="Z140" s="190"/>
    </row>
    <row r="141" spans="1:26" s="189" customFormat="1" ht="14.1" customHeight="1" x14ac:dyDescent="0.25">
      <c r="A141" s="191">
        <v>158</v>
      </c>
      <c r="B141" s="191">
        <v>2017</v>
      </c>
      <c r="C141" s="191">
        <v>8</v>
      </c>
      <c r="D141" s="191">
        <v>8</v>
      </c>
      <c r="E141" s="191" t="s">
        <v>435</v>
      </c>
      <c r="F141" s="191" t="s">
        <v>18</v>
      </c>
      <c r="G141"/>
      <c r="H141" s="191">
        <v>128</v>
      </c>
      <c r="I141" s="191">
        <v>8.5</v>
      </c>
      <c r="J141" s="191" t="s">
        <v>19</v>
      </c>
      <c r="K141" s="191" t="s">
        <v>20</v>
      </c>
      <c r="L141" s="191" t="s">
        <v>21</v>
      </c>
      <c r="M141" s="191" t="s">
        <v>22</v>
      </c>
      <c r="N141" s="191" t="s">
        <v>25</v>
      </c>
      <c r="O141" s="191" t="s">
        <v>451</v>
      </c>
      <c r="P141" s="104">
        <v>220</v>
      </c>
      <c r="Q141" t="s">
        <v>362</v>
      </c>
      <c r="R141">
        <v>12.8</v>
      </c>
      <c r="S141">
        <v>2097.15</v>
      </c>
      <c r="T141">
        <v>4.05</v>
      </c>
      <c r="U141"/>
      <c r="V141"/>
      <c r="W141" s="317">
        <v>3.9</v>
      </c>
      <c r="X141" s="190">
        <f t="shared" si="2"/>
        <v>33.15</v>
      </c>
      <c r="Y141" s="190"/>
      <c r="Z141" s="190"/>
    </row>
    <row r="142" spans="1:26" s="189" customFormat="1" ht="14.1" customHeight="1" x14ac:dyDescent="0.25">
      <c r="A142" s="191">
        <v>160</v>
      </c>
      <c r="B142" s="191">
        <v>2017</v>
      </c>
      <c r="C142" s="191">
        <v>8</v>
      </c>
      <c r="D142" s="191">
        <v>8</v>
      </c>
      <c r="E142" s="192">
        <v>0.64583333333333337</v>
      </c>
      <c r="F142" s="191" t="s">
        <v>18</v>
      </c>
      <c r="G142"/>
      <c r="H142" s="191">
        <v>130</v>
      </c>
      <c r="I142" s="191">
        <v>9.5</v>
      </c>
      <c r="J142" s="191" t="s">
        <v>19</v>
      </c>
      <c r="K142" s="191" t="s">
        <v>20</v>
      </c>
      <c r="L142" s="191" t="s">
        <v>21</v>
      </c>
      <c r="M142" s="191" t="s">
        <v>22</v>
      </c>
      <c r="N142" s="191" t="s">
        <v>24</v>
      </c>
      <c r="O142" s="197"/>
      <c r="P142" s="104">
        <v>220</v>
      </c>
      <c r="Q142"/>
      <c r="R142">
        <v>13</v>
      </c>
      <c r="S142">
        <v>2197</v>
      </c>
      <c r="T142">
        <v>4.32</v>
      </c>
      <c r="U142"/>
      <c r="V142"/>
      <c r="W142" s="317">
        <v>3.9</v>
      </c>
      <c r="X142" s="190">
        <f t="shared" si="2"/>
        <v>37.049999999999997</v>
      </c>
      <c r="Y142" s="190"/>
      <c r="Z142" s="190"/>
    </row>
    <row r="143" spans="1:26" s="189" customFormat="1" ht="14.1" customHeight="1" x14ac:dyDescent="0.25">
      <c r="A143" s="191">
        <v>161</v>
      </c>
      <c r="B143" s="191">
        <v>2017</v>
      </c>
      <c r="C143" s="191">
        <v>8</v>
      </c>
      <c r="D143" s="191">
        <v>8</v>
      </c>
      <c r="E143" s="192">
        <v>0.64583333333333337</v>
      </c>
      <c r="F143" s="191" t="s">
        <v>28</v>
      </c>
      <c r="G143"/>
      <c r="H143" s="197"/>
      <c r="I143" s="197"/>
      <c r="J143" s="191" t="s">
        <v>19</v>
      </c>
      <c r="K143" s="191" t="s">
        <v>20</v>
      </c>
      <c r="L143" s="191" t="s">
        <v>30</v>
      </c>
      <c r="M143" s="197"/>
      <c r="N143" s="191" t="s">
        <v>371</v>
      </c>
      <c r="O143" s="197"/>
      <c r="P143" s="104">
        <v>220</v>
      </c>
      <c r="Q143"/>
      <c r="R143"/>
      <c r="S143"/>
      <c r="T143"/>
      <c r="U143"/>
      <c r="V143"/>
      <c r="W143" s="317">
        <v>4.5999999999999996</v>
      </c>
      <c r="X143" s="190"/>
      <c r="Y143" s="190"/>
      <c r="Z143" s="190"/>
    </row>
    <row r="144" spans="1:26" s="189" customFormat="1" ht="14.1" customHeight="1" x14ac:dyDescent="0.25">
      <c r="A144" s="191">
        <v>162</v>
      </c>
      <c r="B144" s="191">
        <v>2017</v>
      </c>
      <c r="C144" s="191">
        <v>8</v>
      </c>
      <c r="D144" s="191">
        <v>8</v>
      </c>
      <c r="E144" s="192">
        <v>0.64583333333333337</v>
      </c>
      <c r="F144" s="191" t="s">
        <v>18</v>
      </c>
      <c r="G144"/>
      <c r="H144" s="191">
        <v>127</v>
      </c>
      <c r="I144" s="191">
        <v>8.5</v>
      </c>
      <c r="J144" s="191" t="s">
        <v>19</v>
      </c>
      <c r="K144" s="191" t="s">
        <v>20</v>
      </c>
      <c r="L144" s="191" t="s">
        <v>21</v>
      </c>
      <c r="M144" s="191" t="s">
        <v>26</v>
      </c>
      <c r="N144" s="191" t="s">
        <v>25</v>
      </c>
      <c r="O144" s="191" t="s">
        <v>452</v>
      </c>
      <c r="P144" s="104">
        <v>220</v>
      </c>
      <c r="Q144" t="s">
        <v>362</v>
      </c>
      <c r="R144">
        <v>12.7</v>
      </c>
      <c r="S144">
        <v>2048.38</v>
      </c>
      <c r="T144">
        <v>4.1500000000000004</v>
      </c>
      <c r="U144"/>
      <c r="V144"/>
      <c r="W144" s="317">
        <v>3.9</v>
      </c>
      <c r="X144" s="190">
        <f t="shared" si="2"/>
        <v>33.15</v>
      </c>
      <c r="Y144" s="190"/>
      <c r="Z144" s="190"/>
    </row>
    <row r="145" spans="1:26" s="189" customFormat="1" ht="14.1" customHeight="1" x14ac:dyDescent="0.25">
      <c r="A145" s="191">
        <v>163</v>
      </c>
      <c r="B145" s="191">
        <v>2017</v>
      </c>
      <c r="C145" s="191">
        <v>8</v>
      </c>
      <c r="D145" s="191">
        <v>8</v>
      </c>
      <c r="E145" s="192">
        <v>0.64583333333333337</v>
      </c>
      <c r="F145" s="191" t="s">
        <v>18</v>
      </c>
      <c r="G145"/>
      <c r="H145" s="191">
        <v>120</v>
      </c>
      <c r="I145" s="191">
        <v>10.199999999999999</v>
      </c>
      <c r="J145" s="191" t="s">
        <v>19</v>
      </c>
      <c r="K145" s="191" t="s">
        <v>20</v>
      </c>
      <c r="L145" s="191" t="s">
        <v>30</v>
      </c>
      <c r="M145" s="191" t="s">
        <v>27</v>
      </c>
      <c r="N145" s="191" t="s">
        <v>25</v>
      </c>
      <c r="O145" s="197"/>
      <c r="P145" s="104">
        <v>220</v>
      </c>
      <c r="Q145"/>
      <c r="R145">
        <v>12</v>
      </c>
      <c r="S145">
        <v>1728</v>
      </c>
      <c r="T145">
        <v>5.9</v>
      </c>
      <c r="U145"/>
      <c r="V145"/>
      <c r="W145" s="317">
        <v>4.5999999999999996</v>
      </c>
      <c r="X145" s="190">
        <f t="shared" si="2"/>
        <v>46.919999999999995</v>
      </c>
      <c r="Y145" s="190"/>
      <c r="Z145" s="190"/>
    </row>
    <row r="146" spans="1:26" s="189" customFormat="1" ht="14.1" customHeight="1" x14ac:dyDescent="0.25">
      <c r="A146" s="191">
        <v>164</v>
      </c>
      <c r="B146" s="191">
        <v>2017</v>
      </c>
      <c r="C146" s="191">
        <v>8</v>
      </c>
      <c r="D146" s="191">
        <v>8</v>
      </c>
      <c r="E146" s="192">
        <v>0.64583333333333337</v>
      </c>
      <c r="F146" s="191" t="s">
        <v>28</v>
      </c>
      <c r="G146"/>
      <c r="H146" s="197"/>
      <c r="I146" s="197"/>
      <c r="J146" s="191" t="s">
        <v>19</v>
      </c>
      <c r="K146" s="191" t="s">
        <v>20</v>
      </c>
      <c r="L146" s="191" t="s">
        <v>21</v>
      </c>
      <c r="M146" s="197"/>
      <c r="N146" s="191" t="s">
        <v>378</v>
      </c>
      <c r="O146" s="197"/>
      <c r="P146" s="104">
        <v>220</v>
      </c>
      <c r="Q146"/>
      <c r="R146"/>
      <c r="S146"/>
      <c r="T146"/>
      <c r="U146"/>
      <c r="V146"/>
      <c r="W146" s="317">
        <v>3.9</v>
      </c>
      <c r="X146" s="190"/>
      <c r="Y146" s="190"/>
      <c r="Z146" s="190"/>
    </row>
    <row r="147" spans="1:26" s="189" customFormat="1" ht="14.1" customHeight="1" x14ac:dyDescent="0.25">
      <c r="A147" s="191">
        <v>165</v>
      </c>
      <c r="B147" s="191">
        <v>2017</v>
      </c>
      <c r="C147" s="191">
        <v>8</v>
      </c>
      <c r="D147" s="191">
        <v>8</v>
      </c>
      <c r="E147" s="192">
        <v>0.64583333333333337</v>
      </c>
      <c r="F147" s="191" t="s">
        <v>18</v>
      </c>
      <c r="G147"/>
      <c r="H147" s="191">
        <v>115</v>
      </c>
      <c r="I147" s="191">
        <v>9.8000000000000007</v>
      </c>
      <c r="J147" s="191" t="s">
        <v>19</v>
      </c>
      <c r="K147" s="191" t="s">
        <v>20</v>
      </c>
      <c r="L147" s="191" t="s">
        <v>21</v>
      </c>
      <c r="M147" s="197"/>
      <c r="N147" s="191" t="s">
        <v>25</v>
      </c>
      <c r="O147" s="191" t="s">
        <v>453</v>
      </c>
      <c r="P147" s="104">
        <v>220</v>
      </c>
      <c r="Q147" t="s">
        <v>362</v>
      </c>
      <c r="R147">
        <v>11.5</v>
      </c>
      <c r="S147">
        <v>1520.88</v>
      </c>
      <c r="T147">
        <v>6.44</v>
      </c>
      <c r="U147"/>
      <c r="V147"/>
      <c r="W147" s="317">
        <v>3.9</v>
      </c>
      <c r="X147" s="190">
        <f t="shared" si="2"/>
        <v>38.22</v>
      </c>
      <c r="Y147" s="190"/>
      <c r="Z147" s="190"/>
    </row>
    <row r="148" spans="1:26" s="189" customFormat="1" ht="14.1" customHeight="1" x14ac:dyDescent="0.25">
      <c r="A148" s="191">
        <v>166</v>
      </c>
      <c r="B148" s="191">
        <v>2017</v>
      </c>
      <c r="C148" s="191">
        <v>8</v>
      </c>
      <c r="D148" s="191">
        <v>8</v>
      </c>
      <c r="E148" s="192">
        <v>0.64583333333333337</v>
      </c>
      <c r="F148" s="191" t="s">
        <v>18</v>
      </c>
      <c r="G148"/>
      <c r="H148" s="191">
        <v>115</v>
      </c>
      <c r="I148" s="191">
        <v>7.5</v>
      </c>
      <c r="J148" s="191" t="s">
        <v>19</v>
      </c>
      <c r="K148" s="191" t="s">
        <v>20</v>
      </c>
      <c r="L148" s="191" t="s">
        <v>21</v>
      </c>
      <c r="M148" s="191" t="s">
        <v>26</v>
      </c>
      <c r="N148" s="191" t="s">
        <v>25</v>
      </c>
      <c r="O148" s="197"/>
      <c r="P148" s="104">
        <v>220</v>
      </c>
      <c r="Q148"/>
      <c r="R148">
        <v>11.5</v>
      </c>
      <c r="S148">
        <v>1520.88</v>
      </c>
      <c r="T148">
        <v>4.93</v>
      </c>
      <c r="U148"/>
      <c r="V148"/>
      <c r="W148" s="317">
        <v>3.9</v>
      </c>
      <c r="X148" s="190">
        <f t="shared" si="2"/>
        <v>29.25</v>
      </c>
      <c r="Y148" s="190"/>
      <c r="Z148" s="190"/>
    </row>
    <row r="149" spans="1:26" s="189" customFormat="1" ht="14.1" customHeight="1" x14ac:dyDescent="0.25">
      <c r="A149" s="191">
        <v>167</v>
      </c>
      <c r="B149" s="191">
        <v>2017</v>
      </c>
      <c r="C149" s="191">
        <v>8</v>
      </c>
      <c r="D149" s="191">
        <v>8</v>
      </c>
      <c r="E149" s="192">
        <v>0.64583333333333337</v>
      </c>
      <c r="F149" s="191" t="s">
        <v>18</v>
      </c>
      <c r="G149"/>
      <c r="H149" s="197"/>
      <c r="I149" s="197"/>
      <c r="J149" s="191" t="s">
        <v>19</v>
      </c>
      <c r="K149" s="191" t="s">
        <v>20</v>
      </c>
      <c r="L149" s="191" t="s">
        <v>30</v>
      </c>
      <c r="M149"/>
      <c r="N149" s="191" t="s">
        <v>378</v>
      </c>
      <c r="O149"/>
      <c r="P149" s="104">
        <v>220</v>
      </c>
      <c r="Q149"/>
      <c r="R149"/>
      <c r="S149"/>
      <c r="T149"/>
      <c r="U149"/>
      <c r="V149"/>
      <c r="W149" s="317">
        <v>4.5999999999999996</v>
      </c>
      <c r="X149" s="190"/>
      <c r="Y149" s="190"/>
      <c r="Z149" s="190"/>
    </row>
    <row r="150" spans="1:26" s="189" customFormat="1" ht="14.1" customHeight="1" x14ac:dyDescent="0.25">
      <c r="A150" s="191">
        <v>168</v>
      </c>
      <c r="B150" s="191">
        <v>2017</v>
      </c>
      <c r="C150" s="191">
        <v>8</v>
      </c>
      <c r="D150" s="191">
        <v>8</v>
      </c>
      <c r="E150" s="192">
        <v>0.64583333333333337</v>
      </c>
      <c r="F150" s="191" t="s">
        <v>18</v>
      </c>
      <c r="G150"/>
      <c r="H150" s="191">
        <v>123</v>
      </c>
      <c r="I150" s="191">
        <v>9.5</v>
      </c>
      <c r="J150" s="191" t="s">
        <v>19</v>
      </c>
      <c r="K150" s="191" t="s">
        <v>20</v>
      </c>
      <c r="L150" s="191" t="s">
        <v>30</v>
      </c>
      <c r="M150" s="191" t="s">
        <v>26</v>
      </c>
      <c r="N150" s="191" t="s">
        <v>25</v>
      </c>
      <c r="O150" s="191" t="s">
        <v>454</v>
      </c>
      <c r="P150" s="104">
        <v>220</v>
      </c>
      <c r="Q150" t="s">
        <v>375</v>
      </c>
      <c r="R150">
        <v>12.3</v>
      </c>
      <c r="S150">
        <v>1860.87</v>
      </c>
      <c r="T150">
        <v>5.1100000000000003</v>
      </c>
      <c r="U150"/>
      <c r="V150"/>
      <c r="W150" s="317">
        <v>4.5999999999999996</v>
      </c>
      <c r="X150" s="190">
        <f t="shared" si="2"/>
        <v>43.699999999999996</v>
      </c>
      <c r="Y150" s="190"/>
      <c r="Z150" s="190"/>
    </row>
    <row r="151" spans="1:26" s="189" customFormat="1" ht="14.1" customHeight="1" x14ac:dyDescent="0.25">
      <c r="A151" s="191">
        <v>169</v>
      </c>
      <c r="B151" s="191">
        <v>2017</v>
      </c>
      <c r="C151" s="191">
        <v>8</v>
      </c>
      <c r="D151" s="191">
        <v>8</v>
      </c>
      <c r="E151" s="192">
        <v>0.64583333333333337</v>
      </c>
      <c r="F151" s="191" t="s">
        <v>18</v>
      </c>
      <c r="G151"/>
      <c r="H151" s="191">
        <v>125</v>
      </c>
      <c r="I151" s="191">
        <v>12.9</v>
      </c>
      <c r="J151" s="191" t="s">
        <v>19</v>
      </c>
      <c r="K151" s="191" t="s">
        <v>20</v>
      </c>
      <c r="L151" s="191" t="s">
        <v>30</v>
      </c>
      <c r="M151" s="191" t="s">
        <v>22</v>
      </c>
      <c r="N151" s="191" t="s">
        <v>25</v>
      </c>
      <c r="O151" s="197"/>
      <c r="P151" s="104">
        <v>220</v>
      </c>
      <c r="Q151"/>
      <c r="R151">
        <v>12.5</v>
      </c>
      <c r="S151">
        <v>1953.13</v>
      </c>
      <c r="T151">
        <v>6.6</v>
      </c>
      <c r="U151"/>
      <c r="V151"/>
      <c r="W151" s="317">
        <v>4.5999999999999996</v>
      </c>
      <c r="X151" s="190">
        <f t="shared" si="2"/>
        <v>59.339999999999996</v>
      </c>
      <c r="Y151" s="190"/>
      <c r="Z151" s="190"/>
    </row>
    <row r="152" spans="1:26" s="189" customFormat="1" ht="14.1" customHeight="1" x14ac:dyDescent="0.25">
      <c r="A152" s="191">
        <v>170</v>
      </c>
      <c r="B152" s="191">
        <v>2017</v>
      </c>
      <c r="C152" s="191">
        <v>8</v>
      </c>
      <c r="D152" s="191">
        <v>8</v>
      </c>
      <c r="E152" s="192">
        <v>0.64583333333333337</v>
      </c>
      <c r="F152" s="191" t="s">
        <v>18</v>
      </c>
      <c r="G152"/>
      <c r="H152" s="191">
        <v>116</v>
      </c>
      <c r="I152" s="191">
        <v>8.6</v>
      </c>
      <c r="J152" s="191" t="s">
        <v>19</v>
      </c>
      <c r="K152" s="191" t="s">
        <v>20</v>
      </c>
      <c r="L152" s="191" t="s">
        <v>21</v>
      </c>
      <c r="M152" s="191" t="s">
        <v>22</v>
      </c>
      <c r="N152" s="191" t="s">
        <v>25</v>
      </c>
      <c r="O152" s="191" t="s">
        <v>455</v>
      </c>
      <c r="P152" s="104">
        <v>220</v>
      </c>
      <c r="Q152" t="s">
        <v>375</v>
      </c>
      <c r="R152">
        <v>11.6</v>
      </c>
      <c r="S152">
        <v>1560.9</v>
      </c>
      <c r="T152">
        <v>5.51</v>
      </c>
      <c r="U152"/>
      <c r="V152"/>
      <c r="W152" s="317">
        <v>3.9</v>
      </c>
      <c r="X152" s="190">
        <f t="shared" si="2"/>
        <v>33.54</v>
      </c>
      <c r="Y152" s="190"/>
      <c r="Z152" s="190"/>
    </row>
    <row r="153" spans="1:26" s="189" customFormat="1" ht="14.1" customHeight="1" x14ac:dyDescent="0.25">
      <c r="A153" s="191">
        <v>172</v>
      </c>
      <c r="B153" s="191">
        <v>2017</v>
      </c>
      <c r="C153" s="191">
        <v>8</v>
      </c>
      <c r="D153" s="191">
        <v>8</v>
      </c>
      <c r="E153" s="192">
        <v>0.64583333333333337</v>
      </c>
      <c r="F153" s="191" t="s">
        <v>18</v>
      </c>
      <c r="G153"/>
      <c r="H153" s="191">
        <v>140</v>
      </c>
      <c r="I153" s="191">
        <v>16.3</v>
      </c>
      <c r="J153" s="191" t="s">
        <v>19</v>
      </c>
      <c r="K153" s="191" t="s">
        <v>20</v>
      </c>
      <c r="L153" s="191" t="s">
        <v>30</v>
      </c>
      <c r="M153" s="191" t="s">
        <v>22</v>
      </c>
      <c r="N153" s="191" t="s">
        <v>23</v>
      </c>
      <c r="O153" s="191" t="s">
        <v>457</v>
      </c>
      <c r="P153" s="104">
        <v>220</v>
      </c>
      <c r="Q153" t="s">
        <v>362</v>
      </c>
      <c r="R153">
        <v>14</v>
      </c>
      <c r="S153">
        <v>2744</v>
      </c>
      <c r="T153">
        <v>5.94</v>
      </c>
      <c r="U153"/>
      <c r="V153"/>
      <c r="W153" s="317">
        <v>4.5999999999999996</v>
      </c>
      <c r="X153" s="190">
        <f t="shared" si="2"/>
        <v>74.98</v>
      </c>
      <c r="Y153" s="190"/>
      <c r="Z153" s="190"/>
    </row>
    <row r="154" spans="1:26" s="189" customFormat="1" ht="14.1" customHeight="1" x14ac:dyDescent="0.25">
      <c r="A154" s="191">
        <v>173</v>
      </c>
      <c r="B154" s="191">
        <v>2017</v>
      </c>
      <c r="C154" s="191">
        <v>8</v>
      </c>
      <c r="D154" s="191">
        <v>8</v>
      </c>
      <c r="E154" s="192">
        <v>0.64583333333333337</v>
      </c>
      <c r="F154" s="191" t="s">
        <v>18</v>
      </c>
      <c r="G154"/>
      <c r="H154" s="191">
        <v>123</v>
      </c>
      <c r="I154" s="191">
        <v>11</v>
      </c>
      <c r="J154" s="191" t="s">
        <v>19</v>
      </c>
      <c r="K154" s="191" t="s">
        <v>20</v>
      </c>
      <c r="L154" s="191" t="s">
        <v>30</v>
      </c>
      <c r="M154" s="191" t="s">
        <v>26</v>
      </c>
      <c r="N154" s="191" t="s">
        <v>33</v>
      </c>
      <c r="O154" s="197"/>
      <c r="P154" s="104">
        <v>220</v>
      </c>
      <c r="Q154"/>
      <c r="R154">
        <v>12.3</v>
      </c>
      <c r="S154">
        <v>1860.87</v>
      </c>
      <c r="T154">
        <v>5.91</v>
      </c>
      <c r="U154"/>
      <c r="V154"/>
      <c r="W154" s="317">
        <v>4.5999999999999996</v>
      </c>
      <c r="X154" s="190">
        <f t="shared" si="2"/>
        <v>50.599999999999994</v>
      </c>
      <c r="Y154" s="190"/>
      <c r="Z154" s="190"/>
    </row>
    <row r="155" spans="1:26" s="189" customFormat="1" ht="14.1" customHeight="1" x14ac:dyDescent="0.25">
      <c r="A155" s="191">
        <v>174</v>
      </c>
      <c r="B155" s="191">
        <v>2017</v>
      </c>
      <c r="C155" s="191">
        <v>9</v>
      </c>
      <c r="D155" s="191">
        <v>8</v>
      </c>
      <c r="E155" s="197"/>
      <c r="F155" s="191" t="s">
        <v>18</v>
      </c>
      <c r="G155"/>
      <c r="H155" s="191">
        <v>110</v>
      </c>
      <c r="I155" s="191">
        <v>11</v>
      </c>
      <c r="J155" s="191" t="s">
        <v>19</v>
      </c>
      <c r="K155" s="191" t="s">
        <v>20</v>
      </c>
      <c r="L155" s="191" t="s">
        <v>30</v>
      </c>
      <c r="M155" s="191" t="s">
        <v>22</v>
      </c>
      <c r="N155" s="191" t="s">
        <v>25</v>
      </c>
      <c r="O155" s="191" t="s">
        <v>458</v>
      </c>
      <c r="P155" s="104">
        <v>221</v>
      </c>
      <c r="Q155" t="s">
        <v>362</v>
      </c>
      <c r="R155">
        <v>11</v>
      </c>
      <c r="S155">
        <v>1331</v>
      </c>
      <c r="T155">
        <v>8.26</v>
      </c>
      <c r="U155"/>
      <c r="V155"/>
      <c r="W155" s="317">
        <v>4.5999999999999996</v>
      </c>
      <c r="X155" s="190">
        <f t="shared" si="2"/>
        <v>50.599999999999994</v>
      </c>
      <c r="Y155" s="190"/>
      <c r="Z155" s="190"/>
    </row>
    <row r="156" spans="1:26" s="189" customFormat="1" ht="14.1" customHeight="1" x14ac:dyDescent="0.25">
      <c r="A156" s="191">
        <v>175</v>
      </c>
      <c r="B156" s="191">
        <v>2017</v>
      </c>
      <c r="C156" s="191">
        <v>9</v>
      </c>
      <c r="D156" s="191">
        <v>8</v>
      </c>
      <c r="E156" s="197"/>
      <c r="F156" s="191" t="s">
        <v>18</v>
      </c>
      <c r="G156"/>
      <c r="H156" s="197"/>
      <c r="I156" s="197"/>
      <c r="J156" s="191" t="s">
        <v>19</v>
      </c>
      <c r="K156" s="191" t="s">
        <v>20</v>
      </c>
      <c r="L156" s="197"/>
      <c r="M156" s="197"/>
      <c r="N156" s="191" t="s">
        <v>378</v>
      </c>
      <c r="O156" s="191" t="s">
        <v>459</v>
      </c>
      <c r="P156" s="104">
        <v>221</v>
      </c>
      <c r="Q156" t="s">
        <v>362</v>
      </c>
      <c r="R156"/>
      <c r="S156"/>
      <c r="T156"/>
      <c r="U156"/>
      <c r="V156"/>
      <c r="W156"/>
      <c r="X156" s="190"/>
      <c r="Y156" s="190"/>
      <c r="Z156" s="190"/>
    </row>
    <row r="157" spans="1:26" s="189" customFormat="1" ht="14.1" customHeight="1" x14ac:dyDescent="0.25">
      <c r="A157" s="191">
        <v>176</v>
      </c>
      <c r="B157" s="191">
        <v>2017</v>
      </c>
      <c r="C157" s="191">
        <v>9</v>
      </c>
      <c r="D157" s="191">
        <v>8</v>
      </c>
      <c r="E157" s="197"/>
      <c r="F157" s="191" t="s">
        <v>18</v>
      </c>
      <c r="G157"/>
      <c r="H157" s="191">
        <v>105</v>
      </c>
      <c r="I157" s="191">
        <v>9.3000000000000007</v>
      </c>
      <c r="J157" s="191" t="s">
        <v>19</v>
      </c>
      <c r="K157" s="191" t="s">
        <v>20</v>
      </c>
      <c r="L157" s="191" t="s">
        <v>21</v>
      </c>
      <c r="M157" s="191" t="s">
        <v>22</v>
      </c>
      <c r="N157" s="191" t="s">
        <v>25</v>
      </c>
      <c r="O157"/>
      <c r="P157" s="104">
        <v>221</v>
      </c>
      <c r="Q157"/>
      <c r="R157">
        <v>10.5</v>
      </c>
      <c r="S157">
        <v>1157.6300000000001</v>
      </c>
      <c r="T157">
        <v>8.0299999999999994</v>
      </c>
      <c r="U157"/>
      <c r="V157"/>
      <c r="W157" s="317">
        <v>3.9</v>
      </c>
      <c r="X157" s="190">
        <f t="shared" ref="X157:X191" si="3">I157*W157</f>
        <v>36.270000000000003</v>
      </c>
      <c r="Y157" s="190"/>
      <c r="Z157" s="190"/>
    </row>
    <row r="158" spans="1:26" s="189" customFormat="1" ht="14.1" customHeight="1" x14ac:dyDescent="0.25">
      <c r="A158" s="191">
        <v>177</v>
      </c>
      <c r="B158" s="191">
        <v>2017</v>
      </c>
      <c r="C158" s="191">
        <v>9</v>
      </c>
      <c r="D158" s="191">
        <v>8</v>
      </c>
      <c r="E158" s="197"/>
      <c r="F158" s="191" t="s">
        <v>18</v>
      </c>
      <c r="G158"/>
      <c r="H158" s="191">
        <v>117</v>
      </c>
      <c r="I158" s="191">
        <v>7.1</v>
      </c>
      <c r="J158" s="191" t="s">
        <v>19</v>
      </c>
      <c r="K158" s="191" t="s">
        <v>20</v>
      </c>
      <c r="L158" s="191" t="s">
        <v>30</v>
      </c>
      <c r="M158" s="191" t="s">
        <v>27</v>
      </c>
      <c r="N158" s="191" t="s">
        <v>39</v>
      </c>
      <c r="O158" s="197"/>
      <c r="P158" s="104">
        <v>221</v>
      </c>
      <c r="Q158"/>
      <c r="R158">
        <v>11.7</v>
      </c>
      <c r="S158">
        <v>1601.61</v>
      </c>
      <c r="T158">
        <v>4.43</v>
      </c>
      <c r="U158"/>
      <c r="V158"/>
      <c r="W158" s="317">
        <v>4.5999999999999996</v>
      </c>
      <c r="X158" s="190">
        <f t="shared" si="3"/>
        <v>32.659999999999997</v>
      </c>
      <c r="Y158" s="190"/>
      <c r="Z158" s="190"/>
    </row>
    <row r="159" spans="1:26" s="189" customFormat="1" ht="14.1" customHeight="1" x14ac:dyDescent="0.25">
      <c r="A159" s="191">
        <v>179</v>
      </c>
      <c r="B159" s="191">
        <v>2017</v>
      </c>
      <c r="C159" s="191">
        <v>9</v>
      </c>
      <c r="D159" s="191">
        <v>8</v>
      </c>
      <c r="E159" s="197"/>
      <c r="F159" s="191" t="s">
        <v>18</v>
      </c>
      <c r="G159"/>
      <c r="H159" s="197"/>
      <c r="I159" s="197"/>
      <c r="J159" s="191" t="s">
        <v>19</v>
      </c>
      <c r="K159" s="191" t="s">
        <v>20</v>
      </c>
      <c r="L159" s="191" t="s">
        <v>30</v>
      </c>
      <c r="M159" s="197"/>
      <c r="N159" s="191" t="s">
        <v>378</v>
      </c>
      <c r="O159" s="197"/>
      <c r="P159" s="104">
        <v>221</v>
      </c>
      <c r="Q159"/>
      <c r="R159"/>
      <c r="S159"/>
      <c r="T159"/>
      <c r="U159"/>
      <c r="V159"/>
      <c r="W159" s="317">
        <v>4.5999999999999996</v>
      </c>
      <c r="X159" s="190"/>
      <c r="Y159" s="190"/>
      <c r="Z159" s="190"/>
    </row>
    <row r="160" spans="1:26" s="189" customFormat="1" ht="14.1" customHeight="1" x14ac:dyDescent="0.25">
      <c r="A160" s="191">
        <v>180</v>
      </c>
      <c r="B160" s="191">
        <v>2017</v>
      </c>
      <c r="C160" s="191">
        <v>9</v>
      </c>
      <c r="D160" s="191">
        <v>8</v>
      </c>
      <c r="E160" s="197"/>
      <c r="F160" s="191" t="s">
        <v>18</v>
      </c>
      <c r="G160"/>
      <c r="H160" s="191">
        <v>125</v>
      </c>
      <c r="I160" s="191">
        <v>11.7</v>
      </c>
      <c r="J160" s="191" t="s">
        <v>19</v>
      </c>
      <c r="K160" s="191" t="s">
        <v>20</v>
      </c>
      <c r="L160" s="191" t="s">
        <v>21</v>
      </c>
      <c r="M160" s="191" t="s">
        <v>22</v>
      </c>
      <c r="N160" s="191" t="s">
        <v>25</v>
      </c>
      <c r="O160"/>
      <c r="P160" s="104">
        <v>221</v>
      </c>
      <c r="Q160"/>
      <c r="R160">
        <v>12.5</v>
      </c>
      <c r="S160">
        <v>1953.13</v>
      </c>
      <c r="T160">
        <v>5.99</v>
      </c>
      <c r="U160"/>
      <c r="V160"/>
      <c r="W160" s="317">
        <v>3.9</v>
      </c>
      <c r="X160" s="190">
        <f t="shared" si="3"/>
        <v>45.629999999999995</v>
      </c>
      <c r="Y160" s="190"/>
      <c r="Z160" s="190"/>
    </row>
    <row r="161" spans="1:26" s="189" customFormat="1" ht="14.1" customHeight="1" x14ac:dyDescent="0.25">
      <c r="A161" s="191">
        <v>181</v>
      </c>
      <c r="B161" s="191">
        <v>2017</v>
      </c>
      <c r="C161" s="191">
        <v>9</v>
      </c>
      <c r="D161" s="191">
        <v>8</v>
      </c>
      <c r="E161" s="197"/>
      <c r="F161" s="191" t="s">
        <v>18</v>
      </c>
      <c r="G161"/>
      <c r="H161" s="191">
        <v>115</v>
      </c>
      <c r="I161" s="191">
        <v>12.5</v>
      </c>
      <c r="J161" s="191" t="s">
        <v>19</v>
      </c>
      <c r="K161" s="191" t="s">
        <v>20</v>
      </c>
      <c r="L161" s="191" t="s">
        <v>30</v>
      </c>
      <c r="M161" s="191" t="s">
        <v>22</v>
      </c>
      <c r="N161" s="191" t="s">
        <v>25</v>
      </c>
      <c r="O161"/>
      <c r="P161" s="104">
        <v>221</v>
      </c>
      <c r="Q161"/>
      <c r="R161">
        <v>11.5</v>
      </c>
      <c r="S161">
        <v>1520.88</v>
      </c>
      <c r="T161">
        <v>8.2200000000000006</v>
      </c>
      <c r="U161"/>
      <c r="V161"/>
      <c r="W161" s="317">
        <v>4.5999999999999996</v>
      </c>
      <c r="X161" s="190">
        <f t="shared" si="3"/>
        <v>57.499999999999993</v>
      </c>
      <c r="Y161" s="190"/>
      <c r="Z161" s="190"/>
    </row>
    <row r="162" spans="1:26" s="189" customFormat="1" ht="14.1" customHeight="1" x14ac:dyDescent="0.25">
      <c r="A162" s="191">
        <v>182</v>
      </c>
      <c r="B162" s="191">
        <v>2017</v>
      </c>
      <c r="C162" s="191">
        <v>9</v>
      </c>
      <c r="D162" s="191">
        <v>8</v>
      </c>
      <c r="E162" s="197"/>
      <c r="F162" s="191" t="s">
        <v>18</v>
      </c>
      <c r="G162"/>
      <c r="H162" s="191">
        <v>135</v>
      </c>
      <c r="I162" s="191">
        <v>14.5</v>
      </c>
      <c r="J162" s="191" t="s">
        <v>19</v>
      </c>
      <c r="K162" s="191" t="s">
        <v>20</v>
      </c>
      <c r="L162" s="191" t="s">
        <v>30</v>
      </c>
      <c r="M162" s="191" t="s">
        <v>27</v>
      </c>
      <c r="N162" s="191" t="s">
        <v>25</v>
      </c>
      <c r="O162" s="191" t="s">
        <v>460</v>
      </c>
      <c r="P162" s="104">
        <v>221</v>
      </c>
      <c r="Q162" t="s">
        <v>362</v>
      </c>
      <c r="R162">
        <v>13.5</v>
      </c>
      <c r="S162">
        <v>2460.38</v>
      </c>
      <c r="T162">
        <v>5.89</v>
      </c>
      <c r="U162"/>
      <c r="V162"/>
      <c r="W162" s="317">
        <v>4.5999999999999996</v>
      </c>
      <c r="X162" s="190">
        <f t="shared" si="3"/>
        <v>66.699999999999989</v>
      </c>
      <c r="Y162" s="190"/>
      <c r="Z162" s="190"/>
    </row>
    <row r="163" spans="1:26" s="189" customFormat="1" ht="14.1" customHeight="1" x14ac:dyDescent="0.25">
      <c r="A163" s="191">
        <v>183</v>
      </c>
      <c r="B163" s="191">
        <v>2017</v>
      </c>
      <c r="C163" s="191">
        <v>9</v>
      </c>
      <c r="D163" s="191">
        <v>8</v>
      </c>
      <c r="E163" s="197"/>
      <c r="F163" s="191" t="s">
        <v>18</v>
      </c>
      <c r="G163"/>
      <c r="H163" s="197"/>
      <c r="I163" s="197"/>
      <c r="J163" s="191" t="s">
        <v>19</v>
      </c>
      <c r="K163" s="191" t="s">
        <v>20</v>
      </c>
      <c r="L163" s="191" t="s">
        <v>30</v>
      </c>
      <c r="M163" s="191" t="s">
        <v>22</v>
      </c>
      <c r="N163" s="191" t="s">
        <v>25</v>
      </c>
      <c r="O163" s="191" t="s">
        <v>461</v>
      </c>
      <c r="P163" s="104">
        <v>221</v>
      </c>
      <c r="Q163" t="s">
        <v>362</v>
      </c>
      <c r="R163"/>
      <c r="S163"/>
      <c r="T163"/>
      <c r="U163"/>
      <c r="V163"/>
      <c r="W163" s="317">
        <v>4.5999999999999996</v>
      </c>
      <c r="X163" s="190"/>
      <c r="Y163" s="190"/>
      <c r="Z163" s="190"/>
    </row>
    <row r="164" spans="1:26" s="189" customFormat="1" ht="14.1" customHeight="1" x14ac:dyDescent="0.25">
      <c r="A164" s="191">
        <v>184</v>
      </c>
      <c r="B164" s="191">
        <v>2017</v>
      </c>
      <c r="C164" s="191">
        <v>9</v>
      </c>
      <c r="D164" s="191">
        <v>8</v>
      </c>
      <c r="E164" s="197"/>
      <c r="F164" s="191" t="s">
        <v>18</v>
      </c>
      <c r="G164"/>
      <c r="H164" s="191">
        <v>132</v>
      </c>
      <c r="I164" s="191">
        <v>12.1</v>
      </c>
      <c r="J164" s="191" t="s">
        <v>19</v>
      </c>
      <c r="K164" s="191" t="s">
        <v>20</v>
      </c>
      <c r="L164" s="191" t="s">
        <v>30</v>
      </c>
      <c r="M164" s="191" t="s">
        <v>22</v>
      </c>
      <c r="N164" s="191" t="s">
        <v>23</v>
      </c>
      <c r="O164"/>
      <c r="P164" s="104">
        <v>221</v>
      </c>
      <c r="Q164"/>
      <c r="R164">
        <v>13.2</v>
      </c>
      <c r="S164">
        <v>2299.9699999999998</v>
      </c>
      <c r="T164">
        <v>5.26</v>
      </c>
      <c r="U164"/>
      <c r="V164"/>
      <c r="W164" s="317">
        <v>4.5999999999999996</v>
      </c>
      <c r="X164" s="190">
        <f t="shared" si="3"/>
        <v>55.66</v>
      </c>
      <c r="Y164" s="190"/>
      <c r="Z164" s="190"/>
    </row>
    <row r="165" spans="1:26" s="189" customFormat="1" ht="14.1" customHeight="1" x14ac:dyDescent="0.25">
      <c r="A165" s="191">
        <v>185</v>
      </c>
      <c r="B165" s="191">
        <v>2017</v>
      </c>
      <c r="C165" s="191">
        <v>10</v>
      </c>
      <c r="D165" s="191">
        <v>8</v>
      </c>
      <c r="E165" s="197"/>
      <c r="F165" s="191" t="s">
        <v>18</v>
      </c>
      <c r="G165"/>
      <c r="H165" s="191">
        <v>130</v>
      </c>
      <c r="I165" s="191">
        <v>11.5</v>
      </c>
      <c r="J165" s="191" t="s">
        <v>19</v>
      </c>
      <c r="K165" s="191" t="s">
        <v>20</v>
      </c>
      <c r="L165" s="191" t="s">
        <v>21</v>
      </c>
      <c r="M165" s="191" t="s">
        <v>22</v>
      </c>
      <c r="N165" s="191" t="s">
        <v>25</v>
      </c>
      <c r="O165"/>
      <c r="P165" s="104">
        <v>222</v>
      </c>
      <c r="Q165"/>
      <c r="R165">
        <v>13</v>
      </c>
      <c r="S165">
        <v>2197</v>
      </c>
      <c r="T165">
        <v>5.23</v>
      </c>
      <c r="U165"/>
      <c r="V165"/>
      <c r="W165" s="317">
        <v>3.9</v>
      </c>
      <c r="X165" s="190">
        <f t="shared" si="3"/>
        <v>44.85</v>
      </c>
      <c r="Y165" s="190"/>
      <c r="Z165" s="190"/>
    </row>
    <row r="166" spans="1:26" s="189" customFormat="1" ht="14.1" customHeight="1" x14ac:dyDescent="0.25">
      <c r="A166" s="191">
        <v>186</v>
      </c>
      <c r="B166" s="191">
        <v>2017</v>
      </c>
      <c r="C166" s="191">
        <v>10</v>
      </c>
      <c r="D166" s="191">
        <v>8</v>
      </c>
      <c r="E166" s="197"/>
      <c r="F166" s="191" t="s">
        <v>18</v>
      </c>
      <c r="G166"/>
      <c r="H166" s="191">
        <v>150</v>
      </c>
      <c r="I166" s="191">
        <v>15.3</v>
      </c>
      <c r="J166" s="191" t="s">
        <v>19</v>
      </c>
      <c r="K166" s="191" t="s">
        <v>20</v>
      </c>
      <c r="L166" s="191" t="s">
        <v>30</v>
      </c>
      <c r="M166" s="191" t="s">
        <v>26</v>
      </c>
      <c r="N166" s="191" t="s">
        <v>24</v>
      </c>
      <c r="O166" s="197"/>
      <c r="P166" s="104">
        <v>222</v>
      </c>
      <c r="Q166"/>
      <c r="R166">
        <v>15</v>
      </c>
      <c r="S166">
        <v>3375</v>
      </c>
      <c r="T166">
        <v>4.53</v>
      </c>
      <c r="U166"/>
      <c r="V166"/>
      <c r="W166" s="317">
        <v>4.5999999999999996</v>
      </c>
      <c r="X166" s="190">
        <f t="shared" si="3"/>
        <v>70.38</v>
      </c>
      <c r="Y166" s="190"/>
      <c r="Z166" s="190"/>
    </row>
    <row r="167" spans="1:26" s="189" customFormat="1" ht="14.1" customHeight="1" x14ac:dyDescent="0.25">
      <c r="A167" s="191">
        <v>187</v>
      </c>
      <c r="B167" s="191">
        <v>2017</v>
      </c>
      <c r="C167" s="191">
        <v>10</v>
      </c>
      <c r="D167" s="191">
        <v>8</v>
      </c>
      <c r="E167" s="197"/>
      <c r="F167" s="191" t="s">
        <v>28</v>
      </c>
      <c r="G167"/>
      <c r="H167" s="197"/>
      <c r="I167" s="197"/>
      <c r="J167" s="191" t="s">
        <v>19</v>
      </c>
      <c r="K167" s="191" t="s">
        <v>20</v>
      </c>
      <c r="L167" s="191" t="s">
        <v>21</v>
      </c>
      <c r="M167" s="197"/>
      <c r="N167" s="191" t="s">
        <v>378</v>
      </c>
      <c r="O167" s="191" t="s">
        <v>462</v>
      </c>
      <c r="P167" s="104">
        <v>222</v>
      </c>
      <c r="Q167" t="s">
        <v>362</v>
      </c>
      <c r="R167"/>
      <c r="S167"/>
      <c r="T167"/>
      <c r="U167"/>
      <c r="V167"/>
      <c r="W167" s="317">
        <v>3.9</v>
      </c>
      <c r="X167" s="190"/>
      <c r="Y167" s="190"/>
      <c r="Z167" s="190"/>
    </row>
    <row r="168" spans="1:26" s="189" customFormat="1" ht="14.1" customHeight="1" x14ac:dyDescent="0.25">
      <c r="A168" s="191">
        <v>188</v>
      </c>
      <c r="B168" s="191">
        <v>2017</v>
      </c>
      <c r="C168" s="191">
        <v>10</v>
      </c>
      <c r="D168" s="191">
        <v>8</v>
      </c>
      <c r="E168" s="197"/>
      <c r="F168" s="191" t="s">
        <v>28</v>
      </c>
      <c r="G168"/>
      <c r="H168"/>
      <c r="I168"/>
      <c r="J168" s="191" t="s">
        <v>19</v>
      </c>
      <c r="K168" s="191" t="s">
        <v>20</v>
      </c>
      <c r="L168" s="191" t="s">
        <v>30</v>
      </c>
      <c r="M168" s="191" t="s">
        <v>22</v>
      </c>
      <c r="N168" s="191" t="s">
        <v>378</v>
      </c>
      <c r="O168"/>
      <c r="P168" s="104">
        <v>222</v>
      </c>
      <c r="Q168"/>
      <c r="R168"/>
      <c r="S168"/>
      <c r="T168"/>
      <c r="U168"/>
      <c r="V168"/>
      <c r="W168" s="317">
        <v>4.5999999999999996</v>
      </c>
      <c r="X168" s="190"/>
      <c r="Y168" s="190"/>
      <c r="Z168" s="190"/>
    </row>
    <row r="169" spans="1:26" s="189" customFormat="1" ht="14.1" customHeight="1" x14ac:dyDescent="0.25">
      <c r="A169" s="191">
        <v>190</v>
      </c>
      <c r="B169" s="191">
        <v>2017</v>
      </c>
      <c r="C169" s="191">
        <v>10</v>
      </c>
      <c r="D169" s="191">
        <v>8</v>
      </c>
      <c r="E169" s="197"/>
      <c r="F169" s="191" t="s">
        <v>18</v>
      </c>
      <c r="G169"/>
      <c r="H169" s="191">
        <v>119</v>
      </c>
      <c r="I169" s="191">
        <v>10.6</v>
      </c>
      <c r="J169" s="191" t="s">
        <v>19</v>
      </c>
      <c r="K169" s="191" t="s">
        <v>20</v>
      </c>
      <c r="L169" s="191" t="s">
        <v>21</v>
      </c>
      <c r="M169" s="191" t="s">
        <v>26</v>
      </c>
      <c r="N169" s="191" t="s">
        <v>25</v>
      </c>
      <c r="O169" s="191" t="s">
        <v>464</v>
      </c>
      <c r="P169" s="104">
        <v>222</v>
      </c>
      <c r="Q169" t="s">
        <v>362</v>
      </c>
      <c r="R169">
        <v>11.9</v>
      </c>
      <c r="S169">
        <v>1685.16</v>
      </c>
      <c r="T169">
        <v>6.29</v>
      </c>
      <c r="U169"/>
      <c r="V169"/>
      <c r="W169" s="317">
        <v>3.9</v>
      </c>
      <c r="X169" s="190">
        <f t="shared" si="3"/>
        <v>41.339999999999996</v>
      </c>
      <c r="Y169" s="190"/>
      <c r="Z169" s="190"/>
    </row>
    <row r="170" spans="1:26" s="189" customFormat="1" ht="14.1" customHeight="1" x14ac:dyDescent="0.25">
      <c r="A170" s="191">
        <v>191</v>
      </c>
      <c r="B170" s="191">
        <v>2017</v>
      </c>
      <c r="C170" s="191">
        <v>10</v>
      </c>
      <c r="D170" s="191">
        <v>8</v>
      </c>
      <c r="E170" s="197"/>
      <c r="F170" s="191" t="s">
        <v>18</v>
      </c>
      <c r="G170"/>
      <c r="H170" s="191">
        <v>128</v>
      </c>
      <c r="I170" s="191">
        <v>15</v>
      </c>
      <c r="J170" s="191" t="s">
        <v>19</v>
      </c>
      <c r="K170" s="191" t="s">
        <v>20</v>
      </c>
      <c r="L170" s="191" t="s">
        <v>21</v>
      </c>
      <c r="M170" s="191" t="s">
        <v>22</v>
      </c>
      <c r="N170" s="191" t="s">
        <v>23</v>
      </c>
      <c r="O170" s="191" t="s">
        <v>465</v>
      </c>
      <c r="P170" s="104">
        <v>222</v>
      </c>
      <c r="Q170" t="s">
        <v>362</v>
      </c>
      <c r="R170">
        <v>12.8</v>
      </c>
      <c r="S170">
        <v>2097.15</v>
      </c>
      <c r="T170">
        <v>7.15</v>
      </c>
      <c r="U170"/>
      <c r="V170"/>
      <c r="W170" s="317">
        <v>3.9</v>
      </c>
      <c r="X170" s="190">
        <f t="shared" si="3"/>
        <v>58.5</v>
      </c>
      <c r="Y170" s="190"/>
      <c r="Z170" s="190"/>
    </row>
    <row r="171" spans="1:26" s="189" customFormat="1" ht="14.1" customHeight="1" x14ac:dyDescent="0.25">
      <c r="A171" s="191">
        <v>192</v>
      </c>
      <c r="B171" s="191">
        <v>2017</v>
      </c>
      <c r="C171" s="191">
        <v>10</v>
      </c>
      <c r="D171" s="191">
        <v>8</v>
      </c>
      <c r="E171" s="197"/>
      <c r="F171" s="191" t="s">
        <v>18</v>
      </c>
      <c r="G171"/>
      <c r="H171" s="191">
        <v>110</v>
      </c>
      <c r="I171" s="191">
        <v>10.6</v>
      </c>
      <c r="J171" s="191" t="s">
        <v>19</v>
      </c>
      <c r="K171" s="191" t="s">
        <v>20</v>
      </c>
      <c r="L171" s="191" t="s">
        <v>30</v>
      </c>
      <c r="M171" s="191" t="s">
        <v>27</v>
      </c>
      <c r="N171" s="191" t="s">
        <v>25</v>
      </c>
      <c r="O171" s="197"/>
      <c r="P171" s="104">
        <v>222</v>
      </c>
      <c r="Q171"/>
      <c r="R171">
        <v>11</v>
      </c>
      <c r="S171">
        <v>1331</v>
      </c>
      <c r="T171">
        <v>7.96</v>
      </c>
      <c r="U171"/>
      <c r="V171"/>
      <c r="W171" s="317">
        <v>4.5999999999999996</v>
      </c>
      <c r="X171" s="190">
        <f t="shared" si="3"/>
        <v>48.76</v>
      </c>
      <c r="Y171" s="190"/>
      <c r="Z171" s="190"/>
    </row>
    <row r="172" spans="1:26" s="189" customFormat="1" ht="14.1" customHeight="1" x14ac:dyDescent="0.25">
      <c r="A172" s="191">
        <v>193</v>
      </c>
      <c r="B172" s="191">
        <v>2017</v>
      </c>
      <c r="C172" s="191">
        <v>10</v>
      </c>
      <c r="D172" s="191">
        <v>8</v>
      </c>
      <c r="E172" s="197"/>
      <c r="F172" s="191" t="s">
        <v>18</v>
      </c>
      <c r="G172"/>
      <c r="H172" s="191">
        <v>136</v>
      </c>
      <c r="I172" s="191">
        <v>14.8</v>
      </c>
      <c r="J172" s="191" t="s">
        <v>19</v>
      </c>
      <c r="K172" s="191" t="s">
        <v>20</v>
      </c>
      <c r="L172" s="191" t="s">
        <v>30</v>
      </c>
      <c r="M172" s="191" t="s">
        <v>22</v>
      </c>
      <c r="N172" s="191" t="s">
        <v>24</v>
      </c>
      <c r="O172" s="191" t="s">
        <v>466</v>
      </c>
      <c r="P172" s="104">
        <v>222</v>
      </c>
      <c r="Q172" t="s">
        <v>362</v>
      </c>
      <c r="R172">
        <v>13.6</v>
      </c>
      <c r="S172">
        <v>2515.46</v>
      </c>
      <c r="T172">
        <v>5.88</v>
      </c>
      <c r="U172"/>
      <c r="V172"/>
      <c r="W172" s="317">
        <v>4.5999999999999996</v>
      </c>
      <c r="X172" s="190">
        <f t="shared" si="3"/>
        <v>68.08</v>
      </c>
      <c r="Y172" s="190"/>
      <c r="Z172" s="190"/>
    </row>
    <row r="173" spans="1:26" s="189" customFormat="1" ht="14.1" customHeight="1" x14ac:dyDescent="0.25">
      <c r="A173" s="191">
        <v>194</v>
      </c>
      <c r="B173" s="191">
        <v>2017</v>
      </c>
      <c r="C173" s="191">
        <v>10</v>
      </c>
      <c r="D173" s="191">
        <v>8</v>
      </c>
      <c r="E173" s="197"/>
      <c r="F173" s="191" t="s">
        <v>18</v>
      </c>
      <c r="G173"/>
      <c r="H173" s="191">
        <v>98</v>
      </c>
      <c r="I173" s="191">
        <v>7.9</v>
      </c>
      <c r="J173" s="191" t="s">
        <v>19</v>
      </c>
      <c r="K173" s="191" t="s">
        <v>20</v>
      </c>
      <c r="L173" s="191" t="s">
        <v>21</v>
      </c>
      <c r="M173" s="191" t="s">
        <v>27</v>
      </c>
      <c r="N173" s="191" t="s">
        <v>25</v>
      </c>
      <c r="O173" s="191" t="s">
        <v>467</v>
      </c>
      <c r="P173" s="104">
        <v>222</v>
      </c>
      <c r="Q173" t="s">
        <v>375</v>
      </c>
      <c r="R173">
        <v>9.8000000000000007</v>
      </c>
      <c r="S173">
        <v>941.19</v>
      </c>
      <c r="T173">
        <v>8.39</v>
      </c>
      <c r="U173"/>
      <c r="V173"/>
      <c r="W173" s="317">
        <v>3.9</v>
      </c>
      <c r="X173" s="190">
        <f t="shared" si="3"/>
        <v>30.810000000000002</v>
      </c>
      <c r="Y173" s="190"/>
      <c r="Z173" s="190"/>
    </row>
    <row r="174" spans="1:26" s="189" customFormat="1" ht="14.1" customHeight="1" x14ac:dyDescent="0.25">
      <c r="A174" s="191">
        <v>195</v>
      </c>
      <c r="B174" s="191">
        <v>2017</v>
      </c>
      <c r="C174" s="191">
        <v>10</v>
      </c>
      <c r="D174" s="191">
        <v>8</v>
      </c>
      <c r="E174" s="197"/>
      <c r="F174" s="191" t="s">
        <v>18</v>
      </c>
      <c r="G174"/>
      <c r="H174" s="191">
        <v>135</v>
      </c>
      <c r="I174" s="191">
        <v>11.4</v>
      </c>
      <c r="J174" s="191" t="s">
        <v>19</v>
      </c>
      <c r="K174" s="191" t="s">
        <v>20</v>
      </c>
      <c r="L174" s="191" t="s">
        <v>21</v>
      </c>
      <c r="M174" s="191" t="s">
        <v>22</v>
      </c>
      <c r="N174" s="191" t="s">
        <v>33</v>
      </c>
      <c r="O174" s="191" t="s">
        <v>468</v>
      </c>
      <c r="P174" s="104">
        <v>222</v>
      </c>
      <c r="Q174" t="s">
        <v>375</v>
      </c>
      <c r="R174">
        <v>13.5</v>
      </c>
      <c r="S174">
        <v>2460.38</v>
      </c>
      <c r="T174">
        <v>4.63</v>
      </c>
      <c r="U174"/>
      <c r="V174"/>
      <c r="W174" s="317">
        <v>3.9</v>
      </c>
      <c r="X174" s="190">
        <f t="shared" si="3"/>
        <v>44.46</v>
      </c>
      <c r="Y174" s="190"/>
      <c r="Z174" s="190"/>
    </row>
    <row r="175" spans="1:26" s="189" customFormat="1" ht="14.1" customHeight="1" x14ac:dyDescent="0.25">
      <c r="A175" s="191">
        <v>197</v>
      </c>
      <c r="B175" s="191">
        <v>2017</v>
      </c>
      <c r="C175" s="191">
        <v>10</v>
      </c>
      <c r="D175" s="191">
        <v>8</v>
      </c>
      <c r="E175"/>
      <c r="F175" s="191" t="s">
        <v>18</v>
      </c>
      <c r="G175"/>
      <c r="H175" s="191">
        <v>85</v>
      </c>
      <c r="I175" s="191">
        <v>6.8</v>
      </c>
      <c r="J175" s="191" t="s">
        <v>19</v>
      </c>
      <c r="K175" s="191" t="s">
        <v>20</v>
      </c>
      <c r="L175" s="191" t="s">
        <v>30</v>
      </c>
      <c r="M175" s="191" t="s">
        <v>27</v>
      </c>
      <c r="N175" s="191" t="s">
        <v>25</v>
      </c>
      <c r="O175" s="197"/>
      <c r="P175" s="104">
        <v>222</v>
      </c>
      <c r="Q175"/>
      <c r="R175">
        <v>8.5</v>
      </c>
      <c r="S175">
        <v>614.13</v>
      </c>
      <c r="T175">
        <v>11.07</v>
      </c>
      <c r="U175"/>
      <c r="V175"/>
      <c r="W175" s="317">
        <v>4.5999999999999996</v>
      </c>
      <c r="X175" s="190">
        <f t="shared" si="3"/>
        <v>31.279999999999998</v>
      </c>
      <c r="Y175" s="190"/>
      <c r="Z175" s="190"/>
    </row>
    <row r="176" spans="1:26" s="189" customFormat="1" ht="14.1" customHeight="1" x14ac:dyDescent="0.25">
      <c r="A176" s="191">
        <v>198</v>
      </c>
      <c r="B176" s="191">
        <v>2017</v>
      </c>
      <c r="C176" s="191">
        <v>10</v>
      </c>
      <c r="D176" s="191">
        <v>8</v>
      </c>
      <c r="E176"/>
      <c r="F176" s="191" t="s">
        <v>18</v>
      </c>
      <c r="G176"/>
      <c r="H176" s="191">
        <v>130</v>
      </c>
      <c r="I176" s="191">
        <v>8.4</v>
      </c>
      <c r="J176" s="191" t="s">
        <v>19</v>
      </c>
      <c r="K176" s="191" t="s">
        <v>20</v>
      </c>
      <c r="L176" s="191" t="s">
        <v>21</v>
      </c>
      <c r="M176" s="191" t="s">
        <v>26</v>
      </c>
      <c r="N176" s="191" t="s">
        <v>24</v>
      </c>
      <c r="O176" s="197"/>
      <c r="P176" s="104">
        <v>222</v>
      </c>
      <c r="Q176"/>
      <c r="R176">
        <v>13</v>
      </c>
      <c r="S176">
        <v>2197</v>
      </c>
      <c r="T176">
        <v>3.82</v>
      </c>
      <c r="U176"/>
      <c r="V176"/>
      <c r="W176" s="317">
        <v>3.9</v>
      </c>
      <c r="X176" s="190">
        <f t="shared" si="3"/>
        <v>32.76</v>
      </c>
      <c r="Y176" s="190"/>
      <c r="Z176" s="190"/>
    </row>
    <row r="177" spans="1:26" s="189" customFormat="1" ht="14.1" customHeight="1" x14ac:dyDescent="0.25">
      <c r="A177" s="191">
        <v>199</v>
      </c>
      <c r="B177" s="191">
        <v>2017</v>
      </c>
      <c r="C177" s="191">
        <v>10</v>
      </c>
      <c r="D177" s="191">
        <v>8</v>
      </c>
      <c r="E177"/>
      <c r="F177" s="191" t="s">
        <v>18</v>
      </c>
      <c r="G177"/>
      <c r="H177" s="191">
        <v>123</v>
      </c>
      <c r="I177" s="191">
        <v>12</v>
      </c>
      <c r="J177" s="191" t="s">
        <v>19</v>
      </c>
      <c r="K177" s="191" t="s">
        <v>20</v>
      </c>
      <c r="L177" s="191" t="s">
        <v>30</v>
      </c>
      <c r="M177" s="191" t="s">
        <v>22</v>
      </c>
      <c r="N177" s="191" t="s">
        <v>23</v>
      </c>
      <c r="O177"/>
      <c r="P177" s="104">
        <v>222</v>
      </c>
      <c r="Q177"/>
      <c r="R177">
        <v>12.3</v>
      </c>
      <c r="S177">
        <v>1860.87</v>
      </c>
      <c r="T177">
        <v>6.45</v>
      </c>
      <c r="U177"/>
      <c r="V177"/>
      <c r="W177" s="317">
        <v>4.5999999999999996</v>
      </c>
      <c r="X177" s="190">
        <f t="shared" si="3"/>
        <v>55.199999999999996</v>
      </c>
      <c r="Y177" s="190"/>
      <c r="Z177" s="190"/>
    </row>
    <row r="178" spans="1:26" s="189" customFormat="1" ht="14.1" customHeight="1" x14ac:dyDescent="0.25">
      <c r="A178" s="191">
        <v>200</v>
      </c>
      <c r="B178" s="191">
        <v>2017</v>
      </c>
      <c r="C178" s="191">
        <v>10</v>
      </c>
      <c r="D178" s="191">
        <v>8</v>
      </c>
      <c r="E178"/>
      <c r="F178" s="191" t="s">
        <v>18</v>
      </c>
      <c r="G178"/>
      <c r="H178" s="191">
        <v>136</v>
      </c>
      <c r="I178" s="191">
        <v>16.600000000000001</v>
      </c>
      <c r="J178" s="191" t="s">
        <v>19</v>
      </c>
      <c r="K178" s="191" t="s">
        <v>20</v>
      </c>
      <c r="L178" s="191" t="s">
        <v>30</v>
      </c>
      <c r="M178" s="191" t="s">
        <v>22</v>
      </c>
      <c r="N178" s="191" t="s">
        <v>24</v>
      </c>
      <c r="O178" s="191" t="s">
        <v>469</v>
      </c>
      <c r="P178" s="104">
        <v>222</v>
      </c>
      <c r="Q178" t="s">
        <v>362</v>
      </c>
      <c r="R178">
        <v>13.6</v>
      </c>
      <c r="S178">
        <v>2515.46</v>
      </c>
      <c r="T178">
        <v>6.6</v>
      </c>
      <c r="U178"/>
      <c r="V178"/>
      <c r="W178" s="317">
        <v>4.5999999999999996</v>
      </c>
      <c r="X178" s="190">
        <f t="shared" si="3"/>
        <v>76.36</v>
      </c>
      <c r="Y178" s="190"/>
      <c r="Z178" s="190"/>
    </row>
    <row r="179" spans="1:26" s="189" customFormat="1" ht="14.1" customHeight="1" x14ac:dyDescent="0.25">
      <c r="A179" s="191">
        <v>201</v>
      </c>
      <c r="B179" s="191">
        <v>2017</v>
      </c>
      <c r="C179" s="191">
        <v>10</v>
      </c>
      <c r="D179" s="191">
        <v>8</v>
      </c>
      <c r="E179"/>
      <c r="F179" s="191" t="s">
        <v>18</v>
      </c>
      <c r="G179"/>
      <c r="H179" s="191">
        <v>133</v>
      </c>
      <c r="I179" s="191">
        <v>10.6</v>
      </c>
      <c r="J179" s="191" t="s">
        <v>19</v>
      </c>
      <c r="K179" s="191" t="s">
        <v>20</v>
      </c>
      <c r="L179" s="191" t="s">
        <v>21</v>
      </c>
      <c r="M179" s="191" t="s">
        <v>26</v>
      </c>
      <c r="N179" s="191" t="s">
        <v>24</v>
      </c>
      <c r="O179"/>
      <c r="P179" s="104">
        <v>222</v>
      </c>
      <c r="Q179"/>
      <c r="R179">
        <v>13.3</v>
      </c>
      <c r="S179">
        <v>2352.64</v>
      </c>
      <c r="T179">
        <v>4.51</v>
      </c>
      <c r="U179"/>
      <c r="V179"/>
      <c r="W179" s="317">
        <v>3.9</v>
      </c>
      <c r="X179" s="190">
        <f t="shared" si="3"/>
        <v>41.339999999999996</v>
      </c>
      <c r="Y179" s="190"/>
      <c r="Z179" s="190"/>
    </row>
    <row r="180" spans="1:26" s="189" customFormat="1" ht="14.1" customHeight="1" x14ac:dyDescent="0.25">
      <c r="A180" s="191">
        <v>202</v>
      </c>
      <c r="B180" s="191">
        <v>2017</v>
      </c>
      <c r="C180" s="191">
        <v>10</v>
      </c>
      <c r="D180" s="191">
        <v>8</v>
      </c>
      <c r="E180"/>
      <c r="F180" s="191" t="s">
        <v>18</v>
      </c>
      <c r="G180"/>
      <c r="H180" s="191">
        <v>135</v>
      </c>
      <c r="I180" s="191">
        <v>11.6</v>
      </c>
      <c r="J180" s="191" t="s">
        <v>19</v>
      </c>
      <c r="K180" s="191" t="s">
        <v>20</v>
      </c>
      <c r="L180" s="191" t="s">
        <v>21</v>
      </c>
      <c r="M180" s="191" t="s">
        <v>372</v>
      </c>
      <c r="N180" s="191" t="s">
        <v>24</v>
      </c>
      <c r="O180" s="191" t="s">
        <v>470</v>
      </c>
      <c r="P180" s="104">
        <v>222</v>
      </c>
      <c r="Q180" t="s">
        <v>362</v>
      </c>
      <c r="R180">
        <v>13.5</v>
      </c>
      <c r="S180">
        <v>2460.38</v>
      </c>
      <c r="T180">
        <v>4.71</v>
      </c>
      <c r="U180"/>
      <c r="V180"/>
      <c r="W180" s="317">
        <v>3.9</v>
      </c>
      <c r="X180" s="190">
        <f t="shared" si="3"/>
        <v>45.239999999999995</v>
      </c>
      <c r="Y180" s="190"/>
      <c r="Z180" s="190"/>
    </row>
    <row r="181" spans="1:26" s="189" customFormat="1" ht="14.1" customHeight="1" x14ac:dyDescent="0.25">
      <c r="A181" s="191">
        <v>203</v>
      </c>
      <c r="B181" s="191">
        <v>2017</v>
      </c>
      <c r="C181" s="191">
        <v>10</v>
      </c>
      <c r="D181" s="191">
        <v>8</v>
      </c>
      <c r="E181"/>
      <c r="F181" s="191" t="s">
        <v>18</v>
      </c>
      <c r="G181"/>
      <c r="H181" s="191">
        <v>125</v>
      </c>
      <c r="I181" s="191">
        <v>9.3000000000000007</v>
      </c>
      <c r="J181" s="191" t="s">
        <v>19</v>
      </c>
      <c r="K181" s="191" t="s">
        <v>20</v>
      </c>
      <c r="L181" s="191" t="s">
        <v>21</v>
      </c>
      <c r="M181" s="191" t="s">
        <v>26</v>
      </c>
      <c r="N181" s="191" t="s">
        <v>25</v>
      </c>
      <c r="O181"/>
      <c r="P181" s="104">
        <v>222</v>
      </c>
      <c r="Q181"/>
      <c r="R181">
        <v>12.5</v>
      </c>
      <c r="S181">
        <v>1953.13</v>
      </c>
      <c r="T181">
        <v>4.76</v>
      </c>
      <c r="U181"/>
      <c r="V181"/>
      <c r="W181" s="317">
        <v>3.9</v>
      </c>
      <c r="X181" s="190">
        <f t="shared" si="3"/>
        <v>36.270000000000003</v>
      </c>
      <c r="Y181" s="190"/>
      <c r="Z181" s="190"/>
    </row>
    <row r="182" spans="1:26" s="189" customFormat="1" ht="14.1" customHeight="1" x14ac:dyDescent="0.25">
      <c r="A182" s="191">
        <v>204</v>
      </c>
      <c r="B182" s="191">
        <v>2017</v>
      </c>
      <c r="C182" s="191">
        <v>10</v>
      </c>
      <c r="D182" s="191">
        <v>8</v>
      </c>
      <c r="E182"/>
      <c r="F182" s="191" t="s">
        <v>18</v>
      </c>
      <c r="G182"/>
      <c r="H182" s="191">
        <v>143</v>
      </c>
      <c r="I182" s="191">
        <v>16.899999999999999</v>
      </c>
      <c r="J182" s="191" t="s">
        <v>19</v>
      </c>
      <c r="K182" s="191" t="s">
        <v>20</v>
      </c>
      <c r="L182" s="191" t="s">
        <v>21</v>
      </c>
      <c r="M182" s="191" t="s">
        <v>22</v>
      </c>
      <c r="N182" s="191" t="s">
        <v>33</v>
      </c>
      <c r="O182" s="191" t="s">
        <v>471</v>
      </c>
      <c r="P182" s="104">
        <v>222</v>
      </c>
      <c r="Q182" t="s">
        <v>362</v>
      </c>
      <c r="R182">
        <v>14.3</v>
      </c>
      <c r="S182">
        <v>2924.21</v>
      </c>
      <c r="T182">
        <v>5.78</v>
      </c>
      <c r="U182"/>
      <c r="V182"/>
      <c r="W182" s="317">
        <v>3.9</v>
      </c>
      <c r="X182" s="190">
        <f t="shared" si="3"/>
        <v>65.91</v>
      </c>
      <c r="Y182" s="190"/>
      <c r="Z182" s="190"/>
    </row>
    <row r="183" spans="1:26" s="189" customFormat="1" ht="14.1" customHeight="1" x14ac:dyDescent="0.25">
      <c r="A183" s="191">
        <v>205</v>
      </c>
      <c r="B183" s="191">
        <v>2017</v>
      </c>
      <c r="C183" s="191">
        <v>10</v>
      </c>
      <c r="D183" s="191">
        <v>8</v>
      </c>
      <c r="E183"/>
      <c r="F183" s="191" t="s">
        <v>18</v>
      </c>
      <c r="G183"/>
      <c r="H183" s="191">
        <v>120</v>
      </c>
      <c r="I183" s="191">
        <v>8.6</v>
      </c>
      <c r="J183" s="191" t="s">
        <v>19</v>
      </c>
      <c r="K183" s="191" t="s">
        <v>20</v>
      </c>
      <c r="L183" s="191" t="s">
        <v>21</v>
      </c>
      <c r="M183" s="191" t="s">
        <v>27</v>
      </c>
      <c r="N183" s="191" t="s">
        <v>25</v>
      </c>
      <c r="O183" s="191" t="s">
        <v>472</v>
      </c>
      <c r="P183" s="104">
        <v>222</v>
      </c>
      <c r="Q183" t="s">
        <v>362</v>
      </c>
      <c r="R183">
        <v>12</v>
      </c>
      <c r="S183">
        <v>1728</v>
      </c>
      <c r="T183">
        <v>4.9800000000000004</v>
      </c>
      <c r="U183"/>
      <c r="V183"/>
      <c r="W183" s="317">
        <v>3.9</v>
      </c>
      <c r="X183" s="190">
        <f t="shared" si="3"/>
        <v>33.54</v>
      </c>
      <c r="Y183" s="190"/>
      <c r="Z183" s="190"/>
    </row>
    <row r="184" spans="1:26" s="189" customFormat="1" ht="14.1" customHeight="1" x14ac:dyDescent="0.25">
      <c r="A184" s="191">
        <v>207</v>
      </c>
      <c r="B184" s="191">
        <v>2017</v>
      </c>
      <c r="C184" s="191">
        <v>10</v>
      </c>
      <c r="D184" s="191">
        <v>8</v>
      </c>
      <c r="E184"/>
      <c r="F184" s="191" t="s">
        <v>18</v>
      </c>
      <c r="G184"/>
      <c r="H184" s="191">
        <v>110</v>
      </c>
      <c r="I184" s="191">
        <v>11.4</v>
      </c>
      <c r="J184" s="191" t="s">
        <v>19</v>
      </c>
      <c r="K184" s="191" t="s">
        <v>20</v>
      </c>
      <c r="L184" s="191" t="s">
        <v>30</v>
      </c>
      <c r="M184" s="197"/>
      <c r="N184" s="191" t="s">
        <v>25</v>
      </c>
      <c r="O184" s="197"/>
      <c r="P184" s="104">
        <v>222</v>
      </c>
      <c r="Q184"/>
      <c r="R184">
        <v>11</v>
      </c>
      <c r="S184">
        <v>1331</v>
      </c>
      <c r="T184">
        <v>8.56</v>
      </c>
      <c r="U184"/>
      <c r="V184"/>
      <c r="W184" s="317">
        <v>4.5999999999999996</v>
      </c>
      <c r="X184" s="190">
        <f t="shared" si="3"/>
        <v>52.44</v>
      </c>
      <c r="Y184" s="190"/>
      <c r="Z184" s="190"/>
    </row>
    <row r="185" spans="1:26" s="189" customFormat="1" ht="14.1" customHeight="1" x14ac:dyDescent="0.25">
      <c r="A185" s="191">
        <v>208</v>
      </c>
      <c r="B185" s="191">
        <v>2017</v>
      </c>
      <c r="C185" s="191">
        <v>10</v>
      </c>
      <c r="D185" s="191">
        <v>8</v>
      </c>
      <c r="E185"/>
      <c r="F185" s="191" t="s">
        <v>18</v>
      </c>
      <c r="G185"/>
      <c r="H185" s="191">
        <v>135</v>
      </c>
      <c r="I185" s="191">
        <v>13.1</v>
      </c>
      <c r="J185" s="191" t="s">
        <v>19</v>
      </c>
      <c r="K185" s="191" t="s">
        <v>20</v>
      </c>
      <c r="L185" s="191" t="s">
        <v>21</v>
      </c>
      <c r="M185" s="191" t="s">
        <v>372</v>
      </c>
      <c r="N185" s="191" t="s">
        <v>24</v>
      </c>
      <c r="O185"/>
      <c r="P185" s="104">
        <v>222</v>
      </c>
      <c r="Q185"/>
      <c r="R185">
        <v>13.5</v>
      </c>
      <c r="S185">
        <v>2460.38</v>
      </c>
      <c r="T185">
        <v>5.32</v>
      </c>
      <c r="U185"/>
      <c r="V185"/>
      <c r="W185" s="317">
        <v>3.9</v>
      </c>
      <c r="X185" s="190">
        <f t="shared" si="3"/>
        <v>51.089999999999996</v>
      </c>
      <c r="Y185" s="190"/>
      <c r="Z185" s="190"/>
    </row>
    <row r="186" spans="1:26" s="189" customFormat="1" ht="14.1" customHeight="1" x14ac:dyDescent="0.25">
      <c r="A186" s="191">
        <v>209</v>
      </c>
      <c r="B186" s="191">
        <v>2017</v>
      </c>
      <c r="C186" s="191">
        <v>10</v>
      </c>
      <c r="D186" s="191">
        <v>8</v>
      </c>
      <c r="E186"/>
      <c r="F186" s="191" t="s">
        <v>18</v>
      </c>
      <c r="G186"/>
      <c r="H186" s="191">
        <v>125</v>
      </c>
      <c r="I186" s="191">
        <v>13.7</v>
      </c>
      <c r="J186" s="191" t="s">
        <v>19</v>
      </c>
      <c r="K186" s="191" t="s">
        <v>20</v>
      </c>
      <c r="L186" s="191" t="s">
        <v>30</v>
      </c>
      <c r="M186" s="191" t="s">
        <v>26</v>
      </c>
      <c r="N186" s="191" t="s">
        <v>25</v>
      </c>
      <c r="O186"/>
      <c r="P186" s="104">
        <v>222</v>
      </c>
      <c r="Q186"/>
      <c r="R186">
        <v>12.5</v>
      </c>
      <c r="S186">
        <v>1953.13</v>
      </c>
      <c r="T186">
        <v>7.01</v>
      </c>
      <c r="U186"/>
      <c r="V186"/>
      <c r="W186" s="317">
        <v>4.5999999999999996</v>
      </c>
      <c r="X186" s="190">
        <f t="shared" si="3"/>
        <v>63.019999999999989</v>
      </c>
      <c r="Y186" s="190"/>
      <c r="Z186" s="190"/>
    </row>
    <row r="187" spans="1:26" s="189" customFormat="1" ht="14.1" customHeight="1" x14ac:dyDescent="0.25">
      <c r="A187" s="191">
        <v>210</v>
      </c>
      <c r="B187" s="191">
        <v>2017</v>
      </c>
      <c r="C187" s="191">
        <v>10</v>
      </c>
      <c r="D187" s="191">
        <v>8</v>
      </c>
      <c r="E187"/>
      <c r="F187" s="191" t="s">
        <v>18</v>
      </c>
      <c r="G187"/>
      <c r="H187" s="191">
        <v>122</v>
      </c>
      <c r="I187" s="191">
        <v>8.5</v>
      </c>
      <c r="J187" s="191" t="s">
        <v>19</v>
      </c>
      <c r="K187" s="191" t="s">
        <v>20</v>
      </c>
      <c r="L187" s="191" t="s">
        <v>21</v>
      </c>
      <c r="M187" s="191" t="s">
        <v>22</v>
      </c>
      <c r="N187" s="191" t="s">
        <v>25</v>
      </c>
      <c r="O187" s="191" t="s">
        <v>473</v>
      </c>
      <c r="P187" s="104">
        <v>222</v>
      </c>
      <c r="Q187" t="s">
        <v>362</v>
      </c>
      <c r="R187">
        <v>12.2</v>
      </c>
      <c r="S187">
        <v>1815.85</v>
      </c>
      <c r="T187">
        <v>4.68</v>
      </c>
      <c r="U187"/>
      <c r="V187"/>
      <c r="W187" s="317">
        <v>3.9</v>
      </c>
      <c r="X187" s="190">
        <f t="shared" si="3"/>
        <v>33.15</v>
      </c>
      <c r="Y187" s="190"/>
      <c r="Z187" s="190"/>
    </row>
    <row r="188" spans="1:26" s="189" customFormat="1" ht="14.1" customHeight="1" x14ac:dyDescent="0.25">
      <c r="A188" s="191">
        <v>211</v>
      </c>
      <c r="B188" s="191">
        <v>2017</v>
      </c>
      <c r="C188" s="191">
        <v>10</v>
      </c>
      <c r="D188" s="191">
        <v>8</v>
      </c>
      <c r="E188"/>
      <c r="F188" s="191" t="s">
        <v>18</v>
      </c>
      <c r="G188"/>
      <c r="H188" s="191">
        <v>124</v>
      </c>
      <c r="I188" s="191">
        <v>12.5</v>
      </c>
      <c r="J188" s="191" t="s">
        <v>19</v>
      </c>
      <c r="K188" s="191" t="s">
        <v>20</v>
      </c>
      <c r="L188" s="191" t="s">
        <v>21</v>
      </c>
      <c r="M188" s="191" t="s">
        <v>27</v>
      </c>
      <c r="N188" s="191" t="s">
        <v>25</v>
      </c>
      <c r="O188" s="191" t="s">
        <v>474</v>
      </c>
      <c r="P188" s="104">
        <v>222</v>
      </c>
      <c r="Q188" t="s">
        <v>362</v>
      </c>
      <c r="R188">
        <v>12.4</v>
      </c>
      <c r="S188">
        <v>1906.62</v>
      </c>
      <c r="T188">
        <v>6.56</v>
      </c>
      <c r="U188"/>
      <c r="V188"/>
      <c r="W188" s="317">
        <v>3.9</v>
      </c>
      <c r="X188" s="190">
        <f t="shared" si="3"/>
        <v>48.75</v>
      </c>
      <c r="Y188" s="190"/>
      <c r="Z188" s="190"/>
    </row>
    <row r="189" spans="1:26" s="189" customFormat="1" ht="14.1" customHeight="1" x14ac:dyDescent="0.25">
      <c r="A189" s="191">
        <v>212</v>
      </c>
      <c r="B189" s="191">
        <v>2017</v>
      </c>
      <c r="C189" s="191">
        <v>11</v>
      </c>
      <c r="D189" s="191">
        <v>8</v>
      </c>
      <c r="E189"/>
      <c r="F189" s="191" t="s">
        <v>18</v>
      </c>
      <c r="G189"/>
      <c r="H189" s="191">
        <v>126</v>
      </c>
      <c r="I189" s="191">
        <v>9.6</v>
      </c>
      <c r="J189" s="191" t="s">
        <v>19</v>
      </c>
      <c r="K189" s="191" t="s">
        <v>20</v>
      </c>
      <c r="L189" s="191" t="s">
        <v>21</v>
      </c>
      <c r="M189" s="191" t="s">
        <v>26</v>
      </c>
      <c r="N189" s="191" t="s">
        <v>33</v>
      </c>
      <c r="O189" s="191" t="s">
        <v>475</v>
      </c>
      <c r="P189" s="104">
        <v>223</v>
      </c>
      <c r="Q189" t="s">
        <v>362</v>
      </c>
      <c r="R189">
        <v>12.6</v>
      </c>
      <c r="S189">
        <v>2000.38</v>
      </c>
      <c r="T189">
        <v>4.8</v>
      </c>
      <c r="U189"/>
      <c r="V189"/>
      <c r="W189" s="317">
        <v>3.9</v>
      </c>
      <c r="X189" s="190">
        <f t="shared" si="3"/>
        <v>37.44</v>
      </c>
      <c r="Y189" s="190"/>
      <c r="Z189" s="190"/>
    </row>
    <row r="190" spans="1:26" s="189" customFormat="1" ht="14.1" customHeight="1" x14ac:dyDescent="0.25">
      <c r="A190" s="191">
        <v>213</v>
      </c>
      <c r="B190" s="191">
        <v>2017</v>
      </c>
      <c r="C190" s="191">
        <v>11</v>
      </c>
      <c r="D190" s="191">
        <v>8</v>
      </c>
      <c r="E190"/>
      <c r="F190" s="191" t="s">
        <v>18</v>
      </c>
      <c r="G190"/>
      <c r="H190" s="191">
        <v>140</v>
      </c>
      <c r="I190" s="191">
        <v>14.4</v>
      </c>
      <c r="J190" s="191" t="s">
        <v>19</v>
      </c>
      <c r="K190" s="191" t="s">
        <v>20</v>
      </c>
      <c r="L190" s="191" t="s">
        <v>21</v>
      </c>
      <c r="M190" s="191" t="s">
        <v>26</v>
      </c>
      <c r="N190" s="191" t="s">
        <v>24</v>
      </c>
      <c r="O190" s="191" t="s">
        <v>476</v>
      </c>
      <c r="P190" s="104">
        <v>223</v>
      </c>
      <c r="Q190" t="s">
        <v>362</v>
      </c>
      <c r="R190">
        <v>14</v>
      </c>
      <c r="S190">
        <v>2744</v>
      </c>
      <c r="T190">
        <v>5.25</v>
      </c>
      <c r="U190"/>
      <c r="V190"/>
      <c r="W190" s="317">
        <v>3.9</v>
      </c>
      <c r="X190" s="190">
        <f t="shared" si="3"/>
        <v>56.16</v>
      </c>
      <c r="Y190" s="190"/>
      <c r="Z190" s="190"/>
    </row>
    <row r="191" spans="1:26" s="189" customFormat="1" ht="14.1" customHeight="1" x14ac:dyDescent="0.25">
      <c r="A191" s="191">
        <v>215</v>
      </c>
      <c r="B191" s="191">
        <v>2017</v>
      </c>
      <c r="C191" s="191">
        <v>11</v>
      </c>
      <c r="D191" s="191">
        <v>8</v>
      </c>
      <c r="E191"/>
      <c r="F191" s="191" t="s">
        <v>18</v>
      </c>
      <c r="G191"/>
      <c r="H191" s="191">
        <v>126</v>
      </c>
      <c r="I191" s="191">
        <v>12</v>
      </c>
      <c r="J191" s="191" t="s">
        <v>19</v>
      </c>
      <c r="K191" s="191" t="s">
        <v>20</v>
      </c>
      <c r="L191" s="191" t="s">
        <v>21</v>
      </c>
      <c r="M191" s="191" t="s">
        <v>26</v>
      </c>
      <c r="N191" s="191" t="s">
        <v>24</v>
      </c>
      <c r="O191" s="191" t="s">
        <v>477</v>
      </c>
      <c r="P191" s="104">
        <v>223</v>
      </c>
      <c r="Q191" t="s">
        <v>362</v>
      </c>
      <c r="R191">
        <v>12.6</v>
      </c>
      <c r="S191">
        <v>2000.38</v>
      </c>
      <c r="T191">
        <v>6</v>
      </c>
      <c r="U191"/>
      <c r="V191"/>
      <c r="W191" s="317">
        <v>3.9</v>
      </c>
      <c r="X191" s="190">
        <f t="shared" si="3"/>
        <v>46.8</v>
      </c>
      <c r="Y191" s="190"/>
      <c r="Z191" s="190"/>
    </row>
    <row r="192" spans="1:26" s="189" customFormat="1" ht="14.1" customHeight="1" x14ac:dyDescent="0.25">
      <c r="A192" s="191">
        <v>217</v>
      </c>
      <c r="B192" s="191">
        <v>2017</v>
      </c>
      <c r="C192" s="191">
        <v>11</v>
      </c>
      <c r="D192" s="191">
        <v>8</v>
      </c>
      <c r="E192"/>
      <c r="F192" s="191" t="s">
        <v>18</v>
      </c>
      <c r="G192"/>
      <c r="H192" s="191">
        <v>133</v>
      </c>
      <c r="I192" s="191">
        <v>15.3</v>
      </c>
      <c r="J192" s="191" t="s">
        <v>19</v>
      </c>
      <c r="K192" s="191" t="s">
        <v>20</v>
      </c>
      <c r="L192" s="197"/>
      <c r="M192" s="191" t="s">
        <v>22</v>
      </c>
      <c r="N192" s="191" t="s">
        <v>25</v>
      </c>
      <c r="O192" s="197"/>
      <c r="P192" s="104">
        <v>223</v>
      </c>
      <c r="Q192"/>
      <c r="R192">
        <v>13.3</v>
      </c>
      <c r="S192">
        <v>2352.64</v>
      </c>
      <c r="T192">
        <v>6.5</v>
      </c>
      <c r="U192"/>
      <c r="V192"/>
      <c r="W192"/>
      <c r="X192" s="190"/>
      <c r="Y192" s="190"/>
      <c r="Z192" s="190"/>
    </row>
    <row r="193" spans="1:26" s="189" customFormat="1" ht="14.1" customHeight="1" x14ac:dyDescent="0.25">
      <c r="A193" s="191">
        <v>218</v>
      </c>
      <c r="B193" s="191">
        <v>2017</v>
      </c>
      <c r="C193" s="191">
        <v>11</v>
      </c>
      <c r="D193" s="191">
        <v>8</v>
      </c>
      <c r="E193"/>
      <c r="F193" s="191" t="s">
        <v>18</v>
      </c>
      <c r="G193"/>
      <c r="H193" s="191">
        <v>133</v>
      </c>
      <c r="I193" s="191">
        <v>15.3</v>
      </c>
      <c r="J193" s="191" t="s">
        <v>19</v>
      </c>
      <c r="K193" s="191" t="s">
        <v>20</v>
      </c>
      <c r="L193" s="191" t="s">
        <v>21</v>
      </c>
      <c r="M193" s="191" t="s">
        <v>31</v>
      </c>
      <c r="N193" s="191" t="s">
        <v>25</v>
      </c>
      <c r="O193" s="191" t="s">
        <v>479</v>
      </c>
      <c r="P193" s="104">
        <v>223</v>
      </c>
      <c r="Q193" t="s">
        <v>375</v>
      </c>
      <c r="R193">
        <v>13.3</v>
      </c>
      <c r="S193">
        <v>2352.64</v>
      </c>
      <c r="T193">
        <v>6.5</v>
      </c>
      <c r="U193"/>
      <c r="V193"/>
      <c r="W193" s="317">
        <v>3.9</v>
      </c>
      <c r="X193" s="190">
        <f t="shared" ref="X193:X205" si="4">I193*W193</f>
        <v>59.67</v>
      </c>
      <c r="Y193" s="190"/>
      <c r="Z193" s="190"/>
    </row>
    <row r="194" spans="1:26" s="189" customFormat="1" ht="14.1" customHeight="1" x14ac:dyDescent="0.25">
      <c r="A194" s="191">
        <v>219</v>
      </c>
      <c r="B194" s="191">
        <v>2017</v>
      </c>
      <c r="C194" s="191">
        <v>11</v>
      </c>
      <c r="D194" s="191">
        <v>8</v>
      </c>
      <c r="E194"/>
      <c r="F194" s="191" t="s">
        <v>18</v>
      </c>
      <c r="G194"/>
      <c r="H194" s="191">
        <v>120</v>
      </c>
      <c r="I194" s="191">
        <v>12.5</v>
      </c>
      <c r="J194" s="191" t="s">
        <v>19</v>
      </c>
      <c r="K194" s="191" t="s">
        <v>20</v>
      </c>
      <c r="L194" s="191" t="s">
        <v>30</v>
      </c>
      <c r="M194" s="191" t="s">
        <v>26</v>
      </c>
      <c r="N194" s="191" t="s">
        <v>23</v>
      </c>
      <c r="O194" s="191" t="s">
        <v>480</v>
      </c>
      <c r="P194" s="104">
        <v>223</v>
      </c>
      <c r="Q194" t="s">
        <v>375</v>
      </c>
      <c r="R194">
        <v>12</v>
      </c>
      <c r="S194">
        <v>1728</v>
      </c>
      <c r="T194">
        <v>7.23</v>
      </c>
      <c r="U194"/>
      <c r="V194"/>
      <c r="W194" s="317">
        <v>4.5999999999999996</v>
      </c>
      <c r="X194" s="190">
        <f t="shared" si="4"/>
        <v>57.499999999999993</v>
      </c>
      <c r="Y194" s="190"/>
      <c r="Z194" s="190"/>
    </row>
    <row r="195" spans="1:26" s="189" customFormat="1" ht="14.1" customHeight="1" x14ac:dyDescent="0.25">
      <c r="A195" s="191">
        <v>220</v>
      </c>
      <c r="B195" s="191">
        <v>2017</v>
      </c>
      <c r="C195" s="191">
        <v>11</v>
      </c>
      <c r="D195" s="191">
        <v>8</v>
      </c>
      <c r="E195"/>
      <c r="F195" s="191" t="s">
        <v>18</v>
      </c>
      <c r="G195"/>
      <c r="H195" s="191">
        <v>130</v>
      </c>
      <c r="I195" s="191">
        <v>10.6</v>
      </c>
      <c r="J195" s="191" t="s">
        <v>19</v>
      </c>
      <c r="K195" s="191" t="s">
        <v>20</v>
      </c>
      <c r="L195" s="191" t="s">
        <v>21</v>
      </c>
      <c r="M195" s="191" t="s">
        <v>22</v>
      </c>
      <c r="N195" s="191" t="s">
        <v>24</v>
      </c>
      <c r="O195" s="197"/>
      <c r="P195" s="104">
        <v>223</v>
      </c>
      <c r="Q195"/>
      <c r="R195">
        <v>13</v>
      </c>
      <c r="S195">
        <v>2197</v>
      </c>
      <c r="T195">
        <v>4.82</v>
      </c>
      <c r="U195"/>
      <c r="V195"/>
      <c r="W195" s="317">
        <v>3.9</v>
      </c>
      <c r="X195" s="190">
        <f t="shared" si="4"/>
        <v>41.339999999999996</v>
      </c>
      <c r="Y195" s="190"/>
      <c r="Z195" s="190"/>
    </row>
    <row r="196" spans="1:26" s="189" customFormat="1" ht="14.1" customHeight="1" x14ac:dyDescent="0.25">
      <c r="A196" s="191">
        <v>221</v>
      </c>
      <c r="B196" s="191">
        <v>2017</v>
      </c>
      <c r="C196" s="191">
        <v>11</v>
      </c>
      <c r="D196" s="191">
        <v>8</v>
      </c>
      <c r="E196"/>
      <c r="F196" s="191" t="s">
        <v>18</v>
      </c>
      <c r="G196"/>
      <c r="H196" s="191">
        <v>145</v>
      </c>
      <c r="I196" s="191">
        <v>17.5</v>
      </c>
      <c r="J196" s="191" t="s">
        <v>19</v>
      </c>
      <c r="K196" s="191" t="s">
        <v>20</v>
      </c>
      <c r="L196" s="191" t="s">
        <v>21</v>
      </c>
      <c r="M196" s="191" t="s">
        <v>26</v>
      </c>
      <c r="N196" s="191" t="s">
        <v>33</v>
      </c>
      <c r="O196" s="197"/>
      <c r="P196" s="104">
        <v>223</v>
      </c>
      <c r="Q196"/>
      <c r="R196">
        <v>14.5</v>
      </c>
      <c r="S196">
        <v>3048.63</v>
      </c>
      <c r="T196">
        <v>5.74</v>
      </c>
      <c r="U196"/>
      <c r="V196"/>
      <c r="W196" s="317">
        <v>3.9</v>
      </c>
      <c r="X196" s="190">
        <f t="shared" si="4"/>
        <v>68.25</v>
      </c>
      <c r="Y196" s="190"/>
      <c r="Z196" s="190"/>
    </row>
    <row r="197" spans="1:26" s="189" customFormat="1" ht="14.1" customHeight="1" x14ac:dyDescent="0.25">
      <c r="A197" s="191">
        <v>222</v>
      </c>
      <c r="B197" s="191">
        <v>2017</v>
      </c>
      <c r="C197" s="191">
        <v>11</v>
      </c>
      <c r="D197" s="191">
        <v>8</v>
      </c>
      <c r="E197"/>
      <c r="F197" s="191" t="s">
        <v>18</v>
      </c>
      <c r="G197"/>
      <c r="H197" s="191">
        <v>157</v>
      </c>
      <c r="I197" s="191">
        <v>16.899999999999999</v>
      </c>
      <c r="J197" s="191" t="s">
        <v>19</v>
      </c>
      <c r="K197" s="191" t="s">
        <v>20</v>
      </c>
      <c r="L197" s="191" t="s">
        <v>21</v>
      </c>
      <c r="M197" s="191" t="s">
        <v>26</v>
      </c>
      <c r="N197" s="191" t="s">
        <v>23</v>
      </c>
      <c r="O197"/>
      <c r="P197" s="104">
        <v>223</v>
      </c>
      <c r="Q197"/>
      <c r="R197">
        <v>15.7</v>
      </c>
      <c r="S197">
        <v>3869.89</v>
      </c>
      <c r="T197">
        <v>4.37</v>
      </c>
      <c r="U197"/>
      <c r="V197"/>
      <c r="W197" s="317">
        <v>3.9</v>
      </c>
      <c r="X197" s="190">
        <f t="shared" si="4"/>
        <v>65.91</v>
      </c>
      <c r="Y197" s="190"/>
      <c r="Z197" s="190"/>
    </row>
    <row r="198" spans="1:26" s="189" customFormat="1" ht="14.1" customHeight="1" x14ac:dyDescent="0.25">
      <c r="A198" s="191">
        <v>225</v>
      </c>
      <c r="B198" s="191">
        <v>2017</v>
      </c>
      <c r="C198" s="191">
        <v>11</v>
      </c>
      <c r="D198" s="191">
        <v>8</v>
      </c>
      <c r="E198"/>
      <c r="F198" s="191" t="s">
        <v>18</v>
      </c>
      <c r="G198"/>
      <c r="H198" s="191">
        <v>120</v>
      </c>
      <c r="I198" s="191">
        <v>12</v>
      </c>
      <c r="J198" s="191" t="s">
        <v>19</v>
      </c>
      <c r="K198" s="191" t="s">
        <v>20</v>
      </c>
      <c r="L198" s="191" t="s">
        <v>21</v>
      </c>
      <c r="M198" s="191" t="s">
        <v>22</v>
      </c>
      <c r="N198" s="191" t="s">
        <v>25</v>
      </c>
      <c r="O198" s="191" t="s">
        <v>481</v>
      </c>
      <c r="P198" s="104">
        <v>223</v>
      </c>
      <c r="Q198" t="s">
        <v>375</v>
      </c>
      <c r="R198">
        <v>12</v>
      </c>
      <c r="S198">
        <v>1728</v>
      </c>
      <c r="T198">
        <v>6.94</v>
      </c>
      <c r="U198"/>
      <c r="V198"/>
      <c r="W198" s="317">
        <v>3.9</v>
      </c>
      <c r="X198" s="190">
        <f t="shared" si="4"/>
        <v>46.8</v>
      </c>
      <c r="Y198" s="190"/>
      <c r="Z198" s="190"/>
    </row>
    <row r="199" spans="1:26" s="189" customFormat="1" ht="14.1" customHeight="1" x14ac:dyDescent="0.25">
      <c r="A199" s="191">
        <v>226</v>
      </c>
      <c r="B199" s="191">
        <v>2017</v>
      </c>
      <c r="C199" s="191">
        <v>11</v>
      </c>
      <c r="D199" s="191">
        <v>8</v>
      </c>
      <c r="E199"/>
      <c r="F199" s="191" t="s">
        <v>18</v>
      </c>
      <c r="G199"/>
      <c r="H199" s="191">
        <v>134</v>
      </c>
      <c r="I199" s="191">
        <v>11.9</v>
      </c>
      <c r="J199" s="191" t="s">
        <v>19</v>
      </c>
      <c r="K199" s="191" t="s">
        <v>20</v>
      </c>
      <c r="L199" s="191" t="s">
        <v>21</v>
      </c>
      <c r="M199" s="191" t="s">
        <v>27</v>
      </c>
      <c r="N199" s="191" t="s">
        <v>23</v>
      </c>
      <c r="O199" s="191" t="s">
        <v>482</v>
      </c>
      <c r="P199" s="104">
        <v>223</v>
      </c>
      <c r="Q199" t="s">
        <v>362</v>
      </c>
      <c r="R199">
        <v>13.4</v>
      </c>
      <c r="S199">
        <v>2406.1</v>
      </c>
      <c r="T199">
        <v>4.95</v>
      </c>
      <c r="U199"/>
      <c r="V199"/>
      <c r="W199" s="317">
        <v>3.9</v>
      </c>
      <c r="X199" s="190">
        <f t="shared" si="4"/>
        <v>46.410000000000004</v>
      </c>
      <c r="Y199" s="190"/>
      <c r="Z199" s="190"/>
    </row>
    <row r="200" spans="1:26" s="189" customFormat="1" ht="14.1" customHeight="1" x14ac:dyDescent="0.25">
      <c r="A200" s="191">
        <v>227</v>
      </c>
      <c r="B200" s="191">
        <v>2017</v>
      </c>
      <c r="C200" s="191">
        <v>11</v>
      </c>
      <c r="D200" s="191">
        <v>8</v>
      </c>
      <c r="E200"/>
      <c r="F200" s="191" t="s">
        <v>18</v>
      </c>
      <c r="G200"/>
      <c r="H200" s="191">
        <v>130</v>
      </c>
      <c r="I200" s="191">
        <v>11</v>
      </c>
      <c r="J200" s="191" t="s">
        <v>19</v>
      </c>
      <c r="K200" s="191" t="s">
        <v>20</v>
      </c>
      <c r="L200" s="191" t="s">
        <v>21</v>
      </c>
      <c r="M200" s="191" t="s">
        <v>27</v>
      </c>
      <c r="N200" s="191" t="s">
        <v>24</v>
      </c>
      <c r="O200" s="191" t="s">
        <v>483</v>
      </c>
      <c r="P200" s="104">
        <v>223</v>
      </c>
      <c r="Q200" t="s">
        <v>362</v>
      </c>
      <c r="R200">
        <v>13</v>
      </c>
      <c r="S200">
        <v>2197</v>
      </c>
      <c r="T200">
        <v>5.01</v>
      </c>
      <c r="U200"/>
      <c r="V200"/>
      <c r="W200" s="317">
        <v>3.9</v>
      </c>
      <c r="X200" s="190">
        <f t="shared" si="4"/>
        <v>42.9</v>
      </c>
      <c r="Y200" s="190"/>
      <c r="Z200" s="190"/>
    </row>
    <row r="201" spans="1:26" s="189" customFormat="1" ht="14.1" customHeight="1" x14ac:dyDescent="0.25">
      <c r="A201" s="191">
        <v>229</v>
      </c>
      <c r="B201" s="191">
        <v>2017</v>
      </c>
      <c r="C201" s="191">
        <v>11</v>
      </c>
      <c r="D201" s="191">
        <v>8</v>
      </c>
      <c r="E201"/>
      <c r="F201" s="191" t="s">
        <v>18</v>
      </c>
      <c r="G201"/>
      <c r="H201" s="191">
        <v>140</v>
      </c>
      <c r="I201" s="191">
        <v>14.7</v>
      </c>
      <c r="J201" s="191" t="s">
        <v>19</v>
      </c>
      <c r="K201" s="191" t="s">
        <v>20</v>
      </c>
      <c r="L201" s="191" t="s">
        <v>21</v>
      </c>
      <c r="M201" s="191" t="s">
        <v>22</v>
      </c>
      <c r="N201" s="191" t="s">
        <v>25</v>
      </c>
      <c r="O201" s="191" t="s">
        <v>484</v>
      </c>
      <c r="P201" s="104">
        <v>223</v>
      </c>
      <c r="Q201" t="s">
        <v>362</v>
      </c>
      <c r="R201">
        <v>14</v>
      </c>
      <c r="S201">
        <v>2744</v>
      </c>
      <c r="T201">
        <v>5.36</v>
      </c>
      <c r="U201"/>
      <c r="V201"/>
      <c r="W201" s="317">
        <v>3.9</v>
      </c>
      <c r="X201" s="190">
        <f t="shared" si="4"/>
        <v>57.33</v>
      </c>
      <c r="Y201" s="190"/>
      <c r="Z201" s="190"/>
    </row>
    <row r="202" spans="1:26" s="189" customFormat="1" ht="14.1" customHeight="1" x14ac:dyDescent="0.25">
      <c r="A202" s="191">
        <v>230</v>
      </c>
      <c r="B202" s="191">
        <v>2017</v>
      </c>
      <c r="C202" s="191">
        <v>11</v>
      </c>
      <c r="D202" s="191">
        <v>8</v>
      </c>
      <c r="E202"/>
      <c r="F202" s="191" t="s">
        <v>18</v>
      </c>
      <c r="G202"/>
      <c r="H202" s="191">
        <v>142</v>
      </c>
      <c r="I202" s="191">
        <v>13.4</v>
      </c>
      <c r="J202" s="191" t="s">
        <v>19</v>
      </c>
      <c r="K202" s="191" t="s">
        <v>20</v>
      </c>
      <c r="L202" s="191" t="s">
        <v>21</v>
      </c>
      <c r="M202" s="191" t="s">
        <v>26</v>
      </c>
      <c r="N202" s="191" t="s">
        <v>24</v>
      </c>
      <c r="O202" s="191" t="s">
        <v>485</v>
      </c>
      <c r="P202" s="104">
        <v>223</v>
      </c>
      <c r="Q202" t="s">
        <v>362</v>
      </c>
      <c r="R202">
        <v>14.2</v>
      </c>
      <c r="S202">
        <v>2863.29</v>
      </c>
      <c r="T202">
        <v>4.68</v>
      </c>
      <c r="U202"/>
      <c r="V202"/>
      <c r="W202" s="317">
        <v>3.9</v>
      </c>
      <c r="X202" s="190">
        <f t="shared" si="4"/>
        <v>52.26</v>
      </c>
      <c r="Y202" s="190"/>
      <c r="Z202" s="190"/>
    </row>
    <row r="203" spans="1:26" s="189" customFormat="1" ht="14.1" customHeight="1" x14ac:dyDescent="0.25">
      <c r="A203" s="191">
        <v>231</v>
      </c>
      <c r="B203" s="191">
        <v>2017</v>
      </c>
      <c r="C203" s="191">
        <v>11</v>
      </c>
      <c r="D203" s="191">
        <v>8</v>
      </c>
      <c r="E203"/>
      <c r="F203" s="191" t="s">
        <v>18</v>
      </c>
      <c r="G203"/>
      <c r="H203" s="191">
        <v>123</v>
      </c>
      <c r="I203" s="191">
        <v>11.7</v>
      </c>
      <c r="J203" s="191" t="s">
        <v>19</v>
      </c>
      <c r="K203" s="191" t="s">
        <v>20</v>
      </c>
      <c r="L203" s="191" t="s">
        <v>21</v>
      </c>
      <c r="M203" s="191" t="s">
        <v>27</v>
      </c>
      <c r="N203" s="191" t="s">
        <v>25</v>
      </c>
      <c r="O203" s="191" t="s">
        <v>486</v>
      </c>
      <c r="P203" s="104">
        <v>223</v>
      </c>
      <c r="Q203" t="s">
        <v>362</v>
      </c>
      <c r="R203">
        <v>12.3</v>
      </c>
      <c r="S203">
        <v>1860.87</v>
      </c>
      <c r="T203">
        <v>6.29</v>
      </c>
      <c r="U203"/>
      <c r="V203"/>
      <c r="W203" s="317">
        <v>3.9</v>
      </c>
      <c r="X203" s="190">
        <f t="shared" si="4"/>
        <v>45.629999999999995</v>
      </c>
      <c r="Y203" s="190"/>
      <c r="Z203" s="190"/>
    </row>
    <row r="204" spans="1:26" s="189" customFormat="1" ht="14.1" customHeight="1" x14ac:dyDescent="0.25">
      <c r="A204" s="191">
        <v>233</v>
      </c>
      <c r="B204" s="191">
        <v>2017</v>
      </c>
      <c r="C204" s="191">
        <v>11</v>
      </c>
      <c r="D204" s="191">
        <v>8</v>
      </c>
      <c r="E204"/>
      <c r="F204" s="191" t="s">
        <v>18</v>
      </c>
      <c r="G204"/>
      <c r="H204" s="191">
        <v>119</v>
      </c>
      <c r="I204" s="191">
        <v>8</v>
      </c>
      <c r="J204" s="191" t="s">
        <v>19</v>
      </c>
      <c r="K204" s="191" t="s">
        <v>20</v>
      </c>
      <c r="L204" s="191" t="s">
        <v>21</v>
      </c>
      <c r="M204" s="191" t="s">
        <v>22</v>
      </c>
      <c r="N204" s="191" t="s">
        <v>25</v>
      </c>
      <c r="O204" s="191" t="s">
        <v>487</v>
      </c>
      <c r="P204" s="104">
        <v>223</v>
      </c>
      <c r="Q204" t="s">
        <v>375</v>
      </c>
      <c r="R204">
        <v>11.9</v>
      </c>
      <c r="S204">
        <v>1685.16</v>
      </c>
      <c r="T204">
        <v>4.75</v>
      </c>
      <c r="U204"/>
      <c r="V204"/>
      <c r="W204" s="317">
        <v>3.9</v>
      </c>
      <c r="X204" s="190">
        <f t="shared" si="4"/>
        <v>31.2</v>
      </c>
      <c r="Y204" s="190"/>
      <c r="Z204" s="190"/>
    </row>
    <row r="205" spans="1:26" s="189" customFormat="1" ht="14.1" customHeight="1" x14ac:dyDescent="0.25">
      <c r="A205" s="191">
        <v>234</v>
      </c>
      <c r="B205" s="191">
        <v>2017</v>
      </c>
      <c r="C205" s="191">
        <v>11</v>
      </c>
      <c r="D205" s="191">
        <v>8</v>
      </c>
      <c r="E205"/>
      <c r="F205" s="191" t="s">
        <v>18</v>
      </c>
      <c r="G205"/>
      <c r="H205" s="191">
        <v>125</v>
      </c>
      <c r="I205" s="191">
        <v>8.4</v>
      </c>
      <c r="J205" s="191" t="s">
        <v>19</v>
      </c>
      <c r="K205" s="191" t="s">
        <v>20</v>
      </c>
      <c r="L205" s="191" t="s">
        <v>21</v>
      </c>
      <c r="M205" s="191" t="s">
        <v>27</v>
      </c>
      <c r="N205" s="191" t="s">
        <v>25</v>
      </c>
      <c r="O205" s="197"/>
      <c r="P205" s="104">
        <v>223</v>
      </c>
      <c r="Q205"/>
      <c r="R205">
        <v>12.5</v>
      </c>
      <c r="S205">
        <v>1953.13</v>
      </c>
      <c r="T205">
        <v>4.3</v>
      </c>
      <c r="U205"/>
      <c r="V205"/>
      <c r="W205" s="317">
        <v>3.9</v>
      </c>
      <c r="X205" s="190">
        <f t="shared" si="4"/>
        <v>32.76</v>
      </c>
      <c r="Y205" s="190"/>
      <c r="Z205" s="190"/>
    </row>
    <row r="206" spans="1:26" s="189" customFormat="1" ht="14.1" customHeight="1" x14ac:dyDescent="0.25">
      <c r="A206" s="191">
        <v>228</v>
      </c>
      <c r="B206" s="191">
        <v>2017</v>
      </c>
      <c r="C206" s="191">
        <v>11</v>
      </c>
      <c r="D206" s="191">
        <v>8</v>
      </c>
      <c r="E206"/>
      <c r="F206" s="191" t="s">
        <v>18</v>
      </c>
      <c r="G206"/>
      <c r="H206" s="191">
        <v>103</v>
      </c>
      <c r="I206" s="191">
        <v>5.0999999999999996</v>
      </c>
      <c r="J206" s="191" t="s">
        <v>19</v>
      </c>
      <c r="K206" s="191" t="s">
        <v>35</v>
      </c>
      <c r="L206" s="197"/>
      <c r="M206" s="197"/>
      <c r="N206" s="197"/>
      <c r="O206" s="197"/>
      <c r="P206" s="104">
        <v>223</v>
      </c>
      <c r="Q206"/>
      <c r="R206">
        <v>10.3</v>
      </c>
      <c r="S206">
        <v>1092.73</v>
      </c>
      <c r="T206">
        <v>4.67</v>
      </c>
      <c r="U206"/>
      <c r="V206"/>
      <c r="W206"/>
      <c r="X206" s="190"/>
      <c r="Y206" s="190"/>
      <c r="Z206" s="190"/>
    </row>
    <row r="207" spans="1:26" s="189" customFormat="1" ht="14.1" customHeight="1" x14ac:dyDescent="0.25">
      <c r="A207" s="191">
        <v>27</v>
      </c>
      <c r="B207" s="191">
        <v>2017</v>
      </c>
      <c r="C207" s="191">
        <v>5</v>
      </c>
      <c r="D207" s="191">
        <v>8</v>
      </c>
      <c r="E207" s="191" t="s">
        <v>370</v>
      </c>
      <c r="F207" s="191" t="s">
        <v>18</v>
      </c>
      <c r="G207"/>
      <c r="H207" s="191">
        <v>145</v>
      </c>
      <c r="I207" s="191">
        <v>18</v>
      </c>
      <c r="J207" s="191" t="s">
        <v>19</v>
      </c>
      <c r="K207" s="191" t="s">
        <v>34</v>
      </c>
      <c r="L207"/>
      <c r="M207" s="191" t="s">
        <v>27</v>
      </c>
      <c r="N207" s="191" t="s">
        <v>25</v>
      </c>
      <c r="O207" s="191" t="s">
        <v>374</v>
      </c>
      <c r="P207" s="104">
        <v>217</v>
      </c>
      <c r="Q207" t="s">
        <v>375</v>
      </c>
      <c r="R207">
        <v>14.5</v>
      </c>
      <c r="S207">
        <v>3048.63</v>
      </c>
      <c r="T207">
        <v>5.9</v>
      </c>
      <c r="U207"/>
      <c r="V207"/>
      <c r="W207">
        <v>3.8</v>
      </c>
      <c r="X207" s="190">
        <f>I207*W207</f>
        <v>68.399999999999991</v>
      </c>
      <c r="Y207" s="190"/>
      <c r="Z207" s="190"/>
    </row>
    <row r="208" spans="1:26" s="189" customFormat="1" ht="14.1" customHeight="1" x14ac:dyDescent="0.25">
      <c r="A208" s="191">
        <v>33</v>
      </c>
      <c r="B208" s="191">
        <v>2017</v>
      </c>
      <c r="C208" s="191">
        <v>6</v>
      </c>
      <c r="D208" s="191">
        <v>8</v>
      </c>
      <c r="E208"/>
      <c r="F208" s="191" t="s">
        <v>28</v>
      </c>
      <c r="G208"/>
      <c r="H208" s="197"/>
      <c r="I208" s="197"/>
      <c r="J208" s="191" t="s">
        <v>19</v>
      </c>
      <c r="K208" s="191" t="s">
        <v>34</v>
      </c>
      <c r="L208" s="197"/>
      <c r="M208"/>
      <c r="N208" s="191" t="s">
        <v>378</v>
      </c>
      <c r="O208"/>
      <c r="P208" s="104">
        <v>218</v>
      </c>
      <c r="Q208"/>
      <c r="R208"/>
      <c r="S208"/>
      <c r="T208"/>
      <c r="U208"/>
      <c r="V208"/>
      <c r="W208" s="317">
        <v>3.8</v>
      </c>
      <c r="X208" s="190"/>
      <c r="Y208" s="190"/>
      <c r="Z208" s="190"/>
    </row>
    <row r="209" spans="1:26" s="189" customFormat="1" ht="14.1" customHeight="1" x14ac:dyDescent="0.25">
      <c r="A209" s="191">
        <v>35</v>
      </c>
      <c r="B209" s="191">
        <v>2017</v>
      </c>
      <c r="C209" s="191">
        <v>6</v>
      </c>
      <c r="D209" s="191">
        <v>8</v>
      </c>
      <c r="E209"/>
      <c r="F209" s="191" t="s">
        <v>18</v>
      </c>
      <c r="G209"/>
      <c r="H209" s="191">
        <v>140</v>
      </c>
      <c r="I209" s="191">
        <v>18.7</v>
      </c>
      <c r="J209" s="191" t="s">
        <v>19</v>
      </c>
      <c r="K209" s="191" t="s">
        <v>34</v>
      </c>
      <c r="L209" s="197"/>
      <c r="M209" s="191" t="s">
        <v>27</v>
      </c>
      <c r="N209" s="197"/>
      <c r="O209"/>
      <c r="P209" s="104">
        <v>218</v>
      </c>
      <c r="Q209"/>
      <c r="R209">
        <v>14</v>
      </c>
      <c r="S209">
        <v>2744</v>
      </c>
      <c r="T209">
        <v>6.81</v>
      </c>
      <c r="U209"/>
      <c r="V209"/>
      <c r="W209" s="317">
        <v>3.8</v>
      </c>
      <c r="X209" s="190">
        <f>I209*W209</f>
        <v>71.059999999999988</v>
      </c>
      <c r="Y209" s="190"/>
      <c r="Z209" s="190"/>
    </row>
    <row r="210" spans="1:26" s="189" customFormat="1" ht="14.1" customHeight="1" x14ac:dyDescent="0.25">
      <c r="A210" s="191">
        <v>42</v>
      </c>
      <c r="B210" s="191">
        <v>2017</v>
      </c>
      <c r="C210" s="191">
        <v>6</v>
      </c>
      <c r="D210" s="191">
        <v>8</v>
      </c>
      <c r="E210"/>
      <c r="F210" s="191" t="s">
        <v>28</v>
      </c>
      <c r="G210"/>
      <c r="H210" s="197"/>
      <c r="I210" s="197"/>
      <c r="J210" s="191" t="s">
        <v>19</v>
      </c>
      <c r="K210" s="191" t="s">
        <v>34</v>
      </c>
      <c r="L210" s="197"/>
      <c r="M210" s="197"/>
      <c r="N210" s="191" t="s">
        <v>378</v>
      </c>
      <c r="O210" s="191" t="s">
        <v>382</v>
      </c>
      <c r="P210" s="104">
        <v>218</v>
      </c>
      <c r="Q210" t="s">
        <v>362</v>
      </c>
      <c r="R210"/>
      <c r="S210"/>
      <c r="T210"/>
      <c r="U210"/>
      <c r="V210"/>
      <c r="W210" s="317">
        <v>3.8</v>
      </c>
      <c r="X210" s="190"/>
      <c r="Y210" s="190"/>
      <c r="Z210" s="190"/>
    </row>
    <row r="211" spans="1:26" s="189" customFormat="1" ht="14.1" customHeight="1" x14ac:dyDescent="0.25">
      <c r="A211" s="191">
        <v>17</v>
      </c>
      <c r="B211" s="191">
        <v>2017</v>
      </c>
      <c r="C211" s="191">
        <v>5</v>
      </c>
      <c r="D211" s="191">
        <v>8</v>
      </c>
      <c r="E211" s="191" t="s">
        <v>370</v>
      </c>
      <c r="F211" s="191" t="s">
        <v>18</v>
      </c>
      <c r="G211"/>
      <c r="H211" s="191">
        <v>95</v>
      </c>
      <c r="I211" s="191">
        <v>6.5</v>
      </c>
      <c r="J211" s="191" t="s">
        <v>209</v>
      </c>
      <c r="K211" s="197"/>
      <c r="L211" s="197"/>
      <c r="M211" s="191" t="s">
        <v>27</v>
      </c>
      <c r="N211" s="191" t="s">
        <v>24</v>
      </c>
      <c r="O211" s="197"/>
      <c r="P211" s="104">
        <v>218</v>
      </c>
      <c r="Q211"/>
      <c r="R211">
        <v>9.5</v>
      </c>
      <c r="S211">
        <v>857.38</v>
      </c>
      <c r="T211">
        <v>7.58</v>
      </c>
      <c r="U211"/>
      <c r="V211"/>
      <c r="W211"/>
      <c r="X211" s="190"/>
      <c r="Y211" s="190"/>
      <c r="Z211" s="190"/>
    </row>
    <row r="212" spans="1:26" s="189" customFormat="1" ht="14.1" customHeight="1" x14ac:dyDescent="0.25">
      <c r="A212" s="191">
        <v>19</v>
      </c>
      <c r="B212" s="191">
        <v>2017</v>
      </c>
      <c r="C212" s="191">
        <v>5</v>
      </c>
      <c r="D212" s="191">
        <v>8</v>
      </c>
      <c r="E212" s="191" t="s">
        <v>370</v>
      </c>
      <c r="F212" s="191" t="s">
        <v>18</v>
      </c>
      <c r="G212"/>
      <c r="H212" s="191">
        <v>80</v>
      </c>
      <c r="I212" s="191">
        <v>1</v>
      </c>
      <c r="J212" s="191" t="s">
        <v>32</v>
      </c>
      <c r="K212" s="197"/>
      <c r="L212" s="197"/>
      <c r="M212" s="197"/>
      <c r="N212" s="197"/>
      <c r="O212" s="197"/>
      <c r="P212" s="104">
        <v>218</v>
      </c>
      <c r="Q212"/>
      <c r="R212">
        <v>8</v>
      </c>
      <c r="S212">
        <v>512</v>
      </c>
      <c r="T212">
        <v>1.95</v>
      </c>
      <c r="U212"/>
      <c r="V212"/>
      <c r="W212"/>
      <c r="X212" s="190"/>
      <c r="Y212" s="190"/>
      <c r="Z212" s="190"/>
    </row>
    <row r="213" spans="1:26" s="189" customFormat="1" ht="14.1" customHeight="1" x14ac:dyDescent="0.25">
      <c r="A213" s="191">
        <v>37</v>
      </c>
      <c r="B213" s="191">
        <v>2017</v>
      </c>
      <c r="C213" s="191">
        <v>6</v>
      </c>
      <c r="D213" s="191">
        <v>8</v>
      </c>
      <c r="E213"/>
      <c r="F213" s="191" t="s">
        <v>18</v>
      </c>
      <c r="G213"/>
      <c r="H213" s="191">
        <v>85</v>
      </c>
      <c r="I213" s="191">
        <v>1.5</v>
      </c>
      <c r="J213" s="191" t="s">
        <v>32</v>
      </c>
      <c r="K213" s="197"/>
      <c r="L213" s="197"/>
      <c r="M213" s="191" t="s">
        <v>26</v>
      </c>
      <c r="N213" s="191" t="s">
        <v>24</v>
      </c>
      <c r="O213" s="197"/>
      <c r="P213" s="104">
        <v>218</v>
      </c>
      <c r="Q213"/>
      <c r="R213">
        <v>8.5</v>
      </c>
      <c r="S213">
        <v>614.13</v>
      </c>
      <c r="T213">
        <v>2.44</v>
      </c>
      <c r="U213"/>
      <c r="V213"/>
      <c r="W213"/>
      <c r="X213" s="190"/>
      <c r="Y213" s="190"/>
      <c r="Z213" s="190"/>
    </row>
    <row r="214" spans="1:26" s="189" customFormat="1" ht="14.1" customHeight="1" x14ac:dyDescent="0.25">
      <c r="A214" s="191">
        <v>82</v>
      </c>
      <c r="B214" s="191">
        <v>2017</v>
      </c>
      <c r="C214" s="191">
        <v>6</v>
      </c>
      <c r="D214" s="191">
        <v>8</v>
      </c>
      <c r="E214"/>
      <c r="F214" s="191" t="s">
        <v>18</v>
      </c>
      <c r="G214"/>
      <c r="H214" s="191">
        <v>87</v>
      </c>
      <c r="I214" s="191">
        <v>1.5</v>
      </c>
      <c r="J214" s="191" t="s">
        <v>32</v>
      </c>
      <c r="K214" s="197"/>
      <c r="L214" s="197"/>
      <c r="M214" s="197"/>
      <c r="N214" s="191" t="s">
        <v>24</v>
      </c>
      <c r="O214" s="197"/>
      <c r="P214" s="104">
        <v>218</v>
      </c>
      <c r="Q214"/>
      <c r="R214">
        <v>8.6999999999999993</v>
      </c>
      <c r="S214">
        <v>658.5</v>
      </c>
      <c r="T214">
        <v>2.2799999999999998</v>
      </c>
      <c r="U214"/>
      <c r="V214"/>
      <c r="W214"/>
      <c r="X214" s="190"/>
      <c r="Y214" s="190"/>
      <c r="Z214" s="190"/>
    </row>
    <row r="215" spans="1:26" s="189" customFormat="1" ht="14.1" customHeight="1" x14ac:dyDescent="0.25">
      <c r="A215" s="191">
        <v>115</v>
      </c>
      <c r="B215" s="191">
        <v>2017</v>
      </c>
      <c r="C215" s="191">
        <v>7</v>
      </c>
      <c r="D215" s="191">
        <v>8</v>
      </c>
      <c r="E215"/>
      <c r="F215" s="191" t="s">
        <v>18</v>
      </c>
      <c r="G215"/>
      <c r="H215" s="191">
        <v>97</v>
      </c>
      <c r="I215" s="191">
        <v>2</v>
      </c>
      <c r="J215" s="191" t="s">
        <v>32</v>
      </c>
      <c r="K215"/>
      <c r="L215"/>
      <c r="M215" s="197"/>
      <c r="N215" s="191" t="s">
        <v>24</v>
      </c>
      <c r="O215"/>
      <c r="P215" s="104">
        <v>219</v>
      </c>
      <c r="Q215"/>
      <c r="R215">
        <v>9.6999999999999993</v>
      </c>
      <c r="S215">
        <v>912.67</v>
      </c>
      <c r="T215">
        <v>2.19</v>
      </c>
      <c r="U215"/>
      <c r="V215"/>
      <c r="W215"/>
      <c r="X215" s="190"/>
      <c r="Y215" s="190"/>
      <c r="Z215" s="190"/>
    </row>
    <row r="216" spans="1:26" s="189" customFormat="1" ht="14.1" customHeight="1" x14ac:dyDescent="0.25">
      <c r="A216" s="191">
        <v>120</v>
      </c>
      <c r="B216" s="191">
        <v>2017</v>
      </c>
      <c r="C216" s="191">
        <v>7</v>
      </c>
      <c r="D216" s="191">
        <v>8</v>
      </c>
      <c r="E216"/>
      <c r="F216" s="191" t="s">
        <v>18</v>
      </c>
      <c r="G216"/>
      <c r="H216" s="191">
        <v>90</v>
      </c>
      <c r="I216" s="191">
        <v>1.5</v>
      </c>
      <c r="J216" s="191" t="s">
        <v>32</v>
      </c>
      <c r="K216" s="197"/>
      <c r="L216" s="197"/>
      <c r="M216" s="191" t="s">
        <v>26</v>
      </c>
      <c r="N216" s="197"/>
      <c r="O216" s="197"/>
      <c r="P216" s="104">
        <v>219</v>
      </c>
      <c r="Q216"/>
      <c r="R216">
        <v>9</v>
      </c>
      <c r="S216">
        <v>729</v>
      </c>
      <c r="T216">
        <v>2.06</v>
      </c>
      <c r="U216"/>
      <c r="V216"/>
      <c r="W216"/>
      <c r="X216" s="190"/>
      <c r="Y216" s="190"/>
      <c r="Z216" s="190"/>
    </row>
    <row r="217" spans="1:26" s="189" customFormat="1" ht="14.1" customHeight="1" x14ac:dyDescent="0.25">
      <c r="A217" s="191">
        <v>121</v>
      </c>
      <c r="B217" s="191">
        <v>2017</v>
      </c>
      <c r="C217" s="191">
        <v>7</v>
      </c>
      <c r="D217" s="191">
        <v>8</v>
      </c>
      <c r="E217"/>
      <c r="F217" s="191" t="s">
        <v>18</v>
      </c>
      <c r="G217"/>
      <c r="H217" s="191">
        <v>50</v>
      </c>
      <c r="I217" s="191">
        <v>4</v>
      </c>
      <c r="J217" s="191" t="s">
        <v>426</v>
      </c>
      <c r="K217"/>
      <c r="L217"/>
      <c r="M217" s="191" t="s">
        <v>26</v>
      </c>
      <c r="N217" s="191" t="s">
        <v>24</v>
      </c>
      <c r="O217" s="197"/>
      <c r="P217" s="104">
        <v>219</v>
      </c>
      <c r="Q217"/>
      <c r="R217">
        <v>5</v>
      </c>
      <c r="S217">
        <v>125</v>
      </c>
      <c r="T217">
        <v>32</v>
      </c>
      <c r="U217"/>
      <c r="V217"/>
      <c r="W217"/>
      <c r="X217" s="190"/>
      <c r="Y217" s="190"/>
      <c r="Z217" s="190"/>
    </row>
    <row r="218" spans="1:26" s="189" customFormat="1" ht="14.1" customHeight="1" x14ac:dyDescent="0.25">
      <c r="A218" s="191">
        <v>127</v>
      </c>
      <c r="B218" s="191">
        <v>2017</v>
      </c>
      <c r="C218" s="191">
        <v>7</v>
      </c>
      <c r="D218" s="191">
        <v>8</v>
      </c>
      <c r="E218"/>
      <c r="F218" s="191" t="s">
        <v>18</v>
      </c>
      <c r="G218"/>
      <c r="H218" s="191">
        <v>95</v>
      </c>
      <c r="I218" s="191">
        <v>1.9</v>
      </c>
      <c r="J218" s="191" t="s">
        <v>32</v>
      </c>
      <c r="K218" s="197"/>
      <c r="L218"/>
      <c r="M218" s="191" t="s">
        <v>26</v>
      </c>
      <c r="N218" s="191" t="s">
        <v>24</v>
      </c>
      <c r="O218" s="191" t="s">
        <v>429</v>
      </c>
      <c r="P218" s="104">
        <v>219</v>
      </c>
      <c r="Q218" t="s">
        <v>362</v>
      </c>
      <c r="R218">
        <v>9.5</v>
      </c>
      <c r="S218">
        <v>857.38</v>
      </c>
      <c r="T218">
        <v>2.2200000000000002</v>
      </c>
      <c r="U218"/>
      <c r="V218"/>
      <c r="W218"/>
      <c r="X218" s="190"/>
      <c r="Y218" s="190"/>
      <c r="Z218" s="190"/>
    </row>
    <row r="219" spans="1:26" s="189" customFormat="1" ht="14.1" customHeight="1" x14ac:dyDescent="0.25">
      <c r="A219" s="191">
        <v>130</v>
      </c>
      <c r="B219" s="191">
        <v>2017</v>
      </c>
      <c r="C219" s="191">
        <v>7</v>
      </c>
      <c r="D219" s="191">
        <v>8</v>
      </c>
      <c r="E219"/>
      <c r="F219" s="191" t="s">
        <v>18</v>
      </c>
      <c r="G219"/>
      <c r="H219" s="191">
        <v>90</v>
      </c>
      <c r="I219" s="191">
        <v>6.2</v>
      </c>
      <c r="J219" s="191" t="s">
        <v>209</v>
      </c>
      <c r="K219" s="197"/>
      <c r="L219" s="197"/>
      <c r="M219" s="191" t="s">
        <v>22</v>
      </c>
      <c r="N219" s="191" t="s">
        <v>25</v>
      </c>
      <c r="O219" s="191" t="s">
        <v>432</v>
      </c>
      <c r="P219" s="104">
        <v>219</v>
      </c>
      <c r="Q219" t="s">
        <v>362</v>
      </c>
      <c r="R219">
        <v>9</v>
      </c>
      <c r="S219">
        <v>729</v>
      </c>
      <c r="T219">
        <v>8.5</v>
      </c>
      <c r="U219"/>
      <c r="V219"/>
      <c r="W219"/>
      <c r="X219" s="190"/>
      <c r="Y219" s="190"/>
      <c r="Z219" s="190"/>
    </row>
    <row r="220" spans="1:26" s="189" customFormat="1" ht="14.1" customHeight="1" x14ac:dyDescent="0.25">
      <c r="A220" s="191">
        <v>131</v>
      </c>
      <c r="B220" s="191">
        <v>2017</v>
      </c>
      <c r="C220" s="191">
        <v>7</v>
      </c>
      <c r="D220" s="191">
        <v>8</v>
      </c>
      <c r="E220"/>
      <c r="F220" s="191" t="s">
        <v>18</v>
      </c>
      <c r="G220"/>
      <c r="H220" s="191">
        <v>95</v>
      </c>
      <c r="I220" s="191">
        <v>2</v>
      </c>
      <c r="J220" s="191" t="s">
        <v>32</v>
      </c>
      <c r="K220" s="197"/>
      <c r="L220" s="197"/>
      <c r="M220" s="191" t="s">
        <v>26</v>
      </c>
      <c r="N220" s="191" t="s">
        <v>24</v>
      </c>
      <c r="O220" s="191" t="s">
        <v>433</v>
      </c>
      <c r="P220" s="104">
        <v>219</v>
      </c>
      <c r="Q220" t="s">
        <v>375</v>
      </c>
      <c r="R220">
        <v>9.5</v>
      </c>
      <c r="S220">
        <v>857.38</v>
      </c>
      <c r="T220">
        <v>2.33</v>
      </c>
      <c r="U220"/>
      <c r="V220"/>
      <c r="W220"/>
      <c r="X220" s="190"/>
      <c r="Y220" s="190"/>
      <c r="Z220" s="190"/>
    </row>
    <row r="221" spans="1:26" s="189" customFormat="1" ht="14.1" customHeight="1" x14ac:dyDescent="0.25">
      <c r="A221" s="191">
        <v>137</v>
      </c>
      <c r="B221" s="191">
        <v>2017</v>
      </c>
      <c r="C221" s="191">
        <v>8</v>
      </c>
      <c r="D221" s="191">
        <v>8</v>
      </c>
      <c r="E221" s="191" t="s">
        <v>435</v>
      </c>
      <c r="F221" s="191" t="s">
        <v>18</v>
      </c>
      <c r="G221"/>
      <c r="H221" s="191">
        <v>90</v>
      </c>
      <c r="I221" s="191">
        <v>1.4</v>
      </c>
      <c r="J221" s="191" t="s">
        <v>32</v>
      </c>
      <c r="K221" s="197"/>
      <c r="L221" s="197"/>
      <c r="M221" s="197"/>
      <c r="N221" s="191" t="s">
        <v>24</v>
      </c>
      <c r="O221"/>
      <c r="P221" s="104">
        <v>220</v>
      </c>
      <c r="Q221"/>
      <c r="R221">
        <v>9</v>
      </c>
      <c r="S221">
        <v>729</v>
      </c>
      <c r="T221">
        <v>1.92</v>
      </c>
      <c r="U221"/>
      <c r="V221"/>
      <c r="W221"/>
      <c r="X221" s="190"/>
      <c r="Y221" s="190"/>
      <c r="Z221" s="190"/>
    </row>
    <row r="222" spans="1:26" s="189" customFormat="1" ht="14.1" customHeight="1" x14ac:dyDescent="0.25">
      <c r="A222" s="191">
        <v>140</v>
      </c>
      <c r="B222" s="191">
        <v>2017</v>
      </c>
      <c r="C222" s="191">
        <v>8</v>
      </c>
      <c r="D222" s="191">
        <v>8</v>
      </c>
      <c r="E222" s="191" t="s">
        <v>435</v>
      </c>
      <c r="F222" s="191" t="s">
        <v>18</v>
      </c>
      <c r="G222"/>
      <c r="H222" s="191">
        <v>65</v>
      </c>
      <c r="I222" s="191">
        <v>4.9000000000000004</v>
      </c>
      <c r="J222" s="191" t="s">
        <v>439</v>
      </c>
      <c r="K222" s="197"/>
      <c r="L222" s="191"/>
      <c r="M222" s="191" t="s">
        <v>27</v>
      </c>
      <c r="N222" s="191" t="s">
        <v>24</v>
      </c>
      <c r="O222" s="191" t="s">
        <v>440</v>
      </c>
      <c r="P222" s="104">
        <v>220</v>
      </c>
      <c r="Q222">
        <v>6.5</v>
      </c>
      <c r="R222">
        <v>274.63</v>
      </c>
      <c r="S222">
        <v>17.84</v>
      </c>
      <c r="T222"/>
      <c r="U222"/>
      <c r="V222"/>
      <c r="W222"/>
      <c r="X222" s="190"/>
      <c r="Y222" s="190"/>
      <c r="Z222" s="190"/>
    </row>
    <row r="223" spans="1:26" s="189" customFormat="1" ht="14.1" customHeight="1" x14ac:dyDescent="0.25">
      <c r="A223" s="191">
        <v>147</v>
      </c>
      <c r="B223" s="191">
        <v>2017</v>
      </c>
      <c r="C223" s="191">
        <v>8</v>
      </c>
      <c r="D223" s="191">
        <v>8</v>
      </c>
      <c r="E223" s="191" t="s">
        <v>435</v>
      </c>
      <c r="F223" s="191" t="s">
        <v>18</v>
      </c>
      <c r="G223"/>
      <c r="H223" s="191">
        <v>96</v>
      </c>
      <c r="I223" s="191">
        <v>1.5</v>
      </c>
      <c r="J223" s="191" t="s">
        <v>32</v>
      </c>
      <c r="K223" s="197"/>
      <c r="L223" s="197"/>
      <c r="M223" s="191" t="s">
        <v>26</v>
      </c>
      <c r="N223" s="191" t="s">
        <v>24</v>
      </c>
      <c r="O223" s="191" t="s">
        <v>446</v>
      </c>
      <c r="P223" s="104">
        <v>220</v>
      </c>
      <c r="Q223" t="s">
        <v>362</v>
      </c>
      <c r="R223">
        <v>9.6</v>
      </c>
      <c r="S223">
        <v>884.74</v>
      </c>
      <c r="T223">
        <v>1.7</v>
      </c>
      <c r="U223"/>
      <c r="V223"/>
      <c r="W223"/>
      <c r="X223" s="190"/>
      <c r="Y223" s="190"/>
      <c r="Z223" s="190"/>
    </row>
    <row r="224" spans="1:26" s="189" customFormat="1" ht="14.1" customHeight="1" x14ac:dyDescent="0.25">
      <c r="A224" s="191">
        <v>148</v>
      </c>
      <c r="B224" s="191">
        <v>2017</v>
      </c>
      <c r="C224" s="191">
        <v>8</v>
      </c>
      <c r="D224" s="191">
        <v>8</v>
      </c>
      <c r="E224" s="191" t="s">
        <v>435</v>
      </c>
      <c r="F224" s="191" t="s">
        <v>18</v>
      </c>
      <c r="G224"/>
      <c r="H224" s="191">
        <v>85</v>
      </c>
      <c r="I224" s="191">
        <v>1.3</v>
      </c>
      <c r="J224" s="191" t="s">
        <v>32</v>
      </c>
      <c r="K224"/>
      <c r="L224"/>
      <c r="M224" s="197"/>
      <c r="N224" s="191" t="s">
        <v>24</v>
      </c>
      <c r="O224"/>
      <c r="P224" s="104">
        <v>220</v>
      </c>
      <c r="Q224"/>
      <c r="R224">
        <v>8.5</v>
      </c>
      <c r="S224">
        <v>614.13</v>
      </c>
      <c r="T224">
        <v>2.04</v>
      </c>
      <c r="U224"/>
      <c r="V224"/>
      <c r="W224"/>
      <c r="X224" s="190"/>
      <c r="Y224" s="190"/>
      <c r="Z224" s="190"/>
    </row>
    <row r="225" spans="1:26" s="189" customFormat="1" ht="14.1" customHeight="1" x14ac:dyDescent="0.25">
      <c r="A225" s="191">
        <v>159</v>
      </c>
      <c r="B225" s="191">
        <v>2017</v>
      </c>
      <c r="C225" s="191">
        <v>8</v>
      </c>
      <c r="D225" s="191">
        <v>8</v>
      </c>
      <c r="E225" s="192">
        <v>0.64583333333333337</v>
      </c>
      <c r="F225" s="191" t="s">
        <v>18</v>
      </c>
      <c r="G225"/>
      <c r="H225" s="191">
        <v>90</v>
      </c>
      <c r="I225" s="191">
        <v>1.9</v>
      </c>
      <c r="J225" s="191" t="s">
        <v>32</v>
      </c>
      <c r="K225"/>
      <c r="L225"/>
      <c r="M225" s="191" t="s">
        <v>26</v>
      </c>
      <c r="N225" s="191" t="s">
        <v>24</v>
      </c>
      <c r="O225"/>
      <c r="P225" s="104">
        <v>220</v>
      </c>
      <c r="Q225"/>
      <c r="R225">
        <v>9</v>
      </c>
      <c r="S225">
        <v>729</v>
      </c>
      <c r="T225">
        <v>2.61</v>
      </c>
      <c r="U225"/>
      <c r="V225"/>
      <c r="W225"/>
      <c r="X225" s="190"/>
      <c r="Y225" s="190"/>
      <c r="Z225" s="190"/>
    </row>
    <row r="226" spans="1:26" s="189" customFormat="1" ht="14.1" customHeight="1" x14ac:dyDescent="0.25">
      <c r="A226" s="191">
        <v>171</v>
      </c>
      <c r="B226" s="191">
        <v>2017</v>
      </c>
      <c r="C226" s="191">
        <v>8</v>
      </c>
      <c r="D226" s="191">
        <v>8</v>
      </c>
      <c r="E226" s="192">
        <v>0.64583333333333337</v>
      </c>
      <c r="F226" s="191" t="s">
        <v>18</v>
      </c>
      <c r="G226"/>
      <c r="H226" s="191">
        <v>91</v>
      </c>
      <c r="I226" s="191">
        <v>1.5</v>
      </c>
      <c r="J226" s="191" t="s">
        <v>32</v>
      </c>
      <c r="K226" s="197"/>
      <c r="L226" s="197"/>
      <c r="M226" s="191" t="s">
        <v>22</v>
      </c>
      <c r="N226" s="191" t="s">
        <v>24</v>
      </c>
      <c r="O226" s="191" t="s">
        <v>456</v>
      </c>
      <c r="P226" s="104">
        <v>220</v>
      </c>
      <c r="Q226" t="s">
        <v>362</v>
      </c>
      <c r="R226">
        <v>9.1</v>
      </c>
      <c r="S226">
        <v>753.57</v>
      </c>
      <c r="T226">
        <v>1.99</v>
      </c>
      <c r="U226"/>
      <c r="V226"/>
      <c r="W226"/>
      <c r="X226" s="190"/>
      <c r="Y226" s="190"/>
      <c r="Z226" s="190"/>
    </row>
    <row r="227" spans="1:26" s="189" customFormat="1" ht="14.1" customHeight="1" x14ac:dyDescent="0.25">
      <c r="A227" s="191">
        <v>178</v>
      </c>
      <c r="B227" s="191">
        <v>2017</v>
      </c>
      <c r="C227" s="191">
        <v>9</v>
      </c>
      <c r="D227" s="191">
        <v>8</v>
      </c>
      <c r="E227"/>
      <c r="F227" s="191" t="s">
        <v>18</v>
      </c>
      <c r="G227"/>
      <c r="H227" s="191">
        <v>73</v>
      </c>
      <c r="I227" s="191">
        <v>1.5</v>
      </c>
      <c r="J227" s="191" t="s">
        <v>32</v>
      </c>
      <c r="K227" s="197"/>
      <c r="L227" s="197"/>
      <c r="M227" s="191" t="s">
        <v>22</v>
      </c>
      <c r="N227" s="191" t="s">
        <v>25</v>
      </c>
      <c r="O227" s="197"/>
      <c r="P227" s="104">
        <v>221</v>
      </c>
      <c r="Q227"/>
      <c r="R227">
        <v>7.3</v>
      </c>
      <c r="S227">
        <v>389.02</v>
      </c>
      <c r="T227">
        <v>3.86</v>
      </c>
      <c r="U227"/>
      <c r="V227"/>
      <c r="W227"/>
      <c r="X227" s="190"/>
      <c r="Y227" s="190"/>
      <c r="Z227" s="190"/>
    </row>
    <row r="228" spans="1:26" s="189" customFormat="1" ht="14.1" customHeight="1" x14ac:dyDescent="0.25">
      <c r="A228" s="191">
        <v>189</v>
      </c>
      <c r="B228" s="191">
        <v>2017</v>
      </c>
      <c r="C228" s="191">
        <v>10</v>
      </c>
      <c r="D228" s="191">
        <v>8</v>
      </c>
      <c r="E228"/>
      <c r="F228" s="191" t="s">
        <v>18</v>
      </c>
      <c r="G228"/>
      <c r="H228" s="191">
        <v>93</v>
      </c>
      <c r="I228" s="191">
        <v>1.9</v>
      </c>
      <c r="J228" s="191" t="s">
        <v>32</v>
      </c>
      <c r="K228" s="197"/>
      <c r="L228" s="197"/>
      <c r="M228" s="191" t="s">
        <v>26</v>
      </c>
      <c r="N228" s="191" t="s">
        <v>24</v>
      </c>
      <c r="O228" s="191" t="s">
        <v>463</v>
      </c>
      <c r="P228" s="104">
        <v>222</v>
      </c>
      <c r="Q228" t="s">
        <v>362</v>
      </c>
      <c r="R228">
        <v>9.3000000000000007</v>
      </c>
      <c r="S228">
        <v>804.36</v>
      </c>
      <c r="T228">
        <v>2.36</v>
      </c>
      <c r="U228"/>
      <c r="V228"/>
      <c r="W228"/>
      <c r="X228" s="190"/>
      <c r="Y228" s="190"/>
      <c r="Z228" s="190"/>
    </row>
    <row r="229" spans="1:26" s="189" customFormat="1" ht="14.1" customHeight="1" x14ac:dyDescent="0.25">
      <c r="A229" s="191">
        <v>196</v>
      </c>
      <c r="B229" s="191">
        <v>2017</v>
      </c>
      <c r="C229" s="191">
        <v>10</v>
      </c>
      <c r="D229" s="191">
        <v>8</v>
      </c>
      <c r="E229"/>
      <c r="F229" s="191" t="s">
        <v>18</v>
      </c>
      <c r="G229"/>
      <c r="H229" s="191">
        <v>80</v>
      </c>
      <c r="I229" s="191">
        <v>1.4</v>
      </c>
      <c r="J229" s="191" t="s">
        <v>32</v>
      </c>
      <c r="K229" s="197"/>
      <c r="L229"/>
      <c r="M229" s="191" t="s">
        <v>26</v>
      </c>
      <c r="N229" s="191" t="s">
        <v>24</v>
      </c>
      <c r="O229"/>
      <c r="P229" s="104">
        <v>222</v>
      </c>
      <c r="Q229"/>
      <c r="R229">
        <v>8</v>
      </c>
      <c r="S229">
        <v>512</v>
      </c>
      <c r="T229">
        <v>2.73</v>
      </c>
      <c r="U229"/>
      <c r="V229"/>
      <c r="W229"/>
      <c r="X229" s="190"/>
      <c r="Y229" s="190"/>
      <c r="Z229" s="190"/>
    </row>
    <row r="230" spans="1:26" s="189" customFormat="1" ht="14.1" customHeight="1" x14ac:dyDescent="0.25">
      <c r="A230" s="191">
        <v>206</v>
      </c>
      <c r="B230" s="191">
        <v>2017</v>
      </c>
      <c r="C230" s="191">
        <v>10</v>
      </c>
      <c r="D230" s="191">
        <v>8</v>
      </c>
      <c r="E230"/>
      <c r="F230" s="191" t="s">
        <v>18</v>
      </c>
      <c r="G230"/>
      <c r="H230" s="191">
        <v>85</v>
      </c>
      <c r="I230" s="191">
        <v>1.5</v>
      </c>
      <c r="J230" s="191" t="s">
        <v>32</v>
      </c>
      <c r="K230" s="197"/>
      <c r="L230" s="197"/>
      <c r="M230" s="191" t="s">
        <v>26</v>
      </c>
      <c r="N230" s="191" t="s">
        <v>24</v>
      </c>
      <c r="O230" s="197"/>
      <c r="P230" s="104">
        <v>222</v>
      </c>
      <c r="Q230"/>
      <c r="R230">
        <v>8.5</v>
      </c>
      <c r="S230">
        <v>614.13</v>
      </c>
      <c r="T230">
        <v>2.44</v>
      </c>
      <c r="U230"/>
      <c r="V230"/>
      <c r="W230"/>
      <c r="X230" s="190"/>
      <c r="Y230" s="190"/>
      <c r="Z230" s="190"/>
    </row>
    <row r="231" spans="1:26" s="189" customFormat="1" ht="14.1" customHeight="1" x14ac:dyDescent="0.25">
      <c r="A231" s="191">
        <v>214</v>
      </c>
      <c r="B231" s="191">
        <v>2017</v>
      </c>
      <c r="C231" s="191">
        <v>11</v>
      </c>
      <c r="D231" s="191">
        <v>8</v>
      </c>
      <c r="E231"/>
      <c r="F231" s="191" t="s">
        <v>18</v>
      </c>
      <c r="G231"/>
      <c r="H231" s="191">
        <v>68</v>
      </c>
      <c r="I231" s="191">
        <v>0.9</v>
      </c>
      <c r="J231" s="191" t="s">
        <v>32</v>
      </c>
      <c r="K231" s="197"/>
      <c r="L231" s="197"/>
      <c r="M231" s="191" t="s">
        <v>26</v>
      </c>
      <c r="N231" s="191" t="s">
        <v>24</v>
      </c>
      <c r="O231" s="197"/>
      <c r="P231" s="104">
        <v>223</v>
      </c>
      <c r="Q231"/>
      <c r="R231">
        <v>6.8</v>
      </c>
      <c r="S231">
        <v>314.43</v>
      </c>
      <c r="T231">
        <v>2.86</v>
      </c>
      <c r="U231"/>
      <c r="V231"/>
      <c r="W231"/>
      <c r="X231" s="190"/>
      <c r="Y231" s="190"/>
      <c r="Z231" s="190"/>
    </row>
    <row r="232" spans="1:26" s="189" customFormat="1" ht="14.1" customHeight="1" x14ac:dyDescent="0.25">
      <c r="A232" s="191">
        <v>216</v>
      </c>
      <c r="B232" s="191">
        <v>2017</v>
      </c>
      <c r="C232" s="191">
        <v>11</v>
      </c>
      <c r="D232" s="191">
        <v>8</v>
      </c>
      <c r="E232"/>
      <c r="F232" s="191" t="s">
        <v>18</v>
      </c>
      <c r="G232"/>
      <c r="H232" s="191">
        <v>88</v>
      </c>
      <c r="I232" s="191">
        <v>2.1</v>
      </c>
      <c r="J232" s="191" t="s">
        <v>32</v>
      </c>
      <c r="K232" s="197"/>
      <c r="L232" s="197"/>
      <c r="M232" s="191" t="s">
        <v>26</v>
      </c>
      <c r="N232" s="191" t="s">
        <v>24</v>
      </c>
      <c r="O232" s="191" t="s">
        <v>478</v>
      </c>
      <c r="P232" s="104">
        <v>223</v>
      </c>
      <c r="Q232" t="s">
        <v>362</v>
      </c>
      <c r="R232">
        <v>8.8000000000000007</v>
      </c>
      <c r="S232">
        <v>681.47</v>
      </c>
      <c r="T232">
        <v>3.08</v>
      </c>
      <c r="U232"/>
      <c r="V232"/>
      <c r="W232"/>
      <c r="X232" s="190"/>
      <c r="Y232" s="190"/>
      <c r="Z232" s="190"/>
    </row>
    <row r="233" spans="1:26" s="189" customFormat="1" ht="14.1" customHeight="1" x14ac:dyDescent="0.25">
      <c r="A233" s="191">
        <v>223</v>
      </c>
      <c r="B233" s="191">
        <v>2017</v>
      </c>
      <c r="C233" s="191">
        <v>11</v>
      </c>
      <c r="D233" s="191">
        <v>8</v>
      </c>
      <c r="E233"/>
      <c r="F233" s="191" t="s">
        <v>18</v>
      </c>
      <c r="G233"/>
      <c r="H233" s="191">
        <v>106</v>
      </c>
      <c r="I233" s="191">
        <v>2.4</v>
      </c>
      <c r="J233" s="191" t="s">
        <v>32</v>
      </c>
      <c r="K233"/>
      <c r="L233" s="197"/>
      <c r="M233" s="191" t="s">
        <v>26</v>
      </c>
      <c r="N233" s="191" t="s">
        <v>24</v>
      </c>
      <c r="O233"/>
      <c r="P233" s="104">
        <v>223</v>
      </c>
      <c r="Q233"/>
      <c r="R233">
        <v>10.6</v>
      </c>
      <c r="S233">
        <v>1191.02</v>
      </c>
      <c r="T233">
        <v>2.02</v>
      </c>
      <c r="U233"/>
      <c r="V233"/>
      <c r="W233"/>
      <c r="X233" s="190"/>
      <c r="Y233" s="190"/>
      <c r="Z233" s="190"/>
    </row>
    <row r="234" spans="1:26" s="189" customFormat="1" ht="14.1" customHeight="1" x14ac:dyDescent="0.25">
      <c r="A234" s="191">
        <v>224</v>
      </c>
      <c r="B234" s="191">
        <v>2017</v>
      </c>
      <c r="C234" s="191">
        <v>11</v>
      </c>
      <c r="D234" s="191">
        <v>8</v>
      </c>
      <c r="E234"/>
      <c r="F234" s="191" t="s">
        <v>18</v>
      </c>
      <c r="G234"/>
      <c r="H234" s="191">
        <v>107</v>
      </c>
      <c r="I234" s="191">
        <v>8.5</v>
      </c>
      <c r="J234" s="191" t="s">
        <v>209</v>
      </c>
      <c r="K234" s="197"/>
      <c r="L234" s="197"/>
      <c r="M234" s="191" t="s">
        <v>26</v>
      </c>
      <c r="N234" s="191" t="s">
        <v>24</v>
      </c>
      <c r="O234" s="197"/>
      <c r="P234" s="104">
        <v>223</v>
      </c>
      <c r="Q234"/>
      <c r="R234">
        <v>10.7</v>
      </c>
      <c r="S234">
        <v>1225.04</v>
      </c>
      <c r="T234">
        <v>6.94</v>
      </c>
      <c r="U234"/>
      <c r="V234"/>
      <c r="W234"/>
      <c r="X234" s="190"/>
      <c r="Y234" s="190"/>
      <c r="Z234" s="190"/>
    </row>
    <row r="235" spans="1:26" s="189" customFormat="1" ht="14.1" customHeight="1" x14ac:dyDescent="0.25">
      <c r="A235" s="191">
        <v>232</v>
      </c>
      <c r="B235" s="191">
        <v>2017</v>
      </c>
      <c r="C235" s="191">
        <v>11</v>
      </c>
      <c r="D235" s="191">
        <v>8</v>
      </c>
      <c r="E235"/>
      <c r="F235" s="191" t="s">
        <v>18</v>
      </c>
      <c r="G235"/>
      <c r="H235" s="191">
        <v>71</v>
      </c>
      <c r="I235" s="191">
        <v>2.7</v>
      </c>
      <c r="J235" s="191" t="s">
        <v>439</v>
      </c>
      <c r="K235" s="197"/>
      <c r="L235" s="191"/>
      <c r="M235" s="191" t="s">
        <v>31</v>
      </c>
      <c r="N235" s="191" t="s">
        <v>24</v>
      </c>
      <c r="O235"/>
      <c r="P235" s="104">
        <v>223</v>
      </c>
      <c r="Q235">
        <v>7.1</v>
      </c>
      <c r="R235">
        <v>357.91</v>
      </c>
      <c r="S235">
        <v>7.54</v>
      </c>
      <c r="T235"/>
      <c r="U235"/>
      <c r="V235"/>
      <c r="W235"/>
      <c r="X235" s="190"/>
      <c r="Y235" s="190"/>
      <c r="Z235" s="190"/>
    </row>
    <row r="236" spans="1:26" ht="12.75" customHeight="1" x14ac:dyDescent="0.2">
      <c r="A236" s="4">
        <v>1</v>
      </c>
      <c r="B236" s="4">
        <v>2016</v>
      </c>
      <c r="C236" s="4">
        <v>10</v>
      </c>
      <c r="D236" s="4">
        <v>8</v>
      </c>
      <c r="E236" s="5" t="s">
        <v>17</v>
      </c>
      <c r="F236" s="5" t="s">
        <v>18</v>
      </c>
      <c r="G236" s="4" t="s">
        <v>17</v>
      </c>
      <c r="H236" s="194">
        <v>138</v>
      </c>
      <c r="I236" s="6">
        <v>11</v>
      </c>
      <c r="J236" s="5" t="s">
        <v>19</v>
      </c>
      <c r="K236" s="5" t="s">
        <v>20</v>
      </c>
      <c r="L236" s="5" t="s">
        <v>21</v>
      </c>
      <c r="M236" s="5" t="s">
        <v>22</v>
      </c>
      <c r="N236" s="196" t="s">
        <v>23</v>
      </c>
      <c r="O236" s="7" t="s">
        <v>17</v>
      </c>
      <c r="P236" s="15">
        <v>223</v>
      </c>
      <c r="Q236" s="8"/>
      <c r="R236">
        <v>13.8</v>
      </c>
      <c r="S236">
        <v>2628.07</v>
      </c>
      <c r="T236">
        <v>4.1900000000000004</v>
      </c>
      <c r="W236" s="317">
        <v>3.9</v>
      </c>
      <c r="X236" s="190">
        <f t="shared" ref="X236:X255" si="5">I236*W236</f>
        <v>42.9</v>
      </c>
      <c r="Y236" s="10"/>
      <c r="Z236" s="10"/>
    </row>
    <row r="237" spans="1:26" ht="12.75" customHeight="1" x14ac:dyDescent="0.2">
      <c r="A237" s="4">
        <v>2</v>
      </c>
      <c r="B237" s="4">
        <v>2016</v>
      </c>
      <c r="C237" s="4">
        <v>10</v>
      </c>
      <c r="D237" s="4">
        <v>8</v>
      </c>
      <c r="E237" s="5" t="s">
        <v>17</v>
      </c>
      <c r="F237" s="5" t="s">
        <v>18</v>
      </c>
      <c r="G237" s="4" t="s">
        <v>17</v>
      </c>
      <c r="H237" s="194">
        <v>132</v>
      </c>
      <c r="I237" s="6">
        <v>9</v>
      </c>
      <c r="J237" s="5" t="s">
        <v>19</v>
      </c>
      <c r="K237" s="5" t="s">
        <v>20</v>
      </c>
      <c r="L237" s="5" t="s">
        <v>21</v>
      </c>
      <c r="M237" s="5" t="s">
        <v>22</v>
      </c>
      <c r="N237" s="196" t="s">
        <v>23</v>
      </c>
      <c r="O237" s="7" t="s">
        <v>17</v>
      </c>
      <c r="P237" s="15">
        <v>223</v>
      </c>
      <c r="Q237" s="8"/>
      <c r="R237">
        <v>13.2</v>
      </c>
      <c r="S237">
        <v>2299.9699999999998</v>
      </c>
      <c r="T237">
        <v>3.91</v>
      </c>
      <c r="W237" s="317">
        <v>3.9</v>
      </c>
      <c r="X237" s="190">
        <f t="shared" si="5"/>
        <v>35.1</v>
      </c>
      <c r="Y237" s="10"/>
      <c r="Z237" s="10"/>
    </row>
    <row r="238" spans="1:26" ht="12.75" customHeight="1" x14ac:dyDescent="0.2">
      <c r="A238" s="4">
        <v>3</v>
      </c>
      <c r="B238" s="4">
        <v>2016</v>
      </c>
      <c r="C238" s="4">
        <v>10</v>
      </c>
      <c r="D238" s="4">
        <v>8</v>
      </c>
      <c r="E238" s="5" t="s">
        <v>17</v>
      </c>
      <c r="F238" s="5" t="s">
        <v>18</v>
      </c>
      <c r="G238" s="4" t="s">
        <v>17</v>
      </c>
      <c r="H238" s="194">
        <v>150</v>
      </c>
      <c r="I238" s="6">
        <v>16</v>
      </c>
      <c r="J238" s="5" t="s">
        <v>19</v>
      </c>
      <c r="K238" s="5" t="s">
        <v>20</v>
      </c>
      <c r="L238" s="5" t="s">
        <v>21</v>
      </c>
      <c r="M238" s="5" t="s">
        <v>22</v>
      </c>
      <c r="N238" s="196" t="s">
        <v>24</v>
      </c>
      <c r="O238" s="7" t="s">
        <v>17</v>
      </c>
      <c r="P238" s="15">
        <v>223</v>
      </c>
      <c r="Q238" s="8"/>
      <c r="R238">
        <v>15</v>
      </c>
      <c r="S238">
        <v>3375</v>
      </c>
      <c r="T238">
        <v>4.74</v>
      </c>
      <c r="W238" s="317">
        <v>3.9</v>
      </c>
      <c r="X238" s="190">
        <f t="shared" si="5"/>
        <v>62.4</v>
      </c>
      <c r="Y238" s="10"/>
      <c r="Z238" s="10"/>
    </row>
    <row r="239" spans="1:26" ht="12.75" customHeight="1" x14ac:dyDescent="0.2">
      <c r="A239" s="4">
        <v>4</v>
      </c>
      <c r="B239" s="4">
        <v>2016</v>
      </c>
      <c r="C239" s="4">
        <v>10</v>
      </c>
      <c r="D239" s="4">
        <v>8</v>
      </c>
      <c r="E239" s="5" t="s">
        <v>17</v>
      </c>
      <c r="F239" s="5" t="s">
        <v>18</v>
      </c>
      <c r="G239" s="4" t="s">
        <v>17</v>
      </c>
      <c r="H239" s="4">
        <v>130</v>
      </c>
      <c r="I239" s="6">
        <v>12</v>
      </c>
      <c r="J239" s="5" t="s">
        <v>19</v>
      </c>
      <c r="K239" s="5" t="s">
        <v>20</v>
      </c>
      <c r="L239" s="5" t="s">
        <v>21</v>
      </c>
      <c r="M239" s="5" t="s">
        <v>22</v>
      </c>
      <c r="N239" s="196" t="s">
        <v>25</v>
      </c>
      <c r="O239" s="7" t="s">
        <v>17</v>
      </c>
      <c r="P239" s="15">
        <v>223</v>
      </c>
      <c r="Q239" s="8"/>
      <c r="R239">
        <v>13</v>
      </c>
      <c r="S239">
        <v>2197</v>
      </c>
      <c r="T239">
        <v>5.46</v>
      </c>
      <c r="W239" s="317">
        <v>3.9</v>
      </c>
      <c r="X239" s="190">
        <f t="shared" si="5"/>
        <v>46.8</v>
      </c>
      <c r="Y239" s="10"/>
      <c r="Z239" s="10"/>
    </row>
    <row r="240" spans="1:26" ht="12.75" customHeight="1" x14ac:dyDescent="0.2">
      <c r="A240" s="4">
        <v>5</v>
      </c>
      <c r="B240" s="4">
        <v>2016</v>
      </c>
      <c r="C240" s="4">
        <v>10</v>
      </c>
      <c r="D240" s="4">
        <v>8</v>
      </c>
      <c r="E240" s="5" t="s">
        <v>17</v>
      </c>
      <c r="F240" s="5" t="s">
        <v>18</v>
      </c>
      <c r="G240" s="4" t="s">
        <v>17</v>
      </c>
      <c r="H240" s="194">
        <v>132</v>
      </c>
      <c r="I240" s="6">
        <v>8</v>
      </c>
      <c r="J240" s="5" t="s">
        <v>19</v>
      </c>
      <c r="K240" s="5" t="s">
        <v>20</v>
      </c>
      <c r="L240" s="5" t="s">
        <v>21</v>
      </c>
      <c r="M240" s="5" t="s">
        <v>22</v>
      </c>
      <c r="N240" s="196" t="s">
        <v>23</v>
      </c>
      <c r="O240" s="7" t="s">
        <v>17</v>
      </c>
      <c r="P240" s="15">
        <v>223</v>
      </c>
      <c r="Q240" s="8"/>
      <c r="R240">
        <v>13.2</v>
      </c>
      <c r="S240">
        <v>2299.9699999999998</v>
      </c>
      <c r="T240">
        <v>3.48</v>
      </c>
      <c r="W240" s="317">
        <v>3.9</v>
      </c>
      <c r="X240" s="190">
        <f t="shared" si="5"/>
        <v>31.2</v>
      </c>
      <c r="Y240" s="10"/>
      <c r="Z240" s="10"/>
    </row>
    <row r="241" spans="1:26" ht="12.75" customHeight="1" x14ac:dyDescent="0.2">
      <c r="A241" s="4">
        <v>6</v>
      </c>
      <c r="B241" s="4">
        <v>2016</v>
      </c>
      <c r="C241" s="4">
        <v>10</v>
      </c>
      <c r="D241" s="4">
        <v>8</v>
      </c>
      <c r="E241" s="5" t="s">
        <v>17</v>
      </c>
      <c r="F241" s="5" t="s">
        <v>18</v>
      </c>
      <c r="G241" s="4" t="s">
        <v>17</v>
      </c>
      <c r="H241" s="194">
        <v>149</v>
      </c>
      <c r="I241" s="6">
        <v>14</v>
      </c>
      <c r="J241" s="5" t="s">
        <v>19</v>
      </c>
      <c r="K241" s="5" t="s">
        <v>20</v>
      </c>
      <c r="L241" s="5" t="s">
        <v>21</v>
      </c>
      <c r="M241" s="5" t="s">
        <v>26</v>
      </c>
      <c r="N241" s="196" t="s">
        <v>24</v>
      </c>
      <c r="O241" s="7" t="s">
        <v>17</v>
      </c>
      <c r="P241" s="15">
        <v>223</v>
      </c>
      <c r="Q241" s="8"/>
      <c r="R241">
        <v>14.9</v>
      </c>
      <c r="S241">
        <v>3307.95</v>
      </c>
      <c r="T241">
        <v>4.2300000000000004</v>
      </c>
      <c r="W241" s="317">
        <v>3.9</v>
      </c>
      <c r="X241" s="190">
        <f t="shared" si="5"/>
        <v>54.6</v>
      </c>
      <c r="Y241" s="10"/>
      <c r="Z241" s="10"/>
    </row>
    <row r="242" spans="1:26" ht="12.75" customHeight="1" x14ac:dyDescent="0.2">
      <c r="A242" s="4">
        <v>7</v>
      </c>
      <c r="B242" s="4">
        <v>2016</v>
      </c>
      <c r="C242" s="4">
        <v>10</v>
      </c>
      <c r="D242" s="4">
        <v>8</v>
      </c>
      <c r="E242" s="5" t="s">
        <v>17</v>
      </c>
      <c r="F242" s="5" t="s">
        <v>18</v>
      </c>
      <c r="G242" s="4" t="s">
        <v>17</v>
      </c>
      <c r="H242" s="194">
        <v>136</v>
      </c>
      <c r="I242" s="6">
        <v>10.5</v>
      </c>
      <c r="J242" s="5" t="s">
        <v>19</v>
      </c>
      <c r="K242" s="5" t="s">
        <v>20</v>
      </c>
      <c r="L242" s="5" t="s">
        <v>21</v>
      </c>
      <c r="M242" s="5" t="s">
        <v>22</v>
      </c>
      <c r="N242" s="196" t="s">
        <v>24</v>
      </c>
      <c r="O242" s="7" t="s">
        <v>17</v>
      </c>
      <c r="P242" s="15">
        <v>223</v>
      </c>
      <c r="Q242" s="8"/>
      <c r="R242">
        <v>13.6</v>
      </c>
      <c r="S242">
        <v>2515.46</v>
      </c>
      <c r="T242">
        <v>4.17</v>
      </c>
      <c r="W242" s="317">
        <v>3.9</v>
      </c>
      <c r="X242" s="190">
        <f t="shared" si="5"/>
        <v>40.949999999999996</v>
      </c>
      <c r="Y242" s="10"/>
      <c r="Z242" s="10"/>
    </row>
    <row r="243" spans="1:26" ht="12.75" customHeight="1" x14ac:dyDescent="0.2">
      <c r="A243" s="4">
        <v>8</v>
      </c>
      <c r="B243" s="4">
        <v>2016</v>
      </c>
      <c r="C243" s="4">
        <v>10</v>
      </c>
      <c r="D243" s="4">
        <v>8</v>
      </c>
      <c r="E243" s="5" t="s">
        <v>17</v>
      </c>
      <c r="F243" s="5" t="s">
        <v>18</v>
      </c>
      <c r="G243" s="4" t="s">
        <v>17</v>
      </c>
      <c r="H243" s="194">
        <v>136</v>
      </c>
      <c r="I243" s="6">
        <v>12</v>
      </c>
      <c r="J243" s="5" t="s">
        <v>19</v>
      </c>
      <c r="K243" s="5" t="s">
        <v>20</v>
      </c>
      <c r="L243" s="5" t="s">
        <v>21</v>
      </c>
      <c r="M243" s="5" t="s">
        <v>27</v>
      </c>
      <c r="N243" s="196" t="s">
        <v>24</v>
      </c>
      <c r="O243" s="7" t="s">
        <v>17</v>
      </c>
      <c r="P243" s="15">
        <v>223</v>
      </c>
      <c r="Q243" s="8"/>
      <c r="R243">
        <v>13.6</v>
      </c>
      <c r="S243">
        <v>2515.46</v>
      </c>
      <c r="T243">
        <v>4.7699999999999996</v>
      </c>
      <c r="W243" s="317">
        <v>3.9</v>
      </c>
      <c r="X243" s="190">
        <f t="shared" si="5"/>
        <v>46.8</v>
      </c>
      <c r="Y243" s="10"/>
      <c r="Z243" s="10"/>
    </row>
    <row r="244" spans="1:26" ht="12.75" customHeight="1" x14ac:dyDescent="0.2">
      <c r="A244" s="4">
        <v>9</v>
      </c>
      <c r="B244" s="4">
        <v>2016</v>
      </c>
      <c r="C244" s="4">
        <v>10</v>
      </c>
      <c r="D244" s="4">
        <v>8</v>
      </c>
      <c r="E244" s="5" t="s">
        <v>17</v>
      </c>
      <c r="F244" s="5" t="s">
        <v>28</v>
      </c>
      <c r="G244" s="4" t="s">
        <v>17</v>
      </c>
      <c r="H244" s="4" t="s">
        <v>29</v>
      </c>
      <c r="I244" s="6" t="s">
        <v>29</v>
      </c>
      <c r="J244" s="5" t="s">
        <v>19</v>
      </c>
      <c r="K244" s="5" t="s">
        <v>20</v>
      </c>
      <c r="L244" s="5" t="s">
        <v>21</v>
      </c>
      <c r="M244" s="11"/>
      <c r="N244" s="196" t="s">
        <v>24</v>
      </c>
      <c r="O244" s="7" t="s">
        <v>17</v>
      </c>
      <c r="P244" s="15">
        <v>223</v>
      </c>
      <c r="Q244" s="8"/>
      <c r="W244" s="317">
        <v>3.9</v>
      </c>
      <c r="X244" s="190"/>
      <c r="Y244" s="10"/>
      <c r="Z244" s="10"/>
    </row>
    <row r="245" spans="1:26" ht="12.75" customHeight="1" x14ac:dyDescent="0.2">
      <c r="A245" s="4">
        <v>10</v>
      </c>
      <c r="B245" s="4">
        <v>2016</v>
      </c>
      <c r="C245" s="4">
        <v>10</v>
      </c>
      <c r="D245" s="4">
        <v>8</v>
      </c>
      <c r="E245" s="5" t="s">
        <v>17</v>
      </c>
      <c r="F245" s="5" t="s">
        <v>18</v>
      </c>
      <c r="G245" s="4" t="s">
        <v>17</v>
      </c>
      <c r="H245" s="4">
        <v>110</v>
      </c>
      <c r="I245" s="6">
        <v>6</v>
      </c>
      <c r="J245" s="5" t="s">
        <v>19</v>
      </c>
      <c r="K245" s="5" t="s">
        <v>20</v>
      </c>
      <c r="L245" s="5" t="s">
        <v>21</v>
      </c>
      <c r="M245" s="5" t="s">
        <v>26</v>
      </c>
      <c r="N245" s="196" t="s">
        <v>25</v>
      </c>
      <c r="O245" s="7" t="s">
        <v>17</v>
      </c>
      <c r="P245" s="15">
        <v>223</v>
      </c>
      <c r="Q245" s="8"/>
      <c r="R245">
        <v>11</v>
      </c>
      <c r="S245">
        <v>1331</v>
      </c>
      <c r="T245">
        <v>4.51</v>
      </c>
      <c r="W245" s="317">
        <v>3.9</v>
      </c>
      <c r="X245" s="190">
        <f t="shared" si="5"/>
        <v>23.4</v>
      </c>
      <c r="Y245" s="10"/>
      <c r="Z245" s="10"/>
    </row>
    <row r="246" spans="1:26" ht="12.75" customHeight="1" x14ac:dyDescent="0.2">
      <c r="A246" s="4">
        <v>11</v>
      </c>
      <c r="B246" s="4">
        <v>2016</v>
      </c>
      <c r="C246" s="4">
        <v>10</v>
      </c>
      <c r="D246" s="4">
        <v>8</v>
      </c>
      <c r="E246" s="5" t="s">
        <v>17</v>
      </c>
      <c r="F246" s="5" t="s">
        <v>28</v>
      </c>
      <c r="G246" s="4" t="s">
        <v>17</v>
      </c>
      <c r="H246" s="4" t="s">
        <v>29</v>
      </c>
      <c r="I246" s="6" t="s">
        <v>29</v>
      </c>
      <c r="J246" s="5" t="s">
        <v>19</v>
      </c>
      <c r="K246" s="5" t="s">
        <v>20</v>
      </c>
      <c r="L246" s="5" t="s">
        <v>21</v>
      </c>
      <c r="M246" s="11"/>
      <c r="N246" s="196"/>
      <c r="O246" s="7" t="s">
        <v>17</v>
      </c>
      <c r="P246" s="15">
        <v>223</v>
      </c>
      <c r="Q246" s="8"/>
      <c r="W246" s="317">
        <v>3.9</v>
      </c>
      <c r="X246" s="190"/>
      <c r="Y246" s="10"/>
      <c r="Z246" s="10"/>
    </row>
    <row r="247" spans="1:26" ht="12.75" customHeight="1" x14ac:dyDescent="0.2">
      <c r="A247" s="4">
        <v>12</v>
      </c>
      <c r="B247" s="4">
        <v>2016</v>
      </c>
      <c r="C247" s="4">
        <v>10</v>
      </c>
      <c r="D247" s="4">
        <v>8</v>
      </c>
      <c r="E247" s="5" t="s">
        <v>17</v>
      </c>
      <c r="F247" s="5" t="s">
        <v>18</v>
      </c>
      <c r="G247" s="4" t="s">
        <v>17</v>
      </c>
      <c r="H247" s="4">
        <v>128</v>
      </c>
      <c r="I247" s="6">
        <v>11</v>
      </c>
      <c r="J247" s="5" t="s">
        <v>19</v>
      </c>
      <c r="K247" s="5" t="s">
        <v>20</v>
      </c>
      <c r="L247" s="5" t="s">
        <v>21</v>
      </c>
      <c r="M247" s="5" t="s">
        <v>22</v>
      </c>
      <c r="N247" s="196" t="s">
        <v>25</v>
      </c>
      <c r="O247" s="7" t="s">
        <v>17</v>
      </c>
      <c r="P247" s="15">
        <v>223</v>
      </c>
      <c r="Q247" s="8"/>
      <c r="R247">
        <v>12.8</v>
      </c>
      <c r="S247">
        <v>2097.15</v>
      </c>
      <c r="T247">
        <v>5.25</v>
      </c>
      <c r="W247" s="317">
        <v>3.9</v>
      </c>
      <c r="X247" s="190">
        <f t="shared" si="5"/>
        <v>42.9</v>
      </c>
      <c r="Y247" s="10"/>
      <c r="Z247" s="10"/>
    </row>
    <row r="248" spans="1:26" ht="12.75" customHeight="1" x14ac:dyDescent="0.2">
      <c r="A248" s="4">
        <v>13</v>
      </c>
      <c r="B248" s="4">
        <v>2016</v>
      </c>
      <c r="C248" s="4">
        <v>10</v>
      </c>
      <c r="D248" s="4">
        <v>8</v>
      </c>
      <c r="E248" s="5" t="s">
        <v>17</v>
      </c>
      <c r="F248" s="5" t="s">
        <v>18</v>
      </c>
      <c r="G248" s="4" t="s">
        <v>17</v>
      </c>
      <c r="H248" s="4">
        <v>120</v>
      </c>
      <c r="I248" s="6">
        <v>9</v>
      </c>
      <c r="J248" s="5" t="s">
        <v>19</v>
      </c>
      <c r="K248" s="5" t="s">
        <v>20</v>
      </c>
      <c r="L248" s="12" t="s">
        <v>30</v>
      </c>
      <c r="M248" s="5" t="s">
        <v>27</v>
      </c>
      <c r="N248" s="196" t="s">
        <v>25</v>
      </c>
      <c r="O248" s="7" t="s">
        <v>17</v>
      </c>
      <c r="P248" s="15">
        <v>223</v>
      </c>
      <c r="Q248" s="8"/>
      <c r="R248">
        <v>12</v>
      </c>
      <c r="S248">
        <v>1728</v>
      </c>
      <c r="T248">
        <v>5.21</v>
      </c>
      <c r="W248" s="317">
        <v>4.5999999999999996</v>
      </c>
      <c r="X248" s="190">
        <f t="shared" si="5"/>
        <v>41.4</v>
      </c>
      <c r="Y248" s="10"/>
      <c r="Z248" s="10"/>
    </row>
    <row r="249" spans="1:26" ht="12.75" customHeight="1" x14ac:dyDescent="0.2">
      <c r="A249" s="4">
        <v>14</v>
      </c>
      <c r="B249" s="4">
        <v>2016</v>
      </c>
      <c r="C249" s="4">
        <v>10</v>
      </c>
      <c r="D249" s="4">
        <v>8</v>
      </c>
      <c r="E249" s="5" t="s">
        <v>17</v>
      </c>
      <c r="F249" s="5" t="s">
        <v>18</v>
      </c>
      <c r="G249" s="4" t="s">
        <v>17</v>
      </c>
      <c r="H249" s="194">
        <v>146</v>
      </c>
      <c r="I249" s="6">
        <v>14.5</v>
      </c>
      <c r="J249" s="5" t="s">
        <v>19</v>
      </c>
      <c r="K249" s="5" t="s">
        <v>20</v>
      </c>
      <c r="L249" s="5" t="s">
        <v>21</v>
      </c>
      <c r="M249" s="5" t="s">
        <v>26</v>
      </c>
      <c r="N249" s="196" t="s">
        <v>24</v>
      </c>
      <c r="O249" s="7" t="s">
        <v>17</v>
      </c>
      <c r="P249" s="15">
        <v>223</v>
      </c>
      <c r="Q249" s="8"/>
      <c r="R249">
        <v>14.6</v>
      </c>
      <c r="S249">
        <v>3112.14</v>
      </c>
      <c r="T249">
        <v>4.66</v>
      </c>
      <c r="W249" s="317">
        <v>3.9</v>
      </c>
      <c r="X249" s="190">
        <f t="shared" si="5"/>
        <v>56.55</v>
      </c>
      <c r="Y249" s="10"/>
      <c r="Z249" s="10"/>
    </row>
    <row r="250" spans="1:26" ht="12.75" customHeight="1" x14ac:dyDescent="0.2">
      <c r="A250" s="4">
        <v>15</v>
      </c>
      <c r="B250" s="4">
        <v>2016</v>
      </c>
      <c r="C250" s="4">
        <v>10</v>
      </c>
      <c r="D250" s="4">
        <v>8</v>
      </c>
      <c r="E250" s="5" t="s">
        <v>17</v>
      </c>
      <c r="F250" s="5" t="s">
        <v>18</v>
      </c>
      <c r="G250" s="4" t="s">
        <v>17</v>
      </c>
      <c r="H250" s="4">
        <v>129</v>
      </c>
      <c r="I250" s="6">
        <v>9</v>
      </c>
      <c r="J250" s="5" t="s">
        <v>19</v>
      </c>
      <c r="K250" s="5" t="s">
        <v>20</v>
      </c>
      <c r="L250" s="5" t="s">
        <v>21</v>
      </c>
      <c r="M250" s="5" t="s">
        <v>27</v>
      </c>
      <c r="N250" s="196" t="s">
        <v>25</v>
      </c>
      <c r="O250" s="7" t="s">
        <v>17</v>
      </c>
      <c r="P250" s="15">
        <v>223</v>
      </c>
      <c r="Q250" s="8"/>
      <c r="R250">
        <v>12.9</v>
      </c>
      <c r="S250">
        <v>2146.69</v>
      </c>
      <c r="T250">
        <v>4.1900000000000004</v>
      </c>
      <c r="W250" s="317">
        <v>3.9</v>
      </c>
      <c r="X250" s="190">
        <f t="shared" si="5"/>
        <v>35.1</v>
      </c>
      <c r="Y250" s="10"/>
      <c r="Z250" s="10"/>
    </row>
    <row r="251" spans="1:26" ht="12.75" customHeight="1" x14ac:dyDescent="0.2">
      <c r="A251" s="4">
        <v>16</v>
      </c>
      <c r="B251" s="4">
        <v>2016</v>
      </c>
      <c r="C251" s="4">
        <v>10</v>
      </c>
      <c r="D251" s="4">
        <v>8</v>
      </c>
      <c r="E251" s="5" t="s">
        <v>17</v>
      </c>
      <c r="F251" s="5" t="s">
        <v>18</v>
      </c>
      <c r="G251" s="4" t="s">
        <v>17</v>
      </c>
      <c r="H251" s="4">
        <v>140</v>
      </c>
      <c r="I251" s="6">
        <v>13</v>
      </c>
      <c r="J251" s="5" t="s">
        <v>19</v>
      </c>
      <c r="K251" s="5" t="s">
        <v>20</v>
      </c>
      <c r="L251" s="5" t="s">
        <v>21</v>
      </c>
      <c r="M251" s="5" t="s">
        <v>31</v>
      </c>
      <c r="N251" s="196" t="s">
        <v>25</v>
      </c>
      <c r="O251" s="7" t="s">
        <v>17</v>
      </c>
      <c r="P251" s="15">
        <v>223</v>
      </c>
      <c r="Q251" s="8"/>
      <c r="R251">
        <v>14</v>
      </c>
      <c r="S251">
        <v>2744</v>
      </c>
      <c r="T251">
        <v>4.74</v>
      </c>
      <c r="W251" s="317">
        <v>3.9</v>
      </c>
      <c r="X251" s="190">
        <f t="shared" si="5"/>
        <v>50.699999999999996</v>
      </c>
      <c r="Y251" s="10"/>
      <c r="Z251" s="10"/>
    </row>
    <row r="252" spans="1:26" ht="12.75" customHeight="1" x14ac:dyDescent="0.2">
      <c r="A252" s="4">
        <v>17</v>
      </c>
      <c r="B252" s="4">
        <v>2016</v>
      </c>
      <c r="C252" s="4">
        <v>10</v>
      </c>
      <c r="D252" s="4">
        <v>8</v>
      </c>
      <c r="E252" s="5" t="s">
        <v>17</v>
      </c>
      <c r="F252" s="5" t="s">
        <v>18</v>
      </c>
      <c r="G252" s="4" t="s">
        <v>17</v>
      </c>
      <c r="H252" s="4">
        <v>110</v>
      </c>
      <c r="I252" s="6">
        <v>5</v>
      </c>
      <c r="J252" s="5" t="s">
        <v>19</v>
      </c>
      <c r="K252" s="5" t="s">
        <v>20</v>
      </c>
      <c r="L252" s="5" t="s">
        <v>21</v>
      </c>
      <c r="M252" s="5" t="s">
        <v>27</v>
      </c>
      <c r="N252" s="196" t="s">
        <v>25</v>
      </c>
      <c r="O252" s="7" t="s">
        <v>17</v>
      </c>
      <c r="P252" s="15">
        <v>223</v>
      </c>
      <c r="Q252" s="8"/>
      <c r="R252">
        <v>11</v>
      </c>
      <c r="S252">
        <v>1331</v>
      </c>
      <c r="T252">
        <v>3.76</v>
      </c>
      <c r="W252" s="317">
        <v>3.9</v>
      </c>
      <c r="X252" s="190">
        <f t="shared" si="5"/>
        <v>19.5</v>
      </c>
      <c r="Y252" s="10"/>
      <c r="Z252" s="10"/>
    </row>
    <row r="253" spans="1:26" ht="12.75" customHeight="1" x14ac:dyDescent="0.2">
      <c r="A253" s="4">
        <v>18</v>
      </c>
      <c r="B253" s="4">
        <v>2016</v>
      </c>
      <c r="C253" s="4">
        <v>10</v>
      </c>
      <c r="D253" s="4">
        <v>8</v>
      </c>
      <c r="E253" s="5" t="s">
        <v>17</v>
      </c>
      <c r="F253" s="5" t="s">
        <v>18</v>
      </c>
      <c r="G253" s="4" t="s">
        <v>17</v>
      </c>
      <c r="H253" s="4">
        <v>126</v>
      </c>
      <c r="I253" s="6">
        <v>18</v>
      </c>
      <c r="J253" s="5" t="s">
        <v>19</v>
      </c>
      <c r="K253" s="5" t="s">
        <v>20</v>
      </c>
      <c r="L253" s="5" t="s">
        <v>21</v>
      </c>
      <c r="M253" s="5" t="s">
        <v>31</v>
      </c>
      <c r="N253" s="196" t="s">
        <v>25</v>
      </c>
      <c r="O253" s="7" t="s">
        <v>17</v>
      </c>
      <c r="P253" s="15">
        <v>223</v>
      </c>
      <c r="Q253" s="8"/>
      <c r="R253">
        <v>12.6</v>
      </c>
      <c r="S253">
        <v>2000.38</v>
      </c>
      <c r="T253">
        <v>9</v>
      </c>
      <c r="W253" s="317">
        <v>3.9</v>
      </c>
      <c r="X253" s="190">
        <f t="shared" si="5"/>
        <v>70.2</v>
      </c>
      <c r="Y253" s="10"/>
      <c r="Z253" s="10"/>
    </row>
    <row r="254" spans="1:26" ht="12.75" customHeight="1" x14ac:dyDescent="0.2">
      <c r="A254" s="4">
        <v>19</v>
      </c>
      <c r="B254" s="4">
        <v>2016</v>
      </c>
      <c r="C254" s="4">
        <v>10</v>
      </c>
      <c r="D254" s="4">
        <v>8</v>
      </c>
      <c r="E254" s="5" t="s">
        <v>17</v>
      </c>
      <c r="F254" s="5" t="s">
        <v>18</v>
      </c>
      <c r="G254" s="4" t="s">
        <v>17</v>
      </c>
      <c r="H254" s="4">
        <v>128</v>
      </c>
      <c r="I254" s="6">
        <v>12</v>
      </c>
      <c r="J254" s="5" t="s">
        <v>19</v>
      </c>
      <c r="K254" s="5" t="s">
        <v>20</v>
      </c>
      <c r="L254" s="12" t="s">
        <v>30</v>
      </c>
      <c r="M254" s="5" t="s">
        <v>22</v>
      </c>
      <c r="N254" s="196" t="s">
        <v>25</v>
      </c>
      <c r="O254" s="7" t="s">
        <v>17</v>
      </c>
      <c r="P254" s="15">
        <v>223</v>
      </c>
      <c r="Q254" s="8"/>
      <c r="R254">
        <v>12.8</v>
      </c>
      <c r="S254">
        <v>2097.15</v>
      </c>
      <c r="T254">
        <v>5.72</v>
      </c>
      <c r="W254" s="317">
        <v>4.5999999999999996</v>
      </c>
      <c r="X254" s="190">
        <f t="shared" si="5"/>
        <v>55.199999999999996</v>
      </c>
      <c r="Y254" s="10"/>
      <c r="Z254" s="10"/>
    </row>
    <row r="255" spans="1:26" ht="12.75" customHeight="1" x14ac:dyDescent="0.2">
      <c r="A255" s="4">
        <v>20</v>
      </c>
      <c r="B255" s="4">
        <v>2016</v>
      </c>
      <c r="C255" s="4">
        <v>10</v>
      </c>
      <c r="D255" s="4">
        <v>8</v>
      </c>
      <c r="E255" s="5" t="s">
        <v>17</v>
      </c>
      <c r="F255" s="5" t="s">
        <v>18</v>
      </c>
      <c r="G255" s="4" t="s">
        <v>17</v>
      </c>
      <c r="H255" s="194">
        <v>117</v>
      </c>
      <c r="I255" s="6">
        <v>7</v>
      </c>
      <c r="J255" s="5" t="s">
        <v>19</v>
      </c>
      <c r="K255" s="5" t="s">
        <v>20</v>
      </c>
      <c r="L255" s="12" t="s">
        <v>30</v>
      </c>
      <c r="M255" s="5" t="s">
        <v>22</v>
      </c>
      <c r="N255" s="196" t="s">
        <v>24</v>
      </c>
      <c r="O255" s="7" t="s">
        <v>17</v>
      </c>
      <c r="P255" s="15">
        <v>223</v>
      </c>
      <c r="Q255" s="8"/>
      <c r="R255">
        <v>11.7</v>
      </c>
      <c r="S255">
        <v>1601.61</v>
      </c>
      <c r="T255">
        <v>4.37</v>
      </c>
      <c r="W255" s="317">
        <v>4.5999999999999996</v>
      </c>
      <c r="X255" s="190">
        <f t="shared" si="5"/>
        <v>32.199999999999996</v>
      </c>
      <c r="Y255" s="10"/>
      <c r="Z255" s="10"/>
    </row>
    <row r="256" spans="1:26" ht="12.75" customHeight="1" x14ac:dyDescent="0.2">
      <c r="A256" s="4">
        <v>21</v>
      </c>
      <c r="B256" s="4">
        <v>2016</v>
      </c>
      <c r="C256" s="4">
        <v>10</v>
      </c>
      <c r="D256" s="4">
        <v>8</v>
      </c>
      <c r="E256" s="5" t="s">
        <v>17</v>
      </c>
      <c r="F256" s="5" t="s">
        <v>18</v>
      </c>
      <c r="G256" s="4" t="s">
        <v>17</v>
      </c>
      <c r="H256" s="4" t="s">
        <v>29</v>
      </c>
      <c r="I256" s="6" t="s">
        <v>29</v>
      </c>
      <c r="J256" s="5" t="s">
        <v>19</v>
      </c>
      <c r="K256" s="5" t="s">
        <v>20</v>
      </c>
      <c r="L256" s="12" t="s">
        <v>30</v>
      </c>
      <c r="M256" s="11"/>
      <c r="N256" s="196"/>
      <c r="O256" s="7" t="s">
        <v>17</v>
      </c>
      <c r="P256" s="15">
        <v>223</v>
      </c>
      <c r="Q256" s="8"/>
      <c r="W256" s="317">
        <v>4.5999999999999996</v>
      </c>
      <c r="X256" s="190"/>
      <c r="Y256" s="10"/>
      <c r="Z256" s="10"/>
    </row>
    <row r="257" spans="1:26" ht="12.75" customHeight="1" x14ac:dyDescent="0.2">
      <c r="A257" s="4">
        <v>22</v>
      </c>
      <c r="B257" s="4">
        <v>2016</v>
      </c>
      <c r="C257" s="4">
        <v>10</v>
      </c>
      <c r="D257" s="4">
        <v>8</v>
      </c>
      <c r="E257" s="5" t="s">
        <v>17</v>
      </c>
      <c r="F257" s="5" t="s">
        <v>18</v>
      </c>
      <c r="G257" s="4" t="s">
        <v>17</v>
      </c>
      <c r="H257" s="4">
        <v>116</v>
      </c>
      <c r="I257" s="6">
        <v>4</v>
      </c>
      <c r="J257" s="5" t="s">
        <v>32</v>
      </c>
      <c r="K257" s="11"/>
      <c r="L257" s="11"/>
      <c r="M257" s="5" t="s">
        <v>26</v>
      </c>
      <c r="N257" s="196" t="s">
        <v>23</v>
      </c>
      <c r="O257" s="7" t="s">
        <v>17</v>
      </c>
      <c r="P257" s="15">
        <v>223</v>
      </c>
      <c r="Q257" s="8"/>
      <c r="R257">
        <v>11.6</v>
      </c>
      <c r="S257">
        <v>1560.9</v>
      </c>
      <c r="T257">
        <v>2.56</v>
      </c>
      <c r="W257" s="10"/>
      <c r="X257" s="10"/>
      <c r="Y257" s="10"/>
      <c r="Z257" s="10"/>
    </row>
    <row r="258" spans="1:26" ht="12.75" customHeight="1" x14ac:dyDescent="0.2">
      <c r="A258" s="4">
        <v>23</v>
      </c>
      <c r="B258" s="4">
        <v>2016</v>
      </c>
      <c r="C258" s="4">
        <v>10</v>
      </c>
      <c r="D258" s="4">
        <v>8</v>
      </c>
      <c r="E258" s="5" t="s">
        <v>17</v>
      </c>
      <c r="F258" s="5" t="s">
        <v>18</v>
      </c>
      <c r="G258" s="4" t="s">
        <v>17</v>
      </c>
      <c r="H258" s="4">
        <v>130</v>
      </c>
      <c r="I258" s="6">
        <v>9</v>
      </c>
      <c r="J258" s="5" t="s">
        <v>19</v>
      </c>
      <c r="K258" s="5" t="s">
        <v>20</v>
      </c>
      <c r="L258" s="5" t="s">
        <v>21</v>
      </c>
      <c r="M258" s="5" t="s">
        <v>27</v>
      </c>
      <c r="N258" s="196" t="s">
        <v>25</v>
      </c>
      <c r="O258" s="7" t="s">
        <v>17</v>
      </c>
      <c r="P258" s="15">
        <v>223</v>
      </c>
      <c r="Q258" s="8"/>
      <c r="R258">
        <v>13</v>
      </c>
      <c r="S258">
        <v>2197</v>
      </c>
      <c r="T258">
        <v>4.0999999999999996</v>
      </c>
      <c r="W258" s="317">
        <v>3.9</v>
      </c>
      <c r="X258" s="190">
        <f>I258*W258</f>
        <v>35.1</v>
      </c>
      <c r="Y258" s="10"/>
      <c r="Z258" s="10"/>
    </row>
    <row r="259" spans="1:26" ht="12.75" customHeight="1" x14ac:dyDescent="0.2">
      <c r="A259" s="4">
        <v>24</v>
      </c>
      <c r="B259" s="4">
        <v>2016</v>
      </c>
      <c r="C259" s="4">
        <v>10</v>
      </c>
      <c r="D259" s="4">
        <v>8</v>
      </c>
      <c r="E259" s="5" t="s">
        <v>17</v>
      </c>
      <c r="F259" s="5" t="s">
        <v>18</v>
      </c>
      <c r="G259" s="4" t="s">
        <v>17</v>
      </c>
      <c r="H259" s="194">
        <v>147</v>
      </c>
      <c r="I259" s="6">
        <v>10</v>
      </c>
      <c r="J259" s="5" t="s">
        <v>19</v>
      </c>
      <c r="K259" s="5" t="s">
        <v>20</v>
      </c>
      <c r="L259" s="12" t="s">
        <v>30</v>
      </c>
      <c r="M259" s="11"/>
      <c r="N259" s="196" t="s">
        <v>23</v>
      </c>
      <c r="O259" s="7" t="s">
        <v>17</v>
      </c>
      <c r="P259" s="15">
        <v>223</v>
      </c>
      <c r="Q259" s="8"/>
      <c r="R259">
        <v>14.7</v>
      </c>
      <c r="S259">
        <v>3176.52</v>
      </c>
      <c r="T259">
        <v>3.15</v>
      </c>
      <c r="W259" s="317">
        <v>4.5999999999999996</v>
      </c>
      <c r="X259" s="190">
        <f>I259*W259</f>
        <v>46</v>
      </c>
      <c r="Y259" s="10"/>
      <c r="Z259" s="10"/>
    </row>
    <row r="260" spans="1:26" ht="12.75" customHeight="1" x14ac:dyDescent="0.2">
      <c r="A260" s="4">
        <v>25</v>
      </c>
      <c r="B260" s="4">
        <v>2016</v>
      </c>
      <c r="C260" s="4">
        <v>11</v>
      </c>
      <c r="D260" s="4">
        <v>8</v>
      </c>
      <c r="E260" s="5" t="s">
        <v>17</v>
      </c>
      <c r="F260" s="5" t="s">
        <v>18</v>
      </c>
      <c r="G260" s="4" t="s">
        <v>17</v>
      </c>
      <c r="H260" s="4">
        <v>190</v>
      </c>
      <c r="I260" s="6">
        <v>15.5</v>
      </c>
      <c r="J260" s="5" t="s">
        <v>32</v>
      </c>
      <c r="K260" s="5"/>
      <c r="L260" s="11"/>
      <c r="M260" s="5" t="s">
        <v>26</v>
      </c>
      <c r="N260" s="196" t="s">
        <v>25</v>
      </c>
      <c r="O260" s="7" t="s">
        <v>17</v>
      </c>
      <c r="P260" s="15">
        <v>224</v>
      </c>
      <c r="Q260" s="8"/>
      <c r="R260">
        <v>19</v>
      </c>
      <c r="S260">
        <v>6859</v>
      </c>
      <c r="T260">
        <v>2.2599999999999998</v>
      </c>
      <c r="W260" s="10"/>
      <c r="X260" s="10"/>
      <c r="Y260" s="10"/>
      <c r="Z260" s="10"/>
    </row>
    <row r="261" spans="1:26" ht="12.75" customHeight="1" x14ac:dyDescent="0.2">
      <c r="A261" s="4">
        <v>26</v>
      </c>
      <c r="B261" s="4">
        <v>2016</v>
      </c>
      <c r="C261" s="4">
        <v>11</v>
      </c>
      <c r="D261" s="4">
        <v>8</v>
      </c>
      <c r="E261" s="5" t="s">
        <v>17</v>
      </c>
      <c r="F261" s="5" t="s">
        <v>18</v>
      </c>
      <c r="G261" s="4" t="s">
        <v>17</v>
      </c>
      <c r="H261" s="194">
        <v>142</v>
      </c>
      <c r="I261" s="6">
        <v>10</v>
      </c>
      <c r="J261" s="5" t="s">
        <v>19</v>
      </c>
      <c r="K261" s="5" t="s">
        <v>20</v>
      </c>
      <c r="L261" s="5" t="s">
        <v>21</v>
      </c>
      <c r="M261" s="5" t="s">
        <v>26</v>
      </c>
      <c r="N261" s="196" t="s">
        <v>33</v>
      </c>
      <c r="O261" s="7" t="s">
        <v>17</v>
      </c>
      <c r="P261" s="15">
        <v>224</v>
      </c>
      <c r="Q261" s="8"/>
      <c r="R261">
        <v>14.2</v>
      </c>
      <c r="S261">
        <v>2863.29</v>
      </c>
      <c r="T261">
        <v>3.49</v>
      </c>
      <c r="W261" s="317">
        <v>3.9</v>
      </c>
      <c r="X261" s="190">
        <f>I261*W261</f>
        <v>39</v>
      </c>
      <c r="Y261" s="10"/>
      <c r="Z261" s="10"/>
    </row>
    <row r="262" spans="1:26" ht="12.75" customHeight="1" x14ac:dyDescent="0.2">
      <c r="A262" s="4">
        <v>27</v>
      </c>
      <c r="B262" s="4">
        <v>2016</v>
      </c>
      <c r="C262" s="4">
        <v>11</v>
      </c>
      <c r="D262" s="4">
        <v>8</v>
      </c>
      <c r="E262" s="5" t="s">
        <v>17</v>
      </c>
      <c r="F262" s="5" t="s">
        <v>18</v>
      </c>
      <c r="G262" s="4" t="s">
        <v>17</v>
      </c>
      <c r="H262" s="194">
        <v>151</v>
      </c>
      <c r="I262" s="6">
        <v>13.5</v>
      </c>
      <c r="J262" s="5" t="s">
        <v>19</v>
      </c>
      <c r="K262" s="5" t="s">
        <v>20</v>
      </c>
      <c r="L262" s="5" t="s">
        <v>21</v>
      </c>
      <c r="M262" s="5" t="s">
        <v>22</v>
      </c>
      <c r="N262" s="196" t="s">
        <v>24</v>
      </c>
      <c r="O262" s="7" t="s">
        <v>17</v>
      </c>
      <c r="P262" s="15">
        <v>224</v>
      </c>
      <c r="Q262" s="8"/>
      <c r="R262">
        <v>15.1</v>
      </c>
      <c r="S262">
        <v>3442.95</v>
      </c>
      <c r="T262">
        <v>3.92</v>
      </c>
      <c r="W262" s="317">
        <v>3.9</v>
      </c>
      <c r="X262" s="190">
        <f>I262*W262</f>
        <v>52.65</v>
      </c>
      <c r="Y262" s="10"/>
      <c r="Z262" s="10"/>
    </row>
    <row r="263" spans="1:26" ht="12.75" customHeight="1" x14ac:dyDescent="0.2">
      <c r="A263" s="4">
        <v>28</v>
      </c>
      <c r="B263" s="4">
        <v>2016</v>
      </c>
      <c r="C263" s="4">
        <v>11</v>
      </c>
      <c r="D263" s="4">
        <v>8</v>
      </c>
      <c r="E263" s="5" t="s">
        <v>17</v>
      </c>
      <c r="F263" s="5" t="s">
        <v>18</v>
      </c>
      <c r="G263" s="4" t="s">
        <v>17</v>
      </c>
      <c r="H263" s="194">
        <v>136</v>
      </c>
      <c r="I263" s="6">
        <v>14.5</v>
      </c>
      <c r="J263" s="5" t="s">
        <v>19</v>
      </c>
      <c r="K263" s="5" t="s">
        <v>20</v>
      </c>
      <c r="L263" s="12" t="s">
        <v>30</v>
      </c>
      <c r="M263" s="5" t="s">
        <v>26</v>
      </c>
      <c r="N263" s="196" t="s">
        <v>23</v>
      </c>
      <c r="O263" s="7" t="s">
        <v>17</v>
      </c>
      <c r="P263" s="15">
        <v>224</v>
      </c>
      <c r="Q263" s="8"/>
      <c r="R263">
        <v>13.6</v>
      </c>
      <c r="S263">
        <v>2515.46</v>
      </c>
      <c r="T263">
        <v>5.76</v>
      </c>
      <c r="W263" s="317">
        <v>4.5999999999999996</v>
      </c>
      <c r="X263" s="190">
        <f>I263*W263</f>
        <v>66.699999999999989</v>
      </c>
      <c r="Y263" s="10"/>
      <c r="Z263" s="10"/>
    </row>
    <row r="264" spans="1:26" ht="12.75" customHeight="1" x14ac:dyDescent="0.2">
      <c r="A264" s="4">
        <v>29</v>
      </c>
      <c r="B264" s="4">
        <v>2016</v>
      </c>
      <c r="C264" s="4">
        <v>11</v>
      </c>
      <c r="D264" s="4">
        <v>8</v>
      </c>
      <c r="E264" s="5" t="s">
        <v>17</v>
      </c>
      <c r="F264" s="5" t="s">
        <v>18</v>
      </c>
      <c r="G264" s="4" t="s">
        <v>17</v>
      </c>
      <c r="H264" s="4">
        <v>118</v>
      </c>
      <c r="I264" s="6">
        <v>6</v>
      </c>
      <c r="J264" s="5" t="s">
        <v>19</v>
      </c>
      <c r="K264" s="5"/>
      <c r="L264" s="5" t="s">
        <v>35</v>
      </c>
      <c r="M264" s="5" t="s">
        <v>26</v>
      </c>
      <c r="N264" s="196" t="s">
        <v>23</v>
      </c>
      <c r="O264" s="7" t="s">
        <v>17</v>
      </c>
      <c r="P264" s="15">
        <v>224</v>
      </c>
      <c r="Q264" s="8"/>
      <c r="R264">
        <v>11.8</v>
      </c>
      <c r="S264">
        <v>1643.03</v>
      </c>
      <c r="T264">
        <v>3.65</v>
      </c>
      <c r="W264" s="317"/>
      <c r="X264" s="10"/>
      <c r="Y264" s="10"/>
      <c r="Z264" s="10"/>
    </row>
    <row r="265" spans="1:26" ht="12.75" customHeight="1" x14ac:dyDescent="0.2">
      <c r="A265" s="4">
        <v>30</v>
      </c>
      <c r="B265" s="4">
        <v>2016</v>
      </c>
      <c r="C265" s="4">
        <v>11</v>
      </c>
      <c r="D265" s="4">
        <v>8</v>
      </c>
      <c r="E265" s="5" t="s">
        <v>17</v>
      </c>
      <c r="F265" s="5" t="s">
        <v>18</v>
      </c>
      <c r="G265" s="4" t="s">
        <v>17</v>
      </c>
      <c r="H265" s="4">
        <v>156</v>
      </c>
      <c r="I265" s="6">
        <v>10.199999999999999</v>
      </c>
      <c r="J265" s="5" t="s">
        <v>19</v>
      </c>
      <c r="K265" s="5" t="s">
        <v>20</v>
      </c>
      <c r="L265" s="5" t="s">
        <v>21</v>
      </c>
      <c r="M265" s="5" t="s">
        <v>26</v>
      </c>
      <c r="N265" s="196" t="s">
        <v>25</v>
      </c>
      <c r="O265" s="7" t="s">
        <v>17</v>
      </c>
      <c r="P265" s="15">
        <v>224</v>
      </c>
      <c r="Q265" s="8"/>
      <c r="R265">
        <v>15.6</v>
      </c>
      <c r="S265">
        <v>3796.42</v>
      </c>
      <c r="T265">
        <v>2.69</v>
      </c>
      <c r="W265" s="317">
        <v>3.9</v>
      </c>
      <c r="X265" s="190">
        <f>I265*W265</f>
        <v>39.779999999999994</v>
      </c>
      <c r="Y265" s="10"/>
      <c r="Z265" s="10"/>
    </row>
    <row r="266" spans="1:26" ht="12.75" customHeight="1" x14ac:dyDescent="0.2">
      <c r="A266" s="4">
        <v>31</v>
      </c>
      <c r="B266" s="4">
        <v>2016</v>
      </c>
      <c r="C266" s="4">
        <v>11</v>
      </c>
      <c r="D266" s="4">
        <v>8</v>
      </c>
      <c r="E266" s="5" t="s">
        <v>17</v>
      </c>
      <c r="F266" s="5" t="s">
        <v>18</v>
      </c>
      <c r="G266" s="4" t="s">
        <v>17</v>
      </c>
      <c r="H266" s="4">
        <v>150</v>
      </c>
      <c r="I266" s="6">
        <v>19</v>
      </c>
      <c r="J266" s="5" t="s">
        <v>19</v>
      </c>
      <c r="K266" s="5" t="s">
        <v>34</v>
      </c>
      <c r="L266" s="11"/>
      <c r="M266" s="5" t="s">
        <v>26</v>
      </c>
      <c r="N266" s="196" t="s">
        <v>24</v>
      </c>
      <c r="O266" s="7" t="s">
        <v>17</v>
      </c>
      <c r="P266" s="15">
        <v>224</v>
      </c>
      <c r="Q266" s="8"/>
      <c r="R266">
        <v>15</v>
      </c>
      <c r="S266">
        <v>3375</v>
      </c>
      <c r="T266">
        <v>5.63</v>
      </c>
      <c r="W266" s="317">
        <v>3.8</v>
      </c>
      <c r="X266" s="190">
        <f>I266*W266</f>
        <v>72.2</v>
      </c>
      <c r="Y266" s="10"/>
      <c r="Z266" s="10"/>
    </row>
    <row r="267" spans="1:26" ht="12.75" customHeight="1" x14ac:dyDescent="0.2">
      <c r="A267" s="4">
        <v>32</v>
      </c>
      <c r="B267" s="4">
        <v>2016</v>
      </c>
      <c r="C267" s="4">
        <v>11</v>
      </c>
      <c r="D267" s="4">
        <v>8</v>
      </c>
      <c r="E267" s="5" t="s">
        <v>17</v>
      </c>
      <c r="F267" s="5" t="s">
        <v>18</v>
      </c>
      <c r="G267" s="4" t="s">
        <v>17</v>
      </c>
      <c r="H267" s="194">
        <v>148</v>
      </c>
      <c r="I267" s="6">
        <v>11</v>
      </c>
      <c r="J267" s="5" t="s">
        <v>19</v>
      </c>
      <c r="K267" s="5" t="s">
        <v>20</v>
      </c>
      <c r="L267" s="5" t="s">
        <v>21</v>
      </c>
      <c r="M267" s="5" t="s">
        <v>26</v>
      </c>
      <c r="N267" s="196" t="s">
        <v>24</v>
      </c>
      <c r="O267" s="7" t="s">
        <v>17</v>
      </c>
      <c r="P267" s="15">
        <v>224</v>
      </c>
      <c r="Q267" s="8"/>
      <c r="R267">
        <v>14.8</v>
      </c>
      <c r="S267">
        <v>3241.79</v>
      </c>
      <c r="T267">
        <v>3.39</v>
      </c>
      <c r="W267" s="317">
        <v>3.9</v>
      </c>
      <c r="X267" s="190">
        <f>I267*W267</f>
        <v>42.9</v>
      </c>
      <c r="Y267" s="10"/>
      <c r="Z267" s="10"/>
    </row>
    <row r="268" spans="1:26" ht="12.75" customHeight="1" x14ac:dyDescent="0.2">
      <c r="A268" s="4">
        <v>33</v>
      </c>
      <c r="B268" s="4">
        <v>2016</v>
      </c>
      <c r="C268" s="4">
        <v>11</v>
      </c>
      <c r="D268" s="4">
        <v>8</v>
      </c>
      <c r="E268" s="5" t="s">
        <v>17</v>
      </c>
      <c r="F268" s="5" t="s">
        <v>18</v>
      </c>
      <c r="G268" s="4" t="s">
        <v>17</v>
      </c>
      <c r="H268" s="194">
        <v>140</v>
      </c>
      <c r="I268" s="6">
        <v>10</v>
      </c>
      <c r="J268" s="5" t="s">
        <v>19</v>
      </c>
      <c r="K268" s="5" t="s">
        <v>20</v>
      </c>
      <c r="L268" s="5" t="s">
        <v>21</v>
      </c>
      <c r="M268" s="5" t="s">
        <v>26</v>
      </c>
      <c r="N268" s="196" t="s">
        <v>24</v>
      </c>
      <c r="O268" s="7" t="s">
        <v>17</v>
      </c>
      <c r="P268" s="15">
        <v>224</v>
      </c>
      <c r="Q268" s="8"/>
      <c r="R268">
        <v>14</v>
      </c>
      <c r="S268">
        <v>2744</v>
      </c>
      <c r="T268">
        <v>3.64</v>
      </c>
      <c r="W268" s="317">
        <v>3.9</v>
      </c>
      <c r="X268" s="190">
        <f>I268*W268</f>
        <v>39</v>
      </c>
      <c r="Y268" s="10"/>
      <c r="Z268" s="10"/>
    </row>
    <row r="269" spans="1:26" ht="12.75" customHeight="1" x14ac:dyDescent="0.2">
      <c r="A269" s="4">
        <v>34</v>
      </c>
      <c r="B269" s="4">
        <v>2016</v>
      </c>
      <c r="C269" s="4">
        <v>11</v>
      </c>
      <c r="D269" s="4">
        <v>8</v>
      </c>
      <c r="E269" s="5" t="s">
        <v>17</v>
      </c>
      <c r="F269" s="5" t="s">
        <v>18</v>
      </c>
      <c r="G269" s="4" t="s">
        <v>17</v>
      </c>
      <c r="H269" s="4">
        <v>104</v>
      </c>
      <c r="I269" s="6">
        <v>7.5</v>
      </c>
      <c r="J269" s="5" t="s">
        <v>36</v>
      </c>
      <c r="K269" s="11"/>
      <c r="L269" s="11"/>
      <c r="M269" s="11"/>
      <c r="N269" s="196"/>
      <c r="O269" s="7" t="s">
        <v>17</v>
      </c>
      <c r="P269" s="15">
        <v>224</v>
      </c>
      <c r="Q269" s="8"/>
      <c r="R269">
        <v>10.4</v>
      </c>
      <c r="S269">
        <v>1124.8599999999999</v>
      </c>
      <c r="T269">
        <v>6.67</v>
      </c>
      <c r="W269" s="10"/>
      <c r="X269" s="10"/>
      <c r="Y269" s="10"/>
      <c r="Z269" s="10"/>
    </row>
    <row r="270" spans="1:26" ht="12.75" customHeight="1" x14ac:dyDescent="0.2">
      <c r="A270" s="4">
        <v>35</v>
      </c>
      <c r="B270" s="4">
        <v>2016</v>
      </c>
      <c r="C270" s="4">
        <v>11</v>
      </c>
      <c r="D270" s="4">
        <v>8</v>
      </c>
      <c r="E270" s="5" t="s">
        <v>17</v>
      </c>
      <c r="F270" s="5" t="s">
        <v>18</v>
      </c>
      <c r="G270" s="4" t="s">
        <v>17</v>
      </c>
      <c r="H270" s="194">
        <v>130</v>
      </c>
      <c r="I270" s="6">
        <v>7.5</v>
      </c>
      <c r="J270" s="5" t="s">
        <v>19</v>
      </c>
      <c r="K270" s="5" t="s">
        <v>20</v>
      </c>
      <c r="L270" s="5" t="s">
        <v>21</v>
      </c>
      <c r="M270" s="5" t="s">
        <v>26</v>
      </c>
      <c r="N270" s="196" t="s">
        <v>23</v>
      </c>
      <c r="O270" s="7" t="s">
        <v>17</v>
      </c>
      <c r="P270" s="15">
        <v>224</v>
      </c>
      <c r="Q270" s="8"/>
      <c r="R270">
        <v>13</v>
      </c>
      <c r="S270">
        <v>2197</v>
      </c>
      <c r="T270">
        <v>3.41</v>
      </c>
      <c r="W270" s="317">
        <v>3.9</v>
      </c>
      <c r="X270" s="190">
        <f>I270*W270</f>
        <v>29.25</v>
      </c>
      <c r="Y270" s="10"/>
      <c r="Z270" s="10"/>
    </row>
    <row r="271" spans="1:26" ht="12.75" customHeight="1" x14ac:dyDescent="0.2">
      <c r="A271" s="4">
        <v>36</v>
      </c>
      <c r="B271" s="4">
        <v>2016</v>
      </c>
      <c r="C271" s="4">
        <v>11</v>
      </c>
      <c r="D271" s="4">
        <v>8</v>
      </c>
      <c r="E271" s="5" t="s">
        <v>17</v>
      </c>
      <c r="F271" s="5" t="s">
        <v>18</v>
      </c>
      <c r="G271" s="4" t="s">
        <v>17</v>
      </c>
      <c r="H271" s="194">
        <v>154</v>
      </c>
      <c r="I271" s="6">
        <v>12</v>
      </c>
      <c r="J271" s="5" t="s">
        <v>19</v>
      </c>
      <c r="K271" s="5" t="s">
        <v>20</v>
      </c>
      <c r="L271" s="5" t="s">
        <v>21</v>
      </c>
      <c r="M271" s="5" t="s">
        <v>26</v>
      </c>
      <c r="N271" s="196" t="s">
        <v>24</v>
      </c>
      <c r="O271" s="7" t="s">
        <v>17</v>
      </c>
      <c r="P271" s="15">
        <v>224</v>
      </c>
      <c r="Q271" s="8"/>
      <c r="R271">
        <v>15.4</v>
      </c>
      <c r="S271">
        <v>3652.26</v>
      </c>
      <c r="T271">
        <v>3.29</v>
      </c>
      <c r="W271" s="317">
        <v>3.9</v>
      </c>
      <c r="X271" s="190">
        <f>I271*W271</f>
        <v>46.8</v>
      </c>
      <c r="Y271" s="10"/>
      <c r="Z271" s="10"/>
    </row>
    <row r="272" spans="1:26" ht="12.75" customHeight="1" x14ac:dyDescent="0.2">
      <c r="A272" s="4">
        <v>37</v>
      </c>
      <c r="B272" s="4">
        <v>2016</v>
      </c>
      <c r="C272" s="4">
        <v>11</v>
      </c>
      <c r="D272" s="4">
        <v>8</v>
      </c>
      <c r="E272" s="5" t="s">
        <v>17</v>
      </c>
      <c r="F272" s="5" t="s">
        <v>18</v>
      </c>
      <c r="G272" s="4" t="s">
        <v>17</v>
      </c>
      <c r="H272" s="4">
        <v>108</v>
      </c>
      <c r="I272" s="6">
        <v>4.5</v>
      </c>
      <c r="J272" s="5" t="s">
        <v>37</v>
      </c>
      <c r="K272" s="11"/>
      <c r="L272" s="11"/>
      <c r="M272" s="11"/>
      <c r="N272" s="196"/>
      <c r="O272" s="7" t="s">
        <v>17</v>
      </c>
      <c r="P272" s="15">
        <v>224</v>
      </c>
      <c r="Q272" s="8"/>
      <c r="R272">
        <v>10.8</v>
      </c>
      <c r="S272">
        <v>1259.71</v>
      </c>
      <c r="T272">
        <v>3.57</v>
      </c>
      <c r="W272" s="10"/>
      <c r="X272" s="10"/>
      <c r="Y272" s="10"/>
      <c r="Z272" s="10"/>
    </row>
    <row r="273" spans="1:26" ht="12.75" customHeight="1" x14ac:dyDescent="0.2">
      <c r="A273" s="4">
        <v>38</v>
      </c>
      <c r="B273" s="4">
        <v>2016</v>
      </c>
      <c r="C273" s="4">
        <v>11</v>
      </c>
      <c r="D273" s="4">
        <v>8</v>
      </c>
      <c r="E273" s="5" t="s">
        <v>17</v>
      </c>
      <c r="F273" s="5" t="s">
        <v>18</v>
      </c>
      <c r="G273" s="4" t="s">
        <v>17</v>
      </c>
      <c r="H273" s="4">
        <v>100</v>
      </c>
      <c r="I273" s="6">
        <v>12</v>
      </c>
      <c r="J273" s="5" t="s">
        <v>19</v>
      </c>
      <c r="K273" s="5" t="s">
        <v>34</v>
      </c>
      <c r="L273" s="11"/>
      <c r="M273" s="11"/>
      <c r="N273" s="196" t="s">
        <v>25</v>
      </c>
      <c r="O273" s="7" t="s">
        <v>17</v>
      </c>
      <c r="P273" s="15">
        <v>224</v>
      </c>
      <c r="Q273" s="8"/>
      <c r="R273">
        <v>10</v>
      </c>
      <c r="S273">
        <v>1000</v>
      </c>
      <c r="T273">
        <v>12</v>
      </c>
      <c r="W273" s="317">
        <v>3.8</v>
      </c>
      <c r="X273" s="190">
        <f>I273*W273</f>
        <v>45.599999999999994</v>
      </c>
      <c r="Y273" s="10"/>
      <c r="Z273" s="10"/>
    </row>
    <row r="274" spans="1:26" ht="12.75" customHeight="1" x14ac:dyDescent="0.2">
      <c r="A274" s="4">
        <v>39</v>
      </c>
      <c r="B274" s="4">
        <v>2016</v>
      </c>
      <c r="C274" s="4">
        <v>11</v>
      </c>
      <c r="D274" s="4">
        <v>8</v>
      </c>
      <c r="E274" s="5" t="s">
        <v>17</v>
      </c>
      <c r="F274" s="5" t="s">
        <v>18</v>
      </c>
      <c r="G274" s="4" t="s">
        <v>17</v>
      </c>
      <c r="H274" s="194">
        <v>138</v>
      </c>
      <c r="I274" s="6">
        <v>11.5</v>
      </c>
      <c r="J274" s="5" t="s">
        <v>19</v>
      </c>
      <c r="K274" s="5" t="s">
        <v>20</v>
      </c>
      <c r="L274" s="5" t="s">
        <v>30</v>
      </c>
      <c r="M274" s="5" t="s">
        <v>26</v>
      </c>
      <c r="N274" s="196" t="s">
        <v>33</v>
      </c>
      <c r="O274" s="7" t="s">
        <v>17</v>
      </c>
      <c r="P274" s="15">
        <v>224</v>
      </c>
      <c r="Q274" s="8"/>
      <c r="R274">
        <v>13.8</v>
      </c>
      <c r="S274">
        <v>2628.07</v>
      </c>
      <c r="T274">
        <v>4.38</v>
      </c>
      <c r="W274" s="317">
        <v>4.5999999999999996</v>
      </c>
      <c r="X274" s="190">
        <f>I274*W274</f>
        <v>52.9</v>
      </c>
      <c r="Y274" s="10"/>
      <c r="Z274" s="10"/>
    </row>
    <row r="275" spans="1:26" ht="12.75" customHeight="1" x14ac:dyDescent="0.2">
      <c r="A275" s="4">
        <v>40</v>
      </c>
      <c r="B275" s="4">
        <v>2016</v>
      </c>
      <c r="C275" s="4">
        <v>12</v>
      </c>
      <c r="D275" s="4">
        <v>8</v>
      </c>
      <c r="E275" s="5" t="s">
        <v>17</v>
      </c>
      <c r="F275" s="5" t="s">
        <v>18</v>
      </c>
      <c r="G275" s="4" t="s">
        <v>17</v>
      </c>
      <c r="H275" s="194">
        <v>144</v>
      </c>
      <c r="I275" s="6">
        <v>10</v>
      </c>
      <c r="J275" s="5" t="s">
        <v>19</v>
      </c>
      <c r="K275" s="5" t="s">
        <v>20</v>
      </c>
      <c r="L275" s="5" t="s">
        <v>21</v>
      </c>
      <c r="M275" s="5" t="s">
        <v>26</v>
      </c>
      <c r="N275" s="196" t="s">
        <v>24</v>
      </c>
      <c r="O275" s="7" t="s">
        <v>17</v>
      </c>
      <c r="P275" s="15">
        <v>225</v>
      </c>
      <c r="Q275" s="8"/>
      <c r="R275">
        <v>14.4</v>
      </c>
      <c r="S275">
        <v>2985.98</v>
      </c>
      <c r="T275">
        <v>3.35</v>
      </c>
      <c r="W275" s="317">
        <v>3.9</v>
      </c>
      <c r="X275" s="190">
        <f>I275*W275</f>
        <v>39</v>
      </c>
      <c r="Y275" s="10"/>
      <c r="Z275" s="10"/>
    </row>
    <row r="276" spans="1:26" ht="12.75" customHeight="1" x14ac:dyDescent="0.2">
      <c r="A276" s="4">
        <v>41</v>
      </c>
      <c r="B276" s="4">
        <v>2016</v>
      </c>
      <c r="C276" s="4">
        <v>12</v>
      </c>
      <c r="D276" s="4">
        <v>8</v>
      </c>
      <c r="E276" s="5" t="s">
        <v>17</v>
      </c>
      <c r="F276" s="5" t="s">
        <v>18</v>
      </c>
      <c r="G276" s="4" t="s">
        <v>17</v>
      </c>
      <c r="H276" s="194">
        <v>132</v>
      </c>
      <c r="I276" s="6">
        <v>9.5</v>
      </c>
      <c r="J276" s="5" t="s">
        <v>19</v>
      </c>
      <c r="K276" s="5" t="s">
        <v>20</v>
      </c>
      <c r="L276" s="5" t="s">
        <v>21</v>
      </c>
      <c r="M276" s="5" t="s">
        <v>27</v>
      </c>
      <c r="N276" s="196" t="s">
        <v>23</v>
      </c>
      <c r="O276" s="7" t="s">
        <v>17</v>
      </c>
      <c r="P276" s="15">
        <v>225</v>
      </c>
      <c r="Q276" s="8"/>
      <c r="R276">
        <v>13.2</v>
      </c>
      <c r="S276">
        <v>2299.9699999999998</v>
      </c>
      <c r="T276">
        <v>4.13</v>
      </c>
      <c r="W276" s="317">
        <v>3.9</v>
      </c>
      <c r="X276" s="190">
        <f>I276*W276</f>
        <v>37.049999999999997</v>
      </c>
      <c r="Y276" s="10"/>
      <c r="Z276" s="10"/>
    </row>
    <row r="277" spans="1:26" ht="12.75" customHeight="1" x14ac:dyDescent="0.2">
      <c r="A277" s="4">
        <v>42</v>
      </c>
      <c r="B277" s="4">
        <v>2016</v>
      </c>
      <c r="C277" s="4">
        <v>12</v>
      </c>
      <c r="D277" s="4">
        <v>8</v>
      </c>
      <c r="E277" s="5" t="s">
        <v>17</v>
      </c>
      <c r="F277" s="5" t="s">
        <v>18</v>
      </c>
      <c r="G277" s="4" t="s">
        <v>17</v>
      </c>
      <c r="H277" s="4">
        <v>64</v>
      </c>
      <c r="I277" s="6">
        <v>1</v>
      </c>
      <c r="J277" s="5" t="s">
        <v>19</v>
      </c>
      <c r="K277" s="11"/>
      <c r="L277" s="11"/>
      <c r="M277" s="5" t="s">
        <v>26</v>
      </c>
      <c r="N277" s="196" t="s">
        <v>24</v>
      </c>
      <c r="O277" s="7" t="s">
        <v>17</v>
      </c>
      <c r="P277" s="15">
        <v>225</v>
      </c>
      <c r="Q277" s="8"/>
      <c r="R277">
        <v>6.4</v>
      </c>
      <c r="S277">
        <v>262.14</v>
      </c>
      <c r="T277">
        <v>3.81</v>
      </c>
      <c r="W277" s="10"/>
      <c r="X277" s="10"/>
      <c r="Y277" s="10"/>
      <c r="Z277" s="10"/>
    </row>
    <row r="278" spans="1:26" ht="12.75" customHeight="1" x14ac:dyDescent="0.2">
      <c r="A278" s="4">
        <v>43</v>
      </c>
      <c r="B278" s="4">
        <v>2016</v>
      </c>
      <c r="C278" s="4">
        <v>12</v>
      </c>
      <c r="D278" s="4">
        <v>8</v>
      </c>
      <c r="E278" s="5" t="s">
        <v>17</v>
      </c>
      <c r="F278" s="5" t="s">
        <v>18</v>
      </c>
      <c r="G278" s="4" t="s">
        <v>17</v>
      </c>
      <c r="H278" s="4">
        <v>112</v>
      </c>
      <c r="I278" s="6">
        <v>12</v>
      </c>
      <c r="J278" s="5" t="s">
        <v>19</v>
      </c>
      <c r="K278" s="5" t="s">
        <v>20</v>
      </c>
      <c r="L278" s="5" t="s">
        <v>30</v>
      </c>
      <c r="M278" s="5" t="s">
        <v>22</v>
      </c>
      <c r="N278" s="196" t="s">
        <v>25</v>
      </c>
      <c r="O278" s="7" t="s">
        <v>17</v>
      </c>
      <c r="P278" s="15">
        <v>225</v>
      </c>
      <c r="Q278" s="8"/>
      <c r="R278">
        <v>11.2</v>
      </c>
      <c r="S278">
        <v>1404.93</v>
      </c>
      <c r="T278">
        <v>8.5399999999999991</v>
      </c>
      <c r="W278" s="317">
        <v>4.5999999999999996</v>
      </c>
      <c r="X278" s="190">
        <f>I278*W278</f>
        <v>55.199999999999996</v>
      </c>
      <c r="Y278" s="10"/>
      <c r="Z278" s="10"/>
    </row>
    <row r="279" spans="1:26" ht="12.75" customHeight="1" x14ac:dyDescent="0.2">
      <c r="A279" s="4">
        <v>44</v>
      </c>
      <c r="B279" s="4">
        <v>2016</v>
      </c>
      <c r="C279" s="4">
        <v>12</v>
      </c>
      <c r="D279" s="4">
        <v>8</v>
      </c>
      <c r="E279" s="5" t="s">
        <v>17</v>
      </c>
      <c r="F279" s="5" t="s">
        <v>18</v>
      </c>
      <c r="G279" s="4" t="s">
        <v>17</v>
      </c>
      <c r="H279" s="194">
        <v>152</v>
      </c>
      <c r="I279" s="6">
        <v>14.5</v>
      </c>
      <c r="J279" s="5" t="s">
        <v>19</v>
      </c>
      <c r="K279" s="5" t="s">
        <v>20</v>
      </c>
      <c r="L279" s="5" t="s">
        <v>21</v>
      </c>
      <c r="M279" s="5" t="s">
        <v>26</v>
      </c>
      <c r="N279" s="196" t="s">
        <v>23</v>
      </c>
      <c r="O279" s="7" t="s">
        <v>17</v>
      </c>
      <c r="P279" s="15">
        <v>225</v>
      </c>
      <c r="Q279" s="8"/>
      <c r="R279">
        <v>15.2</v>
      </c>
      <c r="S279">
        <v>3511.81</v>
      </c>
      <c r="T279">
        <v>4.13</v>
      </c>
      <c r="W279" s="317">
        <v>3.9</v>
      </c>
      <c r="X279" s="190">
        <f>I279*W279</f>
        <v>56.55</v>
      </c>
      <c r="Y279" s="10"/>
      <c r="Z279" s="10"/>
    </row>
    <row r="280" spans="1:26" ht="12.75" customHeight="1" x14ac:dyDescent="0.2">
      <c r="A280" s="4">
        <v>45</v>
      </c>
      <c r="B280" s="4">
        <v>2016</v>
      </c>
      <c r="C280" s="4">
        <v>12</v>
      </c>
      <c r="D280" s="4">
        <v>8</v>
      </c>
      <c r="E280" s="5" t="s">
        <v>17</v>
      </c>
      <c r="F280" s="5" t="s">
        <v>18</v>
      </c>
      <c r="G280" s="4" t="s">
        <v>17</v>
      </c>
      <c r="H280" s="4">
        <v>172</v>
      </c>
      <c r="I280" s="6">
        <v>14</v>
      </c>
      <c r="J280" s="5" t="s">
        <v>38</v>
      </c>
      <c r="K280" s="11"/>
      <c r="L280" s="11"/>
      <c r="M280" s="11"/>
      <c r="N280" s="11"/>
      <c r="O280" s="7" t="s">
        <v>17</v>
      </c>
      <c r="P280" s="15">
        <v>225</v>
      </c>
      <c r="Q280" s="8"/>
      <c r="R280">
        <v>17.2</v>
      </c>
      <c r="S280">
        <v>5088.45</v>
      </c>
      <c r="T280">
        <v>2.75</v>
      </c>
      <c r="W280" s="10"/>
      <c r="X280" s="10"/>
      <c r="Y280" s="10"/>
      <c r="Z280" s="10"/>
    </row>
    <row r="281" spans="1:26" ht="12.75" customHeight="1" x14ac:dyDescent="0.2">
      <c r="A281" s="11">
        <v>92</v>
      </c>
      <c r="B281" s="11">
        <v>2014</v>
      </c>
      <c r="C281" s="11">
        <v>6</v>
      </c>
      <c r="D281" s="11">
        <v>8</v>
      </c>
      <c r="E281" s="11" t="s">
        <v>29</v>
      </c>
      <c r="F281" s="11" t="s">
        <v>29</v>
      </c>
      <c r="G281" s="11">
        <v>152</v>
      </c>
      <c r="H281" s="11" t="s">
        <v>29</v>
      </c>
      <c r="I281" s="9">
        <v>10</v>
      </c>
      <c r="J281" s="11" t="s">
        <v>19</v>
      </c>
      <c r="K281" s="11" t="s">
        <v>20</v>
      </c>
      <c r="L281" s="11" t="s">
        <v>21</v>
      </c>
      <c r="M281" s="11" t="s">
        <v>29</v>
      </c>
      <c r="N281" s="11" t="s">
        <v>23</v>
      </c>
      <c r="O281" s="11" t="s">
        <v>29</v>
      </c>
      <c r="P281" s="13">
        <v>218</v>
      </c>
      <c r="Q281" s="10"/>
      <c r="R281">
        <v>14.18</v>
      </c>
      <c r="S281">
        <v>2852.17</v>
      </c>
      <c r="T281">
        <v>3.51</v>
      </c>
      <c r="U281">
        <v>10.18</v>
      </c>
      <c r="V281">
        <v>141.82</v>
      </c>
      <c r="W281" s="317">
        <v>3.9</v>
      </c>
      <c r="X281" s="190">
        <f t="shared" ref="X281:X325" si="6">I281*W281</f>
        <v>39</v>
      </c>
      <c r="Y281" s="10"/>
      <c r="Z281" s="10"/>
    </row>
    <row r="282" spans="1:26" ht="12.75" customHeight="1" x14ac:dyDescent="0.2">
      <c r="A282" s="11">
        <v>91</v>
      </c>
      <c r="B282" s="11">
        <v>2014</v>
      </c>
      <c r="C282" s="11">
        <v>6</v>
      </c>
      <c r="D282" s="11">
        <v>8</v>
      </c>
      <c r="E282" s="11" t="s">
        <v>29</v>
      </c>
      <c r="F282" s="11" t="s">
        <v>29</v>
      </c>
      <c r="G282" s="11">
        <v>141</v>
      </c>
      <c r="H282" s="11" t="s">
        <v>29</v>
      </c>
      <c r="I282" s="9">
        <v>9</v>
      </c>
      <c r="J282" s="11" t="s">
        <v>19</v>
      </c>
      <c r="K282" s="11" t="s">
        <v>20</v>
      </c>
      <c r="L282" s="11" t="s">
        <v>21</v>
      </c>
      <c r="M282" s="11" t="s">
        <v>29</v>
      </c>
      <c r="N282" s="11" t="s">
        <v>25</v>
      </c>
      <c r="O282" s="11" t="s">
        <v>29</v>
      </c>
      <c r="P282" s="13">
        <v>218</v>
      </c>
      <c r="Q282" s="10"/>
      <c r="R282">
        <v>13.16</v>
      </c>
      <c r="S282">
        <v>2276.6799999999998</v>
      </c>
      <c r="T282">
        <v>3.95</v>
      </c>
      <c r="U282">
        <v>9.4499999999999993</v>
      </c>
      <c r="V282">
        <v>131.55000000000001</v>
      </c>
      <c r="W282" s="317">
        <v>3.9</v>
      </c>
      <c r="X282" s="190">
        <f t="shared" si="6"/>
        <v>35.1</v>
      </c>
      <c r="Y282" s="10"/>
      <c r="Z282" s="10"/>
    </row>
    <row r="283" spans="1:26" ht="12.75" customHeight="1" x14ac:dyDescent="0.2">
      <c r="A283" s="11">
        <v>90</v>
      </c>
      <c r="B283" s="11">
        <v>2014</v>
      </c>
      <c r="C283" s="11">
        <v>6</v>
      </c>
      <c r="D283" s="11">
        <v>8</v>
      </c>
      <c r="E283" s="11" t="s">
        <v>29</v>
      </c>
      <c r="F283" s="11" t="s">
        <v>29</v>
      </c>
      <c r="G283" s="11">
        <v>137</v>
      </c>
      <c r="H283" s="11" t="s">
        <v>29</v>
      </c>
      <c r="I283" s="9">
        <v>8</v>
      </c>
      <c r="J283" s="11" t="s">
        <v>19</v>
      </c>
      <c r="K283" s="11" t="s">
        <v>20</v>
      </c>
      <c r="L283" s="11" t="s">
        <v>21</v>
      </c>
      <c r="M283" s="11" t="s">
        <v>29</v>
      </c>
      <c r="N283" s="11" t="s">
        <v>24</v>
      </c>
      <c r="O283" s="11" t="s">
        <v>29</v>
      </c>
      <c r="P283" s="13">
        <v>218</v>
      </c>
      <c r="Q283" s="8"/>
      <c r="R283">
        <v>12.78</v>
      </c>
      <c r="S283">
        <v>2088.37</v>
      </c>
      <c r="T283">
        <v>3.83</v>
      </c>
      <c r="U283">
        <v>9.18</v>
      </c>
      <c r="V283">
        <v>127.82</v>
      </c>
      <c r="W283" s="317">
        <v>3.9</v>
      </c>
      <c r="X283" s="190">
        <f t="shared" si="6"/>
        <v>31.2</v>
      </c>
      <c r="Y283" s="8"/>
      <c r="Z283" s="8"/>
    </row>
    <row r="284" spans="1:26" ht="12.75" customHeight="1" x14ac:dyDescent="0.2">
      <c r="A284" s="11">
        <v>89</v>
      </c>
      <c r="B284" s="11">
        <v>2014</v>
      </c>
      <c r="C284" s="11">
        <v>6</v>
      </c>
      <c r="D284" s="11">
        <v>8</v>
      </c>
      <c r="E284" s="11" t="s">
        <v>29</v>
      </c>
      <c r="F284" s="11" t="s">
        <v>29</v>
      </c>
      <c r="G284" s="11">
        <v>131</v>
      </c>
      <c r="H284" s="11" t="s">
        <v>29</v>
      </c>
      <c r="I284" s="9" t="s">
        <v>29</v>
      </c>
      <c r="J284" s="11" t="s">
        <v>19</v>
      </c>
      <c r="K284" s="11" t="s">
        <v>20</v>
      </c>
      <c r="L284" s="11" t="s">
        <v>21</v>
      </c>
      <c r="M284" s="11" t="s">
        <v>29</v>
      </c>
      <c r="N284" s="11" t="s">
        <v>25</v>
      </c>
      <c r="O284" s="11" t="s">
        <v>29</v>
      </c>
      <c r="P284" s="13">
        <v>218</v>
      </c>
      <c r="Q284" s="8"/>
      <c r="R284">
        <v>12.22</v>
      </c>
      <c r="S284">
        <v>1825.82</v>
      </c>
      <c r="U284">
        <v>8.7799999999999994</v>
      </c>
      <c r="V284">
        <v>122.22</v>
      </c>
      <c r="W284" s="317">
        <v>3.9</v>
      </c>
      <c r="X284" s="190"/>
      <c r="Y284" s="8"/>
      <c r="Z284" s="8"/>
    </row>
    <row r="285" spans="1:26" ht="12.75" customHeight="1" x14ac:dyDescent="0.2">
      <c r="A285" s="11">
        <v>88</v>
      </c>
      <c r="B285" s="11">
        <v>2014</v>
      </c>
      <c r="C285" s="11">
        <v>6</v>
      </c>
      <c r="D285" s="11">
        <v>8</v>
      </c>
      <c r="E285" s="11" t="s">
        <v>29</v>
      </c>
      <c r="F285" s="11" t="s">
        <v>29</v>
      </c>
      <c r="G285" s="11">
        <v>169</v>
      </c>
      <c r="H285" s="11" t="s">
        <v>29</v>
      </c>
      <c r="I285" s="9">
        <v>15</v>
      </c>
      <c r="J285" s="11" t="s">
        <v>19</v>
      </c>
      <c r="K285" s="11" t="s">
        <v>20</v>
      </c>
      <c r="L285" s="11" t="s">
        <v>21</v>
      </c>
      <c r="M285" s="11" t="s">
        <v>29</v>
      </c>
      <c r="N285" s="11" t="s">
        <v>25</v>
      </c>
      <c r="O285" s="11" t="s">
        <v>29</v>
      </c>
      <c r="P285" s="13">
        <v>218</v>
      </c>
      <c r="Q285" s="8"/>
      <c r="R285">
        <v>15.77</v>
      </c>
      <c r="S285">
        <v>3920.17</v>
      </c>
      <c r="T285">
        <v>3.83</v>
      </c>
      <c r="U285">
        <v>11.32</v>
      </c>
      <c r="V285">
        <v>157.68</v>
      </c>
      <c r="W285" s="317">
        <v>3.9</v>
      </c>
      <c r="X285" s="190">
        <f t="shared" si="6"/>
        <v>58.5</v>
      </c>
      <c r="Y285" s="8"/>
      <c r="Z285" s="8"/>
    </row>
    <row r="286" spans="1:26" ht="12.75" customHeight="1" x14ac:dyDescent="0.2">
      <c r="A286" s="11">
        <v>87</v>
      </c>
      <c r="B286" s="11">
        <v>2014</v>
      </c>
      <c r="C286" s="11">
        <v>6</v>
      </c>
      <c r="D286" s="11">
        <v>8</v>
      </c>
      <c r="E286" s="11" t="s">
        <v>29</v>
      </c>
      <c r="F286" s="11" t="s">
        <v>29</v>
      </c>
      <c r="G286" s="11">
        <v>164</v>
      </c>
      <c r="H286" s="11" t="s">
        <v>29</v>
      </c>
      <c r="I286" s="9">
        <v>14</v>
      </c>
      <c r="J286" s="11" t="s">
        <v>19</v>
      </c>
      <c r="K286" s="11" t="s">
        <v>20</v>
      </c>
      <c r="L286" s="11" t="s">
        <v>21</v>
      </c>
      <c r="M286" s="11" t="s">
        <v>29</v>
      </c>
      <c r="N286" s="11" t="s">
        <v>24</v>
      </c>
      <c r="O286" s="11" t="s">
        <v>29</v>
      </c>
      <c r="P286" s="13">
        <v>218</v>
      </c>
      <c r="Q286" s="8"/>
      <c r="R286">
        <v>15.3</v>
      </c>
      <c r="S286">
        <v>3582.42</v>
      </c>
      <c r="T286">
        <v>3.91</v>
      </c>
      <c r="U286">
        <v>10.99</v>
      </c>
      <c r="V286">
        <v>153.01</v>
      </c>
      <c r="W286" s="317">
        <v>3.9</v>
      </c>
      <c r="X286" s="190">
        <f t="shared" si="6"/>
        <v>54.6</v>
      </c>
      <c r="Y286" s="8"/>
      <c r="Z286" s="8"/>
    </row>
    <row r="287" spans="1:26" ht="12.75" customHeight="1" x14ac:dyDescent="0.2">
      <c r="A287" s="11">
        <v>86</v>
      </c>
      <c r="B287" s="11">
        <v>2014</v>
      </c>
      <c r="C287" s="11">
        <v>6</v>
      </c>
      <c r="D287" s="11">
        <v>8</v>
      </c>
      <c r="E287" s="11" t="s">
        <v>29</v>
      </c>
      <c r="F287" s="11" t="s">
        <v>29</v>
      </c>
      <c r="G287" s="11">
        <v>133</v>
      </c>
      <c r="H287" s="11" t="s">
        <v>29</v>
      </c>
      <c r="I287" s="9">
        <v>10.5</v>
      </c>
      <c r="J287" s="11" t="s">
        <v>19</v>
      </c>
      <c r="K287" s="11" t="s">
        <v>20</v>
      </c>
      <c r="L287" s="11" t="s">
        <v>30</v>
      </c>
      <c r="M287" s="11" t="s">
        <v>29</v>
      </c>
      <c r="N287" s="11" t="s">
        <v>33</v>
      </c>
      <c r="O287" s="11" t="s">
        <v>29</v>
      </c>
      <c r="P287" s="13">
        <v>218</v>
      </c>
      <c r="Q287" s="8"/>
      <c r="R287">
        <v>12.41</v>
      </c>
      <c r="S287">
        <v>1910.73</v>
      </c>
      <c r="T287">
        <v>5.5</v>
      </c>
      <c r="U287">
        <v>8.91</v>
      </c>
      <c r="V287">
        <v>124.09</v>
      </c>
      <c r="W287" s="317">
        <v>4.5999999999999996</v>
      </c>
      <c r="X287" s="190">
        <f t="shared" si="6"/>
        <v>48.3</v>
      </c>
      <c r="Y287" s="8"/>
      <c r="Z287" s="8"/>
    </row>
    <row r="288" spans="1:26" ht="12.75" customHeight="1" x14ac:dyDescent="0.2">
      <c r="A288" s="11">
        <v>85</v>
      </c>
      <c r="B288" s="11">
        <v>2014</v>
      </c>
      <c r="C288" s="11">
        <v>6</v>
      </c>
      <c r="D288" s="11">
        <v>8</v>
      </c>
      <c r="E288" s="11" t="s">
        <v>29</v>
      </c>
      <c r="F288" s="11" t="s">
        <v>29</v>
      </c>
      <c r="G288" s="11">
        <v>162</v>
      </c>
      <c r="H288" s="11" t="s">
        <v>29</v>
      </c>
      <c r="I288" s="9">
        <v>14.5</v>
      </c>
      <c r="J288" s="11" t="s">
        <v>19</v>
      </c>
      <c r="K288" s="11" t="s">
        <v>20</v>
      </c>
      <c r="L288" s="11" t="s">
        <v>21</v>
      </c>
      <c r="M288" s="11" t="s">
        <v>29</v>
      </c>
      <c r="N288" s="11" t="s">
        <v>24</v>
      </c>
      <c r="O288" s="11" t="s">
        <v>29</v>
      </c>
      <c r="P288" s="13">
        <v>218</v>
      </c>
      <c r="Q288" s="8"/>
      <c r="R288">
        <v>15.11</v>
      </c>
      <c r="S288">
        <v>3452.95</v>
      </c>
      <c r="T288">
        <v>4.2</v>
      </c>
      <c r="U288">
        <v>10.85</v>
      </c>
      <c r="V288">
        <v>151.15</v>
      </c>
      <c r="W288" s="317">
        <v>3.9</v>
      </c>
      <c r="X288" s="190">
        <f t="shared" si="6"/>
        <v>56.55</v>
      </c>
      <c r="Y288" s="8"/>
      <c r="Z288" s="8"/>
    </row>
    <row r="289" spans="1:26" ht="12.75" customHeight="1" x14ac:dyDescent="0.2">
      <c r="A289" s="11">
        <v>84</v>
      </c>
      <c r="B289" s="11">
        <v>2014</v>
      </c>
      <c r="C289" s="11">
        <v>6</v>
      </c>
      <c r="D289" s="11">
        <v>8</v>
      </c>
      <c r="E289" s="11" t="s">
        <v>29</v>
      </c>
      <c r="F289" s="11" t="s">
        <v>29</v>
      </c>
      <c r="G289" s="11">
        <v>146</v>
      </c>
      <c r="H289" s="11" t="s">
        <v>29</v>
      </c>
      <c r="I289" s="9">
        <v>10.5</v>
      </c>
      <c r="J289" s="11" t="s">
        <v>19</v>
      </c>
      <c r="K289" s="11" t="s">
        <v>20</v>
      </c>
      <c r="L289" s="11" t="s">
        <v>21</v>
      </c>
      <c r="M289" s="11" t="s">
        <v>29</v>
      </c>
      <c r="N289" s="11" t="s">
        <v>39</v>
      </c>
      <c r="O289" s="11" t="s">
        <v>29</v>
      </c>
      <c r="P289" s="13">
        <v>218</v>
      </c>
      <c r="Q289" s="8"/>
      <c r="R289">
        <v>13.62</v>
      </c>
      <c r="S289">
        <v>2527.5700000000002</v>
      </c>
      <c r="T289">
        <v>4.1500000000000004</v>
      </c>
      <c r="U289">
        <v>9.7799999999999994</v>
      </c>
      <c r="V289">
        <v>136.22</v>
      </c>
      <c r="W289" s="317">
        <v>3.9</v>
      </c>
      <c r="X289" s="190">
        <f t="shared" si="6"/>
        <v>40.949999999999996</v>
      </c>
      <c r="Y289" s="8"/>
      <c r="Z289" s="8"/>
    </row>
    <row r="290" spans="1:26" ht="12.75" customHeight="1" x14ac:dyDescent="0.2">
      <c r="A290" s="11">
        <v>83</v>
      </c>
      <c r="B290" s="11">
        <v>2014</v>
      </c>
      <c r="C290" s="11">
        <v>6</v>
      </c>
      <c r="D290" s="11">
        <v>8</v>
      </c>
      <c r="E290" s="11" t="s">
        <v>29</v>
      </c>
      <c r="F290" s="11" t="s">
        <v>29</v>
      </c>
      <c r="G290" s="11">
        <v>159</v>
      </c>
      <c r="H290" s="11" t="s">
        <v>29</v>
      </c>
      <c r="I290" s="9">
        <v>21</v>
      </c>
      <c r="J290" s="11" t="s">
        <v>19</v>
      </c>
      <c r="K290" s="11" t="s">
        <v>20</v>
      </c>
      <c r="L290" s="11" t="s">
        <v>30</v>
      </c>
      <c r="M290" s="11" t="s">
        <v>29</v>
      </c>
      <c r="N290" s="11" t="s">
        <v>25</v>
      </c>
      <c r="O290" s="11" t="s">
        <v>29</v>
      </c>
      <c r="P290" s="13">
        <v>218</v>
      </c>
      <c r="Q290" s="8"/>
      <c r="R290">
        <v>14.83</v>
      </c>
      <c r="S290">
        <v>3264.65</v>
      </c>
      <c r="T290">
        <v>6.43</v>
      </c>
      <c r="U290">
        <v>10.65</v>
      </c>
      <c r="V290">
        <v>148.35</v>
      </c>
      <c r="W290" s="317">
        <v>4.5999999999999996</v>
      </c>
      <c r="X290" s="190">
        <f t="shared" si="6"/>
        <v>96.6</v>
      </c>
      <c r="Y290" s="8"/>
      <c r="Z290" s="8"/>
    </row>
    <row r="291" spans="1:26" ht="12.75" customHeight="1" x14ac:dyDescent="0.2">
      <c r="A291" s="11">
        <v>82</v>
      </c>
      <c r="B291" s="11">
        <v>2014</v>
      </c>
      <c r="C291" s="11">
        <v>6</v>
      </c>
      <c r="D291" s="11">
        <v>8</v>
      </c>
      <c r="E291" s="11" t="s">
        <v>29</v>
      </c>
      <c r="F291" s="11" t="s">
        <v>29</v>
      </c>
      <c r="G291" s="11">
        <v>170</v>
      </c>
      <c r="H291" s="11" t="s">
        <v>29</v>
      </c>
      <c r="I291" s="9">
        <v>12.5</v>
      </c>
      <c r="J291" s="11" t="s">
        <v>19</v>
      </c>
      <c r="K291" s="11" t="s">
        <v>20</v>
      </c>
      <c r="L291" s="11" t="s">
        <v>21</v>
      </c>
      <c r="M291" s="11" t="s">
        <v>29</v>
      </c>
      <c r="N291" s="11" t="s">
        <v>25</v>
      </c>
      <c r="O291" s="11" t="s">
        <v>29</v>
      </c>
      <c r="P291" s="13">
        <v>218</v>
      </c>
      <c r="Q291" s="8"/>
      <c r="R291">
        <v>15.86</v>
      </c>
      <c r="S291">
        <v>3990.17</v>
      </c>
      <c r="T291">
        <v>3.13</v>
      </c>
      <c r="U291">
        <v>11.39</v>
      </c>
      <c r="V291">
        <v>158.61000000000001</v>
      </c>
      <c r="W291" s="317">
        <v>3.9</v>
      </c>
      <c r="X291" s="190">
        <f t="shared" si="6"/>
        <v>48.75</v>
      </c>
      <c r="Y291" s="8"/>
      <c r="Z291" s="8"/>
    </row>
    <row r="292" spans="1:26" ht="12.75" customHeight="1" x14ac:dyDescent="0.2">
      <c r="A292" s="11">
        <v>81</v>
      </c>
      <c r="B292" s="11">
        <v>2014</v>
      </c>
      <c r="C292" s="11">
        <v>6</v>
      </c>
      <c r="D292" s="11">
        <v>8</v>
      </c>
      <c r="E292" s="11" t="s">
        <v>29</v>
      </c>
      <c r="F292" s="11" t="s">
        <v>29</v>
      </c>
      <c r="G292" s="11">
        <v>159</v>
      </c>
      <c r="H292" s="11" t="s">
        <v>29</v>
      </c>
      <c r="I292" s="9">
        <v>11.5</v>
      </c>
      <c r="J292" s="11" t="s">
        <v>19</v>
      </c>
      <c r="K292" s="11" t="s">
        <v>20</v>
      </c>
      <c r="L292" s="11" t="s">
        <v>21</v>
      </c>
      <c r="M292" s="11" t="s">
        <v>29</v>
      </c>
      <c r="N292" s="11" t="s">
        <v>24</v>
      </c>
      <c r="O292" s="11" t="s">
        <v>29</v>
      </c>
      <c r="P292" s="13">
        <v>218</v>
      </c>
      <c r="Q292" s="8"/>
      <c r="R292">
        <v>14.83</v>
      </c>
      <c r="S292">
        <v>3264.65</v>
      </c>
      <c r="T292">
        <v>3.52</v>
      </c>
      <c r="U292">
        <v>10.65</v>
      </c>
      <c r="V292">
        <v>148.35</v>
      </c>
      <c r="W292" s="317">
        <v>3.9</v>
      </c>
      <c r="X292" s="190">
        <f t="shared" si="6"/>
        <v>44.85</v>
      </c>
      <c r="Y292" s="8"/>
      <c r="Z292" s="8"/>
    </row>
    <row r="293" spans="1:26" ht="12.75" customHeight="1" x14ac:dyDescent="0.2">
      <c r="A293" s="11">
        <v>80</v>
      </c>
      <c r="B293" s="11">
        <v>2014</v>
      </c>
      <c r="C293" s="11">
        <v>6</v>
      </c>
      <c r="D293" s="11">
        <v>8</v>
      </c>
      <c r="E293" s="11" t="s">
        <v>29</v>
      </c>
      <c r="F293" s="11" t="s">
        <v>29</v>
      </c>
      <c r="G293" s="11">
        <v>126</v>
      </c>
      <c r="H293" s="11" t="s">
        <v>29</v>
      </c>
      <c r="I293" s="9">
        <v>8</v>
      </c>
      <c r="J293" s="11" t="s">
        <v>19</v>
      </c>
      <c r="K293" s="11" t="s">
        <v>20</v>
      </c>
      <c r="L293" s="11" t="s">
        <v>21</v>
      </c>
      <c r="M293" s="11" t="s">
        <v>29</v>
      </c>
      <c r="N293" s="11" t="s">
        <v>23</v>
      </c>
      <c r="O293" s="11" t="s">
        <v>29</v>
      </c>
      <c r="P293" s="13">
        <v>218</v>
      </c>
      <c r="Q293" s="8"/>
      <c r="R293">
        <v>11.76</v>
      </c>
      <c r="S293">
        <v>1624.64</v>
      </c>
      <c r="T293">
        <v>4.92</v>
      </c>
      <c r="U293">
        <v>8.44</v>
      </c>
      <c r="V293">
        <v>117.56</v>
      </c>
      <c r="W293" s="317">
        <v>3.9</v>
      </c>
      <c r="X293" s="190">
        <f t="shared" si="6"/>
        <v>31.2</v>
      </c>
      <c r="Y293" s="8"/>
      <c r="Z293" s="8"/>
    </row>
    <row r="294" spans="1:26" ht="12.75" customHeight="1" x14ac:dyDescent="0.2">
      <c r="A294" s="11">
        <v>79</v>
      </c>
      <c r="B294" s="11">
        <v>2014</v>
      </c>
      <c r="C294" s="11">
        <v>6</v>
      </c>
      <c r="D294" s="11">
        <v>8</v>
      </c>
      <c r="E294" s="11" t="s">
        <v>29</v>
      </c>
      <c r="F294" s="11" t="s">
        <v>29</v>
      </c>
      <c r="G294" s="11" t="s">
        <v>29</v>
      </c>
      <c r="H294" s="11" t="s">
        <v>29</v>
      </c>
      <c r="I294" s="9" t="s">
        <v>29</v>
      </c>
      <c r="J294" s="11" t="s">
        <v>19</v>
      </c>
      <c r="K294" s="11" t="s">
        <v>20</v>
      </c>
      <c r="L294" s="11" t="s">
        <v>21</v>
      </c>
      <c r="M294" s="11" t="s">
        <v>29</v>
      </c>
      <c r="N294" s="11" t="s">
        <v>25</v>
      </c>
      <c r="O294" s="11" t="s">
        <v>29</v>
      </c>
      <c r="P294" s="13">
        <v>218</v>
      </c>
      <c r="Q294" s="8"/>
      <c r="W294" s="317">
        <v>3.9</v>
      </c>
      <c r="X294" s="190"/>
      <c r="Y294" s="8"/>
      <c r="Z294" s="8"/>
    </row>
    <row r="295" spans="1:26" ht="12.75" customHeight="1" x14ac:dyDescent="0.2">
      <c r="A295" s="11">
        <v>78</v>
      </c>
      <c r="B295" s="11">
        <v>2014</v>
      </c>
      <c r="C295" s="11">
        <v>6</v>
      </c>
      <c r="D295" s="11">
        <v>8</v>
      </c>
      <c r="E295" s="11" t="s">
        <v>29</v>
      </c>
      <c r="F295" s="11" t="s">
        <v>29</v>
      </c>
      <c r="G295" s="11" t="s">
        <v>29</v>
      </c>
      <c r="H295" s="11" t="s">
        <v>29</v>
      </c>
      <c r="I295" s="9">
        <v>6.5</v>
      </c>
      <c r="J295" s="11" t="s">
        <v>19</v>
      </c>
      <c r="K295" s="11" t="s">
        <v>20</v>
      </c>
      <c r="L295" s="11" t="s">
        <v>21</v>
      </c>
      <c r="M295" s="11" t="s">
        <v>29</v>
      </c>
      <c r="N295" s="11" t="s">
        <v>25</v>
      </c>
      <c r="O295" s="11" t="s">
        <v>29</v>
      </c>
      <c r="P295" s="13">
        <v>218</v>
      </c>
      <c r="Q295" s="8"/>
      <c r="W295" s="317">
        <v>3.9</v>
      </c>
      <c r="X295" s="190">
        <f t="shared" si="6"/>
        <v>25.349999999999998</v>
      </c>
      <c r="Y295" s="8"/>
      <c r="Z295" s="8"/>
    </row>
    <row r="296" spans="1:26" ht="12.75" customHeight="1" x14ac:dyDescent="0.2">
      <c r="A296" s="11">
        <v>77</v>
      </c>
      <c r="B296" s="11">
        <v>2014</v>
      </c>
      <c r="C296" s="11">
        <v>6</v>
      </c>
      <c r="D296" s="11">
        <v>8</v>
      </c>
      <c r="E296" s="11" t="s">
        <v>29</v>
      </c>
      <c r="F296" s="11" t="s">
        <v>29</v>
      </c>
      <c r="G296" s="11">
        <v>147</v>
      </c>
      <c r="H296" s="11" t="s">
        <v>29</v>
      </c>
      <c r="I296" s="9">
        <v>10.5</v>
      </c>
      <c r="J296" s="11" t="s">
        <v>19</v>
      </c>
      <c r="K296" s="11" t="s">
        <v>20</v>
      </c>
      <c r="L296" s="11" t="s">
        <v>21</v>
      </c>
      <c r="M296" s="11" t="s">
        <v>29</v>
      </c>
      <c r="N296" s="11" t="s">
        <v>24</v>
      </c>
      <c r="O296" s="11" t="s">
        <v>29</v>
      </c>
      <c r="P296" s="13">
        <v>218</v>
      </c>
      <c r="Q296" s="8"/>
      <c r="R296">
        <v>13.72</v>
      </c>
      <c r="S296">
        <v>2579.86</v>
      </c>
      <c r="T296">
        <v>4.07</v>
      </c>
      <c r="U296">
        <v>9.85</v>
      </c>
      <c r="V296">
        <v>137.15</v>
      </c>
      <c r="W296" s="317">
        <v>3.9</v>
      </c>
      <c r="X296" s="190">
        <f t="shared" si="6"/>
        <v>40.949999999999996</v>
      </c>
      <c r="Y296" s="8"/>
      <c r="Z296" s="8"/>
    </row>
    <row r="297" spans="1:26" ht="12.75" customHeight="1" x14ac:dyDescent="0.2">
      <c r="A297" s="11">
        <v>76</v>
      </c>
      <c r="B297" s="11">
        <v>2014</v>
      </c>
      <c r="C297" s="11">
        <v>6</v>
      </c>
      <c r="D297" s="11">
        <v>8</v>
      </c>
      <c r="E297" s="11" t="s">
        <v>29</v>
      </c>
      <c r="F297" s="11" t="s">
        <v>29</v>
      </c>
      <c r="G297" s="11">
        <v>137</v>
      </c>
      <c r="H297" s="11" t="s">
        <v>29</v>
      </c>
      <c r="I297" s="9">
        <v>8.5</v>
      </c>
      <c r="J297" s="11" t="s">
        <v>19</v>
      </c>
      <c r="K297" s="11" t="s">
        <v>20</v>
      </c>
      <c r="L297" s="11" t="s">
        <v>21</v>
      </c>
      <c r="M297" s="11" t="s">
        <v>29</v>
      </c>
      <c r="N297" s="11" t="s">
        <v>24</v>
      </c>
      <c r="O297" s="11" t="s">
        <v>29</v>
      </c>
      <c r="P297" s="13">
        <v>218</v>
      </c>
      <c r="Q297" s="8"/>
      <c r="R297">
        <v>12.78</v>
      </c>
      <c r="S297">
        <v>2088.37</v>
      </c>
      <c r="T297">
        <v>4.07</v>
      </c>
      <c r="U297">
        <v>9.18</v>
      </c>
      <c r="V297">
        <v>127.82</v>
      </c>
      <c r="W297" s="317">
        <v>3.9</v>
      </c>
      <c r="X297" s="190">
        <f t="shared" si="6"/>
        <v>33.15</v>
      </c>
      <c r="Y297" s="8"/>
      <c r="Z297" s="8"/>
    </row>
    <row r="298" spans="1:26" ht="12.75" customHeight="1" x14ac:dyDescent="0.2">
      <c r="A298" s="11">
        <v>75</v>
      </c>
      <c r="B298" s="11">
        <v>2014</v>
      </c>
      <c r="C298" s="11">
        <v>6</v>
      </c>
      <c r="D298" s="11">
        <v>8</v>
      </c>
      <c r="E298" s="11" t="s">
        <v>29</v>
      </c>
      <c r="F298" s="11" t="s">
        <v>29</v>
      </c>
      <c r="G298" s="11">
        <v>142</v>
      </c>
      <c r="H298" s="11" t="s">
        <v>29</v>
      </c>
      <c r="I298" s="9">
        <v>9</v>
      </c>
      <c r="J298" s="11" t="s">
        <v>19</v>
      </c>
      <c r="K298" s="11" t="s">
        <v>20</v>
      </c>
      <c r="L298" s="11" t="s">
        <v>21</v>
      </c>
      <c r="M298" s="11" t="s">
        <v>29</v>
      </c>
      <c r="N298" s="11" t="s">
        <v>23</v>
      </c>
      <c r="O298" s="11" t="s">
        <v>29</v>
      </c>
      <c r="P298" s="13">
        <v>218</v>
      </c>
      <c r="Q298" s="8"/>
      <c r="R298">
        <v>13.25</v>
      </c>
      <c r="S298">
        <v>2325.4699999999998</v>
      </c>
      <c r="T298">
        <v>3.87</v>
      </c>
      <c r="U298">
        <v>9.51</v>
      </c>
      <c r="V298">
        <v>132.49</v>
      </c>
      <c r="W298" s="317">
        <v>3.9</v>
      </c>
      <c r="X298" s="190">
        <f t="shared" si="6"/>
        <v>35.1</v>
      </c>
      <c r="Y298" s="8"/>
      <c r="Z298" s="8"/>
    </row>
    <row r="299" spans="1:26" ht="12.75" customHeight="1" x14ac:dyDescent="0.2">
      <c r="A299" s="11">
        <v>74</v>
      </c>
      <c r="B299" s="11">
        <v>2014</v>
      </c>
      <c r="C299" s="11">
        <v>6</v>
      </c>
      <c r="D299" s="11">
        <v>8</v>
      </c>
      <c r="E299" s="11" t="s">
        <v>29</v>
      </c>
      <c r="F299" s="11" t="s">
        <v>29</v>
      </c>
      <c r="G299" s="11">
        <v>163</v>
      </c>
      <c r="H299" s="11" t="s">
        <v>29</v>
      </c>
      <c r="I299" s="9">
        <v>12</v>
      </c>
      <c r="J299" s="11" t="s">
        <v>19</v>
      </c>
      <c r="K299" s="11" t="s">
        <v>20</v>
      </c>
      <c r="L299" s="11" t="s">
        <v>21</v>
      </c>
      <c r="M299" s="11" t="s">
        <v>29</v>
      </c>
      <c r="N299" s="11" t="s">
        <v>24</v>
      </c>
      <c r="O299" s="11" t="s">
        <v>29</v>
      </c>
      <c r="P299" s="13">
        <v>218</v>
      </c>
      <c r="Q299" s="8"/>
      <c r="R299">
        <v>15.21</v>
      </c>
      <c r="S299">
        <v>3517.29</v>
      </c>
      <c r="T299">
        <v>3.41</v>
      </c>
      <c r="U299">
        <v>10.92</v>
      </c>
      <c r="V299">
        <v>152.08000000000001</v>
      </c>
      <c r="W299" s="317">
        <v>3.9</v>
      </c>
      <c r="X299" s="190">
        <f t="shared" si="6"/>
        <v>46.8</v>
      </c>
      <c r="Y299" s="8"/>
      <c r="Z299" s="8"/>
    </row>
    <row r="300" spans="1:26" ht="12.75" customHeight="1" x14ac:dyDescent="0.2">
      <c r="A300" s="11">
        <v>73</v>
      </c>
      <c r="B300" s="11">
        <v>2014</v>
      </c>
      <c r="C300" s="11">
        <v>6</v>
      </c>
      <c r="D300" s="11">
        <v>8</v>
      </c>
      <c r="E300" s="11" t="s">
        <v>29</v>
      </c>
      <c r="F300" s="11" t="s">
        <v>29</v>
      </c>
      <c r="G300" s="11">
        <v>158</v>
      </c>
      <c r="H300" s="11" t="s">
        <v>29</v>
      </c>
      <c r="I300" s="9">
        <v>10.25</v>
      </c>
      <c r="J300" s="11" t="s">
        <v>19</v>
      </c>
      <c r="K300" s="11" t="s">
        <v>20</v>
      </c>
      <c r="L300" s="11" t="s">
        <v>21</v>
      </c>
      <c r="M300" s="11" t="s">
        <v>29</v>
      </c>
      <c r="N300" s="11" t="s">
        <v>33</v>
      </c>
      <c r="O300" s="11" t="s">
        <v>29</v>
      </c>
      <c r="P300" s="13">
        <v>218</v>
      </c>
      <c r="Q300" s="8"/>
      <c r="R300">
        <v>14.74</v>
      </c>
      <c r="S300">
        <v>3203.44</v>
      </c>
      <c r="T300">
        <v>3.2</v>
      </c>
      <c r="U300">
        <v>10.59</v>
      </c>
      <c r="V300">
        <v>147.41</v>
      </c>
      <c r="W300" s="317">
        <v>3.9</v>
      </c>
      <c r="X300" s="190">
        <f t="shared" si="6"/>
        <v>39.975000000000001</v>
      </c>
      <c r="Y300" s="8"/>
      <c r="Z300" s="8"/>
    </row>
    <row r="301" spans="1:26" ht="12.75" customHeight="1" x14ac:dyDescent="0.2">
      <c r="A301" s="11">
        <v>72</v>
      </c>
      <c r="B301" s="11">
        <v>2014</v>
      </c>
      <c r="C301" s="11">
        <v>6</v>
      </c>
      <c r="D301" s="11">
        <v>8</v>
      </c>
      <c r="E301" s="11" t="s">
        <v>29</v>
      </c>
      <c r="F301" s="11" t="s">
        <v>29</v>
      </c>
      <c r="G301" s="11">
        <v>167</v>
      </c>
      <c r="H301" s="11" t="s">
        <v>29</v>
      </c>
      <c r="I301" s="9">
        <v>15</v>
      </c>
      <c r="J301" s="11" t="s">
        <v>19</v>
      </c>
      <c r="K301" s="11" t="s">
        <v>20</v>
      </c>
      <c r="L301" s="11" t="s">
        <v>21</v>
      </c>
      <c r="M301" s="11" t="s">
        <v>29</v>
      </c>
      <c r="N301" s="11" t="s">
        <v>24</v>
      </c>
      <c r="O301" s="11" t="s">
        <v>29</v>
      </c>
      <c r="P301" s="13">
        <v>218</v>
      </c>
      <c r="Q301" s="8"/>
      <c r="R301">
        <v>15.58</v>
      </c>
      <c r="S301">
        <v>3782.63</v>
      </c>
      <c r="T301">
        <v>3.97</v>
      </c>
      <c r="U301">
        <v>11.19</v>
      </c>
      <c r="V301">
        <v>155.81</v>
      </c>
      <c r="W301" s="317">
        <v>3.9</v>
      </c>
      <c r="X301" s="190">
        <f t="shared" si="6"/>
        <v>58.5</v>
      </c>
      <c r="Y301" s="8"/>
      <c r="Z301" s="8"/>
    </row>
    <row r="302" spans="1:26" ht="12.75" customHeight="1" x14ac:dyDescent="0.2">
      <c r="A302" s="11">
        <v>71</v>
      </c>
      <c r="B302" s="11">
        <v>2014</v>
      </c>
      <c r="C302" s="11">
        <v>6</v>
      </c>
      <c r="D302" s="11">
        <v>8</v>
      </c>
      <c r="E302" s="11" t="s">
        <v>29</v>
      </c>
      <c r="F302" s="11" t="s">
        <v>29</v>
      </c>
      <c r="G302" s="11">
        <v>131</v>
      </c>
      <c r="H302" s="11" t="s">
        <v>29</v>
      </c>
      <c r="I302" s="9">
        <v>8</v>
      </c>
      <c r="J302" s="11" t="s">
        <v>19</v>
      </c>
      <c r="K302" s="11" t="s">
        <v>20</v>
      </c>
      <c r="L302" s="11" t="s">
        <v>21</v>
      </c>
      <c r="M302" s="11" t="s">
        <v>29</v>
      </c>
      <c r="N302" s="11" t="s">
        <v>25</v>
      </c>
      <c r="O302" s="11" t="s">
        <v>29</v>
      </c>
      <c r="P302" s="13">
        <v>218</v>
      </c>
      <c r="Q302" s="8"/>
      <c r="R302">
        <v>12.22</v>
      </c>
      <c r="S302">
        <v>1825.82</v>
      </c>
      <c r="T302">
        <v>4.38</v>
      </c>
      <c r="U302">
        <v>8.7799999999999994</v>
      </c>
      <c r="V302">
        <v>122.22</v>
      </c>
      <c r="W302" s="317">
        <v>3.9</v>
      </c>
      <c r="X302" s="190">
        <f t="shared" si="6"/>
        <v>31.2</v>
      </c>
      <c r="Y302" s="8"/>
      <c r="Z302" s="8"/>
    </row>
    <row r="303" spans="1:26" ht="12.75" customHeight="1" x14ac:dyDescent="0.2">
      <c r="A303" s="11">
        <v>70</v>
      </c>
      <c r="B303" s="11">
        <v>2014</v>
      </c>
      <c r="C303" s="11">
        <v>6</v>
      </c>
      <c r="D303" s="11">
        <v>8</v>
      </c>
      <c r="E303" s="11" t="s">
        <v>29</v>
      </c>
      <c r="F303" s="11" t="s">
        <v>29</v>
      </c>
      <c r="G303" s="11">
        <v>176</v>
      </c>
      <c r="H303" s="11" t="s">
        <v>29</v>
      </c>
      <c r="I303" s="9">
        <v>17</v>
      </c>
      <c r="J303" s="11" t="s">
        <v>19</v>
      </c>
      <c r="K303" s="11" t="s">
        <v>20</v>
      </c>
      <c r="L303" s="11" t="s">
        <v>21</v>
      </c>
      <c r="M303" s="11" t="s">
        <v>29</v>
      </c>
      <c r="N303" s="11" t="s">
        <v>24</v>
      </c>
      <c r="O303" s="11" t="s">
        <v>29</v>
      </c>
      <c r="P303" s="13">
        <v>218</v>
      </c>
      <c r="Q303" s="8"/>
      <c r="R303">
        <v>16.420000000000002</v>
      </c>
      <c r="S303">
        <v>4427.75</v>
      </c>
      <c r="T303">
        <v>3.84</v>
      </c>
      <c r="U303">
        <v>11.79</v>
      </c>
      <c r="V303">
        <v>164.21</v>
      </c>
      <c r="W303" s="317">
        <v>3.9</v>
      </c>
      <c r="X303" s="190">
        <f t="shared" si="6"/>
        <v>66.3</v>
      </c>
      <c r="Y303" s="8"/>
      <c r="Z303" s="8"/>
    </row>
    <row r="304" spans="1:26" ht="12.75" customHeight="1" x14ac:dyDescent="0.2">
      <c r="A304" s="11">
        <v>69</v>
      </c>
      <c r="B304" s="11">
        <v>2014</v>
      </c>
      <c r="C304" s="11">
        <v>6</v>
      </c>
      <c r="D304" s="11">
        <v>8</v>
      </c>
      <c r="E304" s="11" t="s">
        <v>29</v>
      </c>
      <c r="F304" s="11" t="s">
        <v>29</v>
      </c>
      <c r="G304" s="11">
        <v>136</v>
      </c>
      <c r="H304" s="11" t="s">
        <v>29</v>
      </c>
      <c r="I304" s="9">
        <v>8</v>
      </c>
      <c r="J304" s="11" t="s">
        <v>19</v>
      </c>
      <c r="K304" s="11" t="s">
        <v>20</v>
      </c>
      <c r="L304" s="11" t="s">
        <v>21</v>
      </c>
      <c r="M304" s="11" t="s">
        <v>29</v>
      </c>
      <c r="N304" s="11" t="s">
        <v>23</v>
      </c>
      <c r="O304" s="11" t="s">
        <v>29</v>
      </c>
      <c r="P304" s="13">
        <v>218</v>
      </c>
      <c r="Q304" s="8"/>
      <c r="R304">
        <v>12.69</v>
      </c>
      <c r="S304">
        <v>2042.97</v>
      </c>
      <c r="T304">
        <v>3.92</v>
      </c>
      <c r="U304">
        <v>9.11</v>
      </c>
      <c r="V304">
        <v>126.89</v>
      </c>
      <c r="W304" s="317">
        <v>3.9</v>
      </c>
      <c r="X304" s="190">
        <f t="shared" si="6"/>
        <v>31.2</v>
      </c>
      <c r="Y304" s="8"/>
      <c r="Z304" s="8"/>
    </row>
    <row r="305" spans="1:26" ht="12.75" customHeight="1" x14ac:dyDescent="0.2">
      <c r="A305" s="11">
        <v>68</v>
      </c>
      <c r="B305" s="11">
        <v>2014</v>
      </c>
      <c r="C305" s="11">
        <v>6</v>
      </c>
      <c r="D305" s="11">
        <v>8</v>
      </c>
      <c r="E305" s="11" t="s">
        <v>29</v>
      </c>
      <c r="F305" s="11" t="s">
        <v>29</v>
      </c>
      <c r="G305" s="11">
        <v>165</v>
      </c>
      <c r="H305" s="11" t="s">
        <v>29</v>
      </c>
      <c r="I305" s="9">
        <v>13.8</v>
      </c>
      <c r="J305" s="11" t="s">
        <v>19</v>
      </c>
      <c r="K305" s="11" t="s">
        <v>20</v>
      </c>
      <c r="L305" s="11" t="s">
        <v>21</v>
      </c>
      <c r="M305" s="11" t="s">
        <v>29</v>
      </c>
      <c r="N305" s="11" t="s">
        <v>24</v>
      </c>
      <c r="O305" s="11" t="s">
        <v>29</v>
      </c>
      <c r="P305" s="13">
        <v>218</v>
      </c>
      <c r="Q305" s="8"/>
      <c r="R305">
        <v>15.39</v>
      </c>
      <c r="S305">
        <v>3648.35</v>
      </c>
      <c r="T305">
        <v>3.78</v>
      </c>
      <c r="U305">
        <v>11.06</v>
      </c>
      <c r="V305">
        <v>153.94999999999999</v>
      </c>
      <c r="W305" s="317">
        <v>3.9</v>
      </c>
      <c r="X305" s="190">
        <f t="shared" si="6"/>
        <v>53.82</v>
      </c>
      <c r="Y305" s="8"/>
      <c r="Z305" s="8"/>
    </row>
    <row r="306" spans="1:26" ht="12.75" customHeight="1" x14ac:dyDescent="0.2">
      <c r="A306" s="11">
        <v>67</v>
      </c>
      <c r="B306" s="11">
        <v>2014</v>
      </c>
      <c r="C306" s="11">
        <v>6</v>
      </c>
      <c r="D306" s="11">
        <v>8</v>
      </c>
      <c r="E306" s="11" t="s">
        <v>29</v>
      </c>
      <c r="F306" s="11" t="s">
        <v>29</v>
      </c>
      <c r="G306" s="11">
        <v>129</v>
      </c>
      <c r="H306" s="11" t="s">
        <v>29</v>
      </c>
      <c r="I306" s="9">
        <v>9</v>
      </c>
      <c r="J306" s="11" t="s">
        <v>19</v>
      </c>
      <c r="K306" s="11" t="s">
        <v>20</v>
      </c>
      <c r="L306" s="11" t="s">
        <v>21</v>
      </c>
      <c r="M306" s="11" t="s">
        <v>29</v>
      </c>
      <c r="N306" s="11" t="s">
        <v>39</v>
      </c>
      <c r="O306" s="11" t="s">
        <v>29</v>
      </c>
      <c r="P306" s="13">
        <v>218</v>
      </c>
      <c r="Q306" s="8"/>
      <c r="R306">
        <v>12.04</v>
      </c>
      <c r="S306">
        <v>1743.47</v>
      </c>
      <c r="T306">
        <v>5.16</v>
      </c>
      <c r="U306">
        <v>8.64</v>
      </c>
      <c r="V306">
        <v>120.36</v>
      </c>
      <c r="W306" s="317">
        <v>3.9</v>
      </c>
      <c r="X306" s="190">
        <f t="shared" si="6"/>
        <v>35.1</v>
      </c>
      <c r="Y306" s="8"/>
      <c r="Z306" s="8"/>
    </row>
    <row r="307" spans="1:26" ht="12.75" customHeight="1" x14ac:dyDescent="0.2">
      <c r="A307" s="11">
        <v>66</v>
      </c>
      <c r="B307" s="11">
        <v>2014</v>
      </c>
      <c r="C307" s="11">
        <v>6</v>
      </c>
      <c r="D307" s="11">
        <v>8</v>
      </c>
      <c r="E307" s="11" t="s">
        <v>29</v>
      </c>
      <c r="F307" s="11" t="s">
        <v>29</v>
      </c>
      <c r="G307" s="11">
        <v>117</v>
      </c>
      <c r="H307" s="11" t="s">
        <v>29</v>
      </c>
      <c r="I307" s="9">
        <v>7.3</v>
      </c>
      <c r="J307" s="11" t="s">
        <v>19</v>
      </c>
      <c r="K307" s="11" t="s">
        <v>20</v>
      </c>
      <c r="L307" s="11" t="s">
        <v>21</v>
      </c>
      <c r="M307" s="11" t="s">
        <v>29</v>
      </c>
      <c r="N307" s="11" t="s">
        <v>24</v>
      </c>
      <c r="O307" s="11" t="s">
        <v>29</v>
      </c>
      <c r="P307" s="13">
        <v>218</v>
      </c>
      <c r="Q307" s="8"/>
      <c r="R307">
        <v>10.92</v>
      </c>
      <c r="S307">
        <v>1300.78</v>
      </c>
      <c r="T307">
        <v>5.61</v>
      </c>
      <c r="U307">
        <v>7.84</v>
      </c>
      <c r="V307">
        <v>109.16</v>
      </c>
      <c r="W307" s="317">
        <v>3.9</v>
      </c>
      <c r="X307" s="190">
        <f t="shared" si="6"/>
        <v>28.47</v>
      </c>
      <c r="Y307" s="8"/>
      <c r="Z307" s="8"/>
    </row>
    <row r="308" spans="1:26" ht="12.75" customHeight="1" x14ac:dyDescent="0.2">
      <c r="A308" s="11">
        <v>65</v>
      </c>
      <c r="B308" s="11">
        <v>2014</v>
      </c>
      <c r="C308" s="11">
        <v>6</v>
      </c>
      <c r="D308" s="11">
        <v>8</v>
      </c>
      <c r="E308" s="11" t="s">
        <v>29</v>
      </c>
      <c r="F308" s="11" t="s">
        <v>29</v>
      </c>
      <c r="G308" s="11" t="s">
        <v>29</v>
      </c>
      <c r="H308" s="11" t="s">
        <v>29</v>
      </c>
      <c r="I308" s="9" t="s">
        <v>29</v>
      </c>
      <c r="J308" s="11" t="s">
        <v>19</v>
      </c>
      <c r="K308" s="11" t="s">
        <v>20</v>
      </c>
      <c r="L308" s="11" t="s">
        <v>30</v>
      </c>
      <c r="M308" s="11" t="s">
        <v>29</v>
      </c>
      <c r="N308" s="11" t="s">
        <v>40</v>
      </c>
      <c r="O308" s="11" t="s">
        <v>29</v>
      </c>
      <c r="P308" s="13">
        <v>218</v>
      </c>
      <c r="Q308" s="8"/>
      <c r="W308" s="317">
        <v>4.5999999999999996</v>
      </c>
      <c r="X308" s="190"/>
      <c r="Y308" s="8"/>
      <c r="Z308" s="8"/>
    </row>
    <row r="309" spans="1:26" ht="12.75" customHeight="1" x14ac:dyDescent="0.2">
      <c r="A309" s="11">
        <v>64</v>
      </c>
      <c r="B309" s="11">
        <v>2014</v>
      </c>
      <c r="C309" s="11">
        <v>6</v>
      </c>
      <c r="D309" s="11">
        <v>8</v>
      </c>
      <c r="E309" s="11" t="s">
        <v>29</v>
      </c>
      <c r="F309" s="11" t="s">
        <v>29</v>
      </c>
      <c r="G309" s="11">
        <v>134</v>
      </c>
      <c r="H309" s="11" t="s">
        <v>29</v>
      </c>
      <c r="I309" s="9">
        <v>9</v>
      </c>
      <c r="J309" s="11" t="s">
        <v>19</v>
      </c>
      <c r="K309" s="11" t="s">
        <v>20</v>
      </c>
      <c r="L309" s="11" t="s">
        <v>21</v>
      </c>
      <c r="M309" s="11" t="s">
        <v>29</v>
      </c>
      <c r="N309" s="11" t="s">
        <v>23</v>
      </c>
      <c r="O309" s="11" t="s">
        <v>29</v>
      </c>
      <c r="P309" s="13">
        <v>218</v>
      </c>
      <c r="Q309" s="8"/>
      <c r="R309">
        <v>12.5</v>
      </c>
      <c r="S309">
        <v>1954.16</v>
      </c>
      <c r="T309">
        <v>4.6100000000000003</v>
      </c>
      <c r="U309">
        <v>8.98</v>
      </c>
      <c r="V309">
        <v>125.02</v>
      </c>
      <c r="W309" s="317">
        <v>3.9</v>
      </c>
      <c r="X309" s="190">
        <f t="shared" si="6"/>
        <v>35.1</v>
      </c>
      <c r="Y309" s="8"/>
      <c r="Z309" s="8"/>
    </row>
    <row r="310" spans="1:26" ht="12.75" customHeight="1" x14ac:dyDescent="0.2">
      <c r="A310" s="11">
        <v>63</v>
      </c>
      <c r="B310" s="11">
        <v>2014</v>
      </c>
      <c r="C310" s="11">
        <v>6</v>
      </c>
      <c r="D310" s="11">
        <v>8</v>
      </c>
      <c r="E310" s="11" t="s">
        <v>29</v>
      </c>
      <c r="F310" s="11" t="s">
        <v>29</v>
      </c>
      <c r="G310" s="11">
        <v>132</v>
      </c>
      <c r="H310" s="11" t="s">
        <v>29</v>
      </c>
      <c r="I310" s="9">
        <v>8.3000000000000007</v>
      </c>
      <c r="J310" s="11" t="s">
        <v>19</v>
      </c>
      <c r="K310" s="11" t="s">
        <v>20</v>
      </c>
      <c r="L310" s="11" t="s">
        <v>21</v>
      </c>
      <c r="M310" s="11" t="s">
        <v>29</v>
      </c>
      <c r="N310" s="11" t="s">
        <v>23</v>
      </c>
      <c r="O310" s="11" t="s">
        <v>29</v>
      </c>
      <c r="P310" s="13">
        <v>218</v>
      </c>
      <c r="Q310" s="8"/>
      <c r="R310">
        <v>12.32</v>
      </c>
      <c r="S310">
        <v>1867.96</v>
      </c>
      <c r="T310">
        <v>4.4400000000000004</v>
      </c>
      <c r="U310">
        <v>8.84</v>
      </c>
      <c r="V310">
        <v>123.16</v>
      </c>
      <c r="W310" s="317">
        <v>3.9</v>
      </c>
      <c r="X310" s="190">
        <f t="shared" si="6"/>
        <v>32.370000000000005</v>
      </c>
      <c r="Y310" s="8"/>
      <c r="Z310" s="8"/>
    </row>
    <row r="311" spans="1:26" ht="12.75" customHeight="1" x14ac:dyDescent="0.2">
      <c r="A311" s="11">
        <v>62</v>
      </c>
      <c r="B311" s="11">
        <v>2014</v>
      </c>
      <c r="C311" s="11">
        <v>6</v>
      </c>
      <c r="D311" s="11">
        <v>8</v>
      </c>
      <c r="E311" s="11" t="s">
        <v>29</v>
      </c>
      <c r="F311" s="11" t="s">
        <v>29</v>
      </c>
      <c r="G311" s="11">
        <v>155</v>
      </c>
      <c r="H311" s="11" t="s">
        <v>29</v>
      </c>
      <c r="I311" s="9">
        <v>13.3</v>
      </c>
      <c r="J311" s="11" t="s">
        <v>19</v>
      </c>
      <c r="K311" s="11" t="s">
        <v>20</v>
      </c>
      <c r="L311" s="11" t="s">
        <v>21</v>
      </c>
      <c r="M311" s="11" t="s">
        <v>29</v>
      </c>
      <c r="N311" s="11" t="s">
        <v>24</v>
      </c>
      <c r="O311" s="11" t="s">
        <v>29</v>
      </c>
      <c r="P311" s="13">
        <v>218</v>
      </c>
      <c r="Q311" s="8"/>
      <c r="R311">
        <v>14.46</v>
      </c>
      <c r="S311">
        <v>3024.41</v>
      </c>
      <c r="T311">
        <v>4.4000000000000004</v>
      </c>
      <c r="U311">
        <v>10.39</v>
      </c>
      <c r="V311">
        <v>144.62</v>
      </c>
      <c r="W311" s="317">
        <v>3.9</v>
      </c>
      <c r="X311" s="190">
        <f t="shared" si="6"/>
        <v>51.870000000000005</v>
      </c>
      <c r="Y311" s="8"/>
      <c r="Z311" s="8"/>
    </row>
    <row r="312" spans="1:26" ht="12.75" customHeight="1" x14ac:dyDescent="0.2">
      <c r="A312" s="11">
        <v>61</v>
      </c>
      <c r="B312" s="11">
        <v>2014</v>
      </c>
      <c r="C312" s="11">
        <v>6</v>
      </c>
      <c r="D312" s="11">
        <v>8</v>
      </c>
      <c r="E312" s="11" t="s">
        <v>29</v>
      </c>
      <c r="F312" s="11" t="s">
        <v>29</v>
      </c>
      <c r="G312" s="11">
        <v>146</v>
      </c>
      <c r="H312" s="11" t="s">
        <v>29</v>
      </c>
      <c r="I312" s="9">
        <v>9</v>
      </c>
      <c r="J312" s="11" t="s">
        <v>19</v>
      </c>
      <c r="K312" s="11" t="s">
        <v>20</v>
      </c>
      <c r="L312" s="11" t="s">
        <v>21</v>
      </c>
      <c r="M312" s="11" t="s">
        <v>29</v>
      </c>
      <c r="N312" s="11" t="s">
        <v>25</v>
      </c>
      <c r="O312" s="11" t="s">
        <v>29</v>
      </c>
      <c r="P312" s="13">
        <v>218</v>
      </c>
      <c r="Q312" s="8"/>
      <c r="R312">
        <v>13.62</v>
      </c>
      <c r="S312">
        <v>2527.5700000000002</v>
      </c>
      <c r="T312">
        <v>3.56</v>
      </c>
      <c r="U312">
        <v>9.7799999999999994</v>
      </c>
      <c r="V312">
        <v>136.22</v>
      </c>
      <c r="W312" s="317">
        <v>3.9</v>
      </c>
      <c r="X312" s="190">
        <f t="shared" si="6"/>
        <v>35.1</v>
      </c>
      <c r="Y312" s="8"/>
      <c r="Z312" s="8"/>
    </row>
    <row r="313" spans="1:26" ht="12.75" customHeight="1" x14ac:dyDescent="0.2">
      <c r="A313" s="11">
        <v>60</v>
      </c>
      <c r="B313" s="11">
        <v>2014</v>
      </c>
      <c r="C313" s="11">
        <v>6</v>
      </c>
      <c r="D313" s="11">
        <v>8</v>
      </c>
      <c r="E313" s="11" t="s">
        <v>29</v>
      </c>
      <c r="F313" s="11" t="s">
        <v>29</v>
      </c>
      <c r="G313" s="11">
        <v>137</v>
      </c>
      <c r="H313" s="11" t="s">
        <v>29</v>
      </c>
      <c r="I313" s="9">
        <v>9.3000000000000007</v>
      </c>
      <c r="J313" s="11" t="s">
        <v>19</v>
      </c>
      <c r="K313" s="11" t="s">
        <v>20</v>
      </c>
      <c r="L313" s="11" t="s">
        <v>21</v>
      </c>
      <c r="M313" s="11" t="s">
        <v>29</v>
      </c>
      <c r="N313" s="11" t="s">
        <v>24</v>
      </c>
      <c r="O313" s="11" t="s">
        <v>29</v>
      </c>
      <c r="P313" s="13">
        <v>218</v>
      </c>
      <c r="Q313" s="8"/>
      <c r="R313">
        <v>12.78</v>
      </c>
      <c r="S313">
        <v>2088.37</v>
      </c>
      <c r="T313">
        <v>4.45</v>
      </c>
      <c r="U313">
        <v>9.18</v>
      </c>
      <c r="V313">
        <v>127.82</v>
      </c>
      <c r="W313" s="317">
        <v>3.9</v>
      </c>
      <c r="X313" s="190">
        <f t="shared" si="6"/>
        <v>36.270000000000003</v>
      </c>
      <c r="Y313" s="8"/>
      <c r="Z313" s="8"/>
    </row>
    <row r="314" spans="1:26" ht="12.75" customHeight="1" x14ac:dyDescent="0.2">
      <c r="A314" s="11">
        <v>59</v>
      </c>
      <c r="B314" s="11">
        <v>2014</v>
      </c>
      <c r="C314" s="11">
        <v>6</v>
      </c>
      <c r="D314" s="11">
        <v>8</v>
      </c>
      <c r="E314" s="11" t="s">
        <v>29</v>
      </c>
      <c r="F314" s="11" t="s">
        <v>29</v>
      </c>
      <c r="G314" s="11">
        <v>140</v>
      </c>
      <c r="H314" s="11" t="s">
        <v>29</v>
      </c>
      <c r="I314" s="9">
        <v>10.5</v>
      </c>
      <c r="J314" s="11" t="s">
        <v>19</v>
      </c>
      <c r="K314" s="11" t="s">
        <v>20</v>
      </c>
      <c r="L314" s="11" t="s">
        <v>21</v>
      </c>
      <c r="M314" s="11" t="s">
        <v>29</v>
      </c>
      <c r="N314" s="11" t="s">
        <v>24</v>
      </c>
      <c r="O314" s="11" t="s">
        <v>29</v>
      </c>
      <c r="P314" s="13">
        <v>218</v>
      </c>
      <c r="Q314" s="8"/>
      <c r="R314">
        <v>13.06</v>
      </c>
      <c r="S314">
        <v>2228.58</v>
      </c>
      <c r="T314">
        <v>4.71</v>
      </c>
      <c r="U314">
        <v>9.3800000000000008</v>
      </c>
      <c r="V314">
        <v>130.62</v>
      </c>
      <c r="W314" s="317">
        <v>3.9</v>
      </c>
      <c r="X314" s="190">
        <f t="shared" si="6"/>
        <v>40.949999999999996</v>
      </c>
      <c r="Y314" s="8"/>
      <c r="Z314" s="8"/>
    </row>
    <row r="315" spans="1:26" ht="12.75" customHeight="1" x14ac:dyDescent="0.2">
      <c r="A315" s="11">
        <v>58</v>
      </c>
      <c r="B315" s="11">
        <v>2014</v>
      </c>
      <c r="C315" s="11">
        <v>6</v>
      </c>
      <c r="D315" s="11">
        <v>8</v>
      </c>
      <c r="E315" s="11" t="s">
        <v>29</v>
      </c>
      <c r="F315" s="11" t="s">
        <v>29</v>
      </c>
      <c r="G315" s="11">
        <v>126</v>
      </c>
      <c r="H315" s="11" t="s">
        <v>29</v>
      </c>
      <c r="I315" s="9">
        <v>8.5</v>
      </c>
      <c r="J315" s="11" t="s">
        <v>19</v>
      </c>
      <c r="K315" s="11" t="s">
        <v>20</v>
      </c>
      <c r="L315" s="11" t="s">
        <v>21</v>
      </c>
      <c r="M315" s="11" t="s">
        <v>29</v>
      </c>
      <c r="N315" s="11" t="s">
        <v>24</v>
      </c>
      <c r="O315" s="11" t="s">
        <v>29</v>
      </c>
      <c r="P315" s="13">
        <v>218</v>
      </c>
      <c r="Q315" s="8"/>
      <c r="R315">
        <v>11.76</v>
      </c>
      <c r="S315">
        <v>1624.64</v>
      </c>
      <c r="T315">
        <v>5.23</v>
      </c>
      <c r="U315">
        <v>8.44</v>
      </c>
      <c r="V315">
        <v>117.56</v>
      </c>
      <c r="W315" s="317">
        <v>3.9</v>
      </c>
      <c r="X315" s="190">
        <f t="shared" si="6"/>
        <v>33.15</v>
      </c>
      <c r="Y315" s="8"/>
      <c r="Z315" s="8"/>
    </row>
    <row r="316" spans="1:26" ht="12.75" customHeight="1" x14ac:dyDescent="0.2">
      <c r="A316" s="11">
        <v>57</v>
      </c>
      <c r="B316" s="11">
        <v>2014</v>
      </c>
      <c r="C316" s="11">
        <v>6</v>
      </c>
      <c r="D316" s="11">
        <v>8</v>
      </c>
      <c r="E316" s="11" t="s">
        <v>29</v>
      </c>
      <c r="F316" s="11" t="s">
        <v>29</v>
      </c>
      <c r="G316" s="11">
        <v>137</v>
      </c>
      <c r="H316" s="11" t="s">
        <v>29</v>
      </c>
      <c r="I316" s="9">
        <v>13.2</v>
      </c>
      <c r="J316" s="11" t="s">
        <v>19</v>
      </c>
      <c r="K316" s="11" t="s">
        <v>20</v>
      </c>
      <c r="L316" s="11" t="s">
        <v>21</v>
      </c>
      <c r="M316" s="11" t="s">
        <v>29</v>
      </c>
      <c r="N316" s="11" t="s">
        <v>24</v>
      </c>
      <c r="O316" s="11" t="s">
        <v>29</v>
      </c>
      <c r="P316" s="13">
        <v>218</v>
      </c>
      <c r="Q316" s="8"/>
      <c r="R316">
        <v>12.78</v>
      </c>
      <c r="S316">
        <v>2088.37</v>
      </c>
      <c r="T316">
        <v>6.32</v>
      </c>
      <c r="U316">
        <v>9.18</v>
      </c>
      <c r="V316">
        <v>127.82</v>
      </c>
      <c r="W316" s="317">
        <v>3.9</v>
      </c>
      <c r="X316" s="190">
        <f t="shared" si="6"/>
        <v>51.48</v>
      </c>
      <c r="Y316" s="8"/>
      <c r="Z316" s="8"/>
    </row>
    <row r="317" spans="1:26" ht="12.75" customHeight="1" x14ac:dyDescent="0.2">
      <c r="A317" s="11">
        <v>56</v>
      </c>
      <c r="B317" s="11">
        <v>2014</v>
      </c>
      <c r="C317" s="11">
        <v>3</v>
      </c>
      <c r="D317" s="11">
        <v>8</v>
      </c>
      <c r="E317" s="11" t="s">
        <v>29</v>
      </c>
      <c r="F317" s="11" t="s">
        <v>29</v>
      </c>
      <c r="G317" s="11">
        <v>125</v>
      </c>
      <c r="H317" s="11" t="s">
        <v>29</v>
      </c>
      <c r="I317" s="9">
        <v>8</v>
      </c>
      <c r="J317" s="11" t="s">
        <v>19</v>
      </c>
      <c r="K317" s="11" t="s">
        <v>20</v>
      </c>
      <c r="L317" s="11" t="s">
        <v>30</v>
      </c>
      <c r="M317" s="11" t="s">
        <v>29</v>
      </c>
      <c r="N317" s="11" t="s">
        <v>39</v>
      </c>
      <c r="O317" s="11" t="s">
        <v>29</v>
      </c>
      <c r="P317" s="13">
        <v>215</v>
      </c>
      <c r="Q317" s="8"/>
      <c r="R317">
        <v>11.66</v>
      </c>
      <c r="S317">
        <v>1586.26</v>
      </c>
      <c r="T317">
        <v>5.04</v>
      </c>
      <c r="U317">
        <v>8.3800000000000008</v>
      </c>
      <c r="V317">
        <v>116.63</v>
      </c>
      <c r="W317" s="317">
        <v>4.5999999999999996</v>
      </c>
      <c r="X317" s="190">
        <f t="shared" si="6"/>
        <v>36.799999999999997</v>
      </c>
      <c r="Y317" s="8"/>
      <c r="Z317" s="8"/>
    </row>
    <row r="318" spans="1:26" ht="12.75" customHeight="1" x14ac:dyDescent="0.2">
      <c r="A318" s="11">
        <v>55</v>
      </c>
      <c r="B318" s="11">
        <v>2014</v>
      </c>
      <c r="C318" s="11">
        <v>3</v>
      </c>
      <c r="D318" s="11">
        <v>8</v>
      </c>
      <c r="E318" s="11" t="s">
        <v>29</v>
      </c>
      <c r="F318" s="11" t="s">
        <v>29</v>
      </c>
      <c r="G318" s="11">
        <v>117</v>
      </c>
      <c r="H318" s="11" t="s">
        <v>29</v>
      </c>
      <c r="I318" s="9">
        <v>8.5</v>
      </c>
      <c r="J318" s="11" t="s">
        <v>19</v>
      </c>
      <c r="K318" s="11" t="s">
        <v>20</v>
      </c>
      <c r="L318" s="11" t="s">
        <v>21</v>
      </c>
      <c r="M318" s="11" t="s">
        <v>29</v>
      </c>
      <c r="N318" s="11" t="s">
        <v>23</v>
      </c>
      <c r="O318" s="11" t="s">
        <v>29</v>
      </c>
      <c r="P318" s="13">
        <v>215</v>
      </c>
      <c r="Q318" s="8"/>
      <c r="R318">
        <v>10.92</v>
      </c>
      <c r="S318">
        <v>1300.78</v>
      </c>
      <c r="T318">
        <v>6.53</v>
      </c>
      <c r="U318">
        <v>7.84</v>
      </c>
      <c r="V318">
        <v>109.16</v>
      </c>
      <c r="W318" s="317">
        <v>3.9</v>
      </c>
      <c r="X318" s="190">
        <f t="shared" si="6"/>
        <v>33.15</v>
      </c>
      <c r="Y318" s="8"/>
      <c r="Z318" s="8"/>
    </row>
    <row r="319" spans="1:26" ht="12.75" customHeight="1" x14ac:dyDescent="0.2">
      <c r="A319" s="11">
        <v>54</v>
      </c>
      <c r="B319" s="11">
        <v>2014</v>
      </c>
      <c r="C319" s="11">
        <v>3</v>
      </c>
      <c r="D319" s="11">
        <v>8</v>
      </c>
      <c r="E319" s="11" t="s">
        <v>29</v>
      </c>
      <c r="F319" s="11" t="s">
        <v>29</v>
      </c>
      <c r="G319" s="11">
        <v>118</v>
      </c>
      <c r="H319" s="11" t="s">
        <v>29</v>
      </c>
      <c r="I319" s="9">
        <v>11.5</v>
      </c>
      <c r="J319" s="11" t="s">
        <v>19</v>
      </c>
      <c r="K319" s="11" t="s">
        <v>20</v>
      </c>
      <c r="L319" s="11" t="s">
        <v>21</v>
      </c>
      <c r="M319" s="11" t="s">
        <v>29</v>
      </c>
      <c r="N319" s="11" t="s">
        <v>25</v>
      </c>
      <c r="O319" s="11" t="s">
        <v>29</v>
      </c>
      <c r="P319" s="13">
        <v>215</v>
      </c>
      <c r="Q319" s="8"/>
      <c r="R319">
        <v>11.01</v>
      </c>
      <c r="S319">
        <v>1334.42</v>
      </c>
      <c r="T319">
        <v>8.6199999999999992</v>
      </c>
      <c r="U319">
        <v>7.91</v>
      </c>
      <c r="V319">
        <v>110.09</v>
      </c>
      <c r="W319" s="317">
        <v>3.9</v>
      </c>
      <c r="X319" s="190">
        <f t="shared" si="6"/>
        <v>44.85</v>
      </c>
      <c r="Y319" s="8"/>
      <c r="Z319" s="8"/>
    </row>
    <row r="320" spans="1:26" ht="12.75" customHeight="1" x14ac:dyDescent="0.2">
      <c r="A320" s="11">
        <v>53</v>
      </c>
      <c r="B320" s="11">
        <v>2014</v>
      </c>
      <c r="C320" s="11">
        <v>3</v>
      </c>
      <c r="D320" s="11">
        <v>8</v>
      </c>
      <c r="E320" s="11" t="s">
        <v>29</v>
      </c>
      <c r="F320" s="11" t="s">
        <v>29</v>
      </c>
      <c r="G320" s="11">
        <v>121</v>
      </c>
      <c r="H320" s="11" t="s">
        <v>29</v>
      </c>
      <c r="I320" s="9">
        <v>10</v>
      </c>
      <c r="J320" s="11" t="s">
        <v>19</v>
      </c>
      <c r="K320" s="11" t="s">
        <v>20</v>
      </c>
      <c r="L320" s="11" t="s">
        <v>21</v>
      </c>
      <c r="M320" s="11" t="s">
        <v>29</v>
      </c>
      <c r="N320" s="11" t="s">
        <v>23</v>
      </c>
      <c r="O320" s="11" t="s">
        <v>29</v>
      </c>
      <c r="P320" s="13">
        <v>215</v>
      </c>
      <c r="Q320" s="8"/>
      <c r="R320">
        <v>11.29</v>
      </c>
      <c r="S320">
        <v>1438.8</v>
      </c>
      <c r="T320">
        <v>6.95</v>
      </c>
      <c r="U320">
        <v>8.11</v>
      </c>
      <c r="V320">
        <v>112.89</v>
      </c>
      <c r="W320" s="317">
        <v>3.9</v>
      </c>
      <c r="X320" s="190">
        <f t="shared" si="6"/>
        <v>39</v>
      </c>
      <c r="Y320" s="8"/>
      <c r="Z320" s="8"/>
    </row>
    <row r="321" spans="1:26" ht="12.75" customHeight="1" x14ac:dyDescent="0.2">
      <c r="A321" s="11">
        <v>52</v>
      </c>
      <c r="B321" s="11">
        <v>2014</v>
      </c>
      <c r="C321" s="11">
        <v>3</v>
      </c>
      <c r="D321" s="11">
        <v>8</v>
      </c>
      <c r="E321" s="11" t="s">
        <v>29</v>
      </c>
      <c r="F321" s="11" t="s">
        <v>29</v>
      </c>
      <c r="G321" s="11">
        <v>155</v>
      </c>
      <c r="H321" s="11" t="s">
        <v>29</v>
      </c>
      <c r="I321" s="9">
        <v>11.8</v>
      </c>
      <c r="J321" s="11" t="s">
        <v>19</v>
      </c>
      <c r="K321" s="11" t="s">
        <v>20</v>
      </c>
      <c r="L321" s="11" t="s">
        <v>21</v>
      </c>
      <c r="M321" s="11" t="s">
        <v>29</v>
      </c>
      <c r="N321" s="11" t="s">
        <v>24</v>
      </c>
      <c r="O321" s="11" t="s">
        <v>29</v>
      </c>
      <c r="P321" s="13">
        <v>215</v>
      </c>
      <c r="Q321" s="8"/>
      <c r="R321">
        <v>14.46</v>
      </c>
      <c r="S321">
        <v>3024.41</v>
      </c>
      <c r="T321">
        <v>3.9</v>
      </c>
      <c r="U321">
        <v>10.39</v>
      </c>
      <c r="V321">
        <v>144.62</v>
      </c>
      <c r="W321" s="317">
        <v>3.9</v>
      </c>
      <c r="X321" s="190">
        <f t="shared" si="6"/>
        <v>46.02</v>
      </c>
      <c r="Y321" s="8"/>
      <c r="Z321" s="8"/>
    </row>
    <row r="322" spans="1:26" ht="12.75" customHeight="1" x14ac:dyDescent="0.2">
      <c r="A322" s="11">
        <v>51</v>
      </c>
      <c r="B322" s="11">
        <v>2014</v>
      </c>
      <c r="C322" s="11">
        <v>3</v>
      </c>
      <c r="D322" s="11">
        <v>8</v>
      </c>
      <c r="E322" s="11" t="s">
        <v>29</v>
      </c>
      <c r="F322" s="11" t="s">
        <v>29</v>
      </c>
      <c r="G322" s="11">
        <v>166</v>
      </c>
      <c r="H322" s="11" t="s">
        <v>29</v>
      </c>
      <c r="I322" s="9">
        <v>14</v>
      </c>
      <c r="J322" s="11" t="s">
        <v>19</v>
      </c>
      <c r="K322" s="11" t="s">
        <v>20</v>
      </c>
      <c r="L322" s="11" t="s">
        <v>21</v>
      </c>
      <c r="M322" s="11" t="s">
        <v>29</v>
      </c>
      <c r="N322" s="11" t="s">
        <v>23</v>
      </c>
      <c r="O322" s="11" t="s">
        <v>29</v>
      </c>
      <c r="P322" s="13">
        <v>215</v>
      </c>
      <c r="Q322" s="8"/>
      <c r="R322">
        <v>15.49</v>
      </c>
      <c r="S322">
        <v>3715.09</v>
      </c>
      <c r="T322">
        <v>3.77</v>
      </c>
      <c r="U322">
        <v>11.12</v>
      </c>
      <c r="V322">
        <v>154.88</v>
      </c>
      <c r="W322" s="317">
        <v>3.9</v>
      </c>
      <c r="X322" s="190">
        <f t="shared" si="6"/>
        <v>54.6</v>
      </c>
      <c r="Y322" s="8"/>
      <c r="Z322" s="8"/>
    </row>
    <row r="323" spans="1:26" ht="12.75" customHeight="1" x14ac:dyDescent="0.2">
      <c r="A323" s="11">
        <v>50</v>
      </c>
      <c r="B323" s="11">
        <v>2014</v>
      </c>
      <c r="C323" s="11">
        <v>3</v>
      </c>
      <c r="D323" s="11">
        <v>8</v>
      </c>
      <c r="E323" s="11" t="s">
        <v>29</v>
      </c>
      <c r="F323" s="11" t="s">
        <v>29</v>
      </c>
      <c r="G323" s="11">
        <v>160</v>
      </c>
      <c r="H323" s="11" t="s">
        <v>29</v>
      </c>
      <c r="I323" s="9">
        <v>15.1</v>
      </c>
      <c r="J323" s="11" t="s">
        <v>19</v>
      </c>
      <c r="K323" s="11" t="s">
        <v>20</v>
      </c>
      <c r="L323" s="11" t="s">
        <v>21</v>
      </c>
      <c r="M323" s="11" t="s">
        <v>29</v>
      </c>
      <c r="N323" s="11" t="s">
        <v>25</v>
      </c>
      <c r="O323" s="11" t="s">
        <v>29</v>
      </c>
      <c r="P323" s="13">
        <v>215</v>
      </c>
      <c r="Q323" s="8"/>
      <c r="R323">
        <v>14.93</v>
      </c>
      <c r="S323">
        <v>3326.63</v>
      </c>
      <c r="T323">
        <v>4.54</v>
      </c>
      <c r="U323">
        <v>10.72</v>
      </c>
      <c r="V323">
        <v>149.28</v>
      </c>
      <c r="W323" s="317">
        <v>3.9</v>
      </c>
      <c r="X323" s="190">
        <f t="shared" si="6"/>
        <v>58.89</v>
      </c>
      <c r="Y323" s="8"/>
      <c r="Z323" s="8"/>
    </row>
    <row r="324" spans="1:26" ht="12.75" customHeight="1" x14ac:dyDescent="0.2">
      <c r="A324" s="11">
        <v>49</v>
      </c>
      <c r="B324" s="11">
        <v>2014</v>
      </c>
      <c r="C324" s="11">
        <v>3</v>
      </c>
      <c r="D324" s="11">
        <v>8</v>
      </c>
      <c r="E324" s="11" t="s">
        <v>29</v>
      </c>
      <c r="F324" s="11" t="s">
        <v>29</v>
      </c>
      <c r="G324" s="11">
        <v>105</v>
      </c>
      <c r="H324" s="11" t="s">
        <v>29</v>
      </c>
      <c r="I324" s="9">
        <v>9.5</v>
      </c>
      <c r="J324" s="11" t="s">
        <v>19</v>
      </c>
      <c r="K324" s="11" t="s">
        <v>20</v>
      </c>
      <c r="L324" s="11" t="s">
        <v>21</v>
      </c>
      <c r="M324" s="11" t="s">
        <v>29</v>
      </c>
      <c r="N324" s="11" t="s">
        <v>25</v>
      </c>
      <c r="O324" s="11" t="s">
        <v>29</v>
      </c>
      <c r="P324" s="13">
        <v>215</v>
      </c>
      <c r="Q324" s="8"/>
      <c r="R324">
        <v>9.8000000000000007</v>
      </c>
      <c r="S324">
        <v>940.18</v>
      </c>
      <c r="T324">
        <v>10.1</v>
      </c>
      <c r="U324">
        <v>7.04</v>
      </c>
      <c r="V324">
        <v>97.97</v>
      </c>
      <c r="W324" s="317">
        <v>3.9</v>
      </c>
      <c r="X324" s="190">
        <f t="shared" si="6"/>
        <v>37.049999999999997</v>
      </c>
      <c r="Y324" s="8"/>
      <c r="Z324" s="8"/>
    </row>
    <row r="325" spans="1:26" ht="12.75" customHeight="1" x14ac:dyDescent="0.2">
      <c r="A325" s="11">
        <v>48</v>
      </c>
      <c r="B325" s="11">
        <v>2014</v>
      </c>
      <c r="C325" s="11">
        <v>3</v>
      </c>
      <c r="D325" s="11">
        <v>8</v>
      </c>
      <c r="E325" s="11" t="s">
        <v>29</v>
      </c>
      <c r="F325" s="11" t="s">
        <v>29</v>
      </c>
      <c r="G325" s="11" t="s">
        <v>29</v>
      </c>
      <c r="H325" s="11" t="s">
        <v>29</v>
      </c>
      <c r="I325" s="9">
        <v>15.5</v>
      </c>
      <c r="J325" s="11" t="s">
        <v>19</v>
      </c>
      <c r="K325" s="11" t="s">
        <v>20</v>
      </c>
      <c r="L325" s="11" t="s">
        <v>21</v>
      </c>
      <c r="M325" s="11" t="s">
        <v>29</v>
      </c>
      <c r="N325" s="11" t="s">
        <v>25</v>
      </c>
      <c r="O325" s="11" t="s">
        <v>29</v>
      </c>
      <c r="P325" s="13">
        <v>215</v>
      </c>
      <c r="Q325" s="8"/>
      <c r="W325" s="317">
        <v>3.9</v>
      </c>
      <c r="X325" s="190">
        <f t="shared" si="6"/>
        <v>60.449999999999996</v>
      </c>
      <c r="Y325" s="8"/>
      <c r="Z325" s="8"/>
    </row>
    <row r="326" spans="1:26" ht="12.75" customHeight="1" x14ac:dyDescent="0.2">
      <c r="A326" s="11">
        <v>47</v>
      </c>
      <c r="B326" s="11">
        <v>2014</v>
      </c>
      <c r="C326" s="11">
        <v>3</v>
      </c>
      <c r="D326" s="11">
        <v>8</v>
      </c>
      <c r="E326" s="11" t="s">
        <v>29</v>
      </c>
      <c r="F326" s="11" t="s">
        <v>29</v>
      </c>
      <c r="G326" s="11" t="s">
        <v>29</v>
      </c>
      <c r="H326" s="11" t="s">
        <v>29</v>
      </c>
      <c r="I326" s="9" t="s">
        <v>29</v>
      </c>
      <c r="J326" s="11" t="s">
        <v>19</v>
      </c>
      <c r="K326" s="5" t="s">
        <v>41</v>
      </c>
      <c r="L326" s="11" t="s">
        <v>29</v>
      </c>
      <c r="M326" s="11" t="s">
        <v>29</v>
      </c>
      <c r="N326" s="11" t="s">
        <v>29</v>
      </c>
      <c r="O326" s="11" t="s">
        <v>29</v>
      </c>
      <c r="P326" s="13">
        <v>215</v>
      </c>
      <c r="Q326" s="8"/>
      <c r="W326" s="8"/>
      <c r="X326" s="8"/>
      <c r="Y326" s="8"/>
      <c r="Z326" s="8"/>
    </row>
    <row r="327" spans="1:26" ht="12.75" customHeight="1" x14ac:dyDescent="0.2">
      <c r="A327" s="11">
        <v>46</v>
      </c>
      <c r="B327" s="11">
        <v>2014</v>
      </c>
      <c r="C327" s="11">
        <v>3</v>
      </c>
      <c r="D327" s="11">
        <v>8</v>
      </c>
      <c r="E327" s="11" t="s">
        <v>29</v>
      </c>
      <c r="F327" s="11" t="s">
        <v>29</v>
      </c>
      <c r="G327" s="11" t="s">
        <v>29</v>
      </c>
      <c r="H327" s="11">
        <v>180</v>
      </c>
      <c r="I327" s="9">
        <v>18.3</v>
      </c>
      <c r="J327" s="11" t="s">
        <v>19</v>
      </c>
      <c r="K327" s="11" t="s">
        <v>20</v>
      </c>
      <c r="L327" s="11" t="s">
        <v>21</v>
      </c>
      <c r="M327" s="11" t="s">
        <v>29</v>
      </c>
      <c r="N327" s="11" t="s">
        <v>24</v>
      </c>
      <c r="O327" s="11" t="s">
        <v>29</v>
      </c>
      <c r="P327" s="13">
        <v>215</v>
      </c>
      <c r="Q327" s="8"/>
      <c r="R327">
        <v>18</v>
      </c>
      <c r="S327">
        <v>5832</v>
      </c>
      <c r="T327">
        <v>3.14</v>
      </c>
      <c r="W327" s="317">
        <v>3.9</v>
      </c>
      <c r="X327" s="190">
        <f t="shared" ref="X327:X336" si="7">I327*W327</f>
        <v>71.37</v>
      </c>
      <c r="Y327" s="8"/>
      <c r="Z327" s="8"/>
    </row>
    <row r="328" spans="1:26" ht="12.75" customHeight="1" x14ac:dyDescent="0.2">
      <c r="A328" s="11">
        <v>45</v>
      </c>
      <c r="B328" s="11">
        <v>2014</v>
      </c>
      <c r="C328" s="11">
        <v>3</v>
      </c>
      <c r="D328" s="11">
        <v>8</v>
      </c>
      <c r="E328" s="11" t="s">
        <v>29</v>
      </c>
      <c r="F328" s="11" t="s">
        <v>29</v>
      </c>
      <c r="G328" s="11" t="s">
        <v>29</v>
      </c>
      <c r="H328" s="11">
        <v>160</v>
      </c>
      <c r="I328" s="9">
        <v>15.5</v>
      </c>
      <c r="J328" s="11" t="s">
        <v>19</v>
      </c>
      <c r="K328" s="11" t="s">
        <v>20</v>
      </c>
      <c r="L328" s="11" t="s">
        <v>21</v>
      </c>
      <c r="M328" s="11" t="s">
        <v>29</v>
      </c>
      <c r="N328" s="11" t="s">
        <v>24</v>
      </c>
      <c r="O328" s="11" t="s">
        <v>29</v>
      </c>
      <c r="P328" s="13">
        <v>215</v>
      </c>
      <c r="Q328" s="8"/>
      <c r="R328">
        <v>16</v>
      </c>
      <c r="S328">
        <v>4096</v>
      </c>
      <c r="T328">
        <v>3.78</v>
      </c>
      <c r="W328" s="317">
        <v>3.9</v>
      </c>
      <c r="X328" s="190">
        <f t="shared" si="7"/>
        <v>60.449999999999996</v>
      </c>
      <c r="Y328" s="8"/>
      <c r="Z328" s="8"/>
    </row>
    <row r="329" spans="1:26" ht="12.75" customHeight="1" x14ac:dyDescent="0.2">
      <c r="A329" s="11">
        <v>44</v>
      </c>
      <c r="B329" s="11">
        <v>2014</v>
      </c>
      <c r="C329" s="11">
        <v>3</v>
      </c>
      <c r="D329" s="11">
        <v>8</v>
      </c>
      <c r="E329" s="11" t="s">
        <v>29</v>
      </c>
      <c r="F329" s="11" t="s">
        <v>29</v>
      </c>
      <c r="G329" s="11" t="s">
        <v>29</v>
      </c>
      <c r="H329" s="11">
        <v>129</v>
      </c>
      <c r="I329" s="9">
        <v>9.5</v>
      </c>
      <c r="J329" s="11" t="s">
        <v>19</v>
      </c>
      <c r="K329" s="11" t="s">
        <v>20</v>
      </c>
      <c r="L329" s="11" t="s">
        <v>21</v>
      </c>
      <c r="M329" s="11" t="s">
        <v>29</v>
      </c>
      <c r="N329" s="11" t="s">
        <v>23</v>
      </c>
      <c r="O329" s="11" t="s">
        <v>29</v>
      </c>
      <c r="P329" s="13">
        <v>215</v>
      </c>
      <c r="Q329" s="8"/>
      <c r="R329">
        <v>12.9</v>
      </c>
      <c r="S329">
        <v>2146.69</v>
      </c>
      <c r="T329">
        <v>4.43</v>
      </c>
      <c r="W329" s="317">
        <v>3.9</v>
      </c>
      <c r="X329" s="190">
        <f t="shared" si="7"/>
        <v>37.049999999999997</v>
      </c>
      <c r="Y329" s="8"/>
      <c r="Z329" s="8"/>
    </row>
    <row r="330" spans="1:26" ht="12.75" customHeight="1" x14ac:dyDescent="0.2">
      <c r="A330" s="11">
        <v>43</v>
      </c>
      <c r="B330" s="11">
        <v>2014</v>
      </c>
      <c r="C330" s="11">
        <v>3</v>
      </c>
      <c r="D330" s="11">
        <v>8</v>
      </c>
      <c r="E330" s="11" t="s">
        <v>29</v>
      </c>
      <c r="F330" s="11" t="s">
        <v>29</v>
      </c>
      <c r="G330" s="11" t="s">
        <v>29</v>
      </c>
      <c r="H330" s="11">
        <v>125</v>
      </c>
      <c r="I330" s="9">
        <v>7.5</v>
      </c>
      <c r="J330" s="11" t="s">
        <v>19</v>
      </c>
      <c r="K330" s="11" t="s">
        <v>20</v>
      </c>
      <c r="L330" s="11" t="s">
        <v>21</v>
      </c>
      <c r="M330" s="11" t="s">
        <v>29</v>
      </c>
      <c r="N330" s="11" t="s">
        <v>42</v>
      </c>
      <c r="O330" s="11" t="s">
        <v>29</v>
      </c>
      <c r="P330" s="13">
        <v>215</v>
      </c>
      <c r="Q330" s="8"/>
      <c r="R330">
        <v>12.5</v>
      </c>
      <c r="S330">
        <v>1953.13</v>
      </c>
      <c r="T330">
        <v>3.84</v>
      </c>
      <c r="W330" s="317">
        <v>3.9</v>
      </c>
      <c r="X330" s="190">
        <f t="shared" si="7"/>
        <v>29.25</v>
      </c>
      <c r="Y330" s="8"/>
      <c r="Z330" s="8"/>
    </row>
    <row r="331" spans="1:26" ht="12.75" customHeight="1" x14ac:dyDescent="0.2">
      <c r="A331" s="11">
        <v>42</v>
      </c>
      <c r="B331" s="11">
        <v>2014</v>
      </c>
      <c r="C331" s="11">
        <v>3</v>
      </c>
      <c r="D331" s="11">
        <v>8</v>
      </c>
      <c r="E331" s="11" t="s">
        <v>29</v>
      </c>
      <c r="F331" s="11" t="s">
        <v>29</v>
      </c>
      <c r="G331" s="11" t="s">
        <v>29</v>
      </c>
      <c r="H331" s="11">
        <v>125</v>
      </c>
      <c r="I331" s="9">
        <v>6.5</v>
      </c>
      <c r="J331" s="11" t="s">
        <v>19</v>
      </c>
      <c r="K331" s="11" t="s">
        <v>20</v>
      </c>
      <c r="L331" s="11" t="s">
        <v>21</v>
      </c>
      <c r="M331" s="11" t="s">
        <v>29</v>
      </c>
      <c r="N331" s="11" t="s">
        <v>23</v>
      </c>
      <c r="O331" s="11" t="s">
        <v>29</v>
      </c>
      <c r="P331" s="13">
        <v>215</v>
      </c>
      <c r="Q331" s="8"/>
      <c r="R331">
        <v>12.5</v>
      </c>
      <c r="S331">
        <v>1953.13</v>
      </c>
      <c r="T331">
        <v>3.33</v>
      </c>
      <c r="W331" s="317">
        <v>3.9</v>
      </c>
      <c r="X331" s="190">
        <f t="shared" si="7"/>
        <v>25.349999999999998</v>
      </c>
      <c r="Y331" s="8"/>
      <c r="Z331" s="8"/>
    </row>
    <row r="332" spans="1:26" ht="12.75" customHeight="1" x14ac:dyDescent="0.2">
      <c r="A332" s="11">
        <v>41</v>
      </c>
      <c r="B332" s="11">
        <v>2014</v>
      </c>
      <c r="C332" s="11">
        <v>3</v>
      </c>
      <c r="D332" s="11">
        <v>8</v>
      </c>
      <c r="E332" s="11" t="s">
        <v>29</v>
      </c>
      <c r="F332" s="11" t="s">
        <v>29</v>
      </c>
      <c r="G332" s="11" t="s">
        <v>29</v>
      </c>
      <c r="H332" s="11">
        <v>169</v>
      </c>
      <c r="I332" s="9">
        <v>21.5</v>
      </c>
      <c r="J332" s="11" t="s">
        <v>19</v>
      </c>
      <c r="K332" s="11" t="s">
        <v>20</v>
      </c>
      <c r="L332" s="11" t="s">
        <v>21</v>
      </c>
      <c r="M332" s="11" t="s">
        <v>29</v>
      </c>
      <c r="N332" s="11" t="s">
        <v>24</v>
      </c>
      <c r="O332" s="11" t="s">
        <v>29</v>
      </c>
      <c r="P332" s="13">
        <v>215</v>
      </c>
      <c r="Q332" s="8"/>
      <c r="R332">
        <v>16.899999999999999</v>
      </c>
      <c r="S332">
        <v>4826.8100000000004</v>
      </c>
      <c r="T332">
        <v>4.45</v>
      </c>
      <c r="W332" s="317">
        <v>3.9</v>
      </c>
      <c r="X332" s="190">
        <f t="shared" si="7"/>
        <v>83.85</v>
      </c>
      <c r="Y332" s="8"/>
      <c r="Z332" s="8"/>
    </row>
    <row r="333" spans="1:26" ht="12.75" customHeight="1" x14ac:dyDescent="0.2">
      <c r="A333" s="11">
        <v>40</v>
      </c>
      <c r="B333" s="11">
        <v>2014</v>
      </c>
      <c r="C333" s="11">
        <v>3</v>
      </c>
      <c r="D333" s="11">
        <v>8</v>
      </c>
      <c r="E333" s="11" t="s">
        <v>29</v>
      </c>
      <c r="F333" s="11" t="s">
        <v>29</v>
      </c>
      <c r="G333" s="11" t="s">
        <v>29</v>
      </c>
      <c r="H333" s="11">
        <v>136</v>
      </c>
      <c r="I333" s="9">
        <v>10</v>
      </c>
      <c r="J333" s="11" t="s">
        <v>19</v>
      </c>
      <c r="K333" s="11" t="s">
        <v>20</v>
      </c>
      <c r="L333" s="11" t="s">
        <v>21</v>
      </c>
      <c r="M333" s="11" t="s">
        <v>29</v>
      </c>
      <c r="N333" s="11" t="s">
        <v>24</v>
      </c>
      <c r="O333" s="11" t="s">
        <v>29</v>
      </c>
      <c r="P333" s="13">
        <v>215</v>
      </c>
      <c r="Q333" s="8"/>
      <c r="R333">
        <v>13.6</v>
      </c>
      <c r="S333">
        <v>2515.46</v>
      </c>
      <c r="T333">
        <v>3.98</v>
      </c>
      <c r="W333" s="317">
        <v>3.9</v>
      </c>
      <c r="X333" s="190">
        <f t="shared" si="7"/>
        <v>39</v>
      </c>
      <c r="Y333" s="8"/>
      <c r="Z333" s="8"/>
    </row>
    <row r="334" spans="1:26" ht="12.75" customHeight="1" x14ac:dyDescent="0.2">
      <c r="A334" s="11">
        <v>39</v>
      </c>
      <c r="B334" s="11">
        <v>2014</v>
      </c>
      <c r="C334" s="11">
        <v>3</v>
      </c>
      <c r="D334" s="11">
        <v>8</v>
      </c>
      <c r="E334" s="11" t="s">
        <v>29</v>
      </c>
      <c r="F334" s="11" t="s">
        <v>29</v>
      </c>
      <c r="G334" s="11" t="s">
        <v>29</v>
      </c>
      <c r="H334" s="11">
        <v>128</v>
      </c>
      <c r="I334" s="9">
        <v>7</v>
      </c>
      <c r="J334" s="11" t="s">
        <v>19</v>
      </c>
      <c r="K334" s="11" t="s">
        <v>20</v>
      </c>
      <c r="L334" s="11" t="s">
        <v>21</v>
      </c>
      <c r="M334" s="11" t="s">
        <v>29</v>
      </c>
      <c r="N334" s="11" t="s">
        <v>24</v>
      </c>
      <c r="O334" s="11" t="s">
        <v>29</v>
      </c>
      <c r="P334" s="13">
        <v>215</v>
      </c>
      <c r="Q334" s="8"/>
      <c r="R334">
        <v>12.8</v>
      </c>
      <c r="S334">
        <v>2097.15</v>
      </c>
      <c r="T334">
        <v>3.34</v>
      </c>
      <c r="W334" s="317">
        <v>3.9</v>
      </c>
      <c r="X334" s="190">
        <f t="shared" si="7"/>
        <v>27.3</v>
      </c>
      <c r="Y334" s="8"/>
      <c r="Z334" s="8"/>
    </row>
    <row r="335" spans="1:26" ht="12.75" customHeight="1" x14ac:dyDescent="0.2">
      <c r="A335" s="11">
        <v>38</v>
      </c>
      <c r="B335" s="11">
        <v>2014</v>
      </c>
      <c r="C335" s="11">
        <v>3</v>
      </c>
      <c r="D335" s="11">
        <v>8</v>
      </c>
      <c r="E335" s="11" t="s">
        <v>29</v>
      </c>
      <c r="F335" s="11" t="s">
        <v>29</v>
      </c>
      <c r="G335" s="11" t="s">
        <v>29</v>
      </c>
      <c r="H335" s="11">
        <v>130</v>
      </c>
      <c r="I335" s="9">
        <v>12.5</v>
      </c>
      <c r="J335" s="11" t="s">
        <v>19</v>
      </c>
      <c r="K335" s="11" t="s">
        <v>20</v>
      </c>
      <c r="L335" s="11" t="s">
        <v>30</v>
      </c>
      <c r="M335" s="11" t="s">
        <v>29</v>
      </c>
      <c r="N335" s="11" t="s">
        <v>24</v>
      </c>
      <c r="O335" s="11" t="s">
        <v>29</v>
      </c>
      <c r="P335" s="13">
        <v>215</v>
      </c>
      <c r="Q335" s="8"/>
      <c r="R335">
        <v>13</v>
      </c>
      <c r="S335">
        <v>2197</v>
      </c>
      <c r="T335">
        <v>5.69</v>
      </c>
      <c r="W335" s="317">
        <v>4.5999999999999996</v>
      </c>
      <c r="X335" s="190">
        <f t="shared" si="7"/>
        <v>57.499999999999993</v>
      </c>
      <c r="Y335" s="8"/>
      <c r="Z335" s="8"/>
    </row>
    <row r="336" spans="1:26" ht="12.75" customHeight="1" x14ac:dyDescent="0.2">
      <c r="A336" s="11">
        <v>37</v>
      </c>
      <c r="B336" s="11">
        <v>2014</v>
      </c>
      <c r="C336" s="11">
        <v>3</v>
      </c>
      <c r="D336" s="11">
        <v>8</v>
      </c>
      <c r="E336" s="11" t="s">
        <v>29</v>
      </c>
      <c r="F336" s="11" t="s">
        <v>29</v>
      </c>
      <c r="G336" s="11" t="s">
        <v>29</v>
      </c>
      <c r="H336" s="11">
        <v>129</v>
      </c>
      <c r="I336" s="9">
        <v>8.5</v>
      </c>
      <c r="J336" s="11" t="s">
        <v>19</v>
      </c>
      <c r="K336" s="11" t="s">
        <v>20</v>
      </c>
      <c r="L336" s="11" t="s">
        <v>21</v>
      </c>
      <c r="M336" s="11" t="s">
        <v>29</v>
      </c>
      <c r="N336" s="11" t="s">
        <v>23</v>
      </c>
      <c r="O336" s="11" t="s">
        <v>29</v>
      </c>
      <c r="P336" s="13">
        <v>215</v>
      </c>
      <c r="Q336" s="8"/>
      <c r="R336">
        <v>12.9</v>
      </c>
      <c r="S336">
        <v>2146.69</v>
      </c>
      <c r="T336">
        <v>3.96</v>
      </c>
      <c r="W336" s="317">
        <v>3.9</v>
      </c>
      <c r="X336" s="190">
        <f t="shared" si="7"/>
        <v>33.15</v>
      </c>
      <c r="Y336" s="8"/>
      <c r="Z336" s="8"/>
    </row>
    <row r="337" spans="1:26" ht="12.75" customHeight="1" x14ac:dyDescent="0.2">
      <c r="A337" s="11">
        <v>36</v>
      </c>
      <c r="B337" s="11">
        <v>2014</v>
      </c>
      <c r="C337" s="11">
        <v>3</v>
      </c>
      <c r="D337" s="11">
        <v>8</v>
      </c>
      <c r="E337" s="11" t="s">
        <v>29</v>
      </c>
      <c r="F337" s="11" t="s">
        <v>29</v>
      </c>
      <c r="G337" s="11" t="s">
        <v>29</v>
      </c>
      <c r="H337" s="11" t="s">
        <v>29</v>
      </c>
      <c r="I337" s="9" t="s">
        <v>29</v>
      </c>
      <c r="J337" s="11" t="s">
        <v>19</v>
      </c>
      <c r="K337" s="5" t="s">
        <v>41</v>
      </c>
      <c r="L337" s="11" t="s">
        <v>29</v>
      </c>
      <c r="M337" s="11" t="s">
        <v>29</v>
      </c>
      <c r="N337" s="11" t="s">
        <v>43</v>
      </c>
      <c r="O337" s="11" t="s">
        <v>29</v>
      </c>
      <c r="P337" s="13">
        <v>215</v>
      </c>
      <c r="Q337" s="8"/>
      <c r="W337" s="8"/>
      <c r="X337" s="8"/>
      <c r="Y337" s="8"/>
      <c r="Z337" s="8"/>
    </row>
    <row r="338" spans="1:26" ht="12.75" customHeight="1" x14ac:dyDescent="0.2">
      <c r="A338" s="11">
        <v>35</v>
      </c>
      <c r="B338" s="11">
        <v>2014</v>
      </c>
      <c r="C338" s="11">
        <v>3</v>
      </c>
      <c r="D338" s="11">
        <v>8</v>
      </c>
      <c r="E338" s="11" t="s">
        <v>29</v>
      </c>
      <c r="F338" s="11" t="s">
        <v>29</v>
      </c>
      <c r="G338" s="11" t="s">
        <v>29</v>
      </c>
      <c r="H338" s="11" t="s">
        <v>29</v>
      </c>
      <c r="I338" s="9" t="s">
        <v>29</v>
      </c>
      <c r="J338" s="11" t="s">
        <v>19</v>
      </c>
      <c r="K338" s="11" t="s">
        <v>20</v>
      </c>
      <c r="L338" s="11" t="s">
        <v>21</v>
      </c>
      <c r="M338" s="11" t="s">
        <v>29</v>
      </c>
      <c r="N338" s="11" t="s">
        <v>25</v>
      </c>
      <c r="O338" s="11" t="s">
        <v>29</v>
      </c>
      <c r="P338" s="13">
        <v>215</v>
      </c>
      <c r="Q338" s="8"/>
      <c r="W338" s="317">
        <v>3.9</v>
      </c>
      <c r="X338" s="190"/>
      <c r="Y338" s="8"/>
      <c r="Z338" s="8"/>
    </row>
    <row r="339" spans="1:26" ht="12.75" customHeight="1" x14ac:dyDescent="0.2">
      <c r="A339" s="11">
        <v>34</v>
      </c>
      <c r="B339" s="11">
        <v>2014</v>
      </c>
      <c r="C339" s="11">
        <v>3</v>
      </c>
      <c r="D339" s="11">
        <v>8</v>
      </c>
      <c r="E339" s="11" t="s">
        <v>29</v>
      </c>
      <c r="F339" s="11" t="s">
        <v>29</v>
      </c>
      <c r="G339" s="11" t="s">
        <v>29</v>
      </c>
      <c r="H339" s="11">
        <v>118</v>
      </c>
      <c r="I339" s="9">
        <v>8.5</v>
      </c>
      <c r="J339" s="11" t="s">
        <v>19</v>
      </c>
      <c r="K339" s="11" t="s">
        <v>20</v>
      </c>
      <c r="L339" s="11" t="s">
        <v>21</v>
      </c>
      <c r="M339" s="11" t="s">
        <v>29</v>
      </c>
      <c r="N339" s="11" t="s">
        <v>33</v>
      </c>
      <c r="O339" s="11" t="s">
        <v>29</v>
      </c>
      <c r="P339" s="13">
        <v>215</v>
      </c>
      <c r="Q339" s="8"/>
      <c r="R339">
        <v>11.8</v>
      </c>
      <c r="S339">
        <v>1643.03</v>
      </c>
      <c r="T339">
        <v>5.17</v>
      </c>
      <c r="W339" s="317">
        <v>3.9</v>
      </c>
      <c r="X339" s="190">
        <f t="shared" ref="X339:X371" si="8">I339*W339</f>
        <v>33.15</v>
      </c>
      <c r="Y339" s="8"/>
      <c r="Z339" s="8"/>
    </row>
    <row r="340" spans="1:26" ht="12.75" customHeight="1" x14ac:dyDescent="0.2">
      <c r="A340" s="11">
        <v>33</v>
      </c>
      <c r="B340" s="11">
        <v>2014</v>
      </c>
      <c r="C340" s="11">
        <v>3</v>
      </c>
      <c r="D340" s="11">
        <v>8</v>
      </c>
      <c r="E340" s="11" t="s">
        <v>29</v>
      </c>
      <c r="F340" s="11" t="s">
        <v>29</v>
      </c>
      <c r="G340" s="11" t="s">
        <v>29</v>
      </c>
      <c r="H340" s="11">
        <v>129</v>
      </c>
      <c r="I340" s="9">
        <v>8.5</v>
      </c>
      <c r="J340" s="11" t="s">
        <v>19</v>
      </c>
      <c r="K340" s="11" t="s">
        <v>20</v>
      </c>
      <c r="L340" s="11" t="s">
        <v>21</v>
      </c>
      <c r="M340" s="11" t="s">
        <v>29</v>
      </c>
      <c r="N340" s="11" t="s">
        <v>24</v>
      </c>
      <c r="O340" s="11" t="s">
        <v>29</v>
      </c>
      <c r="P340" s="13">
        <v>215</v>
      </c>
      <c r="Q340" s="8"/>
      <c r="R340">
        <v>12.9</v>
      </c>
      <c r="S340">
        <v>2146.69</v>
      </c>
      <c r="T340">
        <v>3.96</v>
      </c>
      <c r="W340" s="317">
        <v>3.9</v>
      </c>
      <c r="X340" s="190">
        <f t="shared" si="8"/>
        <v>33.15</v>
      </c>
      <c r="Y340" s="8"/>
      <c r="Z340" s="8"/>
    </row>
    <row r="341" spans="1:26" ht="12.75" customHeight="1" x14ac:dyDescent="0.2">
      <c r="A341" s="11">
        <v>32</v>
      </c>
      <c r="B341" s="11">
        <v>2014</v>
      </c>
      <c r="C341" s="11">
        <v>3</v>
      </c>
      <c r="D341" s="11">
        <v>8</v>
      </c>
      <c r="E341" s="11" t="s">
        <v>29</v>
      </c>
      <c r="F341" s="11" t="s">
        <v>29</v>
      </c>
      <c r="G341" s="11" t="s">
        <v>29</v>
      </c>
      <c r="H341" s="11">
        <v>145</v>
      </c>
      <c r="I341" s="9">
        <v>11.5</v>
      </c>
      <c r="J341" s="11" t="s">
        <v>19</v>
      </c>
      <c r="K341" s="11" t="s">
        <v>20</v>
      </c>
      <c r="L341" s="11" t="s">
        <v>21</v>
      </c>
      <c r="M341" s="11" t="s">
        <v>29</v>
      </c>
      <c r="N341" s="11" t="s">
        <v>24</v>
      </c>
      <c r="O341" s="11" t="s">
        <v>29</v>
      </c>
      <c r="P341" s="13">
        <v>215</v>
      </c>
      <c r="Q341" s="8"/>
      <c r="R341">
        <v>14.5</v>
      </c>
      <c r="S341">
        <v>3048.63</v>
      </c>
      <c r="T341">
        <v>3.77</v>
      </c>
      <c r="W341" s="317">
        <v>3.9</v>
      </c>
      <c r="X341" s="190">
        <f t="shared" si="8"/>
        <v>44.85</v>
      </c>
      <c r="Y341" s="8"/>
      <c r="Z341" s="8"/>
    </row>
    <row r="342" spans="1:26" ht="12.75" customHeight="1" x14ac:dyDescent="0.2">
      <c r="A342" s="11">
        <v>31</v>
      </c>
      <c r="B342" s="11">
        <v>2014</v>
      </c>
      <c r="C342" s="11">
        <v>3</v>
      </c>
      <c r="D342" s="11">
        <v>8</v>
      </c>
      <c r="E342" s="11" t="s">
        <v>29</v>
      </c>
      <c r="F342" s="11" t="s">
        <v>29</v>
      </c>
      <c r="G342" s="11" t="s">
        <v>29</v>
      </c>
      <c r="H342" s="11">
        <v>126</v>
      </c>
      <c r="I342" s="9">
        <v>7.5</v>
      </c>
      <c r="J342" s="11" t="s">
        <v>19</v>
      </c>
      <c r="K342" s="11" t="s">
        <v>20</v>
      </c>
      <c r="L342" s="11" t="s">
        <v>21</v>
      </c>
      <c r="M342" s="11" t="s">
        <v>29</v>
      </c>
      <c r="N342" s="11" t="s">
        <v>24</v>
      </c>
      <c r="O342" s="11" t="s">
        <v>29</v>
      </c>
      <c r="P342" s="13">
        <v>215</v>
      </c>
      <c r="Q342" s="8"/>
      <c r="R342">
        <v>12.6</v>
      </c>
      <c r="S342">
        <v>2000.38</v>
      </c>
      <c r="T342">
        <v>3.75</v>
      </c>
      <c r="W342" s="317">
        <v>3.9</v>
      </c>
      <c r="X342" s="190">
        <f t="shared" si="8"/>
        <v>29.25</v>
      </c>
      <c r="Y342" s="8"/>
      <c r="Z342" s="8"/>
    </row>
    <row r="343" spans="1:26" ht="12.75" customHeight="1" x14ac:dyDescent="0.2">
      <c r="A343" s="11">
        <v>30</v>
      </c>
      <c r="B343" s="11">
        <v>2014</v>
      </c>
      <c r="C343" s="11">
        <v>3</v>
      </c>
      <c r="D343" s="11">
        <v>8</v>
      </c>
      <c r="E343" s="11" t="s">
        <v>29</v>
      </c>
      <c r="F343" s="11" t="s">
        <v>29</v>
      </c>
      <c r="G343" s="11" t="s">
        <v>29</v>
      </c>
      <c r="H343" s="11">
        <v>126</v>
      </c>
      <c r="I343" s="9">
        <v>11.5</v>
      </c>
      <c r="J343" s="11" t="s">
        <v>19</v>
      </c>
      <c r="K343" s="11" t="s">
        <v>20</v>
      </c>
      <c r="L343" s="11" t="s">
        <v>30</v>
      </c>
      <c r="M343" s="11" t="s">
        <v>29</v>
      </c>
      <c r="N343" s="11" t="s">
        <v>24</v>
      </c>
      <c r="O343" s="11" t="s">
        <v>29</v>
      </c>
      <c r="P343" s="13">
        <v>215</v>
      </c>
      <c r="Q343" s="8"/>
      <c r="R343">
        <v>12.6</v>
      </c>
      <c r="S343">
        <v>2000.38</v>
      </c>
      <c r="T343">
        <v>5.75</v>
      </c>
      <c r="W343" s="317">
        <v>4.5999999999999996</v>
      </c>
      <c r="X343" s="190">
        <f t="shared" si="8"/>
        <v>52.9</v>
      </c>
      <c r="Y343" s="8"/>
      <c r="Z343" s="8"/>
    </row>
    <row r="344" spans="1:26" ht="12.75" customHeight="1" x14ac:dyDescent="0.2">
      <c r="A344" s="11">
        <v>29</v>
      </c>
      <c r="B344" s="11">
        <v>2014</v>
      </c>
      <c r="C344" s="11">
        <v>3</v>
      </c>
      <c r="D344" s="11">
        <v>8</v>
      </c>
      <c r="E344" s="11" t="s">
        <v>29</v>
      </c>
      <c r="F344" s="11" t="s">
        <v>29</v>
      </c>
      <c r="G344" s="11" t="s">
        <v>29</v>
      </c>
      <c r="H344" s="11">
        <v>130</v>
      </c>
      <c r="I344" s="9">
        <v>6.5</v>
      </c>
      <c r="J344" s="11" t="s">
        <v>19</v>
      </c>
      <c r="K344" s="11" t="s">
        <v>20</v>
      </c>
      <c r="L344" s="11" t="s">
        <v>21</v>
      </c>
      <c r="M344" s="11" t="s">
        <v>29</v>
      </c>
      <c r="N344" s="11" t="s">
        <v>24</v>
      </c>
      <c r="O344" s="11" t="s">
        <v>29</v>
      </c>
      <c r="P344" s="13">
        <v>215</v>
      </c>
      <c r="Q344" s="8"/>
      <c r="R344">
        <v>13</v>
      </c>
      <c r="S344">
        <v>2197</v>
      </c>
      <c r="T344">
        <v>2.96</v>
      </c>
      <c r="W344" s="317">
        <v>3.9</v>
      </c>
      <c r="X344" s="190">
        <f t="shared" si="8"/>
        <v>25.349999999999998</v>
      </c>
      <c r="Y344" s="8"/>
      <c r="Z344" s="8"/>
    </row>
    <row r="345" spans="1:26" ht="12.75" customHeight="1" x14ac:dyDescent="0.2">
      <c r="A345" s="11">
        <v>28</v>
      </c>
      <c r="B345" s="11">
        <v>2014</v>
      </c>
      <c r="C345" s="11">
        <v>3</v>
      </c>
      <c r="D345" s="11">
        <v>8</v>
      </c>
      <c r="E345" s="11" t="s">
        <v>29</v>
      </c>
      <c r="F345" s="11" t="s">
        <v>29</v>
      </c>
      <c r="G345" s="11" t="s">
        <v>29</v>
      </c>
      <c r="H345" s="11">
        <v>150</v>
      </c>
      <c r="I345" s="9">
        <v>13.5</v>
      </c>
      <c r="J345" s="11" t="s">
        <v>19</v>
      </c>
      <c r="K345" s="11" t="s">
        <v>20</v>
      </c>
      <c r="L345" s="11" t="s">
        <v>21</v>
      </c>
      <c r="M345" s="11" t="s">
        <v>29</v>
      </c>
      <c r="N345" s="11" t="s">
        <v>24</v>
      </c>
      <c r="O345" s="11" t="s">
        <v>29</v>
      </c>
      <c r="P345" s="13">
        <v>215</v>
      </c>
      <c r="Q345" s="8"/>
      <c r="R345">
        <v>15</v>
      </c>
      <c r="S345">
        <v>3375</v>
      </c>
      <c r="T345">
        <v>4</v>
      </c>
      <c r="W345" s="317">
        <v>3.9</v>
      </c>
      <c r="X345" s="190">
        <f t="shared" si="8"/>
        <v>52.65</v>
      </c>
      <c r="Y345" s="8"/>
      <c r="Z345" s="8"/>
    </row>
    <row r="346" spans="1:26" ht="12.75" customHeight="1" x14ac:dyDescent="0.2">
      <c r="A346" s="11">
        <v>27</v>
      </c>
      <c r="B346" s="11">
        <v>2014</v>
      </c>
      <c r="C346" s="11">
        <v>3</v>
      </c>
      <c r="D346" s="11">
        <v>8</v>
      </c>
      <c r="E346" s="11" t="s">
        <v>29</v>
      </c>
      <c r="F346" s="11" t="s">
        <v>29</v>
      </c>
      <c r="G346" s="11" t="s">
        <v>29</v>
      </c>
      <c r="H346" s="11">
        <v>115</v>
      </c>
      <c r="I346" s="9">
        <v>6.5</v>
      </c>
      <c r="J346" s="11" t="s">
        <v>19</v>
      </c>
      <c r="K346" s="11" t="s">
        <v>20</v>
      </c>
      <c r="L346" s="11" t="s">
        <v>21</v>
      </c>
      <c r="M346" s="11" t="s">
        <v>29</v>
      </c>
      <c r="N346" s="11" t="s">
        <v>24</v>
      </c>
      <c r="O346" s="11" t="s">
        <v>29</v>
      </c>
      <c r="P346" s="13">
        <v>215</v>
      </c>
      <c r="Q346" s="8"/>
      <c r="R346">
        <v>11.5</v>
      </c>
      <c r="S346">
        <v>1520.88</v>
      </c>
      <c r="T346">
        <v>4.2699999999999996</v>
      </c>
      <c r="W346" s="317">
        <v>3.9</v>
      </c>
      <c r="X346" s="190">
        <f t="shared" si="8"/>
        <v>25.349999999999998</v>
      </c>
      <c r="Y346" s="8"/>
      <c r="Z346" s="8"/>
    </row>
    <row r="347" spans="1:26" ht="12.75" customHeight="1" x14ac:dyDescent="0.2">
      <c r="A347" s="11">
        <v>26</v>
      </c>
      <c r="B347" s="11">
        <v>2014</v>
      </c>
      <c r="C347" s="11">
        <v>3</v>
      </c>
      <c r="D347" s="11">
        <v>8</v>
      </c>
      <c r="E347" s="11" t="s">
        <v>29</v>
      </c>
      <c r="F347" s="11" t="s">
        <v>29</v>
      </c>
      <c r="G347" s="11" t="s">
        <v>29</v>
      </c>
      <c r="H347" s="11">
        <v>170</v>
      </c>
      <c r="I347" s="9">
        <v>13</v>
      </c>
      <c r="J347" s="11" t="s">
        <v>19</v>
      </c>
      <c r="K347" s="11" t="s">
        <v>20</v>
      </c>
      <c r="L347" s="11" t="s">
        <v>21</v>
      </c>
      <c r="M347" s="11" t="s">
        <v>29</v>
      </c>
      <c r="N347" s="11" t="s">
        <v>24</v>
      </c>
      <c r="O347" s="11" t="s">
        <v>29</v>
      </c>
      <c r="P347" s="13">
        <v>215</v>
      </c>
      <c r="Q347" s="8"/>
      <c r="R347">
        <v>17</v>
      </c>
      <c r="S347">
        <v>4913</v>
      </c>
      <c r="T347">
        <v>2.65</v>
      </c>
      <c r="W347" s="317">
        <v>3.9</v>
      </c>
      <c r="X347" s="190">
        <f t="shared" si="8"/>
        <v>50.699999999999996</v>
      </c>
      <c r="Y347" s="8"/>
      <c r="Z347" s="8"/>
    </row>
    <row r="348" spans="1:26" ht="12.75" customHeight="1" x14ac:dyDescent="0.2">
      <c r="A348" s="11">
        <v>25</v>
      </c>
      <c r="B348" s="11">
        <v>2014</v>
      </c>
      <c r="C348" s="11">
        <v>2</v>
      </c>
      <c r="D348" s="11">
        <v>8</v>
      </c>
      <c r="E348" s="11" t="s">
        <v>29</v>
      </c>
      <c r="F348" s="11" t="s">
        <v>29</v>
      </c>
      <c r="G348" s="11">
        <v>126</v>
      </c>
      <c r="H348" s="11" t="s">
        <v>29</v>
      </c>
      <c r="I348" s="9" t="s">
        <v>29</v>
      </c>
      <c r="J348" s="11" t="s">
        <v>19</v>
      </c>
      <c r="K348" s="11" t="s">
        <v>20</v>
      </c>
      <c r="L348" s="11" t="s">
        <v>21</v>
      </c>
      <c r="M348" s="11" t="s">
        <v>29</v>
      </c>
      <c r="N348" s="11" t="s">
        <v>25</v>
      </c>
      <c r="O348" s="11" t="s">
        <v>29</v>
      </c>
      <c r="P348" s="45">
        <v>214</v>
      </c>
      <c r="Q348" s="8"/>
      <c r="U348">
        <v>8.44</v>
      </c>
      <c r="V348">
        <v>117.56</v>
      </c>
      <c r="W348" s="317">
        <v>3.9</v>
      </c>
      <c r="X348" s="190"/>
      <c r="Y348" s="8"/>
      <c r="Z348" s="8"/>
    </row>
    <row r="349" spans="1:26" ht="12.75" customHeight="1" x14ac:dyDescent="0.2">
      <c r="A349" s="11">
        <v>24</v>
      </c>
      <c r="B349" s="11">
        <v>2014</v>
      </c>
      <c r="C349" s="11">
        <v>2</v>
      </c>
      <c r="D349" s="11">
        <v>8</v>
      </c>
      <c r="E349" s="11" t="s">
        <v>29</v>
      </c>
      <c r="F349" s="11" t="s">
        <v>29</v>
      </c>
      <c r="G349" s="11">
        <v>180</v>
      </c>
      <c r="H349" s="11" t="s">
        <v>29</v>
      </c>
      <c r="I349" s="9">
        <v>16</v>
      </c>
      <c r="J349" s="11" t="s">
        <v>19</v>
      </c>
      <c r="K349" s="11" t="s">
        <v>20</v>
      </c>
      <c r="L349" s="11" t="s">
        <v>21</v>
      </c>
      <c r="M349" s="11" t="s">
        <v>29</v>
      </c>
      <c r="N349" s="11" t="s">
        <v>23</v>
      </c>
      <c r="O349" s="11" t="s">
        <v>29</v>
      </c>
      <c r="P349" s="45">
        <v>214</v>
      </c>
      <c r="Q349" s="8"/>
      <c r="R349">
        <v>16.79</v>
      </c>
      <c r="S349">
        <v>4736.55</v>
      </c>
      <c r="T349">
        <v>3.38</v>
      </c>
      <c r="U349">
        <v>12.06</v>
      </c>
      <c r="V349">
        <v>167.94</v>
      </c>
      <c r="W349" s="317">
        <v>3.9</v>
      </c>
      <c r="X349" s="190">
        <f t="shared" si="8"/>
        <v>62.4</v>
      </c>
      <c r="Y349" s="8"/>
      <c r="Z349" s="8"/>
    </row>
    <row r="350" spans="1:26" ht="12.75" customHeight="1" x14ac:dyDescent="0.2">
      <c r="A350" s="11">
        <v>23</v>
      </c>
      <c r="B350" s="11">
        <v>2014</v>
      </c>
      <c r="C350" s="11">
        <v>2</v>
      </c>
      <c r="D350" s="11">
        <v>8</v>
      </c>
      <c r="E350" s="11" t="s">
        <v>29</v>
      </c>
      <c r="F350" s="11" t="s">
        <v>29</v>
      </c>
      <c r="G350" s="11">
        <v>145</v>
      </c>
      <c r="H350" s="11" t="s">
        <v>29</v>
      </c>
      <c r="I350" s="9">
        <v>9</v>
      </c>
      <c r="J350" s="11" t="s">
        <v>19</v>
      </c>
      <c r="K350" s="11" t="s">
        <v>20</v>
      </c>
      <c r="L350" s="11" t="s">
        <v>21</v>
      </c>
      <c r="M350" s="11" t="s">
        <v>29</v>
      </c>
      <c r="N350" s="11" t="s">
        <v>25</v>
      </c>
      <c r="O350" s="11" t="s">
        <v>29</v>
      </c>
      <c r="P350" s="45">
        <v>214</v>
      </c>
      <c r="Q350" s="8"/>
      <c r="R350">
        <v>13.53</v>
      </c>
      <c r="S350">
        <v>2475.9899999999998</v>
      </c>
      <c r="T350">
        <v>3.63</v>
      </c>
      <c r="U350">
        <v>9.7200000000000006</v>
      </c>
      <c r="V350">
        <v>135.29</v>
      </c>
      <c r="W350" s="317">
        <v>3.9</v>
      </c>
      <c r="X350" s="190">
        <f t="shared" si="8"/>
        <v>35.1</v>
      </c>
      <c r="Y350" s="8"/>
      <c r="Z350" s="8"/>
    </row>
    <row r="351" spans="1:26" ht="12.75" customHeight="1" x14ac:dyDescent="0.2">
      <c r="A351" s="11">
        <v>22</v>
      </c>
      <c r="B351" s="11">
        <v>2014</v>
      </c>
      <c r="C351" s="11">
        <v>2</v>
      </c>
      <c r="D351" s="11">
        <v>8</v>
      </c>
      <c r="E351" s="11" t="s">
        <v>29</v>
      </c>
      <c r="F351" s="11" t="s">
        <v>29</v>
      </c>
      <c r="G351" s="11">
        <v>160</v>
      </c>
      <c r="H351" s="11" t="s">
        <v>29</v>
      </c>
      <c r="I351" s="9">
        <v>10</v>
      </c>
      <c r="J351" s="11" t="s">
        <v>19</v>
      </c>
      <c r="K351" s="11" t="s">
        <v>20</v>
      </c>
      <c r="L351" s="11" t="s">
        <v>21</v>
      </c>
      <c r="M351" s="11" t="s">
        <v>29</v>
      </c>
      <c r="N351" s="11" t="s">
        <v>29</v>
      </c>
      <c r="O351" s="11" t="s">
        <v>29</v>
      </c>
      <c r="P351" s="45">
        <v>214</v>
      </c>
      <c r="Q351" s="8"/>
      <c r="R351">
        <v>14.93</v>
      </c>
      <c r="S351">
        <v>3326.63</v>
      </c>
      <c r="T351">
        <v>3.01</v>
      </c>
      <c r="U351">
        <v>10.72</v>
      </c>
      <c r="V351">
        <v>149.28</v>
      </c>
      <c r="W351" s="317">
        <v>3.9</v>
      </c>
      <c r="X351" s="190">
        <f t="shared" si="8"/>
        <v>39</v>
      </c>
      <c r="Y351" s="8"/>
      <c r="Z351" s="8"/>
    </row>
    <row r="352" spans="1:26" ht="12.75" customHeight="1" x14ac:dyDescent="0.2">
      <c r="A352" s="11">
        <v>21</v>
      </c>
      <c r="B352" s="11">
        <v>2014</v>
      </c>
      <c r="C352" s="11">
        <v>2</v>
      </c>
      <c r="D352" s="11">
        <v>8</v>
      </c>
      <c r="E352" s="11" t="s">
        <v>29</v>
      </c>
      <c r="F352" s="11" t="s">
        <v>29</v>
      </c>
      <c r="G352" s="11" t="s">
        <v>29</v>
      </c>
      <c r="H352" s="11" t="s">
        <v>29</v>
      </c>
      <c r="I352" s="9" t="s">
        <v>29</v>
      </c>
      <c r="J352" s="11" t="s">
        <v>19</v>
      </c>
      <c r="K352" s="11" t="s">
        <v>20</v>
      </c>
      <c r="L352" s="11" t="s">
        <v>21</v>
      </c>
      <c r="M352" s="11" t="s">
        <v>29</v>
      </c>
      <c r="N352" s="11" t="s">
        <v>25</v>
      </c>
      <c r="O352" s="11" t="s">
        <v>29</v>
      </c>
      <c r="P352" s="45">
        <v>214</v>
      </c>
      <c r="Q352" s="8"/>
      <c r="W352" s="317">
        <v>3.9</v>
      </c>
      <c r="X352" s="190"/>
      <c r="Y352" s="8"/>
      <c r="Z352" s="8"/>
    </row>
    <row r="353" spans="1:26" ht="12.75" customHeight="1" x14ac:dyDescent="0.2">
      <c r="A353" s="11">
        <v>20</v>
      </c>
      <c r="B353" s="11">
        <v>2014</v>
      </c>
      <c r="C353" s="11">
        <v>2</v>
      </c>
      <c r="D353" s="11">
        <v>8</v>
      </c>
      <c r="E353" s="11" t="s">
        <v>29</v>
      </c>
      <c r="F353" s="11" t="s">
        <v>29</v>
      </c>
      <c r="G353" s="11">
        <v>130</v>
      </c>
      <c r="H353" s="11" t="s">
        <v>29</v>
      </c>
      <c r="I353" s="9">
        <v>11</v>
      </c>
      <c r="J353" s="11" t="s">
        <v>19</v>
      </c>
      <c r="K353" s="11" t="s">
        <v>20</v>
      </c>
      <c r="L353" s="11" t="s">
        <v>30</v>
      </c>
      <c r="M353" s="11" t="s">
        <v>29</v>
      </c>
      <c r="N353" s="11" t="s">
        <v>25</v>
      </c>
      <c r="O353" s="11" t="s">
        <v>29</v>
      </c>
      <c r="P353" s="45">
        <v>214</v>
      </c>
      <c r="Q353" s="8"/>
      <c r="R353">
        <v>12.13</v>
      </c>
      <c r="S353">
        <v>1784.33</v>
      </c>
      <c r="T353">
        <v>6.16</v>
      </c>
      <c r="U353">
        <v>8.7100000000000009</v>
      </c>
      <c r="V353">
        <v>121.29</v>
      </c>
      <c r="W353" s="317">
        <v>4.5999999999999996</v>
      </c>
      <c r="X353" s="190">
        <f t="shared" si="8"/>
        <v>50.599999999999994</v>
      </c>
      <c r="Y353" s="8"/>
      <c r="Z353" s="8"/>
    </row>
    <row r="354" spans="1:26" ht="12.75" customHeight="1" x14ac:dyDescent="0.2">
      <c r="A354" s="11">
        <v>19</v>
      </c>
      <c r="B354" s="11">
        <v>2014</v>
      </c>
      <c r="C354" s="11">
        <v>2</v>
      </c>
      <c r="D354" s="11">
        <v>8</v>
      </c>
      <c r="E354" s="11" t="s">
        <v>29</v>
      </c>
      <c r="F354" s="11" t="s">
        <v>29</v>
      </c>
      <c r="G354" s="11">
        <v>167</v>
      </c>
      <c r="H354" s="11" t="s">
        <v>29</v>
      </c>
      <c r="I354" s="9">
        <v>14</v>
      </c>
      <c r="J354" s="11" t="s">
        <v>19</v>
      </c>
      <c r="K354" s="11" t="s">
        <v>20</v>
      </c>
      <c r="L354" s="11" t="s">
        <v>21</v>
      </c>
      <c r="M354" s="11" t="s">
        <v>29</v>
      </c>
      <c r="N354" s="11" t="s">
        <v>23</v>
      </c>
      <c r="O354" s="11" t="s">
        <v>29</v>
      </c>
      <c r="P354" s="45">
        <v>214</v>
      </c>
      <c r="Q354" s="8"/>
      <c r="R354">
        <v>15.58</v>
      </c>
      <c r="S354">
        <v>3782.63</v>
      </c>
      <c r="T354">
        <v>3.7</v>
      </c>
      <c r="U354">
        <v>11.19</v>
      </c>
      <c r="V354">
        <v>155.81</v>
      </c>
      <c r="W354" s="317">
        <v>3.9</v>
      </c>
      <c r="X354" s="190">
        <f t="shared" si="8"/>
        <v>54.6</v>
      </c>
      <c r="Y354" s="8"/>
      <c r="Z354" s="8"/>
    </row>
    <row r="355" spans="1:26" ht="12.75" customHeight="1" x14ac:dyDescent="0.2">
      <c r="A355" s="11">
        <v>18</v>
      </c>
      <c r="B355" s="11">
        <v>2014</v>
      </c>
      <c r="C355" s="11">
        <v>2</v>
      </c>
      <c r="D355" s="11">
        <v>8</v>
      </c>
      <c r="E355" s="11" t="s">
        <v>29</v>
      </c>
      <c r="F355" s="11" t="s">
        <v>29</v>
      </c>
      <c r="G355" s="11" t="s">
        <v>29</v>
      </c>
      <c r="H355" s="11" t="s">
        <v>29</v>
      </c>
      <c r="I355" s="9" t="s">
        <v>29</v>
      </c>
      <c r="J355" s="11" t="s">
        <v>19</v>
      </c>
      <c r="K355" s="11" t="s">
        <v>20</v>
      </c>
      <c r="L355" s="11" t="s">
        <v>21</v>
      </c>
      <c r="M355" s="11" t="s">
        <v>29</v>
      </c>
      <c r="N355" s="11" t="s">
        <v>44</v>
      </c>
      <c r="O355" s="11" t="s">
        <v>29</v>
      </c>
      <c r="P355" s="45">
        <v>214</v>
      </c>
      <c r="Q355" s="8"/>
      <c r="W355" s="317">
        <v>3.9</v>
      </c>
      <c r="X355" s="190"/>
      <c r="Y355" s="8"/>
      <c r="Z355" s="8"/>
    </row>
    <row r="356" spans="1:26" ht="12.75" customHeight="1" x14ac:dyDescent="0.2">
      <c r="A356" s="11">
        <v>17</v>
      </c>
      <c r="B356" s="11">
        <v>2014</v>
      </c>
      <c r="C356" s="11">
        <v>2</v>
      </c>
      <c r="D356" s="11">
        <v>8</v>
      </c>
      <c r="E356" s="11" t="s">
        <v>29</v>
      </c>
      <c r="F356" s="11" t="s">
        <v>29</v>
      </c>
      <c r="G356" s="11">
        <v>167</v>
      </c>
      <c r="H356" s="11" t="s">
        <v>29</v>
      </c>
      <c r="I356" s="9">
        <v>13</v>
      </c>
      <c r="J356" s="11" t="s">
        <v>19</v>
      </c>
      <c r="K356" s="11" t="s">
        <v>20</v>
      </c>
      <c r="L356" s="11" t="s">
        <v>21</v>
      </c>
      <c r="M356" s="11" t="s">
        <v>29</v>
      </c>
      <c r="N356" s="11" t="s">
        <v>25</v>
      </c>
      <c r="O356" s="11" t="s">
        <v>29</v>
      </c>
      <c r="P356" s="45">
        <v>214</v>
      </c>
      <c r="Q356" s="8"/>
      <c r="R356">
        <v>15.58</v>
      </c>
      <c r="S356">
        <v>3782.63</v>
      </c>
      <c r="T356">
        <v>3.44</v>
      </c>
      <c r="U356">
        <v>11.19</v>
      </c>
      <c r="V356">
        <v>155.81</v>
      </c>
      <c r="W356" s="317">
        <v>3.9</v>
      </c>
      <c r="X356" s="190">
        <f t="shared" si="8"/>
        <v>50.699999999999996</v>
      </c>
      <c r="Y356" s="8"/>
      <c r="Z356" s="8"/>
    </row>
    <row r="357" spans="1:26" ht="12.75" customHeight="1" x14ac:dyDescent="0.2">
      <c r="A357" s="11">
        <v>16</v>
      </c>
      <c r="B357" s="11">
        <v>2014</v>
      </c>
      <c r="C357" s="11">
        <v>2</v>
      </c>
      <c r="D357" s="11">
        <v>8</v>
      </c>
      <c r="E357" s="11" t="s">
        <v>29</v>
      </c>
      <c r="F357" s="11" t="s">
        <v>29</v>
      </c>
      <c r="G357" s="11">
        <v>140</v>
      </c>
      <c r="H357" s="11" t="s">
        <v>29</v>
      </c>
      <c r="I357" s="9">
        <v>14</v>
      </c>
      <c r="J357" s="11" t="s">
        <v>19</v>
      </c>
      <c r="K357" s="11" t="s">
        <v>20</v>
      </c>
      <c r="L357" s="11" t="s">
        <v>30</v>
      </c>
      <c r="M357" s="11" t="s">
        <v>29</v>
      </c>
      <c r="N357" s="11" t="s">
        <v>33</v>
      </c>
      <c r="O357" s="11" t="s">
        <v>29</v>
      </c>
      <c r="P357" s="45">
        <v>214</v>
      </c>
      <c r="Q357" s="8"/>
      <c r="R357">
        <v>13.06</v>
      </c>
      <c r="S357">
        <v>2228.58</v>
      </c>
      <c r="T357">
        <v>6.28</v>
      </c>
      <c r="U357">
        <v>9.3800000000000008</v>
      </c>
      <c r="V357">
        <v>130.62</v>
      </c>
      <c r="W357" s="317">
        <v>4.5999999999999996</v>
      </c>
      <c r="X357" s="190">
        <f t="shared" si="8"/>
        <v>64.399999999999991</v>
      </c>
      <c r="Y357" s="8"/>
      <c r="Z357" s="8"/>
    </row>
    <row r="358" spans="1:26" ht="12.75" customHeight="1" x14ac:dyDescent="0.2">
      <c r="A358" s="11">
        <v>15</v>
      </c>
      <c r="B358" s="11">
        <v>2014</v>
      </c>
      <c r="C358" s="11">
        <v>2</v>
      </c>
      <c r="D358" s="11">
        <v>8</v>
      </c>
      <c r="E358" s="11" t="s">
        <v>29</v>
      </c>
      <c r="F358" s="11" t="s">
        <v>29</v>
      </c>
      <c r="G358" s="11">
        <v>136</v>
      </c>
      <c r="H358" s="11" t="s">
        <v>29</v>
      </c>
      <c r="I358" s="9">
        <v>10</v>
      </c>
      <c r="J358" s="11" t="s">
        <v>19</v>
      </c>
      <c r="K358" s="11" t="s">
        <v>20</v>
      </c>
      <c r="L358" s="11" t="s">
        <v>21</v>
      </c>
      <c r="M358" s="11" t="s">
        <v>29</v>
      </c>
      <c r="N358" s="11" t="s">
        <v>24</v>
      </c>
      <c r="O358" s="11" t="s">
        <v>29</v>
      </c>
      <c r="P358" s="45">
        <v>214</v>
      </c>
      <c r="Q358" s="8"/>
      <c r="R358">
        <v>12.69</v>
      </c>
      <c r="S358">
        <v>2042.97</v>
      </c>
      <c r="T358">
        <v>4.8899999999999997</v>
      </c>
      <c r="U358">
        <v>9.11</v>
      </c>
      <c r="V358">
        <v>126.89</v>
      </c>
      <c r="W358" s="317">
        <v>3.9</v>
      </c>
      <c r="X358" s="190">
        <f t="shared" si="8"/>
        <v>39</v>
      </c>
      <c r="Y358" s="8"/>
      <c r="Z358" s="8"/>
    </row>
    <row r="359" spans="1:26" ht="12.75" customHeight="1" x14ac:dyDescent="0.2">
      <c r="A359" s="11">
        <v>14</v>
      </c>
      <c r="B359" s="11">
        <v>2014</v>
      </c>
      <c r="C359" s="11">
        <v>2</v>
      </c>
      <c r="D359" s="11">
        <v>8</v>
      </c>
      <c r="E359" s="11" t="s">
        <v>29</v>
      </c>
      <c r="F359" s="11" t="s">
        <v>29</v>
      </c>
      <c r="G359" s="11">
        <v>139</v>
      </c>
      <c r="H359" s="11" t="s">
        <v>29</v>
      </c>
      <c r="I359" s="9">
        <v>7</v>
      </c>
      <c r="J359" s="11" t="s">
        <v>19</v>
      </c>
      <c r="K359" s="11" t="s">
        <v>20</v>
      </c>
      <c r="L359" s="11" t="s">
        <v>21</v>
      </c>
      <c r="M359" s="11" t="s">
        <v>29</v>
      </c>
      <c r="N359" s="11" t="s">
        <v>25</v>
      </c>
      <c r="O359" s="11" t="s">
        <v>29</v>
      </c>
      <c r="P359" s="45">
        <v>214</v>
      </c>
      <c r="Q359" s="8"/>
      <c r="R359">
        <v>12.97</v>
      </c>
      <c r="S359">
        <v>2181.17</v>
      </c>
      <c r="T359">
        <v>3.21</v>
      </c>
      <c r="U359">
        <v>9.31</v>
      </c>
      <c r="V359">
        <v>129.69</v>
      </c>
      <c r="W359" s="317">
        <v>3.9</v>
      </c>
      <c r="X359" s="190">
        <f t="shared" si="8"/>
        <v>27.3</v>
      </c>
      <c r="Y359" s="8"/>
      <c r="Z359" s="8"/>
    </row>
    <row r="360" spans="1:26" ht="12.75" customHeight="1" x14ac:dyDescent="0.2">
      <c r="A360" s="11">
        <v>13</v>
      </c>
      <c r="B360" s="11">
        <v>2014</v>
      </c>
      <c r="C360" s="11">
        <v>2</v>
      </c>
      <c r="D360" s="11">
        <v>8</v>
      </c>
      <c r="E360" s="11" t="s">
        <v>29</v>
      </c>
      <c r="F360" s="11" t="s">
        <v>29</v>
      </c>
      <c r="G360" s="11" t="s">
        <v>29</v>
      </c>
      <c r="H360" s="11" t="s">
        <v>29</v>
      </c>
      <c r="I360" s="9" t="s">
        <v>29</v>
      </c>
      <c r="J360" s="11" t="s">
        <v>19</v>
      </c>
      <c r="K360" s="11" t="s">
        <v>20</v>
      </c>
      <c r="L360" s="11" t="s">
        <v>21</v>
      </c>
      <c r="M360" s="11" t="s">
        <v>29</v>
      </c>
      <c r="N360" s="11" t="s">
        <v>29</v>
      </c>
      <c r="O360" s="11" t="s">
        <v>29</v>
      </c>
      <c r="P360" s="45">
        <v>214</v>
      </c>
      <c r="Q360" s="8"/>
      <c r="W360" s="317">
        <v>3.9</v>
      </c>
      <c r="X360" s="190"/>
      <c r="Y360" s="8"/>
      <c r="Z360" s="8"/>
    </row>
    <row r="361" spans="1:26" ht="12.75" customHeight="1" x14ac:dyDescent="0.2">
      <c r="A361" s="11">
        <v>12</v>
      </c>
      <c r="B361" s="11">
        <v>2014</v>
      </c>
      <c r="C361" s="11">
        <v>2</v>
      </c>
      <c r="D361" s="11">
        <v>8</v>
      </c>
      <c r="E361" s="11" t="s">
        <v>29</v>
      </c>
      <c r="F361" s="11" t="s">
        <v>29</v>
      </c>
      <c r="G361" s="11">
        <v>165</v>
      </c>
      <c r="H361" s="11" t="s">
        <v>29</v>
      </c>
      <c r="I361" s="9">
        <v>13</v>
      </c>
      <c r="J361" s="11" t="s">
        <v>19</v>
      </c>
      <c r="K361" s="11" t="s">
        <v>20</v>
      </c>
      <c r="L361" s="11" t="s">
        <v>21</v>
      </c>
      <c r="M361" s="11" t="s">
        <v>29</v>
      </c>
      <c r="N361" s="11" t="s">
        <v>23</v>
      </c>
      <c r="O361" s="11" t="s">
        <v>29</v>
      </c>
      <c r="P361" s="45">
        <v>214</v>
      </c>
      <c r="Q361" s="8"/>
      <c r="R361">
        <v>15.39</v>
      </c>
      <c r="S361">
        <v>3648.35</v>
      </c>
      <c r="T361">
        <v>3.56</v>
      </c>
      <c r="U361">
        <v>11.06</v>
      </c>
      <c r="V361">
        <v>153.94999999999999</v>
      </c>
      <c r="W361" s="317">
        <v>3.9</v>
      </c>
      <c r="X361" s="190">
        <f t="shared" si="8"/>
        <v>50.699999999999996</v>
      </c>
      <c r="Y361" s="8"/>
      <c r="Z361" s="8"/>
    </row>
    <row r="362" spans="1:26" ht="12.75" customHeight="1" x14ac:dyDescent="0.2">
      <c r="A362" s="11">
        <v>11</v>
      </c>
      <c r="B362" s="11">
        <v>2014</v>
      </c>
      <c r="C362" s="11">
        <v>2</v>
      </c>
      <c r="D362" s="11">
        <v>8</v>
      </c>
      <c r="E362" s="11" t="s">
        <v>29</v>
      </c>
      <c r="F362" s="11" t="s">
        <v>29</v>
      </c>
      <c r="G362" s="11">
        <v>178</v>
      </c>
      <c r="H362" s="11" t="s">
        <v>29</v>
      </c>
      <c r="I362" s="9">
        <v>18</v>
      </c>
      <c r="J362" s="11" t="s">
        <v>19</v>
      </c>
      <c r="K362" s="11" t="s">
        <v>20</v>
      </c>
      <c r="L362" s="11" t="s">
        <v>21</v>
      </c>
      <c r="M362" s="11" t="s">
        <v>29</v>
      </c>
      <c r="N362" s="11" t="s">
        <v>24</v>
      </c>
      <c r="O362" s="11" t="s">
        <v>29</v>
      </c>
      <c r="P362" s="45">
        <v>214</v>
      </c>
      <c r="Q362" s="8"/>
      <c r="R362">
        <v>16.61</v>
      </c>
      <c r="S362">
        <v>4580.42</v>
      </c>
      <c r="T362">
        <v>3.93</v>
      </c>
      <c r="U362">
        <v>11.93</v>
      </c>
      <c r="V362">
        <v>166.07</v>
      </c>
      <c r="W362" s="317">
        <v>3.9</v>
      </c>
      <c r="X362" s="190">
        <f t="shared" si="8"/>
        <v>70.2</v>
      </c>
      <c r="Y362" s="8"/>
      <c r="Z362" s="8"/>
    </row>
    <row r="363" spans="1:26" ht="12.75" customHeight="1" x14ac:dyDescent="0.2">
      <c r="A363" s="11">
        <v>10</v>
      </c>
      <c r="B363" s="11">
        <v>2014</v>
      </c>
      <c r="C363" s="11">
        <v>2</v>
      </c>
      <c r="D363" s="11">
        <v>8</v>
      </c>
      <c r="E363" s="11" t="s">
        <v>29</v>
      </c>
      <c r="F363" s="11" t="s">
        <v>29</v>
      </c>
      <c r="G363" s="11">
        <v>165</v>
      </c>
      <c r="H363" s="11" t="s">
        <v>29</v>
      </c>
      <c r="I363" s="9">
        <v>13</v>
      </c>
      <c r="J363" s="11" t="s">
        <v>19</v>
      </c>
      <c r="K363" s="11" t="s">
        <v>20</v>
      </c>
      <c r="L363" s="11" t="s">
        <v>21</v>
      </c>
      <c r="M363" s="11" t="s">
        <v>29</v>
      </c>
      <c r="N363" s="11" t="s">
        <v>33</v>
      </c>
      <c r="O363" s="11" t="s">
        <v>29</v>
      </c>
      <c r="P363" s="45">
        <v>214</v>
      </c>
      <c r="Q363" s="8"/>
      <c r="R363">
        <v>15.39</v>
      </c>
      <c r="S363">
        <v>3648.35</v>
      </c>
      <c r="T363">
        <v>3.56</v>
      </c>
      <c r="U363">
        <v>11.06</v>
      </c>
      <c r="V363">
        <v>153.94999999999999</v>
      </c>
      <c r="W363" s="317">
        <v>3.9</v>
      </c>
      <c r="X363" s="190">
        <f t="shared" si="8"/>
        <v>50.699999999999996</v>
      </c>
      <c r="Y363" s="8"/>
      <c r="Z363" s="8"/>
    </row>
    <row r="364" spans="1:26" ht="12.75" customHeight="1" x14ac:dyDescent="0.2">
      <c r="A364" s="11">
        <v>9</v>
      </c>
      <c r="B364" s="11">
        <v>2014</v>
      </c>
      <c r="C364" s="11">
        <v>2</v>
      </c>
      <c r="D364" s="11">
        <v>8</v>
      </c>
      <c r="E364" s="11" t="s">
        <v>29</v>
      </c>
      <c r="F364" s="11" t="s">
        <v>29</v>
      </c>
      <c r="G364" s="11">
        <v>137</v>
      </c>
      <c r="H364" s="11" t="s">
        <v>29</v>
      </c>
      <c r="I364" s="9">
        <v>7.5</v>
      </c>
      <c r="J364" s="11" t="s">
        <v>19</v>
      </c>
      <c r="K364" s="11" t="s">
        <v>20</v>
      </c>
      <c r="L364" s="11" t="s">
        <v>21</v>
      </c>
      <c r="M364" s="11" t="s">
        <v>29</v>
      </c>
      <c r="N364" s="11" t="s">
        <v>23</v>
      </c>
      <c r="O364" s="11" t="s">
        <v>29</v>
      </c>
      <c r="P364" s="45">
        <v>214</v>
      </c>
      <c r="Q364" s="8"/>
      <c r="R364">
        <v>12.78</v>
      </c>
      <c r="S364">
        <v>2088.37</v>
      </c>
      <c r="T364">
        <v>3.59</v>
      </c>
      <c r="U364">
        <v>9.18</v>
      </c>
      <c r="V364">
        <v>127.82</v>
      </c>
      <c r="W364" s="317">
        <v>3.9</v>
      </c>
      <c r="X364" s="190">
        <f t="shared" si="8"/>
        <v>29.25</v>
      </c>
      <c r="Y364" s="8"/>
      <c r="Z364" s="8"/>
    </row>
    <row r="365" spans="1:26" ht="12.75" customHeight="1" x14ac:dyDescent="0.2">
      <c r="A365" s="11">
        <v>8</v>
      </c>
      <c r="B365" s="11">
        <v>2014</v>
      </c>
      <c r="C365" s="11">
        <v>2</v>
      </c>
      <c r="D365" s="11">
        <v>8</v>
      </c>
      <c r="E365" s="11" t="s">
        <v>29</v>
      </c>
      <c r="F365" s="11" t="s">
        <v>29</v>
      </c>
      <c r="G365" s="11">
        <v>135</v>
      </c>
      <c r="H365" s="11" t="s">
        <v>29</v>
      </c>
      <c r="I365" s="9">
        <v>9.4</v>
      </c>
      <c r="J365" s="11" t="s">
        <v>19</v>
      </c>
      <c r="K365" s="11" t="s">
        <v>20</v>
      </c>
      <c r="L365" s="11" t="s">
        <v>21</v>
      </c>
      <c r="M365" s="11" t="s">
        <v>29</v>
      </c>
      <c r="N365" s="11" t="s">
        <v>25</v>
      </c>
      <c r="O365" s="11" t="s">
        <v>29</v>
      </c>
      <c r="P365" s="45">
        <v>214</v>
      </c>
      <c r="Q365" s="8"/>
      <c r="R365">
        <v>12.6</v>
      </c>
      <c r="S365">
        <v>1998.23</v>
      </c>
      <c r="T365">
        <v>4.7</v>
      </c>
      <c r="U365">
        <v>9.0500000000000007</v>
      </c>
      <c r="V365">
        <v>125.96</v>
      </c>
      <c r="W365" s="317">
        <v>3.9</v>
      </c>
      <c r="X365" s="190">
        <f t="shared" si="8"/>
        <v>36.660000000000004</v>
      </c>
      <c r="Y365" s="8"/>
      <c r="Z365" s="8"/>
    </row>
    <row r="366" spans="1:26" ht="12.75" customHeight="1" x14ac:dyDescent="0.2">
      <c r="A366" s="11">
        <v>7</v>
      </c>
      <c r="B366" s="11">
        <v>2014</v>
      </c>
      <c r="C366" s="11">
        <v>2</v>
      </c>
      <c r="D366" s="11">
        <v>8</v>
      </c>
      <c r="E366" s="11" t="s">
        <v>29</v>
      </c>
      <c r="F366" s="11" t="s">
        <v>29</v>
      </c>
      <c r="G366" s="11">
        <v>156</v>
      </c>
      <c r="H366" s="11" t="s">
        <v>29</v>
      </c>
      <c r="I366" s="9">
        <v>11.4</v>
      </c>
      <c r="J366" s="11" t="s">
        <v>19</v>
      </c>
      <c r="K366" s="11" t="s">
        <v>20</v>
      </c>
      <c r="L366" s="11" t="s">
        <v>21</v>
      </c>
      <c r="M366" s="11" t="s">
        <v>29</v>
      </c>
      <c r="N366" s="11" t="s">
        <v>23</v>
      </c>
      <c r="O366" s="11" t="s">
        <v>29</v>
      </c>
      <c r="P366" s="45">
        <v>214</v>
      </c>
      <c r="Q366" s="8"/>
      <c r="R366">
        <v>14.55</v>
      </c>
      <c r="S366">
        <v>3083.32</v>
      </c>
      <c r="T366">
        <v>3.7</v>
      </c>
      <c r="U366">
        <v>10.45</v>
      </c>
      <c r="V366">
        <v>145.55000000000001</v>
      </c>
      <c r="W366" s="317">
        <v>3.9</v>
      </c>
      <c r="X366" s="190">
        <f t="shared" si="8"/>
        <v>44.46</v>
      </c>
      <c r="Y366" s="8"/>
      <c r="Z366" s="8"/>
    </row>
    <row r="367" spans="1:26" ht="12.75" customHeight="1" x14ac:dyDescent="0.2">
      <c r="A367" s="11">
        <v>6</v>
      </c>
      <c r="B367" s="11">
        <v>2014</v>
      </c>
      <c r="C367" s="11">
        <v>2</v>
      </c>
      <c r="D367" s="11">
        <v>8</v>
      </c>
      <c r="E367" s="11" t="s">
        <v>29</v>
      </c>
      <c r="F367" s="11" t="s">
        <v>29</v>
      </c>
      <c r="G367" s="11">
        <v>134</v>
      </c>
      <c r="H367" s="11" t="s">
        <v>29</v>
      </c>
      <c r="I367" s="9">
        <v>8</v>
      </c>
      <c r="J367" s="11" t="s">
        <v>19</v>
      </c>
      <c r="K367" s="11" t="s">
        <v>20</v>
      </c>
      <c r="L367" s="11" t="s">
        <v>21</v>
      </c>
      <c r="M367" s="11" t="s">
        <v>29</v>
      </c>
      <c r="N367" s="11" t="s">
        <v>33</v>
      </c>
      <c r="O367" s="11" t="s">
        <v>29</v>
      </c>
      <c r="P367" s="45">
        <v>214</v>
      </c>
      <c r="Q367" s="8"/>
      <c r="R367">
        <v>12.5</v>
      </c>
      <c r="S367">
        <v>1954.16</v>
      </c>
      <c r="T367">
        <v>4.09</v>
      </c>
      <c r="U367">
        <v>8.98</v>
      </c>
      <c r="V367">
        <v>125.02</v>
      </c>
      <c r="W367" s="317">
        <v>3.9</v>
      </c>
      <c r="X367" s="190">
        <f t="shared" si="8"/>
        <v>31.2</v>
      </c>
      <c r="Y367" s="8"/>
      <c r="Z367" s="8"/>
    </row>
    <row r="368" spans="1:26" ht="12.75" customHeight="1" x14ac:dyDescent="0.2">
      <c r="A368" s="11">
        <v>5</v>
      </c>
      <c r="B368" s="11">
        <v>2014</v>
      </c>
      <c r="C368" s="11">
        <v>2</v>
      </c>
      <c r="D368" s="11">
        <v>8</v>
      </c>
      <c r="E368" s="11" t="s">
        <v>29</v>
      </c>
      <c r="F368" s="11" t="s">
        <v>29</v>
      </c>
      <c r="G368" s="11">
        <v>136</v>
      </c>
      <c r="H368" s="11" t="s">
        <v>29</v>
      </c>
      <c r="I368" s="9">
        <v>8</v>
      </c>
      <c r="J368" s="11" t="s">
        <v>19</v>
      </c>
      <c r="K368" s="11" t="s">
        <v>20</v>
      </c>
      <c r="L368" s="11" t="s">
        <v>21</v>
      </c>
      <c r="M368" s="11" t="s">
        <v>29</v>
      </c>
      <c r="N368" s="11" t="s">
        <v>24</v>
      </c>
      <c r="O368" s="11" t="s">
        <v>29</v>
      </c>
      <c r="P368" s="45">
        <v>214</v>
      </c>
      <c r="Q368" s="8"/>
      <c r="R368">
        <v>12.69</v>
      </c>
      <c r="S368">
        <v>2042.97</v>
      </c>
      <c r="T368">
        <v>3.92</v>
      </c>
      <c r="U368">
        <v>9.11</v>
      </c>
      <c r="V368">
        <v>126.89</v>
      </c>
      <c r="W368" s="317">
        <v>3.9</v>
      </c>
      <c r="X368" s="190">
        <f t="shared" si="8"/>
        <v>31.2</v>
      </c>
      <c r="Y368" s="8"/>
      <c r="Z368" s="8"/>
    </row>
    <row r="369" spans="1:26" ht="12.75" customHeight="1" x14ac:dyDescent="0.2">
      <c r="A369" s="11">
        <v>4</v>
      </c>
      <c r="B369" s="11">
        <v>2014</v>
      </c>
      <c r="C369" s="11">
        <v>2</v>
      </c>
      <c r="D369" s="11">
        <v>8</v>
      </c>
      <c r="E369" s="11" t="s">
        <v>29</v>
      </c>
      <c r="F369" s="11" t="s">
        <v>29</v>
      </c>
      <c r="G369" s="11">
        <v>130</v>
      </c>
      <c r="H369" s="11" t="s">
        <v>29</v>
      </c>
      <c r="I369" s="9">
        <v>7.3</v>
      </c>
      <c r="J369" s="11" t="s">
        <v>19</v>
      </c>
      <c r="K369" s="11" t="s">
        <v>20</v>
      </c>
      <c r="L369" s="11" t="s">
        <v>21</v>
      </c>
      <c r="M369" s="11" t="s">
        <v>29</v>
      </c>
      <c r="N369" s="11" t="s">
        <v>24</v>
      </c>
      <c r="O369" s="11" t="s">
        <v>29</v>
      </c>
      <c r="P369" s="45">
        <v>214</v>
      </c>
      <c r="Q369" s="8"/>
      <c r="R369">
        <v>12.13</v>
      </c>
      <c r="S369">
        <v>1784.33</v>
      </c>
      <c r="T369">
        <v>4.09</v>
      </c>
      <c r="U369">
        <v>8.7100000000000009</v>
      </c>
      <c r="V369">
        <v>121.29</v>
      </c>
      <c r="W369" s="317">
        <v>3.9</v>
      </c>
      <c r="X369" s="190">
        <f t="shared" si="8"/>
        <v>28.47</v>
      </c>
      <c r="Y369" s="8"/>
      <c r="Z369" s="8"/>
    </row>
    <row r="370" spans="1:26" ht="12.75" customHeight="1" x14ac:dyDescent="0.2">
      <c r="A370" s="11">
        <v>3</v>
      </c>
      <c r="B370" s="11">
        <v>2014</v>
      </c>
      <c r="C370" s="11">
        <v>2</v>
      </c>
      <c r="D370" s="11">
        <v>8</v>
      </c>
      <c r="E370" s="11" t="s">
        <v>29</v>
      </c>
      <c r="F370" s="11" t="s">
        <v>29</v>
      </c>
      <c r="G370" s="11">
        <v>140</v>
      </c>
      <c r="H370" s="11" t="s">
        <v>29</v>
      </c>
      <c r="I370" s="9">
        <v>6.8</v>
      </c>
      <c r="J370" s="11" t="s">
        <v>19</v>
      </c>
      <c r="K370" s="11" t="s">
        <v>20</v>
      </c>
      <c r="L370" s="11" t="s">
        <v>21</v>
      </c>
      <c r="M370" s="11" t="s">
        <v>29</v>
      </c>
      <c r="N370" s="11" t="s">
        <v>25</v>
      </c>
      <c r="O370" s="11" t="s">
        <v>29</v>
      </c>
      <c r="P370" s="45">
        <v>214</v>
      </c>
      <c r="Q370" s="8"/>
      <c r="R370">
        <v>13.06</v>
      </c>
      <c r="S370">
        <v>2228.58</v>
      </c>
      <c r="T370">
        <v>3.05</v>
      </c>
      <c r="U370">
        <v>9.3800000000000008</v>
      </c>
      <c r="V370">
        <v>130.62</v>
      </c>
      <c r="W370" s="317">
        <v>3.9</v>
      </c>
      <c r="X370" s="190">
        <f t="shared" si="8"/>
        <v>26.52</v>
      </c>
      <c r="Y370" s="8"/>
      <c r="Z370" s="8"/>
    </row>
    <row r="371" spans="1:26" ht="12.75" customHeight="1" x14ac:dyDescent="0.2">
      <c r="A371" s="11">
        <v>2</v>
      </c>
      <c r="B371" s="11">
        <v>2014</v>
      </c>
      <c r="C371" s="11">
        <v>2</v>
      </c>
      <c r="D371" s="11">
        <v>8</v>
      </c>
      <c r="E371" s="11" t="s">
        <v>29</v>
      </c>
      <c r="F371" s="11" t="s">
        <v>29</v>
      </c>
      <c r="G371" s="11">
        <v>130</v>
      </c>
      <c r="H371" s="11" t="s">
        <v>29</v>
      </c>
      <c r="I371" s="9">
        <v>6.9</v>
      </c>
      <c r="J371" s="11" t="s">
        <v>19</v>
      </c>
      <c r="K371" s="11" t="s">
        <v>20</v>
      </c>
      <c r="L371" s="11" t="s">
        <v>21</v>
      </c>
      <c r="M371" s="11" t="s">
        <v>29</v>
      </c>
      <c r="N371" s="11" t="s">
        <v>25</v>
      </c>
      <c r="O371" s="11" t="s">
        <v>29</v>
      </c>
      <c r="P371" s="45">
        <v>214</v>
      </c>
      <c r="Q371" s="8"/>
      <c r="R371">
        <v>12.13</v>
      </c>
      <c r="S371">
        <v>1784.33</v>
      </c>
      <c r="T371">
        <v>3.87</v>
      </c>
      <c r="U371">
        <v>8.7100000000000009</v>
      </c>
      <c r="V371">
        <v>121.29</v>
      </c>
      <c r="W371" s="317">
        <v>3.9</v>
      </c>
      <c r="X371" s="190">
        <f t="shared" si="8"/>
        <v>26.91</v>
      </c>
      <c r="Y371" s="8"/>
      <c r="Z371" s="8"/>
    </row>
    <row r="372" spans="1:26" ht="12.75" customHeight="1" x14ac:dyDescent="0.2">
      <c r="A372" s="11">
        <v>1</v>
      </c>
      <c r="B372" s="11">
        <v>2014</v>
      </c>
      <c r="C372" s="11">
        <v>2</v>
      </c>
      <c r="D372" s="11">
        <v>8</v>
      </c>
      <c r="E372" s="11" t="s">
        <v>17</v>
      </c>
      <c r="F372" s="11" t="s">
        <v>17</v>
      </c>
      <c r="G372" s="11">
        <v>169</v>
      </c>
      <c r="H372" s="5" t="s">
        <v>29</v>
      </c>
      <c r="I372" s="5" t="s">
        <v>29</v>
      </c>
      <c r="J372" s="5" t="s">
        <v>19</v>
      </c>
      <c r="K372" s="5" t="s">
        <v>20</v>
      </c>
      <c r="L372" s="11" t="s">
        <v>17</v>
      </c>
      <c r="M372" s="11" t="s">
        <v>17</v>
      </c>
      <c r="N372" s="11"/>
      <c r="O372" s="11" t="s">
        <v>29</v>
      </c>
      <c r="P372" s="45">
        <v>214</v>
      </c>
      <c r="Q372" s="8"/>
      <c r="R372">
        <v>15.77</v>
      </c>
      <c r="S372">
        <v>3920.17</v>
      </c>
      <c r="U372">
        <v>11.32</v>
      </c>
      <c r="V372">
        <v>157.68</v>
      </c>
      <c r="W372" s="8"/>
      <c r="X372" s="8"/>
      <c r="Y372" s="8"/>
      <c r="Z372" s="8"/>
    </row>
    <row r="373" spans="1:26" ht="12.75" customHeight="1" x14ac:dyDescent="0.2">
      <c r="A373" s="11">
        <v>1</v>
      </c>
      <c r="B373" s="11">
        <v>2013</v>
      </c>
      <c r="C373" s="11">
        <v>30</v>
      </c>
      <c r="D373" s="11">
        <v>7</v>
      </c>
      <c r="E373" s="14">
        <v>0.58333333333333337</v>
      </c>
      <c r="F373" s="11" t="s">
        <v>18</v>
      </c>
      <c r="G373" s="15">
        <v>143</v>
      </c>
      <c r="H373" s="15" t="s">
        <v>29</v>
      </c>
      <c r="I373" s="15">
        <v>10</v>
      </c>
      <c r="J373" s="11" t="s">
        <v>19</v>
      </c>
      <c r="K373" s="11" t="s">
        <v>20</v>
      </c>
      <c r="L373" s="11" t="s">
        <v>30</v>
      </c>
      <c r="M373" s="11" t="s">
        <v>45</v>
      </c>
      <c r="N373" s="11" t="s">
        <v>24</v>
      </c>
      <c r="O373" s="16" t="s">
        <v>29</v>
      </c>
      <c r="P373" s="11">
        <v>211</v>
      </c>
      <c r="Q373" s="8"/>
      <c r="R373">
        <v>13.34</v>
      </c>
      <c r="S373">
        <v>2374.94</v>
      </c>
      <c r="T373">
        <v>4.21</v>
      </c>
      <c r="U373">
        <v>9.58</v>
      </c>
      <c r="V373">
        <v>133</v>
      </c>
      <c r="W373" s="317">
        <v>4.5999999999999996</v>
      </c>
      <c r="X373" s="190">
        <f t="shared" ref="X373:X381" si="9">I373*W373</f>
        <v>46</v>
      </c>
      <c r="Y373" s="8"/>
      <c r="Z373" s="8"/>
    </row>
    <row r="374" spans="1:26" ht="12.75" customHeight="1" x14ac:dyDescent="0.2">
      <c r="A374" s="11">
        <v>2</v>
      </c>
      <c r="B374" s="11">
        <v>2013</v>
      </c>
      <c r="C374" s="11">
        <v>30</v>
      </c>
      <c r="D374" s="11">
        <v>7</v>
      </c>
      <c r="E374" s="14">
        <v>0.58333333333333337</v>
      </c>
      <c r="F374" s="11" t="s">
        <v>18</v>
      </c>
      <c r="G374" s="11">
        <v>194</v>
      </c>
      <c r="H374" s="15" t="s">
        <v>29</v>
      </c>
      <c r="I374" s="11">
        <v>17.5</v>
      </c>
      <c r="J374" s="11" t="s">
        <v>19</v>
      </c>
      <c r="K374" s="11" t="s">
        <v>20</v>
      </c>
      <c r="L374" s="11" t="s">
        <v>21</v>
      </c>
      <c r="M374" s="11" t="s">
        <v>27</v>
      </c>
      <c r="N374" s="11" t="s">
        <v>23</v>
      </c>
      <c r="O374" s="16" t="s">
        <v>29</v>
      </c>
      <c r="P374" s="11">
        <v>211</v>
      </c>
      <c r="Q374" s="8"/>
      <c r="R374">
        <v>18.100000000000001</v>
      </c>
      <c r="S374">
        <v>5929.94</v>
      </c>
      <c r="T374">
        <v>2.95</v>
      </c>
      <c r="U374">
        <v>13</v>
      </c>
      <c r="V374">
        <v>181</v>
      </c>
      <c r="W374" s="317">
        <v>3.9</v>
      </c>
      <c r="X374" s="190">
        <f t="shared" si="9"/>
        <v>68.25</v>
      </c>
      <c r="Y374" s="8"/>
      <c r="Z374" s="8"/>
    </row>
    <row r="375" spans="1:26" ht="12.75" customHeight="1" x14ac:dyDescent="0.2">
      <c r="A375" s="11">
        <v>3</v>
      </c>
      <c r="B375" s="11">
        <v>2013</v>
      </c>
      <c r="C375" s="11">
        <v>30</v>
      </c>
      <c r="D375" s="11">
        <v>7</v>
      </c>
      <c r="E375" s="14">
        <v>0.58333333333333337</v>
      </c>
      <c r="F375" s="11" t="s">
        <v>18</v>
      </c>
      <c r="G375" s="11">
        <v>138</v>
      </c>
      <c r="H375" s="15" t="s">
        <v>29</v>
      </c>
      <c r="I375" s="11">
        <v>7.5</v>
      </c>
      <c r="J375" s="11" t="s">
        <v>19</v>
      </c>
      <c r="K375" s="11" t="s">
        <v>20</v>
      </c>
      <c r="L375" s="11" t="s">
        <v>30</v>
      </c>
      <c r="M375" s="11" t="s">
        <v>27</v>
      </c>
      <c r="N375" s="11" t="s">
        <v>24</v>
      </c>
      <c r="O375" s="16" t="s">
        <v>29</v>
      </c>
      <c r="P375" s="11">
        <v>211</v>
      </c>
      <c r="Q375" s="8"/>
      <c r="R375">
        <v>12.88</v>
      </c>
      <c r="S375">
        <v>2134.4299999999998</v>
      </c>
      <c r="T375">
        <v>3.51</v>
      </c>
      <c r="U375">
        <v>9.25</v>
      </c>
      <c r="V375">
        <v>128.75</v>
      </c>
      <c r="W375" s="317">
        <v>4.5999999999999996</v>
      </c>
      <c r="X375" s="190">
        <f t="shared" si="9"/>
        <v>34.5</v>
      </c>
      <c r="Y375" s="8"/>
      <c r="Z375" s="8"/>
    </row>
    <row r="376" spans="1:26" ht="12.75" customHeight="1" x14ac:dyDescent="0.2">
      <c r="A376" s="11">
        <v>4</v>
      </c>
      <c r="B376" s="11">
        <v>2013</v>
      </c>
      <c r="C376" s="11">
        <v>30</v>
      </c>
      <c r="D376" s="11">
        <v>7</v>
      </c>
      <c r="E376" s="14">
        <v>0.58333333333333337</v>
      </c>
      <c r="F376" s="11" t="s">
        <v>18</v>
      </c>
      <c r="G376" s="11">
        <v>155</v>
      </c>
      <c r="H376" s="15" t="s">
        <v>29</v>
      </c>
      <c r="I376" s="11">
        <v>10</v>
      </c>
      <c r="J376" s="11" t="s">
        <v>19</v>
      </c>
      <c r="K376" s="11" t="s">
        <v>20</v>
      </c>
      <c r="L376" s="11" t="s">
        <v>21</v>
      </c>
      <c r="M376" s="11" t="s">
        <v>46</v>
      </c>
      <c r="N376" s="11" t="s">
        <v>25</v>
      </c>
      <c r="O376" s="16" t="s">
        <v>29</v>
      </c>
      <c r="P376" s="11">
        <v>211</v>
      </c>
      <c r="Q376" s="8"/>
      <c r="R376">
        <v>14.46</v>
      </c>
      <c r="S376">
        <v>3024.41</v>
      </c>
      <c r="T376">
        <v>3.31</v>
      </c>
      <c r="U376">
        <v>10.39</v>
      </c>
      <c r="V376">
        <v>144.62</v>
      </c>
      <c r="W376" s="317">
        <v>3.9</v>
      </c>
      <c r="X376" s="190">
        <f t="shared" si="9"/>
        <v>39</v>
      </c>
      <c r="Y376" s="8"/>
      <c r="Z376" s="8"/>
    </row>
    <row r="377" spans="1:26" ht="12.75" customHeight="1" x14ac:dyDescent="0.2">
      <c r="A377" s="11">
        <v>5</v>
      </c>
      <c r="B377" s="11">
        <v>2013</v>
      </c>
      <c r="C377" s="11">
        <v>30</v>
      </c>
      <c r="D377" s="11">
        <v>7</v>
      </c>
      <c r="E377" s="14">
        <v>0.58333333333333337</v>
      </c>
      <c r="F377" s="11" t="s">
        <v>18</v>
      </c>
      <c r="G377" s="11">
        <v>179</v>
      </c>
      <c r="H377" s="15" t="s">
        <v>29</v>
      </c>
      <c r="I377" s="11">
        <v>16</v>
      </c>
      <c r="J377" s="11" t="s">
        <v>19</v>
      </c>
      <c r="K377" s="11" t="s">
        <v>20</v>
      </c>
      <c r="L377" s="11" t="s">
        <v>21</v>
      </c>
      <c r="M377" s="11" t="s">
        <v>27</v>
      </c>
      <c r="N377" s="11" t="s">
        <v>23</v>
      </c>
      <c r="O377" s="16" t="s">
        <v>29</v>
      </c>
      <c r="P377" s="11">
        <v>211</v>
      </c>
      <c r="Q377" s="8"/>
      <c r="R377">
        <v>16.7</v>
      </c>
      <c r="S377">
        <v>4658.05</v>
      </c>
      <c r="T377">
        <v>3.43</v>
      </c>
      <c r="U377">
        <v>11.99</v>
      </c>
      <c r="V377">
        <v>167.01</v>
      </c>
      <c r="W377" s="317">
        <v>3.9</v>
      </c>
      <c r="X377" s="190">
        <f t="shared" si="9"/>
        <v>62.4</v>
      </c>
      <c r="Y377" s="8"/>
      <c r="Z377" s="8"/>
    </row>
    <row r="378" spans="1:26" ht="12.75" customHeight="1" x14ac:dyDescent="0.2">
      <c r="A378" s="11">
        <v>6</v>
      </c>
      <c r="B378" s="11">
        <v>2013</v>
      </c>
      <c r="C378" s="11">
        <v>30</v>
      </c>
      <c r="D378" s="11">
        <v>7</v>
      </c>
      <c r="E378" s="14">
        <v>0.58333333333333337</v>
      </c>
      <c r="F378" s="11" t="s">
        <v>18</v>
      </c>
      <c r="G378" s="11">
        <v>174</v>
      </c>
      <c r="H378" s="15" t="s">
        <v>29</v>
      </c>
      <c r="I378" s="11">
        <v>15.5</v>
      </c>
      <c r="J378" s="11" t="s">
        <v>19</v>
      </c>
      <c r="K378" s="11" t="s">
        <v>20</v>
      </c>
      <c r="L378" s="11" t="s">
        <v>30</v>
      </c>
      <c r="M378" s="11" t="s">
        <v>46</v>
      </c>
      <c r="N378" s="11" t="s">
        <v>23</v>
      </c>
      <c r="O378" s="16" t="s">
        <v>29</v>
      </c>
      <c r="P378" s="11">
        <v>211</v>
      </c>
      <c r="Q378" s="8"/>
      <c r="R378">
        <v>16.23</v>
      </c>
      <c r="S378">
        <v>4278.51</v>
      </c>
      <c r="T378">
        <v>3.62</v>
      </c>
      <c r="U378">
        <v>11.66</v>
      </c>
      <c r="V378">
        <v>162.34</v>
      </c>
      <c r="W378" s="317">
        <v>4.5999999999999996</v>
      </c>
      <c r="X378" s="190">
        <f t="shared" si="9"/>
        <v>71.3</v>
      </c>
      <c r="Y378" s="8"/>
      <c r="Z378" s="8"/>
    </row>
    <row r="379" spans="1:26" ht="12.75" customHeight="1" x14ac:dyDescent="0.2">
      <c r="A379" s="11">
        <v>7</v>
      </c>
      <c r="B379" s="11">
        <v>2013</v>
      </c>
      <c r="C379" s="11">
        <v>30</v>
      </c>
      <c r="D379" s="11">
        <v>7</v>
      </c>
      <c r="E379" s="14">
        <v>0.58333333333333337</v>
      </c>
      <c r="F379" s="11" t="s">
        <v>18</v>
      </c>
      <c r="G379" s="11">
        <v>159</v>
      </c>
      <c r="H379" s="15" t="s">
        <v>29</v>
      </c>
      <c r="I379" s="11">
        <v>9</v>
      </c>
      <c r="J379" s="11" t="s">
        <v>19</v>
      </c>
      <c r="K379" s="11" t="s">
        <v>20</v>
      </c>
      <c r="L379" s="11" t="s">
        <v>21</v>
      </c>
      <c r="M379" s="11" t="s">
        <v>46</v>
      </c>
      <c r="N379" s="11" t="s">
        <v>23</v>
      </c>
      <c r="O379" s="16" t="s">
        <v>29</v>
      </c>
      <c r="P379" s="11">
        <v>211</v>
      </c>
      <c r="Q379" s="8"/>
      <c r="R379">
        <v>14.83</v>
      </c>
      <c r="S379">
        <v>3264.65</v>
      </c>
      <c r="T379">
        <v>2.76</v>
      </c>
      <c r="U379">
        <v>10.65</v>
      </c>
      <c r="V379">
        <v>148.35</v>
      </c>
      <c r="W379" s="317">
        <v>3.9</v>
      </c>
      <c r="X379" s="190">
        <f t="shared" si="9"/>
        <v>35.1</v>
      </c>
      <c r="Y379" s="8"/>
      <c r="Z379" s="8"/>
    </row>
    <row r="380" spans="1:26" ht="12.75" customHeight="1" x14ac:dyDescent="0.2">
      <c r="A380" s="11">
        <v>8</v>
      </c>
      <c r="B380" s="11">
        <v>2013</v>
      </c>
      <c r="C380" s="11">
        <v>30</v>
      </c>
      <c r="D380" s="11">
        <v>7</v>
      </c>
      <c r="E380" s="14">
        <v>0.58333333333333337</v>
      </c>
      <c r="F380" s="11" t="s">
        <v>28</v>
      </c>
      <c r="G380" s="11" t="s">
        <v>29</v>
      </c>
      <c r="H380" s="15" t="s">
        <v>29</v>
      </c>
      <c r="I380" s="11" t="s">
        <v>29</v>
      </c>
      <c r="J380" s="11" t="s">
        <v>19</v>
      </c>
      <c r="K380" s="11" t="s">
        <v>20</v>
      </c>
      <c r="L380" s="11" t="s">
        <v>21</v>
      </c>
      <c r="M380" s="11" t="s">
        <v>29</v>
      </c>
      <c r="N380" s="11" t="s">
        <v>23</v>
      </c>
      <c r="O380" s="16" t="s">
        <v>29</v>
      </c>
      <c r="P380" s="11">
        <v>211</v>
      </c>
      <c r="Q380" s="8"/>
      <c r="R380">
        <v>0</v>
      </c>
      <c r="W380" s="317">
        <v>3.9</v>
      </c>
      <c r="X380" s="190"/>
      <c r="Y380" s="8"/>
      <c r="Z380" s="8"/>
    </row>
    <row r="381" spans="1:26" ht="12.75" customHeight="1" x14ac:dyDescent="0.2">
      <c r="A381" s="11">
        <v>9</v>
      </c>
      <c r="B381" s="11">
        <v>2013</v>
      </c>
      <c r="C381" s="11">
        <v>30</v>
      </c>
      <c r="D381" s="11">
        <v>7</v>
      </c>
      <c r="E381" s="14">
        <v>0.58333333333333337</v>
      </c>
      <c r="F381" s="11" t="s">
        <v>18</v>
      </c>
      <c r="G381" s="11">
        <v>136</v>
      </c>
      <c r="H381" s="15" t="s">
        <v>29</v>
      </c>
      <c r="I381" s="11">
        <v>11</v>
      </c>
      <c r="J381" s="11" t="s">
        <v>19</v>
      </c>
      <c r="K381" s="11" t="s">
        <v>20</v>
      </c>
      <c r="L381" s="11" t="s">
        <v>30</v>
      </c>
      <c r="M381" s="11" t="s">
        <v>46</v>
      </c>
      <c r="N381" s="11" t="s">
        <v>23</v>
      </c>
      <c r="O381" s="16" t="s">
        <v>29</v>
      </c>
      <c r="P381" s="11">
        <v>211</v>
      </c>
      <c r="Q381" s="8"/>
      <c r="R381">
        <v>12.69</v>
      </c>
      <c r="S381">
        <v>2042.97</v>
      </c>
      <c r="T381">
        <v>5.38</v>
      </c>
      <c r="U381">
        <v>9.11</v>
      </c>
      <c r="V381">
        <v>126.89</v>
      </c>
      <c r="W381" s="317">
        <v>4.5999999999999996</v>
      </c>
      <c r="X381" s="190">
        <f t="shared" si="9"/>
        <v>50.599999999999994</v>
      </c>
      <c r="Y381" s="8"/>
      <c r="Z381" s="8"/>
    </row>
    <row r="382" spans="1:26" ht="12.75" customHeight="1" x14ac:dyDescent="0.2">
      <c r="A382" s="11">
        <v>10</v>
      </c>
      <c r="B382" s="11">
        <v>2013</v>
      </c>
      <c r="C382" s="11">
        <v>30</v>
      </c>
      <c r="D382" s="11">
        <v>7</v>
      </c>
      <c r="E382" s="14">
        <v>0.58333333333333337</v>
      </c>
      <c r="F382" s="11" t="s">
        <v>18</v>
      </c>
      <c r="G382" s="11">
        <v>152</v>
      </c>
      <c r="H382" s="15" t="s">
        <v>29</v>
      </c>
      <c r="I382" s="11">
        <v>8</v>
      </c>
      <c r="J382" s="11" t="s">
        <v>19</v>
      </c>
      <c r="K382" s="11" t="s">
        <v>41</v>
      </c>
      <c r="L382" s="11" t="s">
        <v>35</v>
      </c>
      <c r="M382" s="11" t="s">
        <v>27</v>
      </c>
      <c r="N382" s="11" t="s">
        <v>24</v>
      </c>
      <c r="O382" s="16" t="s">
        <v>29</v>
      </c>
      <c r="P382" s="11">
        <v>211</v>
      </c>
      <c r="Q382" s="8"/>
      <c r="R382">
        <v>14.18</v>
      </c>
      <c r="S382">
        <v>2852.17</v>
      </c>
      <c r="T382">
        <v>2.8</v>
      </c>
      <c r="U382">
        <v>10.18</v>
      </c>
      <c r="V382">
        <v>141.82</v>
      </c>
      <c r="W382" s="317"/>
      <c r="X382" s="8"/>
      <c r="Y382" s="8"/>
      <c r="Z382" s="8"/>
    </row>
    <row r="383" spans="1:26" ht="12.75" customHeight="1" x14ac:dyDescent="0.2">
      <c r="A383" s="11">
        <v>11</v>
      </c>
      <c r="B383" s="11">
        <v>2013</v>
      </c>
      <c r="C383" s="11">
        <v>30</v>
      </c>
      <c r="D383" s="11">
        <v>7</v>
      </c>
      <c r="E383" s="14">
        <v>0.58333333333333337</v>
      </c>
      <c r="F383" s="11" t="s">
        <v>18</v>
      </c>
      <c r="G383" s="11">
        <v>171</v>
      </c>
      <c r="H383" s="15" t="s">
        <v>29</v>
      </c>
      <c r="I383" s="11">
        <v>15.5</v>
      </c>
      <c r="J383" s="11" t="s">
        <v>19</v>
      </c>
      <c r="K383" s="11" t="s">
        <v>20</v>
      </c>
      <c r="L383" s="11" t="s">
        <v>21</v>
      </c>
      <c r="M383" s="11" t="s">
        <v>27</v>
      </c>
      <c r="N383" s="11" t="s">
        <v>24</v>
      </c>
      <c r="O383" s="16" t="s">
        <v>29</v>
      </c>
      <c r="P383" s="11">
        <v>211</v>
      </c>
      <c r="Q383" s="8"/>
      <c r="R383">
        <v>15.95</v>
      </c>
      <c r="S383">
        <v>4061</v>
      </c>
      <c r="T383">
        <v>3.82</v>
      </c>
      <c r="U383">
        <v>11.46</v>
      </c>
      <c r="V383">
        <v>159.54</v>
      </c>
      <c r="W383" s="317">
        <v>3.9</v>
      </c>
      <c r="X383" s="190">
        <f>I383*W383</f>
        <v>60.449999999999996</v>
      </c>
      <c r="Y383" s="8"/>
      <c r="Z383" s="8"/>
    </row>
    <row r="384" spans="1:26" ht="12.75" customHeight="1" x14ac:dyDescent="0.2">
      <c r="A384" s="11">
        <v>12</v>
      </c>
      <c r="B384" s="11">
        <v>2013</v>
      </c>
      <c r="C384" s="11">
        <v>30</v>
      </c>
      <c r="D384" s="11">
        <v>7</v>
      </c>
      <c r="E384" s="14">
        <v>0.58333333333333337</v>
      </c>
      <c r="F384" s="11" t="s">
        <v>18</v>
      </c>
      <c r="G384" s="11">
        <v>168</v>
      </c>
      <c r="H384" s="15" t="s">
        <v>29</v>
      </c>
      <c r="I384" s="11">
        <v>13.8</v>
      </c>
      <c r="J384" s="11" t="s">
        <v>19</v>
      </c>
      <c r="K384" s="11" t="s">
        <v>20</v>
      </c>
      <c r="L384" s="11" t="s">
        <v>21</v>
      </c>
      <c r="M384" s="11" t="s">
        <v>46</v>
      </c>
      <c r="N384" s="11" t="s">
        <v>23</v>
      </c>
      <c r="O384" s="16" t="s">
        <v>29</v>
      </c>
      <c r="P384" s="11">
        <v>211</v>
      </c>
      <c r="Q384" s="8"/>
      <c r="R384">
        <v>15.67</v>
      </c>
      <c r="S384">
        <v>3850.99</v>
      </c>
      <c r="T384">
        <v>3.58</v>
      </c>
      <c r="U384">
        <v>11.26</v>
      </c>
      <c r="V384">
        <v>156.74</v>
      </c>
      <c r="W384" s="317">
        <v>3.9</v>
      </c>
      <c r="X384" s="190">
        <f>I384*W384</f>
        <v>53.82</v>
      </c>
      <c r="Y384" s="8"/>
      <c r="Z384" s="8"/>
    </row>
    <row r="385" spans="1:26" ht="12.75" customHeight="1" x14ac:dyDescent="0.2">
      <c r="A385" s="11">
        <v>13</v>
      </c>
      <c r="B385" s="11">
        <v>2013</v>
      </c>
      <c r="C385" s="11">
        <v>30</v>
      </c>
      <c r="D385" s="11">
        <v>7</v>
      </c>
      <c r="E385" s="14">
        <v>0.58333333333333337</v>
      </c>
      <c r="F385" s="11" t="s">
        <v>18</v>
      </c>
      <c r="G385" s="11">
        <v>170</v>
      </c>
      <c r="H385" s="15" t="s">
        <v>29</v>
      </c>
      <c r="I385" s="11">
        <v>11</v>
      </c>
      <c r="J385" s="11" t="s">
        <v>32</v>
      </c>
      <c r="K385" s="11" t="s">
        <v>29</v>
      </c>
      <c r="L385" s="11" t="s">
        <v>29</v>
      </c>
      <c r="M385" s="11" t="s">
        <v>46</v>
      </c>
      <c r="N385" s="11" t="s">
        <v>24</v>
      </c>
      <c r="O385" s="16" t="s">
        <v>29</v>
      </c>
      <c r="P385" s="11">
        <v>211</v>
      </c>
      <c r="Q385" s="8"/>
      <c r="R385">
        <v>15.86</v>
      </c>
      <c r="S385">
        <v>3990.17</v>
      </c>
      <c r="T385">
        <v>2.76</v>
      </c>
      <c r="U385">
        <v>11.39</v>
      </c>
      <c r="V385">
        <v>158.61000000000001</v>
      </c>
      <c r="W385" s="8"/>
      <c r="X385" s="8"/>
      <c r="Y385" s="8"/>
      <c r="Z385" s="8"/>
    </row>
    <row r="386" spans="1:26" ht="12.75" customHeight="1" x14ac:dyDescent="0.2">
      <c r="A386" s="11">
        <v>14</v>
      </c>
      <c r="B386" s="11">
        <v>2013</v>
      </c>
      <c r="C386" s="11">
        <v>30</v>
      </c>
      <c r="D386" s="11">
        <v>7</v>
      </c>
      <c r="E386" s="14">
        <v>0.58333333333333337</v>
      </c>
      <c r="F386" s="11" t="s">
        <v>18</v>
      </c>
      <c r="G386" s="11">
        <v>171</v>
      </c>
      <c r="H386" s="15" t="s">
        <v>29</v>
      </c>
      <c r="I386" s="11">
        <v>14</v>
      </c>
      <c r="J386" s="11" t="s">
        <v>19</v>
      </c>
      <c r="K386" s="11" t="s">
        <v>20</v>
      </c>
      <c r="L386" s="11" t="s">
        <v>21</v>
      </c>
      <c r="M386" s="11" t="s">
        <v>27</v>
      </c>
      <c r="N386" s="11" t="s">
        <v>23</v>
      </c>
      <c r="O386" s="16" t="s">
        <v>29</v>
      </c>
      <c r="P386" s="11">
        <v>211</v>
      </c>
      <c r="Q386" s="8"/>
      <c r="R386">
        <v>15.95</v>
      </c>
      <c r="S386">
        <v>4061</v>
      </c>
      <c r="T386">
        <v>3.45</v>
      </c>
      <c r="U386">
        <v>11.46</v>
      </c>
      <c r="V386">
        <v>159.54</v>
      </c>
      <c r="W386" s="317">
        <v>3.9</v>
      </c>
      <c r="X386" s="190">
        <f t="shared" ref="X386:X395" si="10">I386*W386</f>
        <v>54.6</v>
      </c>
      <c r="Y386" s="8"/>
      <c r="Z386" s="8"/>
    </row>
    <row r="387" spans="1:26" ht="12.75" customHeight="1" x14ac:dyDescent="0.2">
      <c r="A387" s="11">
        <v>15</v>
      </c>
      <c r="B387" s="11">
        <v>2013</v>
      </c>
      <c r="C387" s="11">
        <v>30</v>
      </c>
      <c r="D387" s="11">
        <v>7</v>
      </c>
      <c r="E387" s="14">
        <v>0.58333333333333337</v>
      </c>
      <c r="F387" s="11" t="s">
        <v>18</v>
      </c>
      <c r="G387" s="11">
        <v>148</v>
      </c>
      <c r="H387" s="15" t="s">
        <v>29</v>
      </c>
      <c r="I387" s="11">
        <v>9</v>
      </c>
      <c r="J387" s="11" t="s">
        <v>19</v>
      </c>
      <c r="K387" s="11" t="s">
        <v>20</v>
      </c>
      <c r="L387" s="11" t="s">
        <v>21</v>
      </c>
      <c r="M387" s="11" t="s">
        <v>27</v>
      </c>
      <c r="N387" s="11" t="s">
        <v>23</v>
      </c>
      <c r="O387" s="16" t="s">
        <v>29</v>
      </c>
      <c r="P387" s="11">
        <v>211</v>
      </c>
      <c r="Q387" s="8"/>
      <c r="R387">
        <v>13.81</v>
      </c>
      <c r="S387">
        <v>2632.87</v>
      </c>
      <c r="T387">
        <v>3.42</v>
      </c>
      <c r="U387">
        <v>9.92</v>
      </c>
      <c r="V387">
        <v>138.08000000000001</v>
      </c>
      <c r="W387" s="317">
        <v>3.9</v>
      </c>
      <c r="X387" s="190">
        <f t="shared" si="10"/>
        <v>35.1</v>
      </c>
      <c r="Y387" s="8"/>
      <c r="Z387" s="8"/>
    </row>
    <row r="388" spans="1:26" ht="12.75" customHeight="1" x14ac:dyDescent="0.2">
      <c r="A388" s="11">
        <v>16</v>
      </c>
      <c r="B388" s="11">
        <v>2013</v>
      </c>
      <c r="C388" s="11">
        <v>30</v>
      </c>
      <c r="D388" s="11">
        <v>7</v>
      </c>
      <c r="E388" s="14">
        <v>0.58333333333333337</v>
      </c>
      <c r="F388" s="11" t="s">
        <v>18</v>
      </c>
      <c r="G388" s="11">
        <v>139</v>
      </c>
      <c r="H388" s="15" t="s">
        <v>29</v>
      </c>
      <c r="I388" s="11">
        <v>8.5</v>
      </c>
      <c r="J388" s="11" t="s">
        <v>19</v>
      </c>
      <c r="K388" s="11" t="s">
        <v>20</v>
      </c>
      <c r="L388" s="11" t="s">
        <v>21</v>
      </c>
      <c r="M388" s="11" t="s">
        <v>45</v>
      </c>
      <c r="N388" s="11" t="s">
        <v>23</v>
      </c>
      <c r="O388" s="16" t="s">
        <v>29</v>
      </c>
      <c r="P388" s="11">
        <v>211</v>
      </c>
      <c r="Q388" s="8"/>
      <c r="R388">
        <v>12.97</v>
      </c>
      <c r="S388">
        <v>2181.17</v>
      </c>
      <c r="T388">
        <v>3.9</v>
      </c>
      <c r="U388">
        <v>9.31</v>
      </c>
      <c r="V388">
        <v>129.69</v>
      </c>
      <c r="W388" s="317">
        <v>3.9</v>
      </c>
      <c r="X388" s="190">
        <f t="shared" si="10"/>
        <v>33.15</v>
      </c>
      <c r="Y388" s="8"/>
      <c r="Z388" s="8"/>
    </row>
    <row r="389" spans="1:26" ht="12.75" customHeight="1" x14ac:dyDescent="0.2">
      <c r="A389" s="11">
        <v>17</v>
      </c>
      <c r="B389" s="11">
        <v>2013</v>
      </c>
      <c r="C389" s="11">
        <v>30</v>
      </c>
      <c r="D389" s="11">
        <v>7</v>
      </c>
      <c r="E389" s="14">
        <v>0.58333333333333337</v>
      </c>
      <c r="F389" s="11" t="s">
        <v>18</v>
      </c>
      <c r="G389" s="11">
        <v>149</v>
      </c>
      <c r="H389" s="15" t="s">
        <v>29</v>
      </c>
      <c r="I389" s="11" t="s">
        <v>29</v>
      </c>
      <c r="J389" s="11" t="s">
        <v>19</v>
      </c>
      <c r="K389" s="11" t="s">
        <v>20</v>
      </c>
      <c r="L389" s="11" t="s">
        <v>30</v>
      </c>
      <c r="M389" s="11" t="s">
        <v>46</v>
      </c>
      <c r="N389" s="11" t="s">
        <v>24</v>
      </c>
      <c r="O389" s="16" t="s">
        <v>29</v>
      </c>
      <c r="P389" s="11">
        <v>211</v>
      </c>
      <c r="Q389" s="8"/>
      <c r="R389">
        <v>13.9</v>
      </c>
      <c r="S389">
        <v>2686.6</v>
      </c>
      <c r="U389">
        <v>9.98</v>
      </c>
      <c r="V389">
        <v>139.02000000000001</v>
      </c>
      <c r="W389" s="317">
        <v>4.5999999999999996</v>
      </c>
      <c r="X389" s="190"/>
      <c r="Y389" s="8"/>
      <c r="Z389" s="8"/>
    </row>
    <row r="390" spans="1:26" ht="12.75" customHeight="1" x14ac:dyDescent="0.2">
      <c r="A390" s="11">
        <v>18</v>
      </c>
      <c r="B390" s="11">
        <v>2013</v>
      </c>
      <c r="C390" s="11">
        <v>30</v>
      </c>
      <c r="D390" s="11">
        <v>7</v>
      </c>
      <c r="E390" s="14">
        <v>0.58333333333333337</v>
      </c>
      <c r="F390" s="11" t="s">
        <v>18</v>
      </c>
      <c r="G390" s="11">
        <v>168</v>
      </c>
      <c r="H390" s="15" t="s">
        <v>29</v>
      </c>
      <c r="I390" s="11">
        <v>10</v>
      </c>
      <c r="J390" s="11" t="s">
        <v>19</v>
      </c>
      <c r="K390" s="11" t="s">
        <v>20</v>
      </c>
      <c r="L390" s="11" t="s">
        <v>21</v>
      </c>
      <c r="M390" s="11" t="s">
        <v>46</v>
      </c>
      <c r="N390" s="11" t="s">
        <v>23</v>
      </c>
      <c r="O390" s="16" t="s">
        <v>29</v>
      </c>
      <c r="P390" s="11">
        <v>211</v>
      </c>
      <c r="Q390" s="8"/>
      <c r="R390">
        <v>15.67</v>
      </c>
      <c r="S390">
        <v>3850.99</v>
      </c>
      <c r="T390">
        <v>2.6</v>
      </c>
      <c r="U390">
        <v>11.26</v>
      </c>
      <c r="V390">
        <v>156.74</v>
      </c>
      <c r="W390" s="317">
        <v>3.9</v>
      </c>
      <c r="X390" s="190">
        <f t="shared" si="10"/>
        <v>39</v>
      </c>
      <c r="Y390" s="8"/>
      <c r="Z390" s="8"/>
    </row>
    <row r="391" spans="1:26" ht="12.75" customHeight="1" x14ac:dyDescent="0.2">
      <c r="A391" s="11">
        <v>19</v>
      </c>
      <c r="B391" s="11">
        <v>2013</v>
      </c>
      <c r="C391" s="11">
        <v>30</v>
      </c>
      <c r="D391" s="11">
        <v>7</v>
      </c>
      <c r="E391" s="14">
        <v>0.58333333333333337</v>
      </c>
      <c r="F391" s="11" t="s">
        <v>18</v>
      </c>
      <c r="G391" s="11">
        <v>141</v>
      </c>
      <c r="H391" s="15" t="s">
        <v>29</v>
      </c>
      <c r="I391" s="11">
        <v>6</v>
      </c>
      <c r="J391" s="11" t="s">
        <v>19</v>
      </c>
      <c r="K391" s="11" t="s">
        <v>20</v>
      </c>
      <c r="L391" s="11" t="s">
        <v>21</v>
      </c>
      <c r="M391" s="11" t="s">
        <v>45</v>
      </c>
      <c r="N391" s="11" t="s">
        <v>25</v>
      </c>
      <c r="O391" s="16" t="s">
        <v>29</v>
      </c>
      <c r="P391" s="11">
        <v>211</v>
      </c>
      <c r="Q391" s="8"/>
      <c r="R391">
        <v>13.16</v>
      </c>
      <c r="S391">
        <v>2276.6799999999998</v>
      </c>
      <c r="T391">
        <v>2.64</v>
      </c>
      <c r="U391">
        <v>9.4499999999999993</v>
      </c>
      <c r="V391">
        <v>131.55000000000001</v>
      </c>
      <c r="W391" s="317">
        <v>3.9</v>
      </c>
      <c r="X391" s="190">
        <f t="shared" si="10"/>
        <v>23.4</v>
      </c>
      <c r="Y391" s="8"/>
      <c r="Z391" s="8"/>
    </row>
    <row r="392" spans="1:26" ht="12.75" customHeight="1" x14ac:dyDescent="0.2">
      <c r="A392" s="11">
        <v>20</v>
      </c>
      <c r="B392" s="11">
        <v>2013</v>
      </c>
      <c r="C392" s="11">
        <v>30</v>
      </c>
      <c r="D392" s="11">
        <v>7</v>
      </c>
      <c r="E392" s="14">
        <v>0.58333333333333337</v>
      </c>
      <c r="F392" s="11" t="s">
        <v>18</v>
      </c>
      <c r="G392" s="11">
        <v>158</v>
      </c>
      <c r="H392" s="15" t="s">
        <v>29</v>
      </c>
      <c r="I392" s="11">
        <v>10</v>
      </c>
      <c r="J392" s="11" t="s">
        <v>19</v>
      </c>
      <c r="K392" s="11" t="s">
        <v>20</v>
      </c>
      <c r="L392" s="11" t="s">
        <v>21</v>
      </c>
      <c r="M392" s="11" t="s">
        <v>45</v>
      </c>
      <c r="N392" s="11" t="s">
        <v>23</v>
      </c>
      <c r="O392" s="16" t="s">
        <v>29</v>
      </c>
      <c r="P392" s="11">
        <v>211</v>
      </c>
      <c r="Q392" s="8"/>
      <c r="R392">
        <v>14.74</v>
      </c>
      <c r="S392">
        <v>3203.44</v>
      </c>
      <c r="T392">
        <v>3.12</v>
      </c>
      <c r="U392">
        <v>10.59</v>
      </c>
      <c r="V392">
        <v>147.41</v>
      </c>
      <c r="W392" s="317">
        <v>3.9</v>
      </c>
      <c r="X392" s="190">
        <f t="shared" si="10"/>
        <v>39</v>
      </c>
      <c r="Y392" s="8"/>
      <c r="Z392" s="8"/>
    </row>
    <row r="393" spans="1:26" ht="12.75" customHeight="1" x14ac:dyDescent="0.2">
      <c r="A393" s="11">
        <v>21</v>
      </c>
      <c r="B393" s="11">
        <v>2013</v>
      </c>
      <c r="C393" s="11">
        <v>31</v>
      </c>
      <c r="D393" s="11">
        <v>7</v>
      </c>
      <c r="E393" s="14">
        <v>0.58333333333333337</v>
      </c>
      <c r="F393" s="11" t="s">
        <v>18</v>
      </c>
      <c r="G393" s="11" t="s">
        <v>29</v>
      </c>
      <c r="H393" s="15" t="s">
        <v>29</v>
      </c>
      <c r="I393" s="11" t="s">
        <v>29</v>
      </c>
      <c r="J393" s="11" t="s">
        <v>19</v>
      </c>
      <c r="K393" s="11" t="s">
        <v>20</v>
      </c>
      <c r="L393" s="11" t="s">
        <v>30</v>
      </c>
      <c r="M393" s="11" t="s">
        <v>46</v>
      </c>
      <c r="N393" s="11" t="s">
        <v>24</v>
      </c>
      <c r="O393" s="16" t="s">
        <v>29</v>
      </c>
      <c r="P393" s="11">
        <v>212</v>
      </c>
      <c r="Q393" s="8"/>
      <c r="W393" s="317">
        <v>4.5999999999999996</v>
      </c>
      <c r="X393" s="190"/>
      <c r="Y393" s="8"/>
      <c r="Z393" s="8"/>
    </row>
    <row r="394" spans="1:26" ht="12.75" customHeight="1" x14ac:dyDescent="0.2">
      <c r="A394" s="11">
        <v>22</v>
      </c>
      <c r="B394" s="11">
        <v>2013</v>
      </c>
      <c r="C394" s="11">
        <v>31</v>
      </c>
      <c r="D394" s="11">
        <v>7</v>
      </c>
      <c r="E394" s="14">
        <v>0.58333333333333337</v>
      </c>
      <c r="F394" s="11" t="s">
        <v>18</v>
      </c>
      <c r="G394" s="11">
        <v>161</v>
      </c>
      <c r="H394" s="15" t="s">
        <v>29</v>
      </c>
      <c r="I394" s="11">
        <v>10</v>
      </c>
      <c r="J394" s="11" t="s">
        <v>19</v>
      </c>
      <c r="K394" s="11" t="s">
        <v>20</v>
      </c>
      <c r="L394" s="11" t="s">
        <v>21</v>
      </c>
      <c r="M394" s="11" t="s">
        <v>27</v>
      </c>
      <c r="N394" s="11" t="s">
        <v>23</v>
      </c>
      <c r="O394" s="16" t="s">
        <v>29</v>
      </c>
      <c r="P394" s="11">
        <v>212</v>
      </c>
      <c r="Q394" s="8"/>
      <c r="R394">
        <v>15.02</v>
      </c>
      <c r="S394">
        <v>3389.4</v>
      </c>
      <c r="T394">
        <v>2.95</v>
      </c>
      <c r="U394">
        <v>10.79</v>
      </c>
      <c r="V394">
        <v>150.21</v>
      </c>
      <c r="W394" s="317">
        <v>3.9</v>
      </c>
      <c r="X394" s="190">
        <f t="shared" si="10"/>
        <v>39</v>
      </c>
      <c r="Y394" s="8"/>
      <c r="Z394" s="8"/>
    </row>
    <row r="395" spans="1:26" ht="12.75" customHeight="1" x14ac:dyDescent="0.2">
      <c r="A395" s="11">
        <v>23</v>
      </c>
      <c r="B395" s="11">
        <v>2013</v>
      </c>
      <c r="C395" s="11">
        <v>31</v>
      </c>
      <c r="D395" s="11">
        <v>7</v>
      </c>
      <c r="E395" s="14">
        <v>0.58333333333333337</v>
      </c>
      <c r="F395" s="11" t="s">
        <v>18</v>
      </c>
      <c r="G395" s="11">
        <v>134</v>
      </c>
      <c r="H395" s="15" t="s">
        <v>29</v>
      </c>
      <c r="I395" s="11">
        <v>7.1</v>
      </c>
      <c r="J395" s="11" t="s">
        <v>19</v>
      </c>
      <c r="K395" s="11" t="s">
        <v>20</v>
      </c>
      <c r="L395" s="11" t="s">
        <v>30</v>
      </c>
      <c r="M395" s="11" t="s">
        <v>47</v>
      </c>
      <c r="N395" s="11" t="s">
        <v>23</v>
      </c>
      <c r="O395" s="16" t="s">
        <v>29</v>
      </c>
      <c r="P395" s="11">
        <v>212</v>
      </c>
      <c r="Q395" s="8"/>
      <c r="R395">
        <v>12.5</v>
      </c>
      <c r="S395">
        <v>1954.16</v>
      </c>
      <c r="T395">
        <v>3.63</v>
      </c>
      <c r="U395">
        <v>8.98</v>
      </c>
      <c r="V395">
        <v>125.02</v>
      </c>
      <c r="W395" s="317">
        <v>4.5999999999999996</v>
      </c>
      <c r="X395" s="190">
        <f t="shared" si="10"/>
        <v>32.659999999999997</v>
      </c>
      <c r="Y395" s="8"/>
      <c r="Z395" s="8"/>
    </row>
    <row r="396" spans="1:26" ht="12.75" customHeight="1" x14ac:dyDescent="0.2">
      <c r="A396" s="11">
        <v>24</v>
      </c>
      <c r="B396" s="11">
        <v>2013</v>
      </c>
      <c r="C396" s="11">
        <v>31</v>
      </c>
      <c r="D396" s="11">
        <v>7</v>
      </c>
      <c r="E396" s="14">
        <v>0.58333333333333337</v>
      </c>
      <c r="F396" s="11" t="s">
        <v>18</v>
      </c>
      <c r="G396" s="11">
        <v>136</v>
      </c>
      <c r="H396" s="15" t="s">
        <v>29</v>
      </c>
      <c r="I396" s="11">
        <v>8.5</v>
      </c>
      <c r="J396" s="11" t="s">
        <v>19</v>
      </c>
      <c r="K396" s="11" t="s">
        <v>41</v>
      </c>
      <c r="L396" s="11" t="s">
        <v>35</v>
      </c>
      <c r="M396" s="11" t="s">
        <v>27</v>
      </c>
      <c r="N396" s="11" t="s">
        <v>24</v>
      </c>
      <c r="O396" s="16" t="s">
        <v>29</v>
      </c>
      <c r="P396" s="11">
        <v>212</v>
      </c>
      <c r="Q396" s="8"/>
      <c r="R396">
        <v>12.69</v>
      </c>
      <c r="S396">
        <v>2042.97</v>
      </c>
      <c r="T396">
        <v>4.16</v>
      </c>
      <c r="U396">
        <v>9.11</v>
      </c>
      <c r="V396">
        <v>126.89</v>
      </c>
      <c r="W396" s="317"/>
      <c r="X396" s="8"/>
      <c r="Y396" s="8"/>
      <c r="Z396" s="8"/>
    </row>
    <row r="397" spans="1:26" ht="12.75" customHeight="1" x14ac:dyDescent="0.2">
      <c r="A397" s="11">
        <v>25</v>
      </c>
      <c r="B397" s="11">
        <v>2013</v>
      </c>
      <c r="C397" s="11">
        <v>31</v>
      </c>
      <c r="D397" s="11">
        <v>7</v>
      </c>
      <c r="E397" s="14">
        <v>0.58333333333333337</v>
      </c>
      <c r="F397" s="11" t="s">
        <v>18</v>
      </c>
      <c r="G397" s="11">
        <v>156</v>
      </c>
      <c r="H397" s="15" t="s">
        <v>29</v>
      </c>
      <c r="I397" s="11">
        <v>12</v>
      </c>
      <c r="J397" s="11" t="s">
        <v>19</v>
      </c>
      <c r="K397" s="11" t="s">
        <v>20</v>
      </c>
      <c r="L397" s="11" t="s">
        <v>21</v>
      </c>
      <c r="M397" s="11" t="s">
        <v>45</v>
      </c>
      <c r="N397" s="11" t="s">
        <v>24</v>
      </c>
      <c r="O397" s="16" t="s">
        <v>29</v>
      </c>
      <c r="P397" s="11">
        <v>212</v>
      </c>
      <c r="Q397" s="8"/>
      <c r="R397">
        <v>14.55</v>
      </c>
      <c r="S397">
        <v>3083.32</v>
      </c>
      <c r="T397">
        <v>3.89</v>
      </c>
      <c r="U397">
        <v>10.45</v>
      </c>
      <c r="V397">
        <v>145.55000000000001</v>
      </c>
      <c r="W397" s="317">
        <v>3.9</v>
      </c>
      <c r="X397" s="190">
        <f>I397*W397</f>
        <v>46.8</v>
      </c>
      <c r="Y397" s="8"/>
      <c r="Z397" s="8"/>
    </row>
    <row r="398" spans="1:26" ht="12.75" customHeight="1" x14ac:dyDescent="0.2">
      <c r="A398" s="11">
        <v>26</v>
      </c>
      <c r="B398" s="11">
        <v>2013</v>
      </c>
      <c r="C398" s="11">
        <v>31</v>
      </c>
      <c r="D398" s="11">
        <v>7</v>
      </c>
      <c r="E398" s="14">
        <v>0.58333333333333337</v>
      </c>
      <c r="F398" s="11" t="s">
        <v>18</v>
      </c>
      <c r="G398" s="11">
        <v>145</v>
      </c>
      <c r="H398" s="15" t="s">
        <v>29</v>
      </c>
      <c r="I398" s="11">
        <v>10.5</v>
      </c>
      <c r="J398" s="11" t="s">
        <v>19</v>
      </c>
      <c r="K398" s="11" t="s">
        <v>20</v>
      </c>
      <c r="L398" s="11" t="s">
        <v>21</v>
      </c>
      <c r="M398" s="11" t="s">
        <v>46</v>
      </c>
      <c r="N398" s="11" t="s">
        <v>23</v>
      </c>
      <c r="O398" s="16" t="s">
        <v>29</v>
      </c>
      <c r="P398" s="11">
        <v>212</v>
      </c>
      <c r="Q398" s="8"/>
      <c r="R398">
        <v>13.53</v>
      </c>
      <c r="S398">
        <v>2475.9899999999998</v>
      </c>
      <c r="T398">
        <v>4.24</v>
      </c>
      <c r="U398">
        <v>9.7200000000000006</v>
      </c>
      <c r="V398">
        <v>135.29</v>
      </c>
      <c r="W398" s="317">
        <v>3.9</v>
      </c>
      <c r="X398" s="190">
        <f>I398*W398</f>
        <v>40.949999999999996</v>
      </c>
      <c r="Y398" s="8"/>
      <c r="Z398" s="8"/>
    </row>
    <row r="399" spans="1:26" ht="12.75" customHeight="1" x14ac:dyDescent="0.2">
      <c r="A399" s="11">
        <v>27</v>
      </c>
      <c r="B399" s="11">
        <v>2013</v>
      </c>
      <c r="C399" s="11">
        <v>31</v>
      </c>
      <c r="D399" s="11">
        <v>7</v>
      </c>
      <c r="E399" s="14">
        <v>0.58333333333333337</v>
      </c>
      <c r="F399" s="11" t="s">
        <v>18</v>
      </c>
      <c r="G399" s="11">
        <v>142</v>
      </c>
      <c r="H399" s="15" t="s">
        <v>29</v>
      </c>
      <c r="I399" s="11">
        <v>9.5</v>
      </c>
      <c r="J399" s="11" t="s">
        <v>19</v>
      </c>
      <c r="K399" s="11" t="s">
        <v>20</v>
      </c>
      <c r="L399" s="11" t="s">
        <v>21</v>
      </c>
      <c r="M399" s="11" t="s">
        <v>47</v>
      </c>
      <c r="N399" s="11" t="s">
        <v>24</v>
      </c>
      <c r="O399" s="16" t="s">
        <v>29</v>
      </c>
      <c r="P399" s="11">
        <v>212</v>
      </c>
      <c r="Q399" s="8"/>
      <c r="R399">
        <v>13.25</v>
      </c>
      <c r="S399">
        <v>2325.4699999999998</v>
      </c>
      <c r="T399">
        <v>4.09</v>
      </c>
      <c r="U399">
        <v>9.51</v>
      </c>
      <c r="V399">
        <v>132.49</v>
      </c>
      <c r="W399" s="317">
        <v>3.9</v>
      </c>
      <c r="X399" s="190">
        <f>I399*W399</f>
        <v>37.049999999999997</v>
      </c>
      <c r="Y399" s="8"/>
      <c r="Z399" s="8"/>
    </row>
    <row r="400" spans="1:26" ht="12.75" customHeight="1" x14ac:dyDescent="0.2">
      <c r="A400" s="11">
        <v>28</v>
      </c>
      <c r="B400" s="11">
        <v>2013</v>
      </c>
      <c r="C400" s="11">
        <v>31</v>
      </c>
      <c r="D400" s="11">
        <v>7</v>
      </c>
      <c r="E400" s="14">
        <v>0.58333333333333337</v>
      </c>
      <c r="F400" s="11" t="s">
        <v>28</v>
      </c>
      <c r="G400" s="11" t="s">
        <v>29</v>
      </c>
      <c r="H400" s="15" t="s">
        <v>29</v>
      </c>
      <c r="I400" s="11" t="s">
        <v>29</v>
      </c>
      <c r="J400" s="11" t="s">
        <v>19</v>
      </c>
      <c r="K400" s="11" t="s">
        <v>41</v>
      </c>
      <c r="L400" s="11" t="s">
        <v>41</v>
      </c>
      <c r="M400" s="11" t="s">
        <v>29</v>
      </c>
      <c r="N400" s="11" t="s">
        <v>29</v>
      </c>
      <c r="O400" s="16" t="s">
        <v>29</v>
      </c>
      <c r="P400" s="11">
        <v>212</v>
      </c>
      <c r="Q400" s="8"/>
      <c r="W400" s="8"/>
      <c r="X400" s="8"/>
      <c r="Y400" s="8"/>
      <c r="Z400" s="8"/>
    </row>
    <row r="401" spans="1:26" ht="12.75" customHeight="1" x14ac:dyDescent="0.2">
      <c r="A401" s="11">
        <v>29</v>
      </c>
      <c r="B401" s="11">
        <v>2013</v>
      </c>
      <c r="C401" s="11">
        <v>31</v>
      </c>
      <c r="D401" s="11">
        <v>7</v>
      </c>
      <c r="E401" s="14">
        <v>0.58333333333333337</v>
      </c>
      <c r="F401" s="11" t="s">
        <v>18</v>
      </c>
      <c r="G401" s="11">
        <v>185</v>
      </c>
      <c r="H401" s="15" t="s">
        <v>29</v>
      </c>
      <c r="I401" s="11">
        <v>25</v>
      </c>
      <c r="J401" s="11" t="s">
        <v>19</v>
      </c>
      <c r="K401" s="11" t="s">
        <v>34</v>
      </c>
      <c r="L401" s="11" t="s">
        <v>41</v>
      </c>
      <c r="M401" s="11" t="s">
        <v>45</v>
      </c>
      <c r="N401" s="11" t="s">
        <v>25</v>
      </c>
      <c r="O401" s="16" t="s">
        <v>29</v>
      </c>
      <c r="P401" s="11">
        <v>212</v>
      </c>
      <c r="Q401" s="8"/>
      <c r="R401">
        <v>17.260000000000002</v>
      </c>
      <c r="S401">
        <v>5142.33</v>
      </c>
      <c r="T401">
        <v>4.8600000000000003</v>
      </c>
      <c r="U401">
        <v>12.4</v>
      </c>
      <c r="V401">
        <v>172.61</v>
      </c>
      <c r="W401" s="317">
        <v>3.8</v>
      </c>
      <c r="X401" s="190">
        <f t="shared" ref="X401:X406" si="11">I401*W401</f>
        <v>95</v>
      </c>
      <c r="Y401" s="8"/>
      <c r="Z401" s="8"/>
    </row>
    <row r="402" spans="1:26" ht="12.75" customHeight="1" x14ac:dyDescent="0.2">
      <c r="A402" s="11">
        <v>30</v>
      </c>
      <c r="B402" s="11">
        <v>2013</v>
      </c>
      <c r="C402" s="11">
        <v>31</v>
      </c>
      <c r="D402" s="11">
        <v>7</v>
      </c>
      <c r="E402" s="14">
        <v>0.58333333333333337</v>
      </c>
      <c r="F402" s="11" t="s">
        <v>18</v>
      </c>
      <c r="G402" s="11">
        <v>166</v>
      </c>
      <c r="H402" s="15" t="s">
        <v>29</v>
      </c>
      <c r="I402" s="11">
        <v>16.5</v>
      </c>
      <c r="J402" s="11" t="s">
        <v>19</v>
      </c>
      <c r="K402" s="11" t="s">
        <v>20</v>
      </c>
      <c r="L402" s="11" t="s">
        <v>21</v>
      </c>
      <c r="M402" s="11" t="s">
        <v>27</v>
      </c>
      <c r="N402" s="11" t="s">
        <v>23</v>
      </c>
      <c r="O402" s="16" t="s">
        <v>29</v>
      </c>
      <c r="P402" s="11">
        <v>212</v>
      </c>
      <c r="Q402" s="8"/>
      <c r="R402">
        <v>15.49</v>
      </c>
      <c r="S402">
        <v>3715.09</v>
      </c>
      <c r="T402">
        <v>4.4400000000000004</v>
      </c>
      <c r="U402">
        <v>11.12</v>
      </c>
      <c r="V402">
        <v>154.88</v>
      </c>
      <c r="W402" s="317">
        <v>3.9</v>
      </c>
      <c r="X402" s="190">
        <f t="shared" si="11"/>
        <v>64.349999999999994</v>
      </c>
      <c r="Y402" s="8"/>
      <c r="Z402" s="8"/>
    </row>
    <row r="403" spans="1:26" ht="12.75" customHeight="1" x14ac:dyDescent="0.2">
      <c r="A403" s="11">
        <v>31</v>
      </c>
      <c r="B403" s="11">
        <v>2013</v>
      </c>
      <c r="C403" s="11">
        <v>31</v>
      </c>
      <c r="D403" s="11">
        <v>7</v>
      </c>
      <c r="E403" s="14">
        <v>0.58333333333333337</v>
      </c>
      <c r="F403" s="11" t="s">
        <v>18</v>
      </c>
      <c r="G403" s="11">
        <v>166</v>
      </c>
      <c r="H403" s="15" t="s">
        <v>29</v>
      </c>
      <c r="I403" s="11">
        <v>13</v>
      </c>
      <c r="J403" s="11" t="s">
        <v>19</v>
      </c>
      <c r="K403" s="11" t="s">
        <v>20</v>
      </c>
      <c r="L403" s="11" t="s">
        <v>21</v>
      </c>
      <c r="M403" s="11" t="s">
        <v>47</v>
      </c>
      <c r="N403" s="11" t="s">
        <v>23</v>
      </c>
      <c r="O403" s="16" t="s">
        <v>29</v>
      </c>
      <c r="P403" s="11">
        <v>212</v>
      </c>
      <c r="Q403" s="8"/>
      <c r="R403">
        <v>15.49</v>
      </c>
      <c r="S403">
        <v>3715.09</v>
      </c>
      <c r="T403">
        <v>3.5</v>
      </c>
      <c r="U403">
        <v>11.12</v>
      </c>
      <c r="V403">
        <v>154.88</v>
      </c>
      <c r="W403" s="317">
        <v>3.9</v>
      </c>
      <c r="X403" s="190">
        <f t="shared" si="11"/>
        <v>50.699999999999996</v>
      </c>
      <c r="Y403" s="8"/>
      <c r="Z403" s="8"/>
    </row>
    <row r="404" spans="1:26" ht="12.75" customHeight="1" x14ac:dyDescent="0.2">
      <c r="A404" s="11">
        <v>32</v>
      </c>
      <c r="B404" s="11">
        <v>2013</v>
      </c>
      <c r="C404" s="11">
        <v>31</v>
      </c>
      <c r="D404" s="11">
        <v>7</v>
      </c>
      <c r="E404" s="14">
        <v>0.58333333333333337</v>
      </c>
      <c r="F404" s="11" t="s">
        <v>18</v>
      </c>
      <c r="G404" s="11">
        <v>161</v>
      </c>
      <c r="H404" s="15" t="s">
        <v>29</v>
      </c>
      <c r="I404" s="11">
        <v>16</v>
      </c>
      <c r="J404" s="11" t="s">
        <v>19</v>
      </c>
      <c r="K404" s="11" t="s">
        <v>20</v>
      </c>
      <c r="L404" s="11" t="s">
        <v>30</v>
      </c>
      <c r="M404" s="11" t="s">
        <v>46</v>
      </c>
      <c r="N404" s="11" t="s">
        <v>25</v>
      </c>
      <c r="O404" s="16" t="s">
        <v>29</v>
      </c>
      <c r="P404" s="11">
        <v>212</v>
      </c>
      <c r="Q404" s="8"/>
      <c r="R404">
        <v>15.02</v>
      </c>
      <c r="S404">
        <v>3389.4</v>
      </c>
      <c r="T404">
        <v>4.72</v>
      </c>
      <c r="U404">
        <v>10.79</v>
      </c>
      <c r="V404">
        <v>150.21</v>
      </c>
      <c r="W404" s="317">
        <v>4.5999999999999996</v>
      </c>
      <c r="X404" s="190">
        <f t="shared" si="11"/>
        <v>73.599999999999994</v>
      </c>
      <c r="Y404" s="8"/>
      <c r="Z404" s="8"/>
    </row>
    <row r="405" spans="1:26" ht="12.75" customHeight="1" x14ac:dyDescent="0.2">
      <c r="A405" s="11">
        <v>33</v>
      </c>
      <c r="B405" s="11">
        <v>2013</v>
      </c>
      <c r="C405" s="11">
        <v>31</v>
      </c>
      <c r="D405" s="11">
        <v>7</v>
      </c>
      <c r="E405" s="14">
        <v>0.58333333333333337</v>
      </c>
      <c r="F405" s="11" t="s">
        <v>18</v>
      </c>
      <c r="G405" s="11">
        <v>132</v>
      </c>
      <c r="H405" s="15" t="s">
        <v>29</v>
      </c>
      <c r="I405" s="11">
        <v>7.9</v>
      </c>
      <c r="J405" s="11" t="s">
        <v>19</v>
      </c>
      <c r="K405" s="11" t="s">
        <v>20</v>
      </c>
      <c r="L405" s="11" t="s">
        <v>21</v>
      </c>
      <c r="M405" s="11" t="s">
        <v>45</v>
      </c>
      <c r="N405" s="11" t="s">
        <v>48</v>
      </c>
      <c r="O405" s="16" t="s">
        <v>29</v>
      </c>
      <c r="P405" s="11">
        <v>212</v>
      </c>
      <c r="Q405" s="8"/>
      <c r="R405">
        <v>12.32</v>
      </c>
      <c r="S405">
        <v>1867.96</v>
      </c>
      <c r="T405">
        <v>4.2300000000000004</v>
      </c>
      <c r="U405">
        <v>8.84</v>
      </c>
      <c r="V405">
        <v>123.16</v>
      </c>
      <c r="W405" s="317">
        <v>3.9</v>
      </c>
      <c r="X405" s="190">
        <f t="shared" si="11"/>
        <v>30.810000000000002</v>
      </c>
      <c r="Y405" s="8"/>
      <c r="Z405" s="8"/>
    </row>
    <row r="406" spans="1:26" ht="12.75" customHeight="1" x14ac:dyDescent="0.2">
      <c r="A406" s="11">
        <v>34</v>
      </c>
      <c r="B406" s="11">
        <v>2013</v>
      </c>
      <c r="C406" s="11">
        <v>31</v>
      </c>
      <c r="D406" s="11">
        <v>7</v>
      </c>
      <c r="E406" s="14">
        <v>0.58333333333333337</v>
      </c>
      <c r="F406" s="11" t="s">
        <v>18</v>
      </c>
      <c r="G406" s="11">
        <v>152</v>
      </c>
      <c r="H406" s="15" t="s">
        <v>29</v>
      </c>
      <c r="I406" s="11">
        <v>16</v>
      </c>
      <c r="J406" s="11" t="s">
        <v>19</v>
      </c>
      <c r="K406" s="11" t="s">
        <v>34</v>
      </c>
      <c r="L406" s="11" t="s">
        <v>41</v>
      </c>
      <c r="M406" s="11" t="s">
        <v>45</v>
      </c>
      <c r="N406" s="11" t="s">
        <v>48</v>
      </c>
      <c r="O406" s="16" t="s">
        <v>29</v>
      </c>
      <c r="P406" s="11">
        <v>212</v>
      </c>
      <c r="Q406" s="8"/>
      <c r="R406">
        <v>14.18</v>
      </c>
      <c r="S406">
        <v>2852.17</v>
      </c>
      <c r="T406">
        <v>5.61</v>
      </c>
      <c r="U406">
        <v>10.18</v>
      </c>
      <c r="V406">
        <v>141.82</v>
      </c>
      <c r="W406" s="317">
        <v>3.8</v>
      </c>
      <c r="X406" s="190">
        <f t="shared" si="11"/>
        <v>60.8</v>
      </c>
      <c r="Y406" s="8"/>
      <c r="Z406" s="8"/>
    </row>
    <row r="407" spans="1:26" ht="12.75" customHeight="1" x14ac:dyDescent="0.2">
      <c r="A407" s="11">
        <v>35</v>
      </c>
      <c r="B407" s="11">
        <v>2013</v>
      </c>
      <c r="C407" s="11">
        <v>31</v>
      </c>
      <c r="D407" s="11">
        <v>7</v>
      </c>
      <c r="E407" s="14">
        <v>0.58333333333333337</v>
      </c>
      <c r="F407" s="11" t="s">
        <v>18</v>
      </c>
      <c r="G407" s="11">
        <v>142</v>
      </c>
      <c r="H407" s="15" t="s">
        <v>29</v>
      </c>
      <c r="I407" s="11">
        <v>7.5</v>
      </c>
      <c r="J407" s="11" t="s">
        <v>19</v>
      </c>
      <c r="K407" s="11" t="s">
        <v>20</v>
      </c>
      <c r="L407" s="11" t="s">
        <v>21</v>
      </c>
      <c r="M407" s="11" t="s">
        <v>47</v>
      </c>
      <c r="N407" s="11" t="s">
        <v>25</v>
      </c>
      <c r="O407" s="16" t="s">
        <v>29</v>
      </c>
      <c r="P407" s="11">
        <v>212</v>
      </c>
      <c r="Q407" s="8"/>
      <c r="R407">
        <v>13.25</v>
      </c>
      <c r="S407">
        <v>2325.4699999999998</v>
      </c>
      <c r="T407">
        <v>3.23</v>
      </c>
      <c r="U407">
        <v>9.51</v>
      </c>
      <c r="V407">
        <v>132.49</v>
      </c>
      <c r="W407" s="317">
        <v>3.9</v>
      </c>
      <c r="X407" s="190">
        <f t="shared" ref="X407:X414" si="12">I407*W407</f>
        <v>29.25</v>
      </c>
      <c r="Y407" s="8"/>
      <c r="Z407" s="8"/>
    </row>
    <row r="408" spans="1:26" ht="12.75" customHeight="1" x14ac:dyDescent="0.2">
      <c r="A408" s="11">
        <v>36</v>
      </c>
      <c r="B408" s="11">
        <v>2013</v>
      </c>
      <c r="C408" s="11">
        <v>31</v>
      </c>
      <c r="D408" s="11">
        <v>7</v>
      </c>
      <c r="E408" s="14">
        <v>0.58333333333333337</v>
      </c>
      <c r="F408" s="11" t="s">
        <v>18</v>
      </c>
      <c r="G408" s="11">
        <v>133</v>
      </c>
      <c r="H408" s="15" t="s">
        <v>29</v>
      </c>
      <c r="I408" s="11">
        <v>7.1</v>
      </c>
      <c r="J408" s="11" t="s">
        <v>19</v>
      </c>
      <c r="K408" s="11" t="s">
        <v>20</v>
      </c>
      <c r="L408" s="11" t="s">
        <v>30</v>
      </c>
      <c r="M408" s="11" t="s">
        <v>27</v>
      </c>
      <c r="N408" s="11" t="s">
        <v>25</v>
      </c>
      <c r="O408" s="16" t="s">
        <v>29</v>
      </c>
      <c r="P408" s="11">
        <v>212</v>
      </c>
      <c r="Q408" s="8"/>
      <c r="R408">
        <v>12.41</v>
      </c>
      <c r="S408">
        <v>1910.73</v>
      </c>
      <c r="T408">
        <v>3.72</v>
      </c>
      <c r="U408">
        <v>8.91</v>
      </c>
      <c r="V408">
        <v>124.09</v>
      </c>
      <c r="W408" s="317">
        <v>4.5999999999999996</v>
      </c>
      <c r="X408" s="190">
        <f t="shared" si="12"/>
        <v>32.659999999999997</v>
      </c>
      <c r="Y408" s="8"/>
      <c r="Z408" s="8"/>
    </row>
    <row r="409" spans="1:26" ht="12.75" customHeight="1" x14ac:dyDescent="0.2">
      <c r="A409" s="11">
        <v>37</v>
      </c>
      <c r="B409" s="11">
        <v>2013</v>
      </c>
      <c r="C409" s="11">
        <v>31</v>
      </c>
      <c r="D409" s="11">
        <v>7</v>
      </c>
      <c r="E409" s="14">
        <v>0.58333333333333337</v>
      </c>
      <c r="F409" s="11" t="s">
        <v>18</v>
      </c>
      <c r="G409" s="11">
        <v>143</v>
      </c>
      <c r="H409" s="15" t="s">
        <v>29</v>
      </c>
      <c r="I409" s="11">
        <v>10.5</v>
      </c>
      <c r="J409" s="11" t="s">
        <v>19</v>
      </c>
      <c r="K409" s="11" t="s">
        <v>20</v>
      </c>
      <c r="L409" s="11" t="s">
        <v>30</v>
      </c>
      <c r="M409" s="11" t="s">
        <v>47</v>
      </c>
      <c r="N409" s="11" t="s">
        <v>25</v>
      </c>
      <c r="O409" s="16" t="s">
        <v>29</v>
      </c>
      <c r="P409" s="11">
        <v>212</v>
      </c>
      <c r="Q409" s="8"/>
      <c r="R409">
        <v>13.34</v>
      </c>
      <c r="S409">
        <v>2374.94</v>
      </c>
      <c r="T409">
        <v>4.42</v>
      </c>
      <c r="U409">
        <v>9.58</v>
      </c>
      <c r="V409">
        <v>133.41999999999999</v>
      </c>
      <c r="W409" s="317">
        <v>4.5999999999999996</v>
      </c>
      <c r="X409" s="190">
        <f t="shared" si="12"/>
        <v>48.3</v>
      </c>
      <c r="Y409" s="8"/>
      <c r="Z409" s="8"/>
    </row>
    <row r="410" spans="1:26" ht="12.75" customHeight="1" x14ac:dyDescent="0.2">
      <c r="A410" s="11">
        <v>38</v>
      </c>
      <c r="B410" s="11">
        <v>2013</v>
      </c>
      <c r="C410" s="11">
        <v>31</v>
      </c>
      <c r="D410" s="11">
        <v>7</v>
      </c>
      <c r="E410" s="14">
        <v>0.58333333333333337</v>
      </c>
      <c r="F410" s="11" t="s">
        <v>18</v>
      </c>
      <c r="G410" s="11">
        <v>146</v>
      </c>
      <c r="H410" s="15" t="s">
        <v>29</v>
      </c>
      <c r="I410" s="11">
        <v>16.5</v>
      </c>
      <c r="J410" s="11" t="s">
        <v>19</v>
      </c>
      <c r="K410" s="11" t="s">
        <v>20</v>
      </c>
      <c r="L410" s="11" t="s">
        <v>30</v>
      </c>
      <c r="M410" s="11" t="s">
        <v>27</v>
      </c>
      <c r="N410" s="11" t="s">
        <v>25</v>
      </c>
      <c r="O410" s="16" t="s">
        <v>29</v>
      </c>
      <c r="P410" s="11">
        <v>212</v>
      </c>
      <c r="Q410" s="8"/>
      <c r="R410">
        <v>13.62</v>
      </c>
      <c r="S410">
        <v>2527.5700000000002</v>
      </c>
      <c r="T410">
        <v>6.53</v>
      </c>
      <c r="U410">
        <v>9.7799999999999994</v>
      </c>
      <c r="V410">
        <v>136.22</v>
      </c>
      <c r="W410" s="317">
        <v>4.5999999999999996</v>
      </c>
      <c r="X410" s="190">
        <f t="shared" si="12"/>
        <v>75.899999999999991</v>
      </c>
      <c r="Y410" s="8"/>
      <c r="Z410" s="8"/>
    </row>
    <row r="411" spans="1:26" ht="12.75" customHeight="1" x14ac:dyDescent="0.2">
      <c r="A411" s="11">
        <v>39</v>
      </c>
      <c r="B411" s="11">
        <v>2013</v>
      </c>
      <c r="C411" s="11">
        <v>31</v>
      </c>
      <c r="D411" s="11">
        <v>7</v>
      </c>
      <c r="E411" s="14">
        <v>0.58333333333333337</v>
      </c>
      <c r="F411" s="11" t="s">
        <v>18</v>
      </c>
      <c r="G411" s="11" t="s">
        <v>29</v>
      </c>
      <c r="H411" s="15" t="s">
        <v>29</v>
      </c>
      <c r="I411" s="11" t="s">
        <v>29</v>
      </c>
      <c r="J411" s="11" t="s">
        <v>19</v>
      </c>
      <c r="K411" s="11" t="s">
        <v>20</v>
      </c>
      <c r="L411" s="11" t="s">
        <v>21</v>
      </c>
      <c r="M411" s="11" t="s">
        <v>29</v>
      </c>
      <c r="N411" s="11" t="s">
        <v>24</v>
      </c>
      <c r="O411" s="16" t="s">
        <v>29</v>
      </c>
      <c r="P411" s="11">
        <v>212</v>
      </c>
      <c r="Q411" s="8"/>
      <c r="W411" s="317">
        <v>3.9</v>
      </c>
      <c r="X411" s="190"/>
      <c r="Y411" s="8"/>
      <c r="Z411" s="8"/>
    </row>
    <row r="412" spans="1:26" ht="12.75" customHeight="1" x14ac:dyDescent="0.2">
      <c r="A412" s="11">
        <v>40</v>
      </c>
      <c r="B412" s="11">
        <v>2013</v>
      </c>
      <c r="C412" s="11">
        <v>31</v>
      </c>
      <c r="D412" s="11">
        <v>7</v>
      </c>
      <c r="E412" s="14">
        <v>0.58333333333333337</v>
      </c>
      <c r="F412" s="11" t="s">
        <v>18</v>
      </c>
      <c r="G412" s="11">
        <v>163</v>
      </c>
      <c r="H412" s="15" t="s">
        <v>29</v>
      </c>
      <c r="I412" s="11">
        <v>13.8</v>
      </c>
      <c r="J412" s="11" t="s">
        <v>19</v>
      </c>
      <c r="K412" s="11" t="s">
        <v>20</v>
      </c>
      <c r="L412" s="11" t="s">
        <v>21</v>
      </c>
      <c r="M412" s="11" t="s">
        <v>27</v>
      </c>
      <c r="N412" s="11" t="s">
        <v>23</v>
      </c>
      <c r="O412" s="16" t="s">
        <v>29</v>
      </c>
      <c r="P412" s="11">
        <v>212</v>
      </c>
      <c r="Q412" s="8"/>
      <c r="R412">
        <v>15.21</v>
      </c>
      <c r="S412">
        <v>3517.29</v>
      </c>
      <c r="T412">
        <v>3.92</v>
      </c>
      <c r="U412">
        <v>10.92</v>
      </c>
      <c r="V412">
        <v>152.08000000000001</v>
      </c>
      <c r="W412" s="317">
        <v>3.9</v>
      </c>
      <c r="X412" s="190">
        <f t="shared" si="12"/>
        <v>53.82</v>
      </c>
      <c r="Y412" s="8"/>
      <c r="Z412" s="8"/>
    </row>
    <row r="413" spans="1:26" ht="12.75" customHeight="1" x14ac:dyDescent="0.2">
      <c r="A413" s="11">
        <v>41</v>
      </c>
      <c r="B413" s="11">
        <v>2013</v>
      </c>
      <c r="C413" s="11">
        <v>1</v>
      </c>
      <c r="D413" s="11">
        <v>8</v>
      </c>
      <c r="E413" s="14">
        <v>0.58333333333333337</v>
      </c>
      <c r="F413" s="11" t="s">
        <v>18</v>
      </c>
      <c r="G413" s="11">
        <v>140</v>
      </c>
      <c r="H413" s="15" t="s">
        <v>29</v>
      </c>
      <c r="I413" s="11">
        <v>13.5</v>
      </c>
      <c r="J413" s="11" t="s">
        <v>19</v>
      </c>
      <c r="K413" s="11" t="s">
        <v>20</v>
      </c>
      <c r="L413" s="11" t="s">
        <v>30</v>
      </c>
      <c r="M413" s="11" t="s">
        <v>27</v>
      </c>
      <c r="N413" s="11" t="s">
        <v>23</v>
      </c>
      <c r="O413" s="16" t="s">
        <v>29</v>
      </c>
      <c r="P413" s="11">
        <v>213</v>
      </c>
      <c r="Q413" s="8"/>
      <c r="R413">
        <v>13.06</v>
      </c>
      <c r="S413">
        <v>2228.58</v>
      </c>
      <c r="T413">
        <v>6.06</v>
      </c>
      <c r="U413">
        <v>9.3800000000000008</v>
      </c>
      <c r="V413">
        <v>130.62</v>
      </c>
      <c r="W413" s="317">
        <v>4.5999999999999996</v>
      </c>
      <c r="X413" s="190">
        <f t="shared" si="12"/>
        <v>62.099999999999994</v>
      </c>
      <c r="Y413" s="8"/>
      <c r="Z413" s="8"/>
    </row>
    <row r="414" spans="1:26" ht="12.75" customHeight="1" x14ac:dyDescent="0.2">
      <c r="A414" s="11">
        <v>42</v>
      </c>
      <c r="B414" s="11">
        <v>2013</v>
      </c>
      <c r="C414" s="11">
        <v>1</v>
      </c>
      <c r="D414" s="11">
        <v>8</v>
      </c>
      <c r="E414" s="14">
        <v>0.58333333333333337</v>
      </c>
      <c r="F414" s="11" t="s">
        <v>18</v>
      </c>
      <c r="G414" s="11">
        <v>138</v>
      </c>
      <c r="H414" s="15" t="s">
        <v>29</v>
      </c>
      <c r="I414" s="11">
        <v>7.2</v>
      </c>
      <c r="J414" s="11" t="s">
        <v>19</v>
      </c>
      <c r="K414" s="11" t="s">
        <v>20</v>
      </c>
      <c r="L414" s="11" t="s">
        <v>21</v>
      </c>
      <c r="M414" s="11" t="s">
        <v>46</v>
      </c>
      <c r="N414" s="11" t="s">
        <v>23</v>
      </c>
      <c r="O414" s="16" t="s">
        <v>29</v>
      </c>
      <c r="P414" s="11">
        <v>213</v>
      </c>
      <c r="Q414" s="8"/>
      <c r="R414">
        <v>12.88</v>
      </c>
      <c r="S414">
        <v>2134.4299999999998</v>
      </c>
      <c r="T414">
        <v>3.37</v>
      </c>
      <c r="U414">
        <v>9.25</v>
      </c>
      <c r="V414">
        <v>128.75</v>
      </c>
      <c r="W414" s="317">
        <v>3.9</v>
      </c>
      <c r="X414" s="190">
        <f t="shared" si="12"/>
        <v>28.08</v>
      </c>
      <c r="Y414" s="8"/>
      <c r="Z414" s="8"/>
    </row>
    <row r="415" spans="1:26" ht="12.75" customHeight="1" x14ac:dyDescent="0.2">
      <c r="A415" s="11">
        <v>43</v>
      </c>
      <c r="B415" s="11">
        <v>2013</v>
      </c>
      <c r="C415" s="11">
        <v>1</v>
      </c>
      <c r="D415" s="11">
        <v>8</v>
      </c>
      <c r="E415" s="14">
        <v>0.58333333333333337</v>
      </c>
      <c r="F415" s="11" t="s">
        <v>28</v>
      </c>
      <c r="G415" s="11" t="s">
        <v>29</v>
      </c>
      <c r="H415" s="15" t="s">
        <v>29</v>
      </c>
      <c r="I415" s="11" t="s">
        <v>29</v>
      </c>
      <c r="J415" s="11" t="s">
        <v>19</v>
      </c>
      <c r="K415" s="11" t="s">
        <v>20</v>
      </c>
      <c r="L415" s="11" t="s">
        <v>41</v>
      </c>
      <c r="M415" s="11" t="s">
        <v>29</v>
      </c>
      <c r="N415" s="11" t="s">
        <v>29</v>
      </c>
      <c r="O415" s="16" t="s">
        <v>29</v>
      </c>
      <c r="P415" s="11">
        <v>213</v>
      </c>
      <c r="Q415" s="8"/>
      <c r="W415" s="8"/>
      <c r="X415" s="8"/>
      <c r="Y415" s="8"/>
      <c r="Z415" s="8"/>
    </row>
    <row r="416" spans="1:26" ht="12.75" customHeight="1" x14ac:dyDescent="0.2">
      <c r="A416" s="11">
        <v>44</v>
      </c>
      <c r="B416" s="11">
        <v>2013</v>
      </c>
      <c r="C416" s="11">
        <v>1</v>
      </c>
      <c r="D416" s="11">
        <v>8</v>
      </c>
      <c r="E416" s="14">
        <v>0.58333333333333337</v>
      </c>
      <c r="F416" s="11" t="s">
        <v>18</v>
      </c>
      <c r="G416" s="11">
        <v>121</v>
      </c>
      <c r="H416" s="15" t="s">
        <v>29</v>
      </c>
      <c r="I416" s="11">
        <v>6.1</v>
      </c>
      <c r="J416" s="11" t="s">
        <v>19</v>
      </c>
      <c r="K416" s="11" t="s">
        <v>20</v>
      </c>
      <c r="L416" s="11" t="s">
        <v>21</v>
      </c>
      <c r="M416" s="11" t="s">
        <v>27</v>
      </c>
      <c r="N416" s="11" t="s">
        <v>39</v>
      </c>
      <c r="O416" s="16" t="s">
        <v>29</v>
      </c>
      <c r="P416" s="11">
        <v>213</v>
      </c>
      <c r="Q416" s="8"/>
      <c r="R416">
        <v>11.29</v>
      </c>
      <c r="S416">
        <v>1438.8</v>
      </c>
      <c r="T416">
        <v>4.24</v>
      </c>
      <c r="U416">
        <v>8.11</v>
      </c>
      <c r="V416">
        <v>112.89</v>
      </c>
      <c r="W416" s="317">
        <v>3.9</v>
      </c>
      <c r="X416" s="190">
        <f t="shared" ref="X416:X428" si="13">I416*W416</f>
        <v>23.79</v>
      </c>
      <c r="Y416" s="8"/>
      <c r="Z416" s="8"/>
    </row>
    <row r="417" spans="1:26" ht="12.75" customHeight="1" x14ac:dyDescent="0.2">
      <c r="A417" s="11">
        <v>45</v>
      </c>
      <c r="B417" s="11">
        <v>2013</v>
      </c>
      <c r="C417" s="11">
        <v>1</v>
      </c>
      <c r="D417" s="11">
        <v>8</v>
      </c>
      <c r="E417" s="14">
        <v>0.58333333333333337</v>
      </c>
      <c r="F417" s="11" t="s">
        <v>18</v>
      </c>
      <c r="G417" s="11">
        <v>147</v>
      </c>
      <c r="H417" s="15" t="s">
        <v>29</v>
      </c>
      <c r="I417" s="11">
        <v>9</v>
      </c>
      <c r="J417" s="11" t="s">
        <v>19</v>
      </c>
      <c r="K417" s="11" t="s">
        <v>20</v>
      </c>
      <c r="L417" s="11" t="s">
        <v>21</v>
      </c>
      <c r="M417" s="11" t="s">
        <v>27</v>
      </c>
      <c r="N417" s="11" t="s">
        <v>23</v>
      </c>
      <c r="O417" s="16" t="s">
        <v>29</v>
      </c>
      <c r="P417" s="11">
        <v>213</v>
      </c>
      <c r="Q417" s="8"/>
      <c r="R417">
        <v>13.72</v>
      </c>
      <c r="S417">
        <v>2579.86</v>
      </c>
      <c r="T417">
        <v>3.49</v>
      </c>
      <c r="U417">
        <v>9.85</v>
      </c>
      <c r="V417">
        <v>137.15</v>
      </c>
      <c r="W417" s="317">
        <v>3.9</v>
      </c>
      <c r="X417" s="190">
        <f t="shared" si="13"/>
        <v>35.1</v>
      </c>
      <c r="Y417" s="8"/>
      <c r="Z417" s="8"/>
    </row>
    <row r="418" spans="1:26" ht="12.75" customHeight="1" x14ac:dyDescent="0.2">
      <c r="A418" s="11">
        <v>46</v>
      </c>
      <c r="B418" s="11">
        <v>2013</v>
      </c>
      <c r="C418" s="11">
        <v>1</v>
      </c>
      <c r="D418" s="11">
        <v>8</v>
      </c>
      <c r="E418" s="14">
        <v>0.58333333333333337</v>
      </c>
      <c r="F418" s="11" t="s">
        <v>18</v>
      </c>
      <c r="G418" s="11">
        <v>139</v>
      </c>
      <c r="H418" s="15" t="s">
        <v>29</v>
      </c>
      <c r="I418" s="11">
        <v>7.3</v>
      </c>
      <c r="J418" s="11" t="s">
        <v>19</v>
      </c>
      <c r="K418" s="11" t="s">
        <v>20</v>
      </c>
      <c r="L418" s="11" t="s">
        <v>21</v>
      </c>
      <c r="M418" s="11" t="s">
        <v>46</v>
      </c>
      <c r="N418" s="11" t="s">
        <v>23</v>
      </c>
      <c r="O418" s="16" t="s">
        <v>29</v>
      </c>
      <c r="P418" s="11">
        <v>213</v>
      </c>
      <c r="Q418" s="8"/>
      <c r="R418">
        <v>12.97</v>
      </c>
      <c r="S418">
        <v>2181.17</v>
      </c>
      <c r="T418">
        <v>3.35</v>
      </c>
      <c r="U418">
        <v>9.31</v>
      </c>
      <c r="V418">
        <v>129.69</v>
      </c>
      <c r="W418" s="317">
        <v>3.9</v>
      </c>
      <c r="X418" s="190">
        <f t="shared" si="13"/>
        <v>28.47</v>
      </c>
      <c r="Y418" s="8"/>
      <c r="Z418" s="8"/>
    </row>
    <row r="419" spans="1:26" ht="12.75" customHeight="1" x14ac:dyDescent="0.2">
      <c r="A419" s="11">
        <v>47</v>
      </c>
      <c r="B419" s="11">
        <v>2013</v>
      </c>
      <c r="C419" s="11">
        <v>1</v>
      </c>
      <c r="D419" s="11">
        <v>8</v>
      </c>
      <c r="E419" s="14">
        <v>0.58333333333333337</v>
      </c>
      <c r="F419" s="11" t="s">
        <v>18</v>
      </c>
      <c r="G419" s="11">
        <v>132</v>
      </c>
      <c r="H419" s="15" t="s">
        <v>29</v>
      </c>
      <c r="I419" s="11">
        <v>7.8</v>
      </c>
      <c r="J419" s="11" t="s">
        <v>19</v>
      </c>
      <c r="K419" s="11" t="s">
        <v>20</v>
      </c>
      <c r="L419" s="11" t="s">
        <v>21</v>
      </c>
      <c r="M419" s="11" t="s">
        <v>27</v>
      </c>
      <c r="N419" s="11" t="s">
        <v>23</v>
      </c>
      <c r="O419" s="16" t="s">
        <v>29</v>
      </c>
      <c r="P419" s="11">
        <v>213</v>
      </c>
      <c r="Q419" s="8"/>
      <c r="R419">
        <v>12.32</v>
      </c>
      <c r="S419">
        <v>1867.96</v>
      </c>
      <c r="T419">
        <v>4.18</v>
      </c>
      <c r="U419">
        <v>8.84</v>
      </c>
      <c r="V419">
        <v>123.16</v>
      </c>
      <c r="W419" s="317">
        <v>3.9</v>
      </c>
      <c r="X419" s="190">
        <f t="shared" si="13"/>
        <v>30.419999999999998</v>
      </c>
      <c r="Y419" s="8"/>
      <c r="Z419" s="8"/>
    </row>
    <row r="420" spans="1:26" ht="12.75" customHeight="1" x14ac:dyDescent="0.2">
      <c r="A420" s="11">
        <v>48</v>
      </c>
      <c r="B420" s="11">
        <v>2013</v>
      </c>
      <c r="C420" s="11">
        <v>1</v>
      </c>
      <c r="D420" s="11">
        <v>8</v>
      </c>
      <c r="E420" s="14">
        <v>0.58333333333333337</v>
      </c>
      <c r="F420" s="11" t="s">
        <v>18</v>
      </c>
      <c r="G420" s="11">
        <v>140</v>
      </c>
      <c r="H420" s="15" t="s">
        <v>29</v>
      </c>
      <c r="I420" s="11">
        <v>6.3</v>
      </c>
      <c r="J420" s="11" t="s">
        <v>19</v>
      </c>
      <c r="K420" s="11" t="s">
        <v>20</v>
      </c>
      <c r="L420" s="11" t="s">
        <v>21</v>
      </c>
      <c r="M420" s="11" t="s">
        <v>27</v>
      </c>
      <c r="N420" s="11" t="s">
        <v>23</v>
      </c>
      <c r="O420" s="16" t="s">
        <v>29</v>
      </c>
      <c r="P420" s="11">
        <v>213</v>
      </c>
      <c r="Q420" s="8"/>
      <c r="R420">
        <v>13.06</v>
      </c>
      <c r="S420">
        <v>2228.58</v>
      </c>
      <c r="T420">
        <v>2.83</v>
      </c>
      <c r="U420">
        <v>9.3800000000000008</v>
      </c>
      <c r="V420">
        <v>130.62</v>
      </c>
      <c r="W420" s="317">
        <v>3.9</v>
      </c>
      <c r="X420" s="190">
        <f t="shared" si="13"/>
        <v>24.57</v>
      </c>
      <c r="Y420" s="8"/>
      <c r="Z420" s="8"/>
    </row>
    <row r="421" spans="1:26" ht="12.75" customHeight="1" x14ac:dyDescent="0.2">
      <c r="A421" s="11">
        <v>49</v>
      </c>
      <c r="B421" s="11">
        <v>2013</v>
      </c>
      <c r="C421" s="11">
        <v>1</v>
      </c>
      <c r="D421" s="11">
        <v>8</v>
      </c>
      <c r="E421" s="14">
        <v>0.58333333333333337</v>
      </c>
      <c r="F421" s="11" t="s">
        <v>18</v>
      </c>
      <c r="G421" s="11">
        <v>130</v>
      </c>
      <c r="H421" s="15" t="s">
        <v>29</v>
      </c>
      <c r="I421" s="11">
        <v>5.5</v>
      </c>
      <c r="J421" s="11" t="s">
        <v>19</v>
      </c>
      <c r="K421" s="11" t="s">
        <v>20</v>
      </c>
      <c r="L421" s="11" t="s">
        <v>30</v>
      </c>
      <c r="M421" s="11" t="s">
        <v>45</v>
      </c>
      <c r="N421" s="11" t="s">
        <v>25</v>
      </c>
      <c r="O421" s="16" t="s">
        <v>29</v>
      </c>
      <c r="P421" s="11">
        <v>213</v>
      </c>
      <c r="Q421" s="8"/>
      <c r="R421">
        <v>12.13</v>
      </c>
      <c r="S421">
        <v>1784.33</v>
      </c>
      <c r="T421">
        <v>3.08</v>
      </c>
      <c r="U421">
        <v>8.7100000000000009</v>
      </c>
      <c r="V421">
        <v>121.29</v>
      </c>
      <c r="W421" s="317">
        <v>4.5999999999999996</v>
      </c>
      <c r="X421" s="190">
        <f t="shared" si="13"/>
        <v>25.299999999999997</v>
      </c>
      <c r="Y421" s="8"/>
      <c r="Z421" s="8"/>
    </row>
    <row r="422" spans="1:26" ht="12.75" customHeight="1" x14ac:dyDescent="0.2">
      <c r="A422" s="11">
        <v>50</v>
      </c>
      <c r="B422" s="11">
        <v>2013</v>
      </c>
      <c r="C422" s="11">
        <v>1</v>
      </c>
      <c r="D422" s="11">
        <v>8</v>
      </c>
      <c r="E422" s="14">
        <v>0.58333333333333337</v>
      </c>
      <c r="F422" s="11" t="s">
        <v>18</v>
      </c>
      <c r="G422" s="11">
        <v>124</v>
      </c>
      <c r="H422" s="15" t="s">
        <v>29</v>
      </c>
      <c r="I422" s="11">
        <v>4.8</v>
      </c>
      <c r="J422" s="11" t="s">
        <v>19</v>
      </c>
      <c r="K422" s="11" t="s">
        <v>20</v>
      </c>
      <c r="L422" s="11" t="s">
        <v>21</v>
      </c>
      <c r="M422" s="11" t="s">
        <v>45</v>
      </c>
      <c r="N422" s="11" t="s">
        <v>25</v>
      </c>
      <c r="O422" s="16" t="s">
        <v>29</v>
      </c>
      <c r="P422" s="11">
        <v>213</v>
      </c>
      <c r="Q422" s="8"/>
      <c r="R422">
        <v>11.57</v>
      </c>
      <c r="S422">
        <v>1548.5</v>
      </c>
      <c r="T422">
        <v>3.1</v>
      </c>
      <c r="U422">
        <v>8.31</v>
      </c>
      <c r="V422">
        <v>115.69</v>
      </c>
      <c r="W422" s="317">
        <v>3.9</v>
      </c>
      <c r="X422" s="190">
        <f t="shared" si="13"/>
        <v>18.72</v>
      </c>
      <c r="Y422" s="8"/>
      <c r="Z422" s="8"/>
    </row>
    <row r="423" spans="1:26" ht="12.75" customHeight="1" x14ac:dyDescent="0.2">
      <c r="A423" s="11">
        <v>51</v>
      </c>
      <c r="B423" s="11">
        <v>2013</v>
      </c>
      <c r="C423" s="11">
        <v>1</v>
      </c>
      <c r="D423" s="11">
        <v>8</v>
      </c>
      <c r="E423" s="14">
        <v>0.58333333333333337</v>
      </c>
      <c r="F423" s="11" t="s">
        <v>18</v>
      </c>
      <c r="G423" s="11">
        <v>139</v>
      </c>
      <c r="H423" s="15" t="s">
        <v>29</v>
      </c>
      <c r="I423" s="11">
        <v>13.5</v>
      </c>
      <c r="J423" s="11" t="s">
        <v>19</v>
      </c>
      <c r="K423" s="11" t="s">
        <v>20</v>
      </c>
      <c r="L423" s="11" t="s">
        <v>30</v>
      </c>
      <c r="M423" s="11" t="s">
        <v>45</v>
      </c>
      <c r="N423" s="11" t="s">
        <v>25</v>
      </c>
      <c r="O423" s="16" t="s">
        <v>29</v>
      </c>
      <c r="P423" s="11">
        <v>213</v>
      </c>
      <c r="Q423" s="8"/>
      <c r="R423">
        <v>12.97</v>
      </c>
      <c r="S423">
        <v>2181.17</v>
      </c>
      <c r="T423">
        <v>6.19</v>
      </c>
      <c r="U423">
        <v>9.31</v>
      </c>
      <c r="V423">
        <v>129.69</v>
      </c>
      <c r="W423" s="317">
        <v>4.5999999999999996</v>
      </c>
      <c r="X423" s="190">
        <f t="shared" si="13"/>
        <v>62.099999999999994</v>
      </c>
      <c r="Y423" s="8"/>
      <c r="Z423" s="8"/>
    </row>
    <row r="424" spans="1:26" ht="12.75" customHeight="1" x14ac:dyDescent="0.2">
      <c r="A424" s="11">
        <v>52</v>
      </c>
      <c r="B424" s="11">
        <v>2013</v>
      </c>
      <c r="C424" s="11">
        <v>1</v>
      </c>
      <c r="D424" s="11">
        <v>8</v>
      </c>
      <c r="E424" s="14">
        <v>0.58333333333333337</v>
      </c>
      <c r="F424" s="11" t="s">
        <v>18</v>
      </c>
      <c r="G424" s="11">
        <v>134</v>
      </c>
      <c r="H424" s="15" t="s">
        <v>29</v>
      </c>
      <c r="I424" s="11">
        <v>8.4</v>
      </c>
      <c r="J424" s="11" t="s">
        <v>19</v>
      </c>
      <c r="K424" s="11" t="s">
        <v>20</v>
      </c>
      <c r="L424" s="11" t="s">
        <v>21</v>
      </c>
      <c r="M424" s="11" t="s">
        <v>45</v>
      </c>
      <c r="N424" s="11" t="s">
        <v>25</v>
      </c>
      <c r="O424" s="16" t="s">
        <v>29</v>
      </c>
      <c r="P424" s="11">
        <v>213</v>
      </c>
      <c r="Q424" s="8"/>
      <c r="R424">
        <v>12.5</v>
      </c>
      <c r="S424">
        <v>1954.16</v>
      </c>
      <c r="T424">
        <v>4.3</v>
      </c>
      <c r="U424">
        <v>8.98</v>
      </c>
      <c r="V424">
        <v>125.02</v>
      </c>
      <c r="W424" s="317">
        <v>3.9</v>
      </c>
      <c r="X424" s="190">
        <f t="shared" si="13"/>
        <v>32.76</v>
      </c>
      <c r="Y424" s="8"/>
      <c r="Z424" s="8"/>
    </row>
    <row r="425" spans="1:26" ht="12.75" customHeight="1" x14ac:dyDescent="0.2">
      <c r="A425" s="11">
        <v>53</v>
      </c>
      <c r="B425" s="11">
        <v>2013</v>
      </c>
      <c r="C425" s="11">
        <v>1</v>
      </c>
      <c r="D425" s="11">
        <v>8</v>
      </c>
      <c r="E425" s="14">
        <v>0.58333333333333337</v>
      </c>
      <c r="F425" s="11" t="s">
        <v>18</v>
      </c>
      <c r="G425" s="11">
        <v>144</v>
      </c>
      <c r="H425" s="15" t="s">
        <v>29</v>
      </c>
      <c r="I425" s="11">
        <v>10</v>
      </c>
      <c r="J425" s="11" t="s">
        <v>19</v>
      </c>
      <c r="K425" s="11" t="s">
        <v>20</v>
      </c>
      <c r="L425" s="11" t="s">
        <v>21</v>
      </c>
      <c r="M425" s="11" t="s">
        <v>27</v>
      </c>
      <c r="N425" s="11" t="s">
        <v>25</v>
      </c>
      <c r="O425" s="16" t="s">
        <v>29</v>
      </c>
      <c r="P425" s="11">
        <v>213</v>
      </c>
      <c r="Q425" s="8"/>
      <c r="R425">
        <v>13.44</v>
      </c>
      <c r="S425">
        <v>2425.12</v>
      </c>
      <c r="T425">
        <v>4.12</v>
      </c>
      <c r="U425">
        <v>9.65</v>
      </c>
      <c r="V425">
        <v>134.35</v>
      </c>
      <c r="W425" s="317">
        <v>3.9</v>
      </c>
      <c r="X425" s="190">
        <f t="shared" si="13"/>
        <v>39</v>
      </c>
      <c r="Y425" s="8"/>
      <c r="Z425" s="8"/>
    </row>
    <row r="426" spans="1:26" ht="12.75" customHeight="1" x14ac:dyDescent="0.2">
      <c r="A426" s="11">
        <v>54</v>
      </c>
      <c r="B426" s="11">
        <v>2013</v>
      </c>
      <c r="C426" s="11">
        <v>1</v>
      </c>
      <c r="D426" s="11">
        <v>8</v>
      </c>
      <c r="E426" s="14">
        <v>0.58333333333333337</v>
      </c>
      <c r="F426" s="11" t="s">
        <v>18</v>
      </c>
      <c r="G426" s="11">
        <v>141</v>
      </c>
      <c r="H426" s="15" t="s">
        <v>29</v>
      </c>
      <c r="I426" s="11">
        <v>10.5</v>
      </c>
      <c r="J426" s="11" t="s">
        <v>19</v>
      </c>
      <c r="K426" s="11" t="s">
        <v>20</v>
      </c>
      <c r="L426" s="11" t="s">
        <v>21</v>
      </c>
      <c r="M426" s="11" t="s">
        <v>45</v>
      </c>
      <c r="N426" s="11" t="s">
        <v>33</v>
      </c>
      <c r="O426" s="16" t="s">
        <v>29</v>
      </c>
      <c r="P426" s="11">
        <v>213</v>
      </c>
      <c r="Q426" s="8"/>
      <c r="R426">
        <v>13.16</v>
      </c>
      <c r="S426">
        <v>2276.6799999999998</v>
      </c>
      <c r="T426">
        <v>4.6100000000000003</v>
      </c>
      <c r="U426">
        <v>9.4499999999999993</v>
      </c>
      <c r="V426">
        <v>131.55000000000001</v>
      </c>
      <c r="W426" s="317">
        <v>3.9</v>
      </c>
      <c r="X426" s="190">
        <f t="shared" si="13"/>
        <v>40.949999999999996</v>
      </c>
      <c r="Y426" s="8"/>
      <c r="Z426" s="8"/>
    </row>
    <row r="427" spans="1:26" ht="12.75" customHeight="1" x14ac:dyDescent="0.2">
      <c r="A427" s="11">
        <v>55</v>
      </c>
      <c r="B427" s="11">
        <v>2013</v>
      </c>
      <c r="C427" s="11">
        <v>1</v>
      </c>
      <c r="D427" s="11">
        <v>8</v>
      </c>
      <c r="E427" s="14">
        <v>0.58333333333333337</v>
      </c>
      <c r="F427" s="11" t="s">
        <v>18</v>
      </c>
      <c r="G427" s="11">
        <v>173</v>
      </c>
      <c r="H427" s="15" t="s">
        <v>29</v>
      </c>
      <c r="I427" s="11">
        <v>14.7</v>
      </c>
      <c r="J427" s="11" t="s">
        <v>19</v>
      </c>
      <c r="K427" s="11" t="s">
        <v>20</v>
      </c>
      <c r="L427" s="11" t="s">
        <v>21</v>
      </c>
      <c r="M427" s="11" t="s">
        <v>27</v>
      </c>
      <c r="N427" s="11" t="s">
        <v>23</v>
      </c>
      <c r="O427" s="16" t="s">
        <v>29</v>
      </c>
      <c r="P427" s="11">
        <v>213</v>
      </c>
      <c r="Q427" s="8"/>
      <c r="R427">
        <v>16.14</v>
      </c>
      <c r="S427">
        <v>4205.17</v>
      </c>
      <c r="T427">
        <v>3.5</v>
      </c>
      <c r="U427">
        <v>11.59</v>
      </c>
      <c r="V427">
        <v>161.41</v>
      </c>
      <c r="W427" s="317">
        <v>3.9</v>
      </c>
      <c r="X427" s="190">
        <f t="shared" si="13"/>
        <v>57.33</v>
      </c>
      <c r="Y427" s="8"/>
      <c r="Z427" s="8"/>
    </row>
    <row r="428" spans="1:26" ht="12.75" customHeight="1" x14ac:dyDescent="0.2">
      <c r="A428" s="11">
        <v>56</v>
      </c>
      <c r="B428" s="11">
        <v>2013</v>
      </c>
      <c r="C428" s="11">
        <v>1</v>
      </c>
      <c r="D428" s="11">
        <v>8</v>
      </c>
      <c r="E428" s="14">
        <v>0.58333333333333337</v>
      </c>
      <c r="F428" s="11" t="s">
        <v>18</v>
      </c>
      <c r="G428" s="11">
        <v>153</v>
      </c>
      <c r="H428" s="15" t="s">
        <v>29</v>
      </c>
      <c r="I428" s="11">
        <v>9.6</v>
      </c>
      <c r="J428" s="11" t="s">
        <v>19</v>
      </c>
      <c r="K428" s="11" t="s">
        <v>20</v>
      </c>
      <c r="L428" s="11" t="s">
        <v>30</v>
      </c>
      <c r="M428" s="11" t="s">
        <v>46</v>
      </c>
      <c r="N428" s="11" t="s">
        <v>23</v>
      </c>
      <c r="O428" s="16" t="s">
        <v>29</v>
      </c>
      <c r="P428" s="11">
        <v>213</v>
      </c>
      <c r="Q428" s="8"/>
      <c r="R428">
        <v>14.27</v>
      </c>
      <c r="S428">
        <v>2908.84</v>
      </c>
      <c r="T428">
        <v>3.3</v>
      </c>
      <c r="U428">
        <v>10.25</v>
      </c>
      <c r="V428">
        <v>142.75</v>
      </c>
      <c r="W428" s="317">
        <v>4.5999999999999996</v>
      </c>
      <c r="X428" s="190">
        <f t="shared" si="13"/>
        <v>44.16</v>
      </c>
      <c r="Y428" s="8"/>
      <c r="Z428" s="8"/>
    </row>
    <row r="429" spans="1:26" ht="12.75" customHeight="1" x14ac:dyDescent="0.2">
      <c r="A429" s="11">
        <v>57</v>
      </c>
      <c r="B429" s="11">
        <v>2013</v>
      </c>
      <c r="C429" s="11">
        <v>1</v>
      </c>
      <c r="D429" s="11">
        <v>8</v>
      </c>
      <c r="E429" s="14">
        <v>0.58333333333333337</v>
      </c>
      <c r="F429" s="11" t="s">
        <v>28</v>
      </c>
      <c r="G429" s="11" t="s">
        <v>29</v>
      </c>
      <c r="H429" s="15" t="s">
        <v>29</v>
      </c>
      <c r="I429" s="11" t="s">
        <v>29</v>
      </c>
      <c r="J429" s="11" t="s">
        <v>19</v>
      </c>
      <c r="K429" s="11" t="s">
        <v>20</v>
      </c>
      <c r="L429" s="11" t="s">
        <v>41</v>
      </c>
      <c r="M429" s="11" t="s">
        <v>29</v>
      </c>
      <c r="N429" s="11" t="s">
        <v>29</v>
      </c>
      <c r="O429" s="16" t="s">
        <v>29</v>
      </c>
      <c r="P429" s="11">
        <v>213</v>
      </c>
      <c r="Q429" s="8"/>
      <c r="W429" s="8"/>
      <c r="X429" s="8"/>
      <c r="Y429" s="8"/>
      <c r="Z429" s="8"/>
    </row>
    <row r="430" spans="1:26" ht="12.75" customHeight="1" x14ac:dyDescent="0.2">
      <c r="A430" s="11">
        <v>58</v>
      </c>
      <c r="B430" s="11">
        <v>2013</v>
      </c>
      <c r="C430" s="11">
        <v>1</v>
      </c>
      <c r="D430" s="11">
        <v>8</v>
      </c>
      <c r="E430" s="14">
        <v>0.58333333333333337</v>
      </c>
      <c r="F430" s="11" t="s">
        <v>18</v>
      </c>
      <c r="G430" s="11">
        <v>97</v>
      </c>
      <c r="H430" s="15" t="s">
        <v>29</v>
      </c>
      <c r="I430" s="11">
        <v>1.2</v>
      </c>
      <c r="J430" s="11" t="s">
        <v>32</v>
      </c>
      <c r="K430" s="11" t="s">
        <v>29</v>
      </c>
      <c r="L430" s="11" t="s">
        <v>29</v>
      </c>
      <c r="M430" s="11" t="s">
        <v>47</v>
      </c>
      <c r="N430" s="11" t="s">
        <v>24</v>
      </c>
      <c r="O430" s="16" t="s">
        <v>29</v>
      </c>
      <c r="P430" s="11">
        <v>213</v>
      </c>
      <c r="Q430" s="8"/>
      <c r="R430">
        <v>9.0500000000000007</v>
      </c>
      <c r="S430">
        <v>741.24</v>
      </c>
      <c r="T430">
        <v>1.62</v>
      </c>
      <c r="U430">
        <v>6.5</v>
      </c>
      <c r="V430">
        <v>90.5</v>
      </c>
      <c r="W430" s="8"/>
      <c r="X430" s="8"/>
      <c r="Y430" s="8"/>
      <c r="Z430" s="8"/>
    </row>
    <row r="431" spans="1:26" ht="12.75" customHeight="1" x14ac:dyDescent="0.2">
      <c r="A431" s="11">
        <v>59</v>
      </c>
      <c r="B431" s="11">
        <v>2013</v>
      </c>
      <c r="C431" s="11">
        <v>1</v>
      </c>
      <c r="D431" s="11">
        <v>8</v>
      </c>
      <c r="E431" s="14">
        <v>0.58333333333333337</v>
      </c>
      <c r="F431" s="11" t="s">
        <v>18</v>
      </c>
      <c r="G431" s="11">
        <v>145</v>
      </c>
      <c r="H431" s="15" t="s">
        <v>29</v>
      </c>
      <c r="I431" s="11">
        <v>10.3</v>
      </c>
      <c r="J431" s="11" t="s">
        <v>19</v>
      </c>
      <c r="K431" s="11" t="s">
        <v>20</v>
      </c>
      <c r="L431" s="11" t="s">
        <v>21</v>
      </c>
      <c r="M431" s="11" t="s">
        <v>45</v>
      </c>
      <c r="N431" s="11" t="s">
        <v>25</v>
      </c>
      <c r="O431" s="16" t="s">
        <v>29</v>
      </c>
      <c r="P431" s="11">
        <v>213</v>
      </c>
      <c r="Q431" s="8"/>
      <c r="R431">
        <v>13.53</v>
      </c>
      <c r="S431">
        <v>2475.9899999999998</v>
      </c>
      <c r="T431">
        <v>4.16</v>
      </c>
      <c r="U431">
        <v>9.7200000000000006</v>
      </c>
      <c r="V431">
        <v>135.29</v>
      </c>
      <c r="W431" s="317">
        <v>3.9</v>
      </c>
      <c r="X431" s="190">
        <f>I431*W431</f>
        <v>40.17</v>
      </c>
      <c r="Y431" s="8"/>
      <c r="Z431" s="8"/>
    </row>
    <row r="432" spans="1:26" ht="12.75" customHeight="1" x14ac:dyDescent="0.2">
      <c r="A432" s="11">
        <v>60</v>
      </c>
      <c r="B432" s="11">
        <v>2013</v>
      </c>
      <c r="C432" s="11">
        <v>1</v>
      </c>
      <c r="D432" s="11">
        <v>8</v>
      </c>
      <c r="E432" s="14">
        <v>0.58333333333333337</v>
      </c>
      <c r="F432" s="11" t="s">
        <v>18</v>
      </c>
      <c r="G432" s="11">
        <v>154</v>
      </c>
      <c r="H432" s="15" t="s">
        <v>29</v>
      </c>
      <c r="I432" s="11">
        <v>12</v>
      </c>
      <c r="J432" s="11" t="s">
        <v>19</v>
      </c>
      <c r="K432" s="11" t="s">
        <v>20</v>
      </c>
      <c r="L432" s="11" t="s">
        <v>21</v>
      </c>
      <c r="M432" s="11" t="s">
        <v>46</v>
      </c>
      <c r="N432" s="11" t="s">
        <v>23</v>
      </c>
      <c r="O432" s="16" t="s">
        <v>29</v>
      </c>
      <c r="P432" s="11">
        <v>213</v>
      </c>
      <c r="Q432" s="8"/>
      <c r="R432">
        <v>14.37</v>
      </c>
      <c r="S432">
        <v>2966.25</v>
      </c>
      <c r="T432">
        <v>4.05</v>
      </c>
      <c r="U432">
        <v>10.32</v>
      </c>
      <c r="V432">
        <v>143.68</v>
      </c>
      <c r="W432" s="317">
        <v>3.9</v>
      </c>
      <c r="X432" s="190">
        <f>I432*W432</f>
        <v>46.8</v>
      </c>
      <c r="Y432" s="8"/>
      <c r="Z432" s="8"/>
    </row>
    <row r="433" spans="1:26" ht="12.75" customHeight="1" x14ac:dyDescent="0.2">
      <c r="A433" s="11">
        <v>61</v>
      </c>
      <c r="B433" s="11">
        <v>2013</v>
      </c>
      <c r="C433" s="11">
        <v>1</v>
      </c>
      <c r="D433" s="11">
        <v>8</v>
      </c>
      <c r="E433" s="14">
        <v>0.58333333333333337</v>
      </c>
      <c r="F433" s="11" t="s">
        <v>18</v>
      </c>
      <c r="G433" s="11">
        <v>171</v>
      </c>
      <c r="H433" s="15" t="s">
        <v>29</v>
      </c>
      <c r="I433" s="11">
        <v>15.5</v>
      </c>
      <c r="J433" s="11" t="s">
        <v>19</v>
      </c>
      <c r="K433" s="11" t="s">
        <v>20</v>
      </c>
      <c r="L433" s="11" t="s">
        <v>21</v>
      </c>
      <c r="M433" s="11" t="s">
        <v>27</v>
      </c>
      <c r="N433" s="11" t="s">
        <v>23</v>
      </c>
      <c r="O433" s="16" t="s">
        <v>29</v>
      </c>
      <c r="P433" s="11">
        <v>213</v>
      </c>
      <c r="Q433" s="8"/>
      <c r="R433">
        <v>15.95</v>
      </c>
      <c r="S433">
        <v>4061</v>
      </c>
      <c r="T433">
        <v>3.82</v>
      </c>
      <c r="U433">
        <v>11.46</v>
      </c>
      <c r="V433">
        <v>159.54</v>
      </c>
      <c r="W433" s="317">
        <v>3.9</v>
      </c>
      <c r="X433" s="190">
        <f>I433*W433</f>
        <v>60.449999999999996</v>
      </c>
      <c r="Y433" s="8"/>
      <c r="Z433" s="8"/>
    </row>
    <row r="434" spans="1:26" ht="12.75" customHeight="1" x14ac:dyDescent="0.2">
      <c r="A434" s="11">
        <v>62</v>
      </c>
      <c r="B434" s="11">
        <v>2013</v>
      </c>
      <c r="C434" s="11">
        <v>1</v>
      </c>
      <c r="D434" s="11">
        <v>8</v>
      </c>
      <c r="E434" s="14">
        <v>0.58333333333333337</v>
      </c>
      <c r="F434" s="11" t="s">
        <v>18</v>
      </c>
      <c r="G434" s="11">
        <v>99</v>
      </c>
      <c r="H434" s="15" t="s">
        <v>29</v>
      </c>
      <c r="I434" s="11">
        <v>1.5</v>
      </c>
      <c r="J434" s="11" t="s">
        <v>32</v>
      </c>
      <c r="K434" s="11" t="s">
        <v>29</v>
      </c>
      <c r="L434" s="11" t="s">
        <v>35</v>
      </c>
      <c r="M434" s="11" t="s">
        <v>47</v>
      </c>
      <c r="N434" s="11" t="s">
        <v>24</v>
      </c>
      <c r="O434" s="16" t="s">
        <v>29</v>
      </c>
      <c r="P434" s="11">
        <v>213</v>
      </c>
      <c r="Q434" s="8"/>
      <c r="R434">
        <v>9.24</v>
      </c>
      <c r="S434">
        <v>788.04</v>
      </c>
      <c r="T434">
        <v>1.9</v>
      </c>
      <c r="U434">
        <v>6.63</v>
      </c>
      <c r="V434">
        <v>92.37</v>
      </c>
      <c r="W434" s="317"/>
      <c r="X434" s="8"/>
      <c r="Y434" s="8"/>
      <c r="Z434" s="8"/>
    </row>
    <row r="435" spans="1:26" ht="12.75" customHeight="1" x14ac:dyDescent="0.2">
      <c r="A435" s="11">
        <v>63</v>
      </c>
      <c r="B435" s="11">
        <v>2013</v>
      </c>
      <c r="C435" s="11">
        <v>1</v>
      </c>
      <c r="D435" s="11">
        <v>8</v>
      </c>
      <c r="E435" s="14">
        <v>0.58333333333333337</v>
      </c>
      <c r="F435" s="11" t="s">
        <v>18</v>
      </c>
      <c r="G435" s="11">
        <v>132</v>
      </c>
      <c r="H435" s="15" t="s">
        <v>29</v>
      </c>
      <c r="I435" s="11">
        <v>5.5</v>
      </c>
      <c r="J435" s="11" t="s">
        <v>19</v>
      </c>
      <c r="K435" s="11" t="s">
        <v>20</v>
      </c>
      <c r="L435" s="11" t="s">
        <v>21</v>
      </c>
      <c r="M435" s="11" t="s">
        <v>47</v>
      </c>
      <c r="N435" s="11" t="s">
        <v>25</v>
      </c>
      <c r="O435" s="16" t="s">
        <v>29</v>
      </c>
      <c r="P435" s="11">
        <v>213</v>
      </c>
      <c r="Q435" s="8"/>
      <c r="R435">
        <v>12.32</v>
      </c>
      <c r="S435">
        <v>1867.96</v>
      </c>
      <c r="T435">
        <v>2.94</v>
      </c>
      <c r="U435">
        <v>8.84</v>
      </c>
      <c r="V435">
        <v>123.16</v>
      </c>
      <c r="W435" s="317">
        <v>3.9</v>
      </c>
      <c r="X435" s="190">
        <f t="shared" ref="X435:X443" si="14">I435*W435</f>
        <v>21.45</v>
      </c>
      <c r="Y435" s="8"/>
      <c r="Z435" s="8"/>
    </row>
    <row r="436" spans="1:26" ht="12.75" customHeight="1" x14ac:dyDescent="0.2">
      <c r="A436" s="11">
        <v>64</v>
      </c>
      <c r="B436" s="11">
        <v>2013</v>
      </c>
      <c r="C436" s="11">
        <v>1</v>
      </c>
      <c r="D436" s="11">
        <v>8</v>
      </c>
      <c r="E436" s="14">
        <v>0.58333333333333337</v>
      </c>
      <c r="F436" s="11" t="s">
        <v>18</v>
      </c>
      <c r="G436" s="11">
        <v>133</v>
      </c>
      <c r="H436" s="15" t="s">
        <v>29</v>
      </c>
      <c r="I436" s="11">
        <v>8.5</v>
      </c>
      <c r="J436" s="11" t="s">
        <v>19</v>
      </c>
      <c r="K436" s="11" t="s">
        <v>20</v>
      </c>
      <c r="L436" s="11" t="s">
        <v>21</v>
      </c>
      <c r="M436" s="11" t="s">
        <v>27</v>
      </c>
      <c r="N436" s="11" t="s">
        <v>33</v>
      </c>
      <c r="O436" s="16" t="s">
        <v>29</v>
      </c>
      <c r="P436" s="11">
        <v>213</v>
      </c>
      <c r="Q436" s="8"/>
      <c r="R436">
        <v>12.41</v>
      </c>
      <c r="S436">
        <v>1910.73</v>
      </c>
      <c r="T436">
        <v>4.45</v>
      </c>
      <c r="U436">
        <v>8.91</v>
      </c>
      <c r="V436">
        <v>124.09</v>
      </c>
      <c r="W436" s="317">
        <v>3.9</v>
      </c>
      <c r="X436" s="190">
        <f t="shared" si="14"/>
        <v>33.15</v>
      </c>
      <c r="Y436" s="8"/>
      <c r="Z436" s="8"/>
    </row>
    <row r="437" spans="1:26" ht="12.75" customHeight="1" x14ac:dyDescent="0.2">
      <c r="A437" s="11">
        <v>65</v>
      </c>
      <c r="B437" s="11">
        <v>2013</v>
      </c>
      <c r="C437" s="11">
        <v>4</v>
      </c>
      <c r="D437" s="11">
        <v>8</v>
      </c>
      <c r="E437" s="11" t="s">
        <v>29</v>
      </c>
      <c r="F437" s="11" t="s">
        <v>18</v>
      </c>
      <c r="G437" s="11">
        <v>130</v>
      </c>
      <c r="H437" s="15" t="s">
        <v>29</v>
      </c>
      <c r="I437" s="11">
        <v>9.5</v>
      </c>
      <c r="J437" s="11" t="s">
        <v>19</v>
      </c>
      <c r="K437" s="11" t="s">
        <v>20</v>
      </c>
      <c r="L437" s="11" t="s">
        <v>30</v>
      </c>
      <c r="M437" s="11" t="s">
        <v>27</v>
      </c>
      <c r="N437" s="11" t="s">
        <v>25</v>
      </c>
      <c r="O437" s="16" t="s">
        <v>29</v>
      </c>
      <c r="P437" s="11">
        <v>216</v>
      </c>
      <c r="Q437" s="8"/>
      <c r="R437">
        <v>12.13</v>
      </c>
      <c r="S437">
        <v>1784.33</v>
      </c>
      <c r="T437">
        <v>5.32</v>
      </c>
      <c r="U437">
        <v>8.7100000000000009</v>
      </c>
      <c r="V437">
        <v>121.29</v>
      </c>
      <c r="W437" s="317">
        <v>4.5999999999999996</v>
      </c>
      <c r="X437" s="190">
        <f t="shared" si="14"/>
        <v>43.699999999999996</v>
      </c>
      <c r="Y437" s="8"/>
      <c r="Z437" s="8"/>
    </row>
    <row r="438" spans="1:26" ht="12.75" customHeight="1" x14ac:dyDescent="0.2">
      <c r="A438" s="11">
        <v>66</v>
      </c>
      <c r="B438" s="11">
        <v>2013</v>
      </c>
      <c r="C438" s="11">
        <v>4</v>
      </c>
      <c r="D438" s="11">
        <v>8</v>
      </c>
      <c r="E438" s="11" t="s">
        <v>29</v>
      </c>
      <c r="F438" s="11" t="s">
        <v>18</v>
      </c>
      <c r="G438" s="11">
        <v>142</v>
      </c>
      <c r="H438" s="15" t="s">
        <v>29</v>
      </c>
      <c r="I438" s="11">
        <v>9.5</v>
      </c>
      <c r="J438" s="11" t="s">
        <v>19</v>
      </c>
      <c r="K438" s="11" t="s">
        <v>20</v>
      </c>
      <c r="L438" s="11" t="s">
        <v>21</v>
      </c>
      <c r="M438" s="11" t="s">
        <v>27</v>
      </c>
      <c r="N438" s="11" t="s">
        <v>24</v>
      </c>
      <c r="O438" s="16" t="s">
        <v>29</v>
      </c>
      <c r="P438" s="11">
        <v>216</v>
      </c>
      <c r="Q438" s="8"/>
      <c r="R438">
        <v>13.25</v>
      </c>
      <c r="S438">
        <v>2325.4699999999998</v>
      </c>
      <c r="T438">
        <v>4.09</v>
      </c>
      <c r="U438">
        <v>9.51</v>
      </c>
      <c r="V438">
        <v>132.49</v>
      </c>
      <c r="W438" s="317">
        <v>3.9</v>
      </c>
      <c r="X438" s="190">
        <f t="shared" si="14"/>
        <v>37.049999999999997</v>
      </c>
      <c r="Y438" s="8"/>
      <c r="Z438" s="8"/>
    </row>
    <row r="439" spans="1:26" ht="12.75" customHeight="1" x14ac:dyDescent="0.2">
      <c r="A439" s="11">
        <v>67</v>
      </c>
      <c r="B439" s="11">
        <v>2013</v>
      </c>
      <c r="C439" s="11">
        <v>4</v>
      </c>
      <c r="D439" s="11">
        <v>8</v>
      </c>
      <c r="E439" s="11" t="s">
        <v>29</v>
      </c>
      <c r="F439" s="11" t="s">
        <v>18</v>
      </c>
      <c r="G439" s="11">
        <v>170</v>
      </c>
      <c r="H439" s="15" t="s">
        <v>29</v>
      </c>
      <c r="I439" s="11">
        <v>15.5</v>
      </c>
      <c r="J439" s="11" t="s">
        <v>19</v>
      </c>
      <c r="K439" s="11" t="s">
        <v>20</v>
      </c>
      <c r="L439" s="11" t="s">
        <v>21</v>
      </c>
      <c r="M439" s="11" t="s">
        <v>46</v>
      </c>
      <c r="N439" s="11" t="s">
        <v>23</v>
      </c>
      <c r="O439" s="16" t="s">
        <v>29</v>
      </c>
      <c r="P439" s="11">
        <v>216</v>
      </c>
      <c r="Q439" s="8"/>
      <c r="R439">
        <v>15.86</v>
      </c>
      <c r="S439">
        <v>3990.17</v>
      </c>
      <c r="T439">
        <v>3.88</v>
      </c>
      <c r="U439">
        <v>11.39</v>
      </c>
      <c r="V439">
        <v>158.61000000000001</v>
      </c>
      <c r="W439" s="317">
        <v>3.9</v>
      </c>
      <c r="X439" s="190">
        <f t="shared" si="14"/>
        <v>60.449999999999996</v>
      </c>
      <c r="Y439" s="8"/>
      <c r="Z439" s="8"/>
    </row>
    <row r="440" spans="1:26" ht="12.75" customHeight="1" x14ac:dyDescent="0.2">
      <c r="A440" s="11">
        <v>68</v>
      </c>
      <c r="B440" s="11">
        <v>2013</v>
      </c>
      <c r="C440" s="11">
        <v>4</v>
      </c>
      <c r="D440" s="11">
        <v>8</v>
      </c>
      <c r="E440" s="11" t="s">
        <v>29</v>
      </c>
      <c r="F440" s="11" t="s">
        <v>18</v>
      </c>
      <c r="G440" s="11">
        <v>161</v>
      </c>
      <c r="H440" s="15" t="s">
        <v>29</v>
      </c>
      <c r="I440" s="11">
        <v>10.5</v>
      </c>
      <c r="J440" s="11" t="s">
        <v>19</v>
      </c>
      <c r="K440" s="11" t="s">
        <v>20</v>
      </c>
      <c r="L440" s="11" t="s">
        <v>21</v>
      </c>
      <c r="M440" s="11" t="s">
        <v>27</v>
      </c>
      <c r="N440" s="11" t="s">
        <v>23</v>
      </c>
      <c r="O440" s="16" t="s">
        <v>29</v>
      </c>
      <c r="P440" s="11">
        <v>216</v>
      </c>
      <c r="Q440" s="8"/>
      <c r="R440">
        <v>15.02</v>
      </c>
      <c r="S440">
        <v>3389.4</v>
      </c>
      <c r="T440">
        <v>3.1</v>
      </c>
      <c r="U440">
        <v>10.79</v>
      </c>
      <c r="V440">
        <v>150.21</v>
      </c>
      <c r="W440" s="317">
        <v>3.9</v>
      </c>
      <c r="X440" s="190">
        <f t="shared" si="14"/>
        <v>40.949999999999996</v>
      </c>
      <c r="Y440" s="8"/>
      <c r="Z440" s="8"/>
    </row>
    <row r="441" spans="1:26" ht="12.75" customHeight="1" x14ac:dyDescent="0.2">
      <c r="A441" s="11">
        <v>69</v>
      </c>
      <c r="B441" s="11">
        <v>2013</v>
      </c>
      <c r="C441" s="11">
        <v>4</v>
      </c>
      <c r="D441" s="11">
        <v>8</v>
      </c>
      <c r="E441" s="11" t="s">
        <v>29</v>
      </c>
      <c r="F441" s="11" t="s">
        <v>18</v>
      </c>
      <c r="G441" s="11">
        <v>171</v>
      </c>
      <c r="H441" s="15" t="s">
        <v>29</v>
      </c>
      <c r="I441" s="11">
        <v>13</v>
      </c>
      <c r="J441" s="11" t="s">
        <v>19</v>
      </c>
      <c r="K441" s="11" t="s">
        <v>20</v>
      </c>
      <c r="L441" s="11" t="s">
        <v>21</v>
      </c>
      <c r="M441" s="11" t="s">
        <v>27</v>
      </c>
      <c r="N441" s="11" t="s">
        <v>23</v>
      </c>
      <c r="O441" s="16" t="s">
        <v>29</v>
      </c>
      <c r="P441" s="11">
        <v>216</v>
      </c>
      <c r="Q441" s="8"/>
      <c r="R441">
        <v>15.95</v>
      </c>
      <c r="S441">
        <v>4061</v>
      </c>
      <c r="T441">
        <v>3.2</v>
      </c>
      <c r="U441">
        <v>11.46</v>
      </c>
      <c r="V441">
        <v>159.54</v>
      </c>
      <c r="W441" s="317">
        <v>3.9</v>
      </c>
      <c r="X441" s="190">
        <f t="shared" si="14"/>
        <v>50.699999999999996</v>
      </c>
      <c r="Y441" s="8"/>
      <c r="Z441" s="8"/>
    </row>
    <row r="442" spans="1:26" ht="12.75" customHeight="1" x14ac:dyDescent="0.2">
      <c r="A442" s="11">
        <v>70</v>
      </c>
      <c r="B442" s="11">
        <v>2013</v>
      </c>
      <c r="C442" s="11">
        <v>4</v>
      </c>
      <c r="D442" s="11">
        <v>8</v>
      </c>
      <c r="E442" s="11" t="s">
        <v>29</v>
      </c>
      <c r="F442" s="11" t="s">
        <v>18</v>
      </c>
      <c r="G442" s="11">
        <v>167</v>
      </c>
      <c r="H442" s="15" t="s">
        <v>29</v>
      </c>
      <c r="I442" s="11">
        <v>12</v>
      </c>
      <c r="J442" s="11" t="s">
        <v>19</v>
      </c>
      <c r="K442" s="11" t="s">
        <v>20</v>
      </c>
      <c r="L442" s="11" t="s">
        <v>21</v>
      </c>
      <c r="M442" s="11" t="s">
        <v>46</v>
      </c>
      <c r="N442" s="11" t="s">
        <v>23</v>
      </c>
      <c r="O442" s="16" t="s">
        <v>29</v>
      </c>
      <c r="P442" s="11">
        <v>216</v>
      </c>
      <c r="Q442" s="8"/>
      <c r="R442">
        <v>15.58</v>
      </c>
      <c r="S442">
        <v>3782.63</v>
      </c>
      <c r="T442">
        <v>3.17</v>
      </c>
      <c r="U442">
        <v>11.19</v>
      </c>
      <c r="V442">
        <v>155.81</v>
      </c>
      <c r="W442" s="317">
        <v>3.9</v>
      </c>
      <c r="X442" s="190">
        <f t="shared" si="14"/>
        <v>46.8</v>
      </c>
      <c r="Y442" s="8"/>
      <c r="Z442" s="8"/>
    </row>
    <row r="443" spans="1:26" ht="12.75" customHeight="1" x14ac:dyDescent="0.2">
      <c r="A443" s="11">
        <v>71</v>
      </c>
      <c r="B443" s="11">
        <v>2013</v>
      </c>
      <c r="C443" s="11">
        <v>4</v>
      </c>
      <c r="D443" s="11">
        <v>8</v>
      </c>
      <c r="E443" s="11" t="s">
        <v>29</v>
      </c>
      <c r="F443" s="11" t="s">
        <v>18</v>
      </c>
      <c r="G443" s="11">
        <v>145</v>
      </c>
      <c r="H443" s="15" t="s">
        <v>29</v>
      </c>
      <c r="I443" s="11">
        <v>8.3000000000000007</v>
      </c>
      <c r="J443" s="11" t="s">
        <v>19</v>
      </c>
      <c r="K443" s="11" t="s">
        <v>20</v>
      </c>
      <c r="L443" s="11" t="s">
        <v>21</v>
      </c>
      <c r="M443" s="11" t="s">
        <v>46</v>
      </c>
      <c r="N443" s="11" t="s">
        <v>23</v>
      </c>
      <c r="O443" s="16" t="s">
        <v>29</v>
      </c>
      <c r="P443" s="11">
        <v>216</v>
      </c>
      <c r="Q443" s="8"/>
      <c r="R443">
        <v>13.53</v>
      </c>
      <c r="S443">
        <v>2475.9899999999998</v>
      </c>
      <c r="T443">
        <v>3.35</v>
      </c>
      <c r="U443">
        <v>9.7200000000000006</v>
      </c>
      <c r="V443">
        <v>135.29</v>
      </c>
      <c r="W443" s="317">
        <v>3.9</v>
      </c>
      <c r="X443" s="190">
        <f t="shared" si="14"/>
        <v>32.370000000000005</v>
      </c>
      <c r="Y443" s="8"/>
      <c r="Z443" s="8"/>
    </row>
    <row r="444" spans="1:26" ht="12.75" customHeight="1" x14ac:dyDescent="0.2">
      <c r="A444" s="11">
        <v>72</v>
      </c>
      <c r="B444" s="11">
        <v>2013</v>
      </c>
      <c r="C444" s="11">
        <v>4</v>
      </c>
      <c r="D444" s="11">
        <v>8</v>
      </c>
      <c r="E444" s="11" t="s">
        <v>29</v>
      </c>
      <c r="F444" s="11" t="s">
        <v>18</v>
      </c>
      <c r="G444" s="11">
        <v>155</v>
      </c>
      <c r="H444" s="15" t="s">
        <v>29</v>
      </c>
      <c r="I444" s="11">
        <v>6</v>
      </c>
      <c r="J444" s="11" t="s">
        <v>32</v>
      </c>
      <c r="K444" s="11" t="s">
        <v>29</v>
      </c>
      <c r="L444" s="11" t="s">
        <v>29</v>
      </c>
      <c r="M444" s="11" t="s">
        <v>46</v>
      </c>
      <c r="N444" s="11" t="s">
        <v>25</v>
      </c>
      <c r="O444" s="16" t="s">
        <v>29</v>
      </c>
      <c r="P444" s="11">
        <v>216</v>
      </c>
      <c r="Q444" s="8"/>
      <c r="R444">
        <v>14.46</v>
      </c>
      <c r="S444">
        <v>3024.41</v>
      </c>
      <c r="T444">
        <v>1.98</v>
      </c>
      <c r="U444">
        <v>10.39</v>
      </c>
      <c r="V444">
        <v>144.62</v>
      </c>
      <c r="W444" s="8"/>
      <c r="X444" s="8"/>
      <c r="Y444" s="8"/>
      <c r="Z444" s="8"/>
    </row>
    <row r="445" spans="1:26" ht="12.75" customHeight="1" x14ac:dyDescent="0.2">
      <c r="A445" s="11">
        <v>73</v>
      </c>
      <c r="B445" s="11">
        <v>2013</v>
      </c>
      <c r="C445" s="11">
        <v>4</v>
      </c>
      <c r="D445" s="11">
        <v>8</v>
      </c>
      <c r="E445" s="11" t="s">
        <v>29</v>
      </c>
      <c r="F445" s="11" t="s">
        <v>18</v>
      </c>
      <c r="G445" s="11">
        <v>171</v>
      </c>
      <c r="H445" s="15" t="s">
        <v>29</v>
      </c>
      <c r="I445" s="11">
        <v>15</v>
      </c>
      <c r="J445" s="11" t="s">
        <v>19</v>
      </c>
      <c r="K445" s="11" t="s">
        <v>20</v>
      </c>
      <c r="L445" s="11" t="s">
        <v>21</v>
      </c>
      <c r="M445" s="11" t="s">
        <v>47</v>
      </c>
      <c r="N445" s="11" t="s">
        <v>39</v>
      </c>
      <c r="O445" s="16" t="s">
        <v>29</v>
      </c>
      <c r="P445" s="11">
        <v>216</v>
      </c>
      <c r="Q445" s="8"/>
      <c r="R445">
        <v>15.95</v>
      </c>
      <c r="S445">
        <v>4061</v>
      </c>
      <c r="T445">
        <v>3.69</v>
      </c>
      <c r="U445">
        <v>11.46</v>
      </c>
      <c r="V445">
        <v>159.54</v>
      </c>
      <c r="W445" s="317">
        <v>3.9</v>
      </c>
      <c r="X445" s="190">
        <f t="shared" ref="X445:X451" si="15">I445*W445</f>
        <v>58.5</v>
      </c>
      <c r="Y445" s="8"/>
      <c r="Z445" s="8"/>
    </row>
    <row r="446" spans="1:26" ht="12.75" customHeight="1" x14ac:dyDescent="0.2">
      <c r="A446" s="11">
        <v>74</v>
      </c>
      <c r="B446" s="11">
        <v>2013</v>
      </c>
      <c r="C446" s="11">
        <v>4</v>
      </c>
      <c r="D446" s="11">
        <v>8</v>
      </c>
      <c r="E446" s="11" t="s">
        <v>29</v>
      </c>
      <c r="F446" s="11" t="s">
        <v>18</v>
      </c>
      <c r="G446" s="11">
        <v>150</v>
      </c>
      <c r="H446" s="15" t="s">
        <v>29</v>
      </c>
      <c r="I446" s="11">
        <v>10</v>
      </c>
      <c r="J446" s="11" t="s">
        <v>19</v>
      </c>
      <c r="K446" s="11" t="s">
        <v>20</v>
      </c>
      <c r="L446" s="11" t="s">
        <v>21</v>
      </c>
      <c r="M446" s="11" t="s">
        <v>46</v>
      </c>
      <c r="N446" s="11" t="s">
        <v>24</v>
      </c>
      <c r="O446" s="16" t="s">
        <v>29</v>
      </c>
      <c r="P446" s="11">
        <v>216</v>
      </c>
      <c r="Q446" s="8"/>
      <c r="R446">
        <v>14</v>
      </c>
      <c r="S446">
        <v>2741.06</v>
      </c>
      <c r="T446">
        <v>3.65</v>
      </c>
      <c r="U446">
        <v>10.050000000000001</v>
      </c>
      <c r="V446">
        <v>139.94999999999999</v>
      </c>
      <c r="W446" s="317">
        <v>3.9</v>
      </c>
      <c r="X446" s="190">
        <f t="shared" si="15"/>
        <v>39</v>
      </c>
      <c r="Y446" s="8"/>
      <c r="Z446" s="8"/>
    </row>
    <row r="447" spans="1:26" ht="12.75" customHeight="1" x14ac:dyDescent="0.2">
      <c r="A447" s="11">
        <v>75</v>
      </c>
      <c r="B447" s="11">
        <v>2013</v>
      </c>
      <c r="C447" s="11">
        <v>4</v>
      </c>
      <c r="D447" s="11">
        <v>8</v>
      </c>
      <c r="E447" s="11" t="s">
        <v>29</v>
      </c>
      <c r="F447" s="11" t="s">
        <v>18</v>
      </c>
      <c r="G447" s="11">
        <v>142</v>
      </c>
      <c r="H447" s="15" t="s">
        <v>29</v>
      </c>
      <c r="I447" s="11">
        <v>9</v>
      </c>
      <c r="J447" s="11" t="s">
        <v>19</v>
      </c>
      <c r="K447" s="11" t="s">
        <v>20</v>
      </c>
      <c r="L447" s="11" t="s">
        <v>21</v>
      </c>
      <c r="M447" s="11" t="s">
        <v>46</v>
      </c>
      <c r="N447" s="11" t="s">
        <v>24</v>
      </c>
      <c r="O447" s="16" t="s">
        <v>29</v>
      </c>
      <c r="P447" s="11">
        <v>216</v>
      </c>
      <c r="Q447" s="8"/>
      <c r="R447">
        <v>13.25</v>
      </c>
      <c r="S447">
        <v>2325.4699999999998</v>
      </c>
      <c r="T447">
        <v>3.87</v>
      </c>
      <c r="U447">
        <v>9.51</v>
      </c>
      <c r="V447">
        <v>132.49</v>
      </c>
      <c r="W447" s="317">
        <v>3.9</v>
      </c>
      <c r="X447" s="190">
        <f t="shared" si="15"/>
        <v>35.1</v>
      </c>
      <c r="Y447" s="8"/>
      <c r="Z447" s="8"/>
    </row>
    <row r="448" spans="1:26" ht="12.75" customHeight="1" x14ac:dyDescent="0.2">
      <c r="A448" s="11">
        <v>76</v>
      </c>
      <c r="B448" s="11">
        <v>2013</v>
      </c>
      <c r="C448" s="11">
        <v>4</v>
      </c>
      <c r="D448" s="11">
        <v>8</v>
      </c>
      <c r="E448" s="11" t="s">
        <v>29</v>
      </c>
      <c r="F448" s="11" t="s">
        <v>18</v>
      </c>
      <c r="G448" s="11">
        <v>150</v>
      </c>
      <c r="H448" s="15" t="s">
        <v>29</v>
      </c>
      <c r="I448" s="11">
        <v>11.3</v>
      </c>
      <c r="J448" s="11" t="s">
        <v>19</v>
      </c>
      <c r="K448" s="11" t="s">
        <v>20</v>
      </c>
      <c r="L448" s="11" t="s">
        <v>30</v>
      </c>
      <c r="M448" s="11" t="s">
        <v>47</v>
      </c>
      <c r="N448" s="11" t="s">
        <v>25</v>
      </c>
      <c r="O448" s="16" t="s">
        <v>29</v>
      </c>
      <c r="P448" s="11">
        <v>216</v>
      </c>
      <c r="Q448" s="8"/>
      <c r="R448">
        <v>14</v>
      </c>
      <c r="S448">
        <v>2741.06</v>
      </c>
      <c r="T448">
        <v>4.12</v>
      </c>
      <c r="U448">
        <v>10.050000000000001</v>
      </c>
      <c r="V448">
        <v>139.94999999999999</v>
      </c>
      <c r="W448" s="317">
        <v>4.5999999999999996</v>
      </c>
      <c r="X448" s="190">
        <f t="shared" si="15"/>
        <v>51.98</v>
      </c>
      <c r="Y448" s="8"/>
      <c r="Z448" s="8"/>
    </row>
    <row r="449" spans="1:26" ht="12.75" customHeight="1" x14ac:dyDescent="0.2">
      <c r="A449" s="11">
        <v>77</v>
      </c>
      <c r="B449" s="11">
        <v>2013</v>
      </c>
      <c r="C449" s="11">
        <v>4</v>
      </c>
      <c r="D449" s="11">
        <v>8</v>
      </c>
      <c r="E449" s="11" t="s">
        <v>29</v>
      </c>
      <c r="F449" s="11" t="s">
        <v>18</v>
      </c>
      <c r="G449" s="11">
        <v>149</v>
      </c>
      <c r="H449" s="15" t="s">
        <v>29</v>
      </c>
      <c r="I449" s="11">
        <v>10</v>
      </c>
      <c r="J449" s="11" t="s">
        <v>19</v>
      </c>
      <c r="K449" s="11" t="s">
        <v>20</v>
      </c>
      <c r="L449" s="11" t="s">
        <v>21</v>
      </c>
      <c r="M449" s="11" t="s">
        <v>46</v>
      </c>
      <c r="N449" s="11" t="s">
        <v>23</v>
      </c>
      <c r="O449" s="16" t="s">
        <v>29</v>
      </c>
      <c r="P449" s="11">
        <v>216</v>
      </c>
      <c r="Q449" s="8"/>
      <c r="R449">
        <v>13.9</v>
      </c>
      <c r="S449">
        <v>2686.6</v>
      </c>
      <c r="T449">
        <v>3.72</v>
      </c>
      <c r="U449">
        <v>9.98</v>
      </c>
      <c r="V449">
        <v>139.02000000000001</v>
      </c>
      <c r="W449" s="317">
        <v>3.9</v>
      </c>
      <c r="X449" s="190">
        <f t="shared" si="15"/>
        <v>39</v>
      </c>
      <c r="Y449" s="8"/>
      <c r="Z449" s="8"/>
    </row>
    <row r="450" spans="1:26" ht="12.75" customHeight="1" x14ac:dyDescent="0.2">
      <c r="A450" s="11">
        <v>78</v>
      </c>
      <c r="B450" s="11">
        <v>2013</v>
      </c>
      <c r="C450" s="11">
        <v>4</v>
      </c>
      <c r="D450" s="11">
        <v>8</v>
      </c>
      <c r="E450" s="11" t="s">
        <v>29</v>
      </c>
      <c r="F450" s="11" t="s">
        <v>18</v>
      </c>
      <c r="G450" s="11">
        <v>145</v>
      </c>
      <c r="H450" s="15" t="s">
        <v>29</v>
      </c>
      <c r="I450" s="11">
        <v>8</v>
      </c>
      <c r="J450" s="11" t="s">
        <v>19</v>
      </c>
      <c r="K450" s="11" t="s">
        <v>20</v>
      </c>
      <c r="L450" s="11" t="s">
        <v>21</v>
      </c>
      <c r="M450" s="11" t="s">
        <v>46</v>
      </c>
      <c r="N450" s="11" t="s">
        <v>25</v>
      </c>
      <c r="O450" s="16" t="s">
        <v>29</v>
      </c>
      <c r="P450" s="11">
        <v>216</v>
      </c>
      <c r="Q450" s="8"/>
      <c r="R450">
        <v>13.53</v>
      </c>
      <c r="S450">
        <v>2475.9899999999998</v>
      </c>
      <c r="T450">
        <v>3.23</v>
      </c>
      <c r="U450">
        <v>9.7200000000000006</v>
      </c>
      <c r="V450">
        <v>135.29</v>
      </c>
      <c r="W450" s="317">
        <v>3.9</v>
      </c>
      <c r="X450" s="190">
        <f t="shared" si="15"/>
        <v>31.2</v>
      </c>
      <c r="Y450" s="8"/>
      <c r="Z450" s="8"/>
    </row>
    <row r="451" spans="1:26" ht="12.75" customHeight="1" x14ac:dyDescent="0.2">
      <c r="A451" s="11">
        <v>79</v>
      </c>
      <c r="B451" s="11">
        <v>2013</v>
      </c>
      <c r="C451" s="11">
        <v>4</v>
      </c>
      <c r="D451" s="11">
        <v>8</v>
      </c>
      <c r="E451" s="11" t="s">
        <v>29</v>
      </c>
      <c r="F451" s="11" t="s">
        <v>18</v>
      </c>
      <c r="G451" s="11">
        <v>146</v>
      </c>
      <c r="H451" s="15" t="s">
        <v>29</v>
      </c>
      <c r="I451" s="11">
        <v>10.5</v>
      </c>
      <c r="J451" s="11" t="s">
        <v>19</v>
      </c>
      <c r="K451" s="11" t="s">
        <v>20</v>
      </c>
      <c r="L451" s="11" t="s">
        <v>21</v>
      </c>
      <c r="M451" s="11" t="s">
        <v>46</v>
      </c>
      <c r="N451" s="11" t="s">
        <v>23</v>
      </c>
      <c r="O451" s="16" t="s">
        <v>29</v>
      </c>
      <c r="P451" s="11">
        <v>216</v>
      </c>
      <c r="Q451" s="8"/>
      <c r="R451">
        <v>13.62</v>
      </c>
      <c r="S451">
        <v>2527.5700000000002</v>
      </c>
      <c r="T451">
        <v>4.1500000000000004</v>
      </c>
      <c r="U451">
        <v>9.7799999999999994</v>
      </c>
      <c r="V451">
        <v>136.22</v>
      </c>
      <c r="W451" s="317">
        <v>3.9</v>
      </c>
      <c r="X451" s="190">
        <f t="shared" si="15"/>
        <v>40.949999999999996</v>
      </c>
      <c r="Y451" s="8"/>
      <c r="Z451" s="8"/>
    </row>
    <row r="452" spans="1:26" ht="12.75" customHeight="1" x14ac:dyDescent="0.2">
      <c r="A452" s="11">
        <v>80</v>
      </c>
      <c r="B452" s="11">
        <v>2013</v>
      </c>
      <c r="C452" s="11">
        <v>4</v>
      </c>
      <c r="D452" s="11">
        <v>8</v>
      </c>
      <c r="E452" s="11" t="s">
        <v>29</v>
      </c>
      <c r="F452" s="11" t="s">
        <v>18</v>
      </c>
      <c r="G452" s="11">
        <v>115</v>
      </c>
      <c r="H452" s="15" t="s">
        <v>29</v>
      </c>
      <c r="I452" s="11" t="s">
        <v>29</v>
      </c>
      <c r="J452" s="11" t="s">
        <v>32</v>
      </c>
      <c r="K452" s="11" t="s">
        <v>29</v>
      </c>
      <c r="L452" s="11" t="s">
        <v>49</v>
      </c>
      <c r="M452" s="11" t="s">
        <v>29</v>
      </c>
      <c r="N452" s="11" t="s">
        <v>25</v>
      </c>
      <c r="O452" s="16" t="s">
        <v>29</v>
      </c>
      <c r="P452" s="11">
        <v>216</v>
      </c>
      <c r="Q452" s="8"/>
      <c r="R452">
        <v>10.73</v>
      </c>
      <c r="S452">
        <v>1235.2</v>
      </c>
      <c r="U452">
        <v>7.71</v>
      </c>
      <c r="V452">
        <v>107.3</v>
      </c>
      <c r="W452" s="8"/>
      <c r="X452" s="8"/>
      <c r="Y452" s="8"/>
      <c r="Z452" s="8"/>
    </row>
    <row r="453" spans="1:26" ht="12.75" customHeight="1" x14ac:dyDescent="0.2">
      <c r="A453" s="11">
        <v>1</v>
      </c>
      <c r="B453" s="11">
        <v>2012</v>
      </c>
      <c r="C453" s="11">
        <v>28</v>
      </c>
      <c r="D453" s="11">
        <v>7</v>
      </c>
      <c r="E453" s="11" t="s">
        <v>29</v>
      </c>
      <c r="F453" s="11" t="s">
        <v>18</v>
      </c>
      <c r="G453" s="11">
        <v>151</v>
      </c>
      <c r="H453" s="15" t="s">
        <v>29</v>
      </c>
      <c r="I453" s="11">
        <v>9.1999999999999993</v>
      </c>
      <c r="J453" s="11" t="s">
        <v>19</v>
      </c>
      <c r="K453" s="11" t="s">
        <v>20</v>
      </c>
      <c r="L453" s="11" t="s">
        <v>35</v>
      </c>
      <c r="M453" s="11" t="s">
        <v>46</v>
      </c>
      <c r="N453" s="11" t="s">
        <v>33</v>
      </c>
      <c r="O453" s="16" t="s">
        <v>29</v>
      </c>
      <c r="P453" s="11">
        <v>210</v>
      </c>
      <c r="Q453" s="8"/>
      <c r="R453">
        <v>14.09</v>
      </c>
      <c r="S453">
        <v>2796.25</v>
      </c>
      <c r="T453">
        <v>3.29</v>
      </c>
      <c r="U453">
        <v>10.119999999999999</v>
      </c>
      <c r="V453">
        <v>140.88</v>
      </c>
      <c r="W453" s="317">
        <v>3.9</v>
      </c>
      <c r="X453" s="190">
        <f>I453*W453</f>
        <v>35.879999999999995</v>
      </c>
      <c r="Y453" s="8"/>
      <c r="Z453" s="8"/>
    </row>
    <row r="454" spans="1:26" ht="12.75" customHeight="1" x14ac:dyDescent="0.2">
      <c r="A454" s="11">
        <v>2</v>
      </c>
      <c r="B454" s="11">
        <v>2012</v>
      </c>
      <c r="C454" s="11">
        <v>28</v>
      </c>
      <c r="D454" s="11">
        <v>7</v>
      </c>
      <c r="E454" s="11" t="s">
        <v>29</v>
      </c>
      <c r="F454" s="11" t="s">
        <v>18</v>
      </c>
      <c r="G454" s="11">
        <v>191</v>
      </c>
      <c r="H454" s="15" t="s">
        <v>29</v>
      </c>
      <c r="I454" s="11">
        <v>12</v>
      </c>
      <c r="J454" s="11" t="s">
        <v>32</v>
      </c>
      <c r="K454" s="11" t="s">
        <v>29</v>
      </c>
      <c r="L454" s="11" t="s">
        <v>29</v>
      </c>
      <c r="M454" s="11" t="s">
        <v>27</v>
      </c>
      <c r="N454" s="11" t="s">
        <v>24</v>
      </c>
      <c r="O454" s="16" t="s">
        <v>29</v>
      </c>
      <c r="P454" s="11">
        <v>210</v>
      </c>
      <c r="Q454" s="8"/>
      <c r="R454">
        <v>17.82</v>
      </c>
      <c r="S454">
        <v>5659.07</v>
      </c>
      <c r="T454">
        <v>2.12</v>
      </c>
      <c r="U454">
        <v>12.8</v>
      </c>
      <c r="V454">
        <v>178.2</v>
      </c>
      <c r="W454" s="8"/>
      <c r="X454" s="8"/>
      <c r="Y454" s="8"/>
      <c r="Z454" s="8"/>
    </row>
    <row r="455" spans="1:26" ht="12.75" customHeight="1" x14ac:dyDescent="0.2">
      <c r="A455" s="11">
        <v>3</v>
      </c>
      <c r="B455" s="11">
        <v>2012</v>
      </c>
      <c r="C455" s="11">
        <v>28</v>
      </c>
      <c r="D455" s="11">
        <v>7</v>
      </c>
      <c r="E455" s="11" t="s">
        <v>29</v>
      </c>
      <c r="F455" s="11" t="s">
        <v>18</v>
      </c>
      <c r="G455" s="11">
        <v>133</v>
      </c>
      <c r="H455" s="15" t="s">
        <v>29</v>
      </c>
      <c r="I455" s="11">
        <v>9.5</v>
      </c>
      <c r="J455" s="11" t="s">
        <v>19</v>
      </c>
      <c r="K455" s="11" t="s">
        <v>20</v>
      </c>
      <c r="L455" s="11" t="s">
        <v>41</v>
      </c>
      <c r="M455" s="11" t="s">
        <v>27</v>
      </c>
      <c r="N455" s="11" t="s">
        <v>25</v>
      </c>
      <c r="O455" s="16" t="s">
        <v>29</v>
      </c>
      <c r="P455" s="11">
        <v>210</v>
      </c>
      <c r="Q455" s="8"/>
      <c r="R455">
        <v>12.41</v>
      </c>
      <c r="S455">
        <v>1910.73</v>
      </c>
      <c r="T455">
        <v>4.97</v>
      </c>
      <c r="U455">
        <v>8.91</v>
      </c>
      <c r="V455">
        <v>124.09</v>
      </c>
      <c r="W455" s="8"/>
      <c r="X455" s="8"/>
      <c r="Y455" s="8"/>
      <c r="Z455" s="8"/>
    </row>
    <row r="456" spans="1:26" ht="12.75" customHeight="1" x14ac:dyDescent="0.2">
      <c r="A456" s="11">
        <v>4</v>
      </c>
      <c r="B456" s="11">
        <v>2012</v>
      </c>
      <c r="C456" s="11">
        <v>28</v>
      </c>
      <c r="D456" s="11">
        <v>7</v>
      </c>
      <c r="E456" s="11" t="s">
        <v>29</v>
      </c>
      <c r="F456" s="11" t="s">
        <v>18</v>
      </c>
      <c r="G456" s="11">
        <v>145</v>
      </c>
      <c r="H456" s="15" t="s">
        <v>29</v>
      </c>
      <c r="I456" s="11">
        <v>8.5</v>
      </c>
      <c r="J456" s="11" t="s">
        <v>19</v>
      </c>
      <c r="K456" s="11" t="s">
        <v>20</v>
      </c>
      <c r="L456" s="11" t="s">
        <v>41</v>
      </c>
      <c r="M456" s="11" t="s">
        <v>29</v>
      </c>
      <c r="N456" s="11" t="s">
        <v>25</v>
      </c>
      <c r="O456" s="16" t="s">
        <v>29</v>
      </c>
      <c r="P456" s="11">
        <v>210</v>
      </c>
      <c r="Q456" s="8"/>
      <c r="R456">
        <v>13.53</v>
      </c>
      <c r="S456">
        <v>2475.9899999999998</v>
      </c>
      <c r="T456">
        <v>3.43</v>
      </c>
      <c r="U456">
        <v>9.7200000000000006</v>
      </c>
      <c r="V456">
        <v>135.29</v>
      </c>
      <c r="W456" s="8"/>
      <c r="X456" s="8"/>
      <c r="Y456" s="8"/>
      <c r="Z456" s="8"/>
    </row>
    <row r="457" spans="1:26" ht="12.75" customHeight="1" x14ac:dyDescent="0.2">
      <c r="A457" s="11">
        <v>5</v>
      </c>
      <c r="B457" s="11">
        <v>2012</v>
      </c>
      <c r="C457" s="11">
        <v>28</v>
      </c>
      <c r="D457" s="11">
        <v>7</v>
      </c>
      <c r="E457" s="11" t="s">
        <v>29</v>
      </c>
      <c r="F457" s="11" t="s">
        <v>28</v>
      </c>
      <c r="G457" s="11">
        <v>105</v>
      </c>
      <c r="H457" s="15" t="s">
        <v>29</v>
      </c>
      <c r="I457" s="11">
        <v>1.6</v>
      </c>
      <c r="J457" s="11" t="s">
        <v>32</v>
      </c>
      <c r="K457" s="11" t="s">
        <v>29</v>
      </c>
      <c r="L457" s="11" t="s">
        <v>29</v>
      </c>
      <c r="M457" s="11" t="s">
        <v>29</v>
      </c>
      <c r="N457" s="11" t="s">
        <v>25</v>
      </c>
      <c r="O457" s="16" t="s">
        <v>29</v>
      </c>
      <c r="P457" s="11">
        <v>210</v>
      </c>
      <c r="Q457" s="8"/>
      <c r="R457">
        <v>9.8000000000000007</v>
      </c>
      <c r="S457">
        <v>940.18</v>
      </c>
      <c r="T457">
        <v>1.7</v>
      </c>
      <c r="U457">
        <v>7.04</v>
      </c>
      <c r="V457">
        <v>97.97</v>
      </c>
      <c r="W457" s="8"/>
      <c r="X457" s="8"/>
      <c r="Y457" s="8"/>
      <c r="Z457" s="8"/>
    </row>
    <row r="458" spans="1:26" ht="12.75" customHeight="1" x14ac:dyDescent="0.2">
      <c r="A458" s="11">
        <v>6</v>
      </c>
      <c r="B458" s="11">
        <v>2012</v>
      </c>
      <c r="C458" s="11">
        <v>28</v>
      </c>
      <c r="D458" s="11">
        <v>7</v>
      </c>
      <c r="E458" s="11" t="s">
        <v>29</v>
      </c>
      <c r="F458" s="11" t="s">
        <v>18</v>
      </c>
      <c r="G458" s="11">
        <v>215</v>
      </c>
      <c r="H458" s="15" t="s">
        <v>29</v>
      </c>
      <c r="I458" s="11">
        <v>20</v>
      </c>
      <c r="J458" s="11" t="s">
        <v>32</v>
      </c>
      <c r="K458" s="11" t="s">
        <v>29</v>
      </c>
      <c r="L458" s="11" t="s">
        <v>29</v>
      </c>
      <c r="M458" s="11" t="s">
        <v>27</v>
      </c>
      <c r="N458" s="11" t="s">
        <v>24</v>
      </c>
      <c r="O458" s="16" t="s">
        <v>29</v>
      </c>
      <c r="P458" s="11">
        <v>210</v>
      </c>
      <c r="Q458" s="8"/>
      <c r="R458">
        <v>20.059999999999999</v>
      </c>
      <c r="S458">
        <v>8071.61</v>
      </c>
      <c r="T458">
        <v>2.48</v>
      </c>
      <c r="U458">
        <v>14.41</v>
      </c>
      <c r="V458">
        <v>200.6</v>
      </c>
      <c r="W458" s="8"/>
      <c r="X458" s="8"/>
      <c r="Y458" s="8"/>
      <c r="Z458" s="8"/>
    </row>
    <row r="459" spans="1:26" ht="12.75" customHeight="1" x14ac:dyDescent="0.2">
      <c r="A459" s="11">
        <v>7</v>
      </c>
      <c r="B459" s="11">
        <v>2012</v>
      </c>
      <c r="C459" s="11">
        <v>28</v>
      </c>
      <c r="D459" s="11">
        <v>7</v>
      </c>
      <c r="E459" s="11" t="s">
        <v>29</v>
      </c>
      <c r="F459" s="11" t="s">
        <v>18</v>
      </c>
      <c r="G459" s="11">
        <v>160</v>
      </c>
      <c r="H459" s="15" t="s">
        <v>29</v>
      </c>
      <c r="I459" s="11">
        <v>11</v>
      </c>
      <c r="J459" s="11" t="s">
        <v>19</v>
      </c>
      <c r="K459" s="11" t="s">
        <v>20</v>
      </c>
      <c r="L459" s="11" t="s">
        <v>41</v>
      </c>
      <c r="M459" s="11" t="s">
        <v>29</v>
      </c>
      <c r="N459" s="11" t="s">
        <v>24</v>
      </c>
      <c r="O459" s="16" t="s">
        <v>29</v>
      </c>
      <c r="P459" s="11">
        <v>210</v>
      </c>
      <c r="Q459" s="8"/>
      <c r="R459">
        <v>14.93</v>
      </c>
      <c r="S459">
        <v>3326.63</v>
      </c>
      <c r="T459">
        <v>3.31</v>
      </c>
      <c r="U459">
        <v>10.72</v>
      </c>
      <c r="V459">
        <v>149.28</v>
      </c>
      <c r="W459" s="8"/>
      <c r="X459" s="8"/>
      <c r="Y459" s="8"/>
      <c r="Z459" s="8"/>
    </row>
    <row r="460" spans="1:26" ht="12.75" customHeight="1" x14ac:dyDescent="0.2">
      <c r="A460" s="11">
        <v>8</v>
      </c>
      <c r="B460" s="11">
        <v>2012</v>
      </c>
      <c r="C460" s="11">
        <v>28</v>
      </c>
      <c r="D460" s="11">
        <v>7</v>
      </c>
      <c r="E460" s="11" t="s">
        <v>29</v>
      </c>
      <c r="F460" s="11" t="s">
        <v>18</v>
      </c>
      <c r="G460" s="11">
        <v>174</v>
      </c>
      <c r="H460" s="15" t="s">
        <v>29</v>
      </c>
      <c r="I460" s="11">
        <v>18.100000000000001</v>
      </c>
      <c r="J460" s="11" t="s">
        <v>19</v>
      </c>
      <c r="K460" s="11" t="s">
        <v>20</v>
      </c>
      <c r="L460" s="11" t="s">
        <v>30</v>
      </c>
      <c r="M460" s="11" t="s">
        <v>46</v>
      </c>
      <c r="N460" s="11" t="s">
        <v>23</v>
      </c>
      <c r="O460" s="16" t="s">
        <v>29</v>
      </c>
      <c r="P460" s="11">
        <v>210</v>
      </c>
      <c r="Q460" s="8"/>
      <c r="R460">
        <v>16.23</v>
      </c>
      <c r="S460">
        <v>4278.51</v>
      </c>
      <c r="T460">
        <v>4.2300000000000004</v>
      </c>
      <c r="U460">
        <v>11.66</v>
      </c>
      <c r="V460">
        <v>162.34</v>
      </c>
      <c r="W460" s="317">
        <v>4.5999999999999996</v>
      </c>
      <c r="X460" s="190">
        <f>I460*W460</f>
        <v>83.26</v>
      </c>
      <c r="Y460" s="8"/>
      <c r="Z460" s="8"/>
    </row>
    <row r="461" spans="1:26" ht="12.75" customHeight="1" x14ac:dyDescent="0.2">
      <c r="A461" s="11">
        <v>9</v>
      </c>
      <c r="B461" s="11">
        <v>2012</v>
      </c>
      <c r="C461" s="11">
        <v>28</v>
      </c>
      <c r="D461" s="11">
        <v>7</v>
      </c>
      <c r="E461" s="11" t="s">
        <v>29</v>
      </c>
      <c r="F461" s="11" t="s">
        <v>18</v>
      </c>
      <c r="G461" s="11">
        <v>149</v>
      </c>
      <c r="H461" s="15" t="s">
        <v>29</v>
      </c>
      <c r="I461" s="11">
        <v>9.5</v>
      </c>
      <c r="J461" s="11" t="s">
        <v>19</v>
      </c>
      <c r="K461" s="11" t="s">
        <v>20</v>
      </c>
      <c r="L461" s="11" t="s">
        <v>30</v>
      </c>
      <c r="M461" s="11" t="s">
        <v>27</v>
      </c>
      <c r="N461" s="11" t="s">
        <v>24</v>
      </c>
      <c r="O461" s="16" t="s">
        <v>29</v>
      </c>
      <c r="P461" s="11">
        <v>210</v>
      </c>
      <c r="Q461" s="8"/>
      <c r="R461">
        <v>13.9</v>
      </c>
      <c r="S461">
        <v>2686.6</v>
      </c>
      <c r="T461">
        <v>3.54</v>
      </c>
      <c r="U461">
        <v>9.98</v>
      </c>
      <c r="V461">
        <v>139.02000000000001</v>
      </c>
      <c r="W461" s="317">
        <v>4.5999999999999996</v>
      </c>
      <c r="X461" s="190">
        <f>I461*W461</f>
        <v>43.699999999999996</v>
      </c>
      <c r="Y461" s="8"/>
      <c r="Z461" s="8"/>
    </row>
    <row r="462" spans="1:26" ht="12.75" customHeight="1" x14ac:dyDescent="0.2">
      <c r="A462" s="11">
        <v>10</v>
      </c>
      <c r="B462" s="11">
        <v>2012</v>
      </c>
      <c r="C462" s="11">
        <v>28</v>
      </c>
      <c r="D462" s="11">
        <v>7</v>
      </c>
      <c r="E462" s="11" t="s">
        <v>29</v>
      </c>
      <c r="F462" s="11" t="s">
        <v>18</v>
      </c>
      <c r="G462" s="11">
        <v>169</v>
      </c>
      <c r="H462" s="15" t="s">
        <v>29</v>
      </c>
      <c r="I462" s="11">
        <v>12.4</v>
      </c>
      <c r="J462" s="11" t="s">
        <v>19</v>
      </c>
      <c r="K462" s="11" t="s">
        <v>20</v>
      </c>
      <c r="L462" s="11" t="s">
        <v>41</v>
      </c>
      <c r="M462" s="11" t="s">
        <v>46</v>
      </c>
      <c r="N462" s="11" t="s">
        <v>24</v>
      </c>
      <c r="O462" s="16" t="s">
        <v>29</v>
      </c>
      <c r="P462" s="11">
        <v>210</v>
      </c>
      <c r="Q462" s="8"/>
      <c r="R462">
        <v>15.77</v>
      </c>
      <c r="S462">
        <v>3920.17</v>
      </c>
      <c r="T462">
        <v>3.16</v>
      </c>
      <c r="U462">
        <v>11.32</v>
      </c>
      <c r="V462">
        <v>157.68</v>
      </c>
      <c r="W462" s="8"/>
      <c r="X462" s="8"/>
      <c r="Y462" s="8"/>
      <c r="Z462" s="8"/>
    </row>
    <row r="463" spans="1:26" ht="12.75" customHeight="1" x14ac:dyDescent="0.2">
      <c r="A463" s="11">
        <v>11</v>
      </c>
      <c r="B463" s="11">
        <v>2012</v>
      </c>
      <c r="C463" s="11">
        <v>28</v>
      </c>
      <c r="D463" s="11">
        <v>7</v>
      </c>
      <c r="E463" s="11" t="s">
        <v>29</v>
      </c>
      <c r="F463" s="11" t="s">
        <v>18</v>
      </c>
      <c r="G463" s="11">
        <v>167</v>
      </c>
      <c r="H463" s="15" t="s">
        <v>29</v>
      </c>
      <c r="I463" s="11">
        <v>13.2</v>
      </c>
      <c r="J463" s="11" t="s">
        <v>19</v>
      </c>
      <c r="K463" s="11" t="s">
        <v>20</v>
      </c>
      <c r="L463" s="11" t="s">
        <v>21</v>
      </c>
      <c r="M463" s="11" t="s">
        <v>27</v>
      </c>
      <c r="N463" s="11" t="s">
        <v>24</v>
      </c>
      <c r="O463" s="16" t="s">
        <v>29</v>
      </c>
      <c r="P463" s="11">
        <v>210</v>
      </c>
      <c r="Q463" s="8"/>
      <c r="R463">
        <v>15.58</v>
      </c>
      <c r="S463">
        <v>3782.63</v>
      </c>
      <c r="T463">
        <v>3.49</v>
      </c>
      <c r="U463">
        <v>11.19</v>
      </c>
      <c r="V463">
        <v>155.81</v>
      </c>
      <c r="W463" s="317">
        <v>3.9</v>
      </c>
      <c r="X463" s="190">
        <f>I463*W463</f>
        <v>51.48</v>
      </c>
      <c r="Y463" s="8"/>
      <c r="Z463" s="8"/>
    </row>
    <row r="464" spans="1:26" ht="12.75" customHeight="1" x14ac:dyDescent="0.2">
      <c r="A464" s="11">
        <v>12</v>
      </c>
      <c r="B464" s="11">
        <v>2012</v>
      </c>
      <c r="C464" s="11">
        <v>28</v>
      </c>
      <c r="D464" s="11">
        <v>7</v>
      </c>
      <c r="E464" s="11" t="s">
        <v>29</v>
      </c>
      <c r="F464" s="11" t="s">
        <v>18</v>
      </c>
      <c r="G464" s="11">
        <v>162</v>
      </c>
      <c r="H464" s="15" t="s">
        <v>29</v>
      </c>
      <c r="I464" s="11">
        <v>13</v>
      </c>
      <c r="J464" s="11" t="s">
        <v>19</v>
      </c>
      <c r="K464" s="11" t="s">
        <v>20</v>
      </c>
      <c r="L464" s="11" t="s">
        <v>21</v>
      </c>
      <c r="M464" s="11" t="s">
        <v>46</v>
      </c>
      <c r="N464" s="11" t="s">
        <v>24</v>
      </c>
      <c r="O464" s="16" t="s">
        <v>29</v>
      </c>
      <c r="P464" s="11">
        <v>210</v>
      </c>
      <c r="Q464" s="8"/>
      <c r="R464">
        <v>15.11</v>
      </c>
      <c r="S464">
        <v>3452.95</v>
      </c>
      <c r="T464">
        <v>3.76</v>
      </c>
      <c r="U464">
        <v>10.85</v>
      </c>
      <c r="V464">
        <v>151.15</v>
      </c>
      <c r="W464" s="317">
        <v>3.9</v>
      </c>
      <c r="X464" s="190">
        <f>I464*W464</f>
        <v>50.699999999999996</v>
      </c>
      <c r="Y464" s="8"/>
      <c r="Z464" s="8"/>
    </row>
    <row r="465" spans="1:26" ht="12.75" customHeight="1" x14ac:dyDescent="0.2">
      <c r="A465" s="11">
        <v>13</v>
      </c>
      <c r="B465" s="11">
        <v>2012</v>
      </c>
      <c r="C465" s="11">
        <v>28</v>
      </c>
      <c r="D465" s="11">
        <v>7</v>
      </c>
      <c r="E465" s="11" t="s">
        <v>29</v>
      </c>
      <c r="F465" s="11" t="s">
        <v>18</v>
      </c>
      <c r="G465" s="11">
        <v>154</v>
      </c>
      <c r="H465" s="15" t="s">
        <v>29</v>
      </c>
      <c r="I465" s="11">
        <v>12.1</v>
      </c>
      <c r="J465" s="11" t="s">
        <v>19</v>
      </c>
      <c r="K465" s="11" t="s">
        <v>20</v>
      </c>
      <c r="L465" s="11" t="s">
        <v>21</v>
      </c>
      <c r="M465" s="11" t="s">
        <v>27</v>
      </c>
      <c r="N465" s="11" t="s">
        <v>23</v>
      </c>
      <c r="O465" s="16" t="s">
        <v>29</v>
      </c>
      <c r="P465" s="11">
        <v>210</v>
      </c>
      <c r="Q465" s="8"/>
      <c r="R465">
        <v>14.37</v>
      </c>
      <c r="S465">
        <v>2966.25</v>
      </c>
      <c r="T465">
        <v>4.08</v>
      </c>
      <c r="U465">
        <v>10.32</v>
      </c>
      <c r="V465">
        <v>143.68</v>
      </c>
      <c r="W465" s="317">
        <v>3.9</v>
      </c>
      <c r="X465" s="190">
        <f>I465*W465</f>
        <v>47.19</v>
      </c>
      <c r="Y465" s="8"/>
      <c r="Z465" s="8"/>
    </row>
    <row r="466" spans="1:26" ht="12.75" customHeight="1" x14ac:dyDescent="0.2">
      <c r="A466" s="11">
        <v>14</v>
      </c>
      <c r="B466" s="11">
        <v>2012</v>
      </c>
      <c r="C466" s="11">
        <v>28</v>
      </c>
      <c r="D466" s="11">
        <v>7</v>
      </c>
      <c r="E466" s="11" t="s">
        <v>29</v>
      </c>
      <c r="F466" s="11" t="s">
        <v>18</v>
      </c>
      <c r="G466" s="11">
        <v>150</v>
      </c>
      <c r="H466" s="15" t="s">
        <v>29</v>
      </c>
      <c r="I466" s="11">
        <v>8.1</v>
      </c>
      <c r="J466" s="11" t="s">
        <v>19</v>
      </c>
      <c r="K466" s="11" t="s">
        <v>20</v>
      </c>
      <c r="L466" s="11" t="s">
        <v>41</v>
      </c>
      <c r="M466" s="11" t="s">
        <v>27</v>
      </c>
      <c r="N466" s="11" t="s">
        <v>24</v>
      </c>
      <c r="O466" s="16" t="s">
        <v>29</v>
      </c>
      <c r="P466" s="11">
        <v>210</v>
      </c>
      <c r="Q466" s="8"/>
      <c r="R466">
        <v>14</v>
      </c>
      <c r="S466">
        <v>2741.06</v>
      </c>
      <c r="T466">
        <v>2.96</v>
      </c>
      <c r="U466">
        <v>10.050000000000001</v>
      </c>
      <c r="V466">
        <v>139.94999999999999</v>
      </c>
      <c r="W466" s="8"/>
      <c r="X466" s="8"/>
      <c r="Y466" s="8"/>
      <c r="Z466" s="8"/>
    </row>
    <row r="467" spans="1:26" ht="12.75" customHeight="1" x14ac:dyDescent="0.2">
      <c r="A467" s="11">
        <v>15</v>
      </c>
      <c r="B467" s="11">
        <v>2012</v>
      </c>
      <c r="C467" s="11">
        <v>28</v>
      </c>
      <c r="D467" s="11">
        <v>7</v>
      </c>
      <c r="E467" s="11" t="s">
        <v>29</v>
      </c>
      <c r="F467" s="11" t="s">
        <v>18</v>
      </c>
      <c r="G467" s="11" t="s">
        <v>29</v>
      </c>
      <c r="H467" s="15" t="s">
        <v>29</v>
      </c>
      <c r="I467" s="11" t="s">
        <v>29</v>
      </c>
      <c r="J467" s="11" t="s">
        <v>19</v>
      </c>
      <c r="K467" s="11" t="s">
        <v>20</v>
      </c>
      <c r="L467" s="11" t="s">
        <v>21</v>
      </c>
      <c r="M467" s="11" t="s">
        <v>27</v>
      </c>
      <c r="N467" s="11" t="s">
        <v>25</v>
      </c>
      <c r="O467" s="16" t="s">
        <v>29</v>
      </c>
      <c r="P467" s="11">
        <v>210</v>
      </c>
      <c r="Q467" s="8"/>
      <c r="W467" s="317">
        <v>3.9</v>
      </c>
      <c r="X467" s="190"/>
      <c r="Y467" s="8"/>
      <c r="Z467" s="8"/>
    </row>
    <row r="468" spans="1:26" ht="12.75" customHeight="1" x14ac:dyDescent="0.2">
      <c r="A468" s="11">
        <v>16</v>
      </c>
      <c r="B468" s="11">
        <v>2012</v>
      </c>
      <c r="C468" s="11">
        <v>28</v>
      </c>
      <c r="D468" s="11">
        <v>7</v>
      </c>
      <c r="E468" s="11" t="s">
        <v>29</v>
      </c>
      <c r="F468" s="11" t="s">
        <v>18</v>
      </c>
      <c r="G468" s="11">
        <v>181</v>
      </c>
      <c r="H468" s="15" t="s">
        <v>29</v>
      </c>
      <c r="I468" s="11">
        <v>9.1999999999999993</v>
      </c>
      <c r="J468" s="11" t="s">
        <v>32</v>
      </c>
      <c r="K468" s="11" t="s">
        <v>29</v>
      </c>
      <c r="L468" s="11" t="s">
        <v>29</v>
      </c>
      <c r="M468" s="11" t="s">
        <v>27</v>
      </c>
      <c r="N468" s="11" t="s">
        <v>24</v>
      </c>
      <c r="O468" s="16" t="s">
        <v>29</v>
      </c>
      <c r="P468" s="11">
        <v>210</v>
      </c>
      <c r="Q468" s="8"/>
      <c r="R468">
        <v>16.89</v>
      </c>
      <c r="S468">
        <v>4815.9399999999996</v>
      </c>
      <c r="T468">
        <v>1.91</v>
      </c>
      <c r="U468">
        <v>12.13</v>
      </c>
      <c r="V468">
        <v>168.87</v>
      </c>
      <c r="W468" s="8"/>
      <c r="X468" s="8"/>
      <c r="Y468" s="8"/>
      <c r="Z468" s="8"/>
    </row>
    <row r="469" spans="1:26" ht="12.75" customHeight="1" x14ac:dyDescent="0.2">
      <c r="A469" s="11">
        <v>17</v>
      </c>
      <c r="B469" s="11">
        <v>2012</v>
      </c>
      <c r="C469" s="11">
        <v>28</v>
      </c>
      <c r="D469" s="11">
        <v>7</v>
      </c>
      <c r="E469" s="11" t="s">
        <v>29</v>
      </c>
      <c r="F469" s="11" t="s">
        <v>18</v>
      </c>
      <c r="G469" s="11">
        <v>210</v>
      </c>
      <c r="H469" s="15" t="s">
        <v>29</v>
      </c>
      <c r="I469" s="11">
        <v>13.2</v>
      </c>
      <c r="J469" s="11" t="s">
        <v>32</v>
      </c>
      <c r="K469" s="11" t="s">
        <v>29</v>
      </c>
      <c r="L469" s="11" t="s">
        <v>29</v>
      </c>
      <c r="M469" s="11" t="s">
        <v>45</v>
      </c>
      <c r="N469" s="11" t="s">
        <v>24</v>
      </c>
      <c r="O469" s="16" t="s">
        <v>29</v>
      </c>
      <c r="P469" s="11">
        <v>210</v>
      </c>
      <c r="Q469" s="8"/>
      <c r="R469">
        <v>19.59</v>
      </c>
      <c r="S469">
        <v>7521.47</v>
      </c>
      <c r="T469">
        <v>1.75</v>
      </c>
      <c r="U469">
        <v>14.07</v>
      </c>
      <c r="V469">
        <v>195.93</v>
      </c>
      <c r="W469" s="8"/>
      <c r="X469" s="8"/>
      <c r="Y469" s="8"/>
      <c r="Z469" s="8"/>
    </row>
    <row r="470" spans="1:26" ht="12.75" customHeight="1" x14ac:dyDescent="0.2">
      <c r="A470" s="11">
        <v>18</v>
      </c>
      <c r="B470" s="11">
        <v>2012</v>
      </c>
      <c r="C470" s="11">
        <v>28</v>
      </c>
      <c r="D470" s="11">
        <v>7</v>
      </c>
      <c r="E470" s="11" t="s">
        <v>29</v>
      </c>
      <c r="F470" s="11" t="s">
        <v>18</v>
      </c>
      <c r="G470" s="11">
        <v>215</v>
      </c>
      <c r="H470" s="15" t="s">
        <v>29</v>
      </c>
      <c r="I470" s="11">
        <v>19.5</v>
      </c>
      <c r="J470" s="11" t="s">
        <v>32</v>
      </c>
      <c r="K470" s="11" t="s">
        <v>29</v>
      </c>
      <c r="L470" s="11" t="s">
        <v>29</v>
      </c>
      <c r="M470" s="11" t="s">
        <v>46</v>
      </c>
      <c r="N470" s="11" t="s">
        <v>24</v>
      </c>
      <c r="O470" s="16" t="s">
        <v>29</v>
      </c>
      <c r="P470" s="11">
        <v>210</v>
      </c>
      <c r="Q470" s="8"/>
      <c r="R470">
        <v>20.059999999999999</v>
      </c>
      <c r="S470">
        <v>8071.61</v>
      </c>
      <c r="T470">
        <v>2.42</v>
      </c>
      <c r="U470">
        <v>14.41</v>
      </c>
      <c r="V470">
        <v>200.6</v>
      </c>
      <c r="W470" s="8"/>
      <c r="X470" s="8"/>
      <c r="Y470" s="8"/>
      <c r="Z470" s="8"/>
    </row>
    <row r="471" spans="1:26" ht="12.75" customHeight="1" x14ac:dyDescent="0.2">
      <c r="A471" s="11">
        <v>19</v>
      </c>
      <c r="B471" s="11">
        <v>2012</v>
      </c>
      <c r="C471" s="11">
        <v>28</v>
      </c>
      <c r="D471" s="11">
        <v>7</v>
      </c>
      <c r="E471" s="11" t="s">
        <v>29</v>
      </c>
      <c r="F471" s="11" t="s">
        <v>18</v>
      </c>
      <c r="G471" s="11">
        <v>182</v>
      </c>
      <c r="H471" s="15" t="s">
        <v>29</v>
      </c>
      <c r="I471" s="11">
        <v>11.6</v>
      </c>
      <c r="J471" s="11" t="s">
        <v>32</v>
      </c>
      <c r="K471" s="11" t="s">
        <v>29</v>
      </c>
      <c r="L471" s="11" t="s">
        <v>29</v>
      </c>
      <c r="M471" s="11" t="s">
        <v>46</v>
      </c>
      <c r="N471" s="11" t="s">
        <v>25</v>
      </c>
      <c r="O471" s="16" t="s">
        <v>29</v>
      </c>
      <c r="P471" s="11">
        <v>210</v>
      </c>
      <c r="Q471" s="8"/>
      <c r="R471">
        <v>16.98</v>
      </c>
      <c r="S471">
        <v>4896.2</v>
      </c>
      <c r="T471">
        <v>2.37</v>
      </c>
      <c r="U471">
        <v>12.19</v>
      </c>
      <c r="V471">
        <v>169.81</v>
      </c>
      <c r="W471" s="8"/>
      <c r="X471" s="8"/>
      <c r="Y471" s="8"/>
      <c r="Z471" s="8"/>
    </row>
    <row r="472" spans="1:26" ht="12.75" customHeight="1" x14ac:dyDescent="0.2">
      <c r="A472" s="11">
        <v>20</v>
      </c>
      <c r="B472" s="11">
        <v>2012</v>
      </c>
      <c r="C472" s="11">
        <v>28</v>
      </c>
      <c r="D472" s="11">
        <v>7</v>
      </c>
      <c r="E472" s="11" t="s">
        <v>29</v>
      </c>
      <c r="F472" s="11" t="s">
        <v>18</v>
      </c>
      <c r="G472" s="11">
        <v>200</v>
      </c>
      <c r="H472" s="15" t="s">
        <v>29</v>
      </c>
      <c r="I472" s="11">
        <v>15.5</v>
      </c>
      <c r="J472" s="11" t="s">
        <v>32</v>
      </c>
      <c r="K472" s="11" t="s">
        <v>29</v>
      </c>
      <c r="L472" s="11" t="s">
        <v>29</v>
      </c>
      <c r="M472" s="11" t="s">
        <v>45</v>
      </c>
      <c r="N472" s="11" t="s">
        <v>24</v>
      </c>
      <c r="O472" s="16" t="s">
        <v>29</v>
      </c>
      <c r="P472" s="11">
        <v>210</v>
      </c>
      <c r="Q472" s="8"/>
      <c r="R472">
        <v>18.66</v>
      </c>
      <c r="S472">
        <v>6497.33</v>
      </c>
      <c r="T472">
        <v>2.39</v>
      </c>
      <c r="U472">
        <v>13.4</v>
      </c>
      <c r="V472">
        <v>186.6</v>
      </c>
      <c r="W472" s="8"/>
      <c r="X472" s="8"/>
      <c r="Y472" s="8"/>
      <c r="Z472" s="8"/>
    </row>
    <row r="473" spans="1:26" ht="12.75" customHeight="1" x14ac:dyDescent="0.2">
      <c r="A473" s="11">
        <v>21</v>
      </c>
      <c r="B473" s="11">
        <v>2012</v>
      </c>
      <c r="C473" s="11">
        <v>28</v>
      </c>
      <c r="D473" s="11">
        <v>7</v>
      </c>
      <c r="E473" s="11" t="s">
        <v>29</v>
      </c>
      <c r="F473" s="11" t="s">
        <v>18</v>
      </c>
      <c r="G473" s="11">
        <v>166</v>
      </c>
      <c r="H473" s="15" t="s">
        <v>29</v>
      </c>
      <c r="I473" s="11">
        <v>12</v>
      </c>
      <c r="J473" s="11" t="s">
        <v>19</v>
      </c>
      <c r="K473" s="11" t="s">
        <v>20</v>
      </c>
      <c r="L473" s="11" t="s">
        <v>21</v>
      </c>
      <c r="M473" s="11" t="s">
        <v>46</v>
      </c>
      <c r="N473" s="11" t="s">
        <v>23</v>
      </c>
      <c r="O473" s="16" t="s">
        <v>29</v>
      </c>
      <c r="P473" s="11">
        <v>210</v>
      </c>
      <c r="Q473" s="8"/>
      <c r="R473">
        <v>15.49</v>
      </c>
      <c r="S473">
        <v>3715.09</v>
      </c>
      <c r="T473">
        <v>3.23</v>
      </c>
      <c r="U473">
        <v>11.12</v>
      </c>
      <c r="V473">
        <v>154.88</v>
      </c>
      <c r="W473" s="317">
        <v>3.9</v>
      </c>
      <c r="X473" s="190">
        <f>I473*W473</f>
        <v>46.8</v>
      </c>
      <c r="Y473" s="8"/>
      <c r="Z473" s="8"/>
    </row>
    <row r="474" spans="1:26" ht="12.75" customHeight="1" x14ac:dyDescent="0.2">
      <c r="A474" s="11">
        <v>22</v>
      </c>
      <c r="B474" s="11">
        <v>2012</v>
      </c>
      <c r="C474" s="11">
        <v>28</v>
      </c>
      <c r="D474" s="11">
        <v>7</v>
      </c>
      <c r="E474" s="11" t="s">
        <v>29</v>
      </c>
      <c r="F474" s="11" t="s">
        <v>18</v>
      </c>
      <c r="G474" s="11">
        <v>152</v>
      </c>
      <c r="H474" s="15" t="s">
        <v>29</v>
      </c>
      <c r="I474" s="11">
        <v>9.1999999999999993</v>
      </c>
      <c r="J474" s="11" t="s">
        <v>19</v>
      </c>
      <c r="K474" s="11" t="s">
        <v>20</v>
      </c>
      <c r="L474" s="11" t="s">
        <v>21</v>
      </c>
      <c r="M474" s="11" t="s">
        <v>45</v>
      </c>
      <c r="N474" s="11" t="s">
        <v>25</v>
      </c>
      <c r="O474" s="16" t="s">
        <v>29</v>
      </c>
      <c r="P474" s="11">
        <v>210</v>
      </c>
      <c r="Q474" s="8"/>
      <c r="R474">
        <v>14.18</v>
      </c>
      <c r="S474">
        <v>2852.17</v>
      </c>
      <c r="T474">
        <v>3.23</v>
      </c>
      <c r="U474">
        <v>10.18</v>
      </c>
      <c r="V474">
        <v>141.82</v>
      </c>
      <c r="W474" s="317">
        <v>3.9</v>
      </c>
      <c r="X474" s="190">
        <f>I474*W474</f>
        <v>35.879999999999995</v>
      </c>
      <c r="Y474" s="8"/>
      <c r="Z474" s="8"/>
    </row>
    <row r="475" spans="1:26" ht="12.75" customHeight="1" x14ac:dyDescent="0.2">
      <c r="A475" s="11">
        <v>23</v>
      </c>
      <c r="B475" s="11">
        <v>2012</v>
      </c>
      <c r="C475" s="11">
        <v>28</v>
      </c>
      <c r="D475" s="11">
        <v>7</v>
      </c>
      <c r="E475" s="11" t="s">
        <v>29</v>
      </c>
      <c r="F475" s="11" t="s">
        <v>18</v>
      </c>
      <c r="G475" s="11">
        <v>150</v>
      </c>
      <c r="H475" s="15" t="s">
        <v>29</v>
      </c>
      <c r="I475" s="11">
        <v>9.1999999999999993</v>
      </c>
      <c r="J475" s="11" t="s">
        <v>19</v>
      </c>
      <c r="K475" s="11" t="s">
        <v>20</v>
      </c>
      <c r="L475" s="11" t="s">
        <v>21</v>
      </c>
      <c r="M475" s="11" t="s">
        <v>27</v>
      </c>
      <c r="N475" s="11" t="s">
        <v>25</v>
      </c>
      <c r="O475" s="16" t="s">
        <v>29</v>
      </c>
      <c r="P475" s="11">
        <v>210</v>
      </c>
      <c r="Q475" s="8"/>
      <c r="R475">
        <v>14</v>
      </c>
      <c r="S475">
        <v>2741.06</v>
      </c>
      <c r="T475">
        <v>3.36</v>
      </c>
      <c r="U475">
        <v>10.050000000000001</v>
      </c>
      <c r="V475">
        <v>139.94999999999999</v>
      </c>
      <c r="W475" s="317">
        <v>3.9</v>
      </c>
      <c r="X475" s="190">
        <f>I475*W475</f>
        <v>35.879999999999995</v>
      </c>
      <c r="Y475" s="8"/>
      <c r="Z475" s="8"/>
    </row>
    <row r="476" spans="1:26" ht="12.75" customHeight="1" x14ac:dyDescent="0.2">
      <c r="A476" s="11">
        <v>24</v>
      </c>
      <c r="B476" s="11">
        <v>2012</v>
      </c>
      <c r="C476" s="11">
        <v>28</v>
      </c>
      <c r="D476" s="11">
        <v>7</v>
      </c>
      <c r="E476" s="11" t="s">
        <v>29</v>
      </c>
      <c r="F476" s="11" t="s">
        <v>28</v>
      </c>
      <c r="G476" s="11" t="s">
        <v>29</v>
      </c>
      <c r="H476" s="15" t="s">
        <v>29</v>
      </c>
      <c r="I476" s="11" t="s">
        <v>29</v>
      </c>
      <c r="J476" s="11" t="s">
        <v>19</v>
      </c>
      <c r="K476" s="11" t="s">
        <v>20</v>
      </c>
      <c r="L476" s="11" t="s">
        <v>41</v>
      </c>
      <c r="M476" s="11" t="s">
        <v>29</v>
      </c>
      <c r="N476" s="11" t="s">
        <v>29</v>
      </c>
      <c r="O476" s="16" t="s">
        <v>29</v>
      </c>
      <c r="P476" s="11">
        <v>210</v>
      </c>
      <c r="Q476" s="8"/>
      <c r="W476" s="8"/>
      <c r="X476" s="8"/>
      <c r="Y476" s="8"/>
      <c r="Z476" s="8"/>
    </row>
    <row r="477" spans="1:26" ht="12.75" customHeight="1" x14ac:dyDescent="0.2">
      <c r="A477" s="11">
        <v>25</v>
      </c>
      <c r="B477" s="11">
        <v>2012</v>
      </c>
      <c r="C477" s="11">
        <v>28</v>
      </c>
      <c r="D477" s="11">
        <v>7</v>
      </c>
      <c r="E477" s="11" t="s">
        <v>29</v>
      </c>
      <c r="F477" s="11" t="s">
        <v>18</v>
      </c>
      <c r="G477" s="11">
        <v>210</v>
      </c>
      <c r="H477" s="15" t="s">
        <v>29</v>
      </c>
      <c r="I477" s="11">
        <v>15.8</v>
      </c>
      <c r="J477" s="11" t="s">
        <v>32</v>
      </c>
      <c r="K477" s="11" t="s">
        <v>29</v>
      </c>
      <c r="L477" s="11" t="s">
        <v>29</v>
      </c>
      <c r="M477" s="11" t="s">
        <v>46</v>
      </c>
      <c r="N477" s="11" t="s">
        <v>24</v>
      </c>
      <c r="O477" s="16" t="s">
        <v>29</v>
      </c>
      <c r="P477" s="11">
        <v>210</v>
      </c>
      <c r="Q477" s="8"/>
      <c r="R477">
        <v>19.59</v>
      </c>
      <c r="S477">
        <v>7521.47</v>
      </c>
      <c r="T477">
        <v>2.1</v>
      </c>
      <c r="U477">
        <v>14.07</v>
      </c>
      <c r="V477">
        <v>195.93</v>
      </c>
      <c r="W477" s="8"/>
      <c r="X477" s="8"/>
      <c r="Y477" s="8"/>
      <c r="Z477" s="8"/>
    </row>
    <row r="478" spans="1:26" ht="12.75" customHeight="1" x14ac:dyDescent="0.2">
      <c r="A478" s="11">
        <v>26</v>
      </c>
      <c r="B478" s="11">
        <v>2012</v>
      </c>
      <c r="C478" s="11">
        <v>28</v>
      </c>
      <c r="D478" s="11">
        <v>7</v>
      </c>
      <c r="E478" s="11" t="s">
        <v>29</v>
      </c>
      <c r="F478" s="11" t="s">
        <v>18</v>
      </c>
      <c r="G478" s="11">
        <v>150</v>
      </c>
      <c r="H478" s="15" t="s">
        <v>29</v>
      </c>
      <c r="I478" s="11">
        <v>9.8000000000000007</v>
      </c>
      <c r="J478" s="11" t="s">
        <v>19</v>
      </c>
      <c r="K478" s="11" t="s">
        <v>20</v>
      </c>
      <c r="L478" s="11" t="s">
        <v>21</v>
      </c>
      <c r="M478" s="11" t="s">
        <v>27</v>
      </c>
      <c r="N478" s="11" t="s">
        <v>33</v>
      </c>
      <c r="O478" s="16" t="s">
        <v>29</v>
      </c>
      <c r="P478" s="11">
        <v>210</v>
      </c>
      <c r="Q478" s="8"/>
      <c r="R478">
        <v>14</v>
      </c>
      <c r="S478">
        <v>2741.06</v>
      </c>
      <c r="T478">
        <v>3.58</v>
      </c>
      <c r="U478">
        <v>10.050000000000001</v>
      </c>
      <c r="V478">
        <v>139.94999999999999</v>
      </c>
      <c r="W478" s="317">
        <v>3.9</v>
      </c>
      <c r="X478" s="190">
        <f>I478*W478</f>
        <v>38.22</v>
      </c>
      <c r="Y478" s="8"/>
      <c r="Z478" s="8"/>
    </row>
    <row r="479" spans="1:26" ht="12.75" customHeight="1" x14ac:dyDescent="0.2">
      <c r="A479" s="11">
        <v>27</v>
      </c>
      <c r="B479" s="11">
        <v>2012</v>
      </c>
      <c r="C479" s="11">
        <v>28</v>
      </c>
      <c r="D479" s="11">
        <v>7</v>
      </c>
      <c r="E479" s="11" t="s">
        <v>29</v>
      </c>
      <c r="F479" s="11" t="s">
        <v>18</v>
      </c>
      <c r="G479" s="11">
        <v>136</v>
      </c>
      <c r="H479" s="15" t="s">
        <v>29</v>
      </c>
      <c r="I479" s="11">
        <v>6.8</v>
      </c>
      <c r="J479" s="11" t="s">
        <v>19</v>
      </c>
      <c r="K479" s="11" t="s">
        <v>20</v>
      </c>
      <c r="L479" s="11" t="s">
        <v>21</v>
      </c>
      <c r="M479" s="11" t="s">
        <v>45</v>
      </c>
      <c r="N479" s="11" t="s">
        <v>25</v>
      </c>
      <c r="O479" s="16" t="s">
        <v>29</v>
      </c>
      <c r="P479" s="11">
        <v>210</v>
      </c>
      <c r="Q479" s="8"/>
      <c r="R479">
        <v>12.69</v>
      </c>
      <c r="S479">
        <v>2042.97</v>
      </c>
      <c r="T479">
        <v>3.33</v>
      </c>
      <c r="U479">
        <v>9.11</v>
      </c>
      <c r="V479">
        <v>126.89</v>
      </c>
      <c r="W479" s="317">
        <v>3.9</v>
      </c>
      <c r="X479" s="190">
        <f>I479*W479</f>
        <v>26.52</v>
      </c>
      <c r="Y479" s="8"/>
      <c r="Z479" s="8"/>
    </row>
    <row r="480" spans="1:26" ht="12.75" customHeight="1" x14ac:dyDescent="0.2">
      <c r="A480" s="11">
        <v>28</v>
      </c>
      <c r="B480" s="11">
        <v>2012</v>
      </c>
      <c r="C480" s="11">
        <v>28</v>
      </c>
      <c r="D480" s="11">
        <v>7</v>
      </c>
      <c r="E480" s="11" t="s">
        <v>29</v>
      </c>
      <c r="F480" s="11" t="s">
        <v>18</v>
      </c>
      <c r="G480" s="11">
        <v>123</v>
      </c>
      <c r="H480" s="15" t="s">
        <v>29</v>
      </c>
      <c r="I480" s="11">
        <v>3.9</v>
      </c>
      <c r="J480" s="11" t="s">
        <v>19</v>
      </c>
      <c r="K480" s="11" t="s">
        <v>41</v>
      </c>
      <c r="L480" s="11" t="s">
        <v>35</v>
      </c>
      <c r="M480" s="11" t="s">
        <v>27</v>
      </c>
      <c r="N480" s="11" t="s">
        <v>24</v>
      </c>
      <c r="O480" s="16" t="s">
        <v>29</v>
      </c>
      <c r="P480" s="11">
        <v>210</v>
      </c>
      <c r="Q480" s="8"/>
      <c r="R480">
        <v>11.48</v>
      </c>
      <c r="S480">
        <v>1511.33</v>
      </c>
      <c r="T480">
        <v>2.58</v>
      </c>
      <c r="U480">
        <v>8.24</v>
      </c>
      <c r="V480">
        <v>114.76</v>
      </c>
      <c r="W480" s="317"/>
      <c r="X480" s="8"/>
      <c r="Y480" s="8"/>
      <c r="Z480" s="8"/>
    </row>
    <row r="481" spans="1:26" ht="12.75" customHeight="1" x14ac:dyDescent="0.2">
      <c r="A481" s="11">
        <v>29</v>
      </c>
      <c r="B481" s="11">
        <v>2012</v>
      </c>
      <c r="C481" s="11">
        <v>28</v>
      </c>
      <c r="D481" s="11">
        <v>7</v>
      </c>
      <c r="E481" s="11" t="s">
        <v>29</v>
      </c>
      <c r="F481" s="11" t="s">
        <v>18</v>
      </c>
      <c r="G481" s="11">
        <v>144</v>
      </c>
      <c r="H481" s="15" t="s">
        <v>29</v>
      </c>
      <c r="I481" s="11">
        <v>7.4</v>
      </c>
      <c r="J481" s="11" t="s">
        <v>19</v>
      </c>
      <c r="K481" s="11" t="s">
        <v>20</v>
      </c>
      <c r="L481" s="11" t="s">
        <v>21</v>
      </c>
      <c r="M481" s="11" t="s">
        <v>46</v>
      </c>
      <c r="N481" s="11" t="s">
        <v>25</v>
      </c>
      <c r="O481" s="16" t="s">
        <v>29</v>
      </c>
      <c r="P481" s="11">
        <v>210</v>
      </c>
      <c r="Q481" s="8"/>
      <c r="R481">
        <v>13.44</v>
      </c>
      <c r="S481">
        <v>2425.12</v>
      </c>
      <c r="T481">
        <v>3.05</v>
      </c>
      <c r="U481">
        <v>9.65</v>
      </c>
      <c r="V481">
        <v>134.35</v>
      </c>
      <c r="W481" s="317">
        <v>3.9</v>
      </c>
      <c r="X481" s="190">
        <f>I481*W481</f>
        <v>28.86</v>
      </c>
      <c r="Y481" s="8"/>
      <c r="Z481" s="8"/>
    </row>
    <row r="482" spans="1:26" ht="12.75" customHeight="1" x14ac:dyDescent="0.2">
      <c r="A482" s="11">
        <v>30</v>
      </c>
      <c r="B482" s="11">
        <v>2012</v>
      </c>
      <c r="C482" s="11">
        <v>28</v>
      </c>
      <c r="D482" s="11">
        <v>7</v>
      </c>
      <c r="E482" s="11" t="s">
        <v>29</v>
      </c>
      <c r="F482" s="11" t="s">
        <v>18</v>
      </c>
      <c r="G482" s="11">
        <v>218</v>
      </c>
      <c r="H482" s="15" t="s">
        <v>29</v>
      </c>
      <c r="I482" s="11">
        <v>19.5</v>
      </c>
      <c r="J482" s="11" t="s">
        <v>32</v>
      </c>
      <c r="K482" s="11" t="s">
        <v>29</v>
      </c>
      <c r="L482" s="11" t="s">
        <v>29</v>
      </c>
      <c r="M482" s="11" t="s">
        <v>27</v>
      </c>
      <c r="N482" s="11" t="s">
        <v>24</v>
      </c>
      <c r="O482" s="16" t="s">
        <v>29</v>
      </c>
      <c r="P482" s="11">
        <v>210</v>
      </c>
      <c r="Q482" s="8"/>
      <c r="R482">
        <v>20.34</v>
      </c>
      <c r="S482">
        <v>8414.23</v>
      </c>
      <c r="T482">
        <v>2.3199999999999998</v>
      </c>
      <c r="U482">
        <v>14.61</v>
      </c>
      <c r="V482">
        <v>203.39</v>
      </c>
      <c r="W482" s="8"/>
      <c r="X482" s="8"/>
      <c r="Y482" s="8"/>
      <c r="Z482" s="8"/>
    </row>
    <row r="483" spans="1:26" ht="12.75" customHeight="1" x14ac:dyDescent="0.2">
      <c r="A483" s="11">
        <v>31</v>
      </c>
      <c r="B483" s="11">
        <v>2012</v>
      </c>
      <c r="C483" s="11">
        <v>28</v>
      </c>
      <c r="D483" s="11">
        <v>7</v>
      </c>
      <c r="E483" s="11" t="s">
        <v>29</v>
      </c>
      <c r="F483" s="11" t="s">
        <v>18</v>
      </c>
      <c r="G483" s="11">
        <v>173</v>
      </c>
      <c r="H483" s="15" t="s">
        <v>29</v>
      </c>
      <c r="I483" s="11">
        <v>12</v>
      </c>
      <c r="J483" s="11" t="s">
        <v>19</v>
      </c>
      <c r="K483" s="11" t="s">
        <v>20</v>
      </c>
      <c r="L483" s="11" t="s">
        <v>21</v>
      </c>
      <c r="M483" s="11" t="s">
        <v>47</v>
      </c>
      <c r="N483" s="11" t="s">
        <v>33</v>
      </c>
      <c r="O483" s="16" t="s">
        <v>29</v>
      </c>
      <c r="P483" s="11">
        <v>210</v>
      </c>
      <c r="Q483" s="8"/>
      <c r="R483">
        <v>16.14</v>
      </c>
      <c r="S483">
        <v>4205.17</v>
      </c>
      <c r="T483">
        <v>2.85</v>
      </c>
      <c r="U483">
        <v>11.59</v>
      </c>
      <c r="V483">
        <v>161.41</v>
      </c>
      <c r="W483" s="317">
        <v>3.9</v>
      </c>
      <c r="X483" s="190">
        <f>I483*W483</f>
        <v>46.8</v>
      </c>
      <c r="Y483" s="8"/>
      <c r="Z483" s="8"/>
    </row>
    <row r="484" spans="1:26" ht="12.75" customHeight="1" x14ac:dyDescent="0.2">
      <c r="A484" s="11">
        <v>32</v>
      </c>
      <c r="B484" s="11">
        <v>2012</v>
      </c>
      <c r="C484" s="11">
        <v>28</v>
      </c>
      <c r="D484" s="11">
        <v>7</v>
      </c>
      <c r="E484" s="14">
        <v>0.33333333333333331</v>
      </c>
      <c r="F484" s="11" t="s">
        <v>18</v>
      </c>
      <c r="G484" s="11">
        <v>142</v>
      </c>
      <c r="H484" s="15" t="s">
        <v>29</v>
      </c>
      <c r="I484" s="11">
        <v>6.5</v>
      </c>
      <c r="J484" s="11" t="s">
        <v>19</v>
      </c>
      <c r="K484" s="11" t="s">
        <v>41</v>
      </c>
      <c r="L484" s="11" t="s">
        <v>35</v>
      </c>
      <c r="M484" s="11" t="s">
        <v>27</v>
      </c>
      <c r="N484" s="11" t="s">
        <v>25</v>
      </c>
      <c r="O484" s="16" t="s">
        <v>29</v>
      </c>
      <c r="P484" s="11">
        <v>210</v>
      </c>
      <c r="Q484" s="8"/>
      <c r="R484">
        <v>13.25</v>
      </c>
      <c r="S484">
        <v>2325.4699999999998</v>
      </c>
      <c r="T484">
        <v>2.8</v>
      </c>
      <c r="U484">
        <v>9.51</v>
      </c>
      <c r="V484">
        <v>132.49</v>
      </c>
      <c r="W484" s="317"/>
      <c r="X484" s="8"/>
      <c r="Y484" s="8"/>
      <c r="Z484" s="8"/>
    </row>
    <row r="485" spans="1:26" ht="12.75" customHeight="1" x14ac:dyDescent="0.2">
      <c r="A485" s="11">
        <v>33</v>
      </c>
      <c r="B485" s="11">
        <v>2012</v>
      </c>
      <c r="C485" s="11">
        <v>28</v>
      </c>
      <c r="D485" s="11">
        <v>7</v>
      </c>
      <c r="E485" s="11" t="s">
        <v>29</v>
      </c>
      <c r="F485" s="11" t="s">
        <v>18</v>
      </c>
      <c r="G485" s="11">
        <v>187</v>
      </c>
      <c r="H485" s="15" t="s">
        <v>29</v>
      </c>
      <c r="I485" s="11">
        <v>11.5</v>
      </c>
      <c r="J485" s="11" t="s">
        <v>32</v>
      </c>
      <c r="K485" s="11" t="s">
        <v>29</v>
      </c>
      <c r="L485" s="11" t="s">
        <v>29</v>
      </c>
      <c r="M485" s="11" t="s">
        <v>46</v>
      </c>
      <c r="N485" s="11" t="s">
        <v>24</v>
      </c>
      <c r="O485" s="16" t="s">
        <v>29</v>
      </c>
      <c r="P485" s="11">
        <v>210</v>
      </c>
      <c r="Q485" s="8"/>
      <c r="R485">
        <v>17.45</v>
      </c>
      <c r="S485">
        <v>5310.92</v>
      </c>
      <c r="T485">
        <v>2.17</v>
      </c>
      <c r="U485">
        <v>12.53</v>
      </c>
      <c r="V485">
        <v>174.47</v>
      </c>
      <c r="W485" s="8"/>
      <c r="X485" s="8"/>
      <c r="Y485" s="8"/>
      <c r="Z485" s="8"/>
    </row>
    <row r="486" spans="1:26" ht="12.75" customHeight="1" x14ac:dyDescent="0.2">
      <c r="A486" s="11">
        <v>34</v>
      </c>
      <c r="B486" s="11">
        <v>2012</v>
      </c>
      <c r="C486" s="11">
        <v>28</v>
      </c>
      <c r="D486" s="11">
        <v>7</v>
      </c>
      <c r="E486" s="11" t="s">
        <v>29</v>
      </c>
      <c r="F486" s="11" t="s">
        <v>18</v>
      </c>
      <c r="G486" s="11">
        <v>105</v>
      </c>
      <c r="H486" s="15" t="s">
        <v>29</v>
      </c>
      <c r="I486" s="11">
        <v>3.2</v>
      </c>
      <c r="J486" s="11" t="s">
        <v>19</v>
      </c>
      <c r="K486" s="11" t="s">
        <v>41</v>
      </c>
      <c r="L486" s="11" t="s">
        <v>41</v>
      </c>
      <c r="M486" s="11" t="s">
        <v>27</v>
      </c>
      <c r="N486" s="11" t="s">
        <v>25</v>
      </c>
      <c r="O486" s="16" t="s">
        <v>29</v>
      </c>
      <c r="P486" s="11">
        <v>210</v>
      </c>
      <c r="Q486" s="8"/>
      <c r="R486">
        <v>9.8000000000000007</v>
      </c>
      <c r="S486">
        <v>940.18</v>
      </c>
      <c r="T486">
        <v>3.4</v>
      </c>
      <c r="U486">
        <v>7.04</v>
      </c>
      <c r="V486">
        <v>97.97</v>
      </c>
      <c r="W486" s="8"/>
      <c r="X486" s="8"/>
      <c r="Y486" s="8"/>
      <c r="Z486" s="8"/>
    </row>
    <row r="487" spans="1:26" ht="12.75" customHeight="1" x14ac:dyDescent="0.2">
      <c r="A487" s="11">
        <v>35</v>
      </c>
      <c r="B487" s="11">
        <v>2012</v>
      </c>
      <c r="C487" s="11">
        <v>28</v>
      </c>
      <c r="D487" s="11">
        <v>7</v>
      </c>
      <c r="E487" s="11" t="s">
        <v>29</v>
      </c>
      <c r="F487" s="11" t="s">
        <v>18</v>
      </c>
      <c r="G487" s="11">
        <v>131</v>
      </c>
      <c r="H487" s="15" t="s">
        <v>29</v>
      </c>
      <c r="I487" s="11">
        <v>5.2</v>
      </c>
      <c r="J487" s="11" t="s">
        <v>19</v>
      </c>
      <c r="K487" s="11" t="s">
        <v>41</v>
      </c>
      <c r="L487" s="11" t="s">
        <v>41</v>
      </c>
      <c r="M487" s="11" t="s">
        <v>27</v>
      </c>
      <c r="N487" s="11" t="s">
        <v>23</v>
      </c>
      <c r="O487" s="16" t="s">
        <v>29</v>
      </c>
      <c r="P487" s="11">
        <v>210</v>
      </c>
      <c r="Q487" s="8"/>
      <c r="R487">
        <v>12.22</v>
      </c>
      <c r="S487">
        <v>1825.82</v>
      </c>
      <c r="T487">
        <v>2.85</v>
      </c>
      <c r="U487">
        <v>8.7799999999999994</v>
      </c>
      <c r="V487">
        <v>122.22</v>
      </c>
      <c r="W487" s="8"/>
      <c r="X487" s="8"/>
      <c r="Y487" s="8"/>
      <c r="Z487" s="8"/>
    </row>
    <row r="488" spans="1:26" ht="12.75" customHeight="1" x14ac:dyDescent="0.2">
      <c r="A488" s="11">
        <v>36</v>
      </c>
      <c r="B488" s="11">
        <v>2012</v>
      </c>
      <c r="C488" s="11">
        <v>28</v>
      </c>
      <c r="D488" s="11">
        <v>7</v>
      </c>
      <c r="E488" s="11" t="s">
        <v>29</v>
      </c>
      <c r="F488" s="11" t="s">
        <v>18</v>
      </c>
      <c r="G488" s="11">
        <v>145</v>
      </c>
      <c r="H488" s="15" t="s">
        <v>29</v>
      </c>
      <c r="I488" s="11">
        <v>10</v>
      </c>
      <c r="J488" s="11" t="s">
        <v>19</v>
      </c>
      <c r="K488" s="11" t="s">
        <v>20</v>
      </c>
      <c r="L488" s="11" t="s">
        <v>21</v>
      </c>
      <c r="M488" s="11" t="s">
        <v>46</v>
      </c>
      <c r="N488" s="11" t="s">
        <v>33</v>
      </c>
      <c r="O488" s="16" t="s">
        <v>29</v>
      </c>
      <c r="P488" s="11">
        <v>210</v>
      </c>
      <c r="Q488" s="8"/>
      <c r="R488">
        <v>13.53</v>
      </c>
      <c r="S488">
        <v>2475.9899999999998</v>
      </c>
      <c r="T488">
        <v>4.04</v>
      </c>
      <c r="U488">
        <v>9.7200000000000006</v>
      </c>
      <c r="V488">
        <v>135.29</v>
      </c>
      <c r="W488" s="317">
        <v>3.9</v>
      </c>
      <c r="X488" s="190">
        <f t="shared" ref="X488:X495" si="16">I488*W488</f>
        <v>39</v>
      </c>
      <c r="Y488" s="8"/>
      <c r="Z488" s="8"/>
    </row>
    <row r="489" spans="1:26" ht="12.75" customHeight="1" x14ac:dyDescent="0.2">
      <c r="A489" s="11">
        <v>37</v>
      </c>
      <c r="B489" s="11">
        <v>2012</v>
      </c>
      <c r="C489" s="11">
        <v>28</v>
      </c>
      <c r="D489" s="11">
        <v>7</v>
      </c>
      <c r="E489" s="11" t="s">
        <v>29</v>
      </c>
      <c r="F489" s="11" t="s">
        <v>18</v>
      </c>
      <c r="G489" s="11">
        <v>165</v>
      </c>
      <c r="H489" s="15" t="s">
        <v>29</v>
      </c>
      <c r="I489" s="11">
        <v>11</v>
      </c>
      <c r="J489" s="11" t="s">
        <v>19</v>
      </c>
      <c r="K489" s="11" t="s">
        <v>20</v>
      </c>
      <c r="L489" s="11" t="s">
        <v>21</v>
      </c>
      <c r="M489" s="11" t="s">
        <v>46</v>
      </c>
      <c r="N489" s="11" t="s">
        <v>33</v>
      </c>
      <c r="O489" s="16" t="s">
        <v>29</v>
      </c>
      <c r="P489" s="11">
        <v>210</v>
      </c>
      <c r="Q489" s="8"/>
      <c r="R489">
        <v>15.39</v>
      </c>
      <c r="S489">
        <v>3648.35</v>
      </c>
      <c r="T489">
        <v>3.02</v>
      </c>
      <c r="U489">
        <v>11.06</v>
      </c>
      <c r="V489">
        <v>153.94999999999999</v>
      </c>
      <c r="W489" s="317">
        <v>3.9</v>
      </c>
      <c r="X489" s="190">
        <f t="shared" si="16"/>
        <v>42.9</v>
      </c>
      <c r="Y489" s="8"/>
      <c r="Z489" s="8"/>
    </row>
    <row r="490" spans="1:26" ht="12.75" customHeight="1" x14ac:dyDescent="0.2">
      <c r="A490" s="11">
        <v>38</v>
      </c>
      <c r="B490" s="11">
        <v>2012</v>
      </c>
      <c r="C490" s="11">
        <v>28</v>
      </c>
      <c r="D490" s="11">
        <v>7</v>
      </c>
      <c r="E490" s="11" t="s">
        <v>29</v>
      </c>
      <c r="F490" s="11" t="s">
        <v>18</v>
      </c>
      <c r="G490" s="11">
        <v>165</v>
      </c>
      <c r="H490" s="15" t="s">
        <v>29</v>
      </c>
      <c r="I490" s="11">
        <v>14</v>
      </c>
      <c r="J490" s="11" t="s">
        <v>19</v>
      </c>
      <c r="K490" s="11" t="s">
        <v>20</v>
      </c>
      <c r="L490" s="11" t="s">
        <v>21</v>
      </c>
      <c r="M490" s="11" t="s">
        <v>45</v>
      </c>
      <c r="N490" s="11" t="s">
        <v>23</v>
      </c>
      <c r="O490" s="16" t="s">
        <v>29</v>
      </c>
      <c r="P490" s="11">
        <v>210</v>
      </c>
      <c r="Q490" s="8"/>
      <c r="R490">
        <v>15.39</v>
      </c>
      <c r="S490">
        <v>3648.35</v>
      </c>
      <c r="T490">
        <v>3.84</v>
      </c>
      <c r="U490">
        <v>11.06</v>
      </c>
      <c r="V490">
        <v>153.94999999999999</v>
      </c>
      <c r="W490" s="317">
        <v>3.9</v>
      </c>
      <c r="X490" s="190">
        <f t="shared" si="16"/>
        <v>54.6</v>
      </c>
      <c r="Y490" s="8"/>
      <c r="Z490" s="8"/>
    </row>
    <row r="491" spans="1:26" ht="12.75" customHeight="1" x14ac:dyDescent="0.2">
      <c r="A491" s="11">
        <v>39</v>
      </c>
      <c r="B491" s="11">
        <v>2012</v>
      </c>
      <c r="C491" s="11">
        <v>28</v>
      </c>
      <c r="D491" s="11">
        <v>7</v>
      </c>
      <c r="E491" s="11" t="s">
        <v>29</v>
      </c>
      <c r="F491" s="11" t="s">
        <v>18</v>
      </c>
      <c r="G491" s="11">
        <v>145</v>
      </c>
      <c r="H491" s="15" t="s">
        <v>29</v>
      </c>
      <c r="I491" s="11">
        <v>8.9</v>
      </c>
      <c r="J491" s="11" t="s">
        <v>19</v>
      </c>
      <c r="K491" s="11" t="s">
        <v>20</v>
      </c>
      <c r="L491" s="11" t="s">
        <v>30</v>
      </c>
      <c r="M491" s="11" t="s">
        <v>45</v>
      </c>
      <c r="N491" s="11" t="s">
        <v>25</v>
      </c>
      <c r="O491" s="16" t="s">
        <v>29</v>
      </c>
      <c r="P491" s="11">
        <v>210</v>
      </c>
      <c r="Q491" s="8"/>
      <c r="R491">
        <v>13.53</v>
      </c>
      <c r="S491">
        <v>2475.9899999999998</v>
      </c>
      <c r="T491">
        <v>3.59</v>
      </c>
      <c r="U491">
        <v>9.7200000000000006</v>
      </c>
      <c r="V491">
        <v>135.29</v>
      </c>
      <c r="W491" s="317">
        <v>4.5999999999999996</v>
      </c>
      <c r="X491" s="190">
        <f t="shared" si="16"/>
        <v>40.94</v>
      </c>
      <c r="Y491" s="8"/>
      <c r="Z491" s="8"/>
    </row>
    <row r="492" spans="1:26" ht="12.75" customHeight="1" x14ac:dyDescent="0.2">
      <c r="A492" s="11">
        <v>40</v>
      </c>
      <c r="B492" s="11">
        <v>2012</v>
      </c>
      <c r="C492" s="11">
        <v>28</v>
      </c>
      <c r="D492" s="11">
        <v>7</v>
      </c>
      <c r="E492" s="14">
        <v>0.39583333333333331</v>
      </c>
      <c r="F492" s="11" t="s">
        <v>18</v>
      </c>
      <c r="G492" s="11">
        <v>155</v>
      </c>
      <c r="H492" s="15" t="s">
        <v>29</v>
      </c>
      <c r="I492" s="11">
        <v>11.2</v>
      </c>
      <c r="J492" s="11" t="s">
        <v>19</v>
      </c>
      <c r="K492" s="11" t="s">
        <v>20</v>
      </c>
      <c r="L492" s="11" t="s">
        <v>30</v>
      </c>
      <c r="M492" s="11" t="s">
        <v>46</v>
      </c>
      <c r="N492" s="11" t="s">
        <v>23</v>
      </c>
      <c r="O492" s="16" t="s">
        <v>29</v>
      </c>
      <c r="P492" s="11">
        <v>210</v>
      </c>
      <c r="Q492" s="8"/>
      <c r="R492">
        <v>14.46</v>
      </c>
      <c r="S492">
        <v>3024.41</v>
      </c>
      <c r="T492">
        <v>3.7</v>
      </c>
      <c r="U492">
        <v>10.39</v>
      </c>
      <c r="V492">
        <v>144.62</v>
      </c>
      <c r="W492" s="317">
        <v>4.5999999999999996</v>
      </c>
      <c r="X492" s="190">
        <f t="shared" si="16"/>
        <v>51.519999999999996</v>
      </c>
      <c r="Y492" s="8"/>
      <c r="Z492" s="8"/>
    </row>
    <row r="493" spans="1:26" ht="12.75" customHeight="1" x14ac:dyDescent="0.2">
      <c r="A493" s="11">
        <v>41</v>
      </c>
      <c r="B493" s="11">
        <v>2012</v>
      </c>
      <c r="C493" s="11">
        <v>28</v>
      </c>
      <c r="D493" s="11">
        <v>7</v>
      </c>
      <c r="E493" s="11" t="s">
        <v>29</v>
      </c>
      <c r="F493" s="11" t="s">
        <v>18</v>
      </c>
      <c r="G493" s="11">
        <v>156</v>
      </c>
      <c r="H493" s="15" t="s">
        <v>29</v>
      </c>
      <c r="I493" s="11">
        <v>9.5</v>
      </c>
      <c r="J493" s="11" t="s">
        <v>19</v>
      </c>
      <c r="K493" s="11" t="s">
        <v>20</v>
      </c>
      <c r="L493" s="11" t="s">
        <v>30</v>
      </c>
      <c r="M493" s="11" t="s">
        <v>45</v>
      </c>
      <c r="N493" s="11" t="s">
        <v>25</v>
      </c>
      <c r="O493" s="16" t="s">
        <v>29</v>
      </c>
      <c r="P493" s="11">
        <v>210</v>
      </c>
      <c r="Q493" s="8"/>
      <c r="R493">
        <v>14.55</v>
      </c>
      <c r="S493">
        <v>3083.32</v>
      </c>
      <c r="T493">
        <v>3.08</v>
      </c>
      <c r="U493">
        <v>10.45</v>
      </c>
      <c r="V493">
        <v>145.55000000000001</v>
      </c>
      <c r="W493" s="317">
        <v>4.5999999999999996</v>
      </c>
      <c r="X493" s="190">
        <f t="shared" si="16"/>
        <v>43.699999999999996</v>
      </c>
      <c r="Y493" s="8"/>
      <c r="Z493" s="8"/>
    </row>
    <row r="494" spans="1:26" ht="12.75" customHeight="1" x14ac:dyDescent="0.2">
      <c r="A494" s="11">
        <v>42</v>
      </c>
      <c r="B494" s="11">
        <v>2012</v>
      </c>
      <c r="C494" s="11">
        <v>28</v>
      </c>
      <c r="D494" s="11">
        <v>7</v>
      </c>
      <c r="E494" s="11" t="s">
        <v>29</v>
      </c>
      <c r="F494" s="11" t="s">
        <v>28</v>
      </c>
      <c r="G494" s="11" t="s">
        <v>29</v>
      </c>
      <c r="H494" s="15" t="s">
        <v>29</v>
      </c>
      <c r="I494" s="11" t="s">
        <v>29</v>
      </c>
      <c r="J494" s="11" t="s">
        <v>19</v>
      </c>
      <c r="K494" s="11" t="s">
        <v>20</v>
      </c>
      <c r="L494" s="11" t="s">
        <v>21</v>
      </c>
      <c r="M494" s="11" t="s">
        <v>46</v>
      </c>
      <c r="N494" s="11" t="s">
        <v>24</v>
      </c>
      <c r="O494" s="16" t="s">
        <v>29</v>
      </c>
      <c r="P494" s="11">
        <v>210</v>
      </c>
      <c r="Q494" s="8"/>
      <c r="W494" s="317">
        <v>3.9</v>
      </c>
      <c r="X494" s="190"/>
      <c r="Y494" s="8"/>
      <c r="Z494" s="8"/>
    </row>
    <row r="495" spans="1:26" ht="12.75" customHeight="1" x14ac:dyDescent="0.2">
      <c r="A495" s="11">
        <v>43</v>
      </c>
      <c r="B495" s="11">
        <v>2012</v>
      </c>
      <c r="C495" s="11">
        <v>28</v>
      </c>
      <c r="D495" s="11">
        <v>7</v>
      </c>
      <c r="E495" s="11" t="s">
        <v>29</v>
      </c>
      <c r="F495" s="11" t="s">
        <v>18</v>
      </c>
      <c r="G495" s="11">
        <v>148</v>
      </c>
      <c r="H495" s="15" t="s">
        <v>29</v>
      </c>
      <c r="I495" s="11">
        <v>5.8</v>
      </c>
      <c r="J495" s="11" t="s">
        <v>19</v>
      </c>
      <c r="K495" s="11" t="s">
        <v>20</v>
      </c>
      <c r="L495" s="11" t="s">
        <v>21</v>
      </c>
      <c r="M495" s="11" t="s">
        <v>46</v>
      </c>
      <c r="N495" s="11" t="s">
        <v>24</v>
      </c>
      <c r="O495" s="16" t="s">
        <v>29</v>
      </c>
      <c r="P495" s="11">
        <v>210</v>
      </c>
      <c r="Q495" s="8"/>
      <c r="R495">
        <v>13.81</v>
      </c>
      <c r="S495">
        <v>2632.87</v>
      </c>
      <c r="T495">
        <v>2.2000000000000002</v>
      </c>
      <c r="U495">
        <v>9.92</v>
      </c>
      <c r="V495">
        <v>138.08000000000001</v>
      </c>
      <c r="W495" s="317">
        <v>3.9</v>
      </c>
      <c r="X495" s="190">
        <f t="shared" si="16"/>
        <v>22.619999999999997</v>
      </c>
      <c r="Y495" s="8"/>
      <c r="Z495" s="8"/>
    </row>
    <row r="496" spans="1:26" ht="12.75" customHeight="1" x14ac:dyDescent="0.2">
      <c r="A496" s="11">
        <v>44</v>
      </c>
      <c r="B496" s="11">
        <v>2012</v>
      </c>
      <c r="C496" s="11">
        <v>28</v>
      </c>
      <c r="D496" s="11">
        <v>7</v>
      </c>
      <c r="E496" s="11" t="s">
        <v>29</v>
      </c>
      <c r="F496" s="11" t="s">
        <v>18</v>
      </c>
      <c r="G496" s="11">
        <v>186</v>
      </c>
      <c r="H496" s="15" t="s">
        <v>29</v>
      </c>
      <c r="I496" s="11">
        <v>12.8</v>
      </c>
      <c r="J496" s="11" t="s">
        <v>32</v>
      </c>
      <c r="K496" s="11" t="s">
        <v>29</v>
      </c>
      <c r="L496" s="11" t="s">
        <v>29</v>
      </c>
      <c r="M496" s="11" t="s">
        <v>46</v>
      </c>
      <c r="N496" s="11" t="s">
        <v>25</v>
      </c>
      <c r="O496" s="16" t="s">
        <v>29</v>
      </c>
      <c r="P496" s="11">
        <v>210</v>
      </c>
      <c r="Q496" s="8"/>
      <c r="R496">
        <v>17.350000000000001</v>
      </c>
      <c r="S496">
        <v>5226.17</v>
      </c>
      <c r="T496">
        <v>2.4500000000000002</v>
      </c>
      <c r="U496">
        <v>12.46</v>
      </c>
      <c r="V496">
        <v>173.54</v>
      </c>
      <c r="W496" s="8"/>
      <c r="X496" s="8"/>
      <c r="Y496" s="8"/>
      <c r="Z496" s="8"/>
    </row>
    <row r="497" spans="1:26" ht="12.75" customHeight="1" x14ac:dyDescent="0.2">
      <c r="A497" s="11">
        <v>45</v>
      </c>
      <c r="B497" s="11">
        <v>2012</v>
      </c>
      <c r="C497" s="11">
        <v>28</v>
      </c>
      <c r="D497" s="11">
        <v>7</v>
      </c>
      <c r="E497" s="11" t="s">
        <v>29</v>
      </c>
      <c r="F497" s="11" t="s">
        <v>18</v>
      </c>
      <c r="G497" s="11">
        <v>135</v>
      </c>
      <c r="H497" s="15" t="s">
        <v>29</v>
      </c>
      <c r="I497" s="11">
        <v>8.3000000000000007</v>
      </c>
      <c r="J497" s="11" t="s">
        <v>19</v>
      </c>
      <c r="K497" s="11" t="s">
        <v>20</v>
      </c>
      <c r="L497" s="11" t="s">
        <v>30</v>
      </c>
      <c r="M497" s="11" t="s">
        <v>46</v>
      </c>
      <c r="N497" s="11" t="s">
        <v>23</v>
      </c>
      <c r="O497" s="16" t="s">
        <v>29</v>
      </c>
      <c r="P497" s="11">
        <v>210</v>
      </c>
      <c r="Q497" s="8"/>
      <c r="R497">
        <v>12.6</v>
      </c>
      <c r="S497">
        <v>1998.23</v>
      </c>
      <c r="T497">
        <v>4.1500000000000004</v>
      </c>
      <c r="U497">
        <v>9.0500000000000007</v>
      </c>
      <c r="V497">
        <v>125.96</v>
      </c>
      <c r="W497" s="317">
        <v>4.5999999999999996</v>
      </c>
      <c r="X497" s="190">
        <f t="shared" ref="X497:X504" si="17">I497*W497</f>
        <v>38.18</v>
      </c>
      <c r="Y497" s="8"/>
      <c r="Z497" s="8"/>
    </row>
    <row r="498" spans="1:26" ht="12.75" customHeight="1" x14ac:dyDescent="0.2">
      <c r="A498" s="11">
        <v>46</v>
      </c>
      <c r="B498" s="11">
        <v>2012</v>
      </c>
      <c r="C498" s="11">
        <v>28</v>
      </c>
      <c r="D498" s="11">
        <v>7</v>
      </c>
      <c r="E498" s="11" t="s">
        <v>29</v>
      </c>
      <c r="F498" s="11" t="s">
        <v>18</v>
      </c>
      <c r="G498" s="11">
        <v>179</v>
      </c>
      <c r="H498" s="15" t="s">
        <v>29</v>
      </c>
      <c r="I498" s="11">
        <v>13.3</v>
      </c>
      <c r="J498" s="11" t="s">
        <v>19</v>
      </c>
      <c r="K498" s="11" t="s">
        <v>20</v>
      </c>
      <c r="L498" s="11" t="s">
        <v>21</v>
      </c>
      <c r="M498" s="11" t="s">
        <v>46</v>
      </c>
      <c r="N498" s="11" t="s">
        <v>39</v>
      </c>
      <c r="O498" s="16" t="s">
        <v>29</v>
      </c>
      <c r="P498" s="11">
        <v>210</v>
      </c>
      <c r="Q498" s="8"/>
      <c r="R498">
        <v>16.7</v>
      </c>
      <c r="S498">
        <v>4658.05</v>
      </c>
      <c r="T498">
        <v>2.86</v>
      </c>
      <c r="U498">
        <v>11.99</v>
      </c>
      <c r="V498">
        <v>167.01</v>
      </c>
      <c r="W498" s="317">
        <v>3.9</v>
      </c>
      <c r="X498" s="190">
        <f t="shared" si="17"/>
        <v>51.870000000000005</v>
      </c>
      <c r="Y498" s="8"/>
      <c r="Z498" s="8"/>
    </row>
    <row r="499" spans="1:26" ht="12.75" customHeight="1" x14ac:dyDescent="0.2">
      <c r="A499" s="11">
        <v>47</v>
      </c>
      <c r="B499" s="11">
        <v>2012</v>
      </c>
      <c r="C499" s="11">
        <v>29</v>
      </c>
      <c r="D499" s="11">
        <v>7</v>
      </c>
      <c r="E499" s="14">
        <v>0.39583333333333331</v>
      </c>
      <c r="F499" s="11" t="s">
        <v>18</v>
      </c>
      <c r="G499" s="11">
        <v>156</v>
      </c>
      <c r="H499" s="15" t="s">
        <v>29</v>
      </c>
      <c r="I499" s="11">
        <v>7</v>
      </c>
      <c r="J499" s="11" t="s">
        <v>19</v>
      </c>
      <c r="K499" s="11" t="s">
        <v>20</v>
      </c>
      <c r="L499" s="11" t="s">
        <v>21</v>
      </c>
      <c r="M499" s="11" t="s">
        <v>46</v>
      </c>
      <c r="N499" s="11" t="s">
        <v>39</v>
      </c>
      <c r="O499" s="16" t="s">
        <v>29</v>
      </c>
      <c r="P499" s="11">
        <v>211</v>
      </c>
      <c r="Q499" s="8"/>
      <c r="R499">
        <v>14.55</v>
      </c>
      <c r="S499">
        <v>3083.32</v>
      </c>
      <c r="T499">
        <v>2.27</v>
      </c>
      <c r="U499">
        <v>10.45</v>
      </c>
      <c r="V499">
        <v>145.55000000000001</v>
      </c>
      <c r="W499" s="317">
        <v>3.9</v>
      </c>
      <c r="X499" s="190">
        <f t="shared" si="17"/>
        <v>27.3</v>
      </c>
      <c r="Y499" s="8"/>
      <c r="Z499" s="8"/>
    </row>
    <row r="500" spans="1:26" ht="12.75" customHeight="1" x14ac:dyDescent="0.2">
      <c r="A500" s="11">
        <v>48</v>
      </c>
      <c r="B500" s="11">
        <v>2012</v>
      </c>
      <c r="C500" s="11">
        <v>29</v>
      </c>
      <c r="D500" s="11">
        <v>7</v>
      </c>
      <c r="E500" s="11" t="s">
        <v>29</v>
      </c>
      <c r="F500" s="11" t="s">
        <v>28</v>
      </c>
      <c r="G500" s="11" t="s">
        <v>29</v>
      </c>
      <c r="H500" s="15" t="s">
        <v>29</v>
      </c>
      <c r="I500" s="11" t="s">
        <v>29</v>
      </c>
      <c r="J500" s="11" t="s">
        <v>19</v>
      </c>
      <c r="K500" s="11" t="s">
        <v>20</v>
      </c>
      <c r="L500" s="11" t="s">
        <v>30</v>
      </c>
      <c r="M500" s="11" t="s">
        <v>29</v>
      </c>
      <c r="N500" s="11" t="s">
        <v>24</v>
      </c>
      <c r="O500" s="16" t="s">
        <v>29</v>
      </c>
      <c r="P500" s="11">
        <v>211</v>
      </c>
      <c r="Q500" s="8"/>
      <c r="W500" s="317">
        <v>4.5999999999999996</v>
      </c>
      <c r="X500" s="190"/>
      <c r="Y500" s="8"/>
      <c r="Z500" s="8"/>
    </row>
    <row r="501" spans="1:26" ht="12.75" customHeight="1" x14ac:dyDescent="0.2">
      <c r="A501" s="11">
        <v>49</v>
      </c>
      <c r="B501" s="11">
        <v>2012</v>
      </c>
      <c r="C501" s="11">
        <v>29</v>
      </c>
      <c r="D501" s="11">
        <v>7</v>
      </c>
      <c r="E501" s="11" t="s">
        <v>29</v>
      </c>
      <c r="F501" s="11" t="s">
        <v>18</v>
      </c>
      <c r="G501" s="11">
        <v>159</v>
      </c>
      <c r="H501" s="15" t="s">
        <v>29</v>
      </c>
      <c r="I501" s="11">
        <v>11</v>
      </c>
      <c r="J501" s="11" t="s">
        <v>19</v>
      </c>
      <c r="K501" s="11" t="s">
        <v>20</v>
      </c>
      <c r="L501" s="11" t="s">
        <v>30</v>
      </c>
      <c r="M501" s="11" t="s">
        <v>46</v>
      </c>
      <c r="N501" s="11" t="s">
        <v>39</v>
      </c>
      <c r="O501" s="16" t="s">
        <v>29</v>
      </c>
      <c r="P501" s="11">
        <v>211</v>
      </c>
      <c r="Q501" s="8"/>
      <c r="R501">
        <v>14.83</v>
      </c>
      <c r="S501">
        <v>3264.65</v>
      </c>
      <c r="T501">
        <v>3.37</v>
      </c>
      <c r="U501">
        <v>10.65</v>
      </c>
      <c r="V501">
        <v>148.35</v>
      </c>
      <c r="W501" s="317">
        <v>4.5999999999999996</v>
      </c>
      <c r="X501" s="190">
        <f t="shared" si="17"/>
        <v>50.599999999999994</v>
      </c>
      <c r="Y501" s="8"/>
      <c r="Z501" s="8"/>
    </row>
    <row r="502" spans="1:26" ht="12.75" customHeight="1" x14ac:dyDescent="0.2">
      <c r="A502" s="11">
        <v>50</v>
      </c>
      <c r="B502" s="11">
        <v>2012</v>
      </c>
      <c r="C502" s="11">
        <v>29</v>
      </c>
      <c r="D502" s="11">
        <v>7</v>
      </c>
      <c r="E502" s="11" t="s">
        <v>29</v>
      </c>
      <c r="F502" s="11" t="s">
        <v>18</v>
      </c>
      <c r="G502" s="11">
        <v>146</v>
      </c>
      <c r="H502" s="15" t="s">
        <v>29</v>
      </c>
      <c r="I502" s="11">
        <v>8.1999999999999993</v>
      </c>
      <c r="J502" s="11" t="s">
        <v>19</v>
      </c>
      <c r="K502" s="11" t="s">
        <v>20</v>
      </c>
      <c r="L502" s="11" t="s">
        <v>21</v>
      </c>
      <c r="M502" s="11" t="s">
        <v>45</v>
      </c>
      <c r="N502" s="11" t="s">
        <v>24</v>
      </c>
      <c r="O502" s="16" t="s">
        <v>29</v>
      </c>
      <c r="P502" s="11">
        <v>211</v>
      </c>
      <c r="Q502" s="8"/>
      <c r="R502">
        <v>13.62</v>
      </c>
      <c r="S502">
        <v>2527.5700000000002</v>
      </c>
      <c r="T502">
        <v>3.24</v>
      </c>
      <c r="U502">
        <v>9.7799999999999994</v>
      </c>
      <c r="V502">
        <v>136.22</v>
      </c>
      <c r="W502" s="317">
        <v>3.9</v>
      </c>
      <c r="X502" s="190">
        <f t="shared" si="17"/>
        <v>31.979999999999997</v>
      </c>
      <c r="Y502" s="8"/>
      <c r="Z502" s="8"/>
    </row>
    <row r="503" spans="1:26" ht="12.75" customHeight="1" x14ac:dyDescent="0.2">
      <c r="A503" s="11">
        <v>51</v>
      </c>
      <c r="B503" s="11">
        <v>2012</v>
      </c>
      <c r="C503" s="11">
        <v>29</v>
      </c>
      <c r="D503" s="11">
        <v>7</v>
      </c>
      <c r="E503" s="11" t="s">
        <v>29</v>
      </c>
      <c r="F503" s="11" t="s">
        <v>18</v>
      </c>
      <c r="G503" s="11">
        <v>149</v>
      </c>
      <c r="H503" s="15" t="s">
        <v>29</v>
      </c>
      <c r="I503" s="11">
        <v>11</v>
      </c>
      <c r="J503" s="11" t="s">
        <v>19</v>
      </c>
      <c r="K503" s="11" t="s">
        <v>20</v>
      </c>
      <c r="L503" s="11" t="s">
        <v>30</v>
      </c>
      <c r="M503" s="11" t="s">
        <v>45</v>
      </c>
      <c r="N503" s="11" t="s">
        <v>23</v>
      </c>
      <c r="O503" s="16" t="s">
        <v>29</v>
      </c>
      <c r="P503" s="11">
        <v>211</v>
      </c>
      <c r="Q503" s="8"/>
      <c r="R503">
        <v>13.9</v>
      </c>
      <c r="S503">
        <v>2686.6</v>
      </c>
      <c r="T503">
        <v>4.09</v>
      </c>
      <c r="U503">
        <v>9.98</v>
      </c>
      <c r="V503">
        <v>139.02000000000001</v>
      </c>
      <c r="W503" s="317">
        <v>4.5999999999999996</v>
      </c>
      <c r="X503" s="190">
        <f t="shared" si="17"/>
        <v>50.599999999999994</v>
      </c>
      <c r="Y503" s="8"/>
      <c r="Z503" s="8"/>
    </row>
    <row r="504" spans="1:26" ht="12.75" customHeight="1" x14ac:dyDescent="0.2">
      <c r="A504" s="11">
        <v>52</v>
      </c>
      <c r="B504" s="11">
        <v>2012</v>
      </c>
      <c r="C504" s="11">
        <v>29</v>
      </c>
      <c r="D504" s="11">
        <v>7</v>
      </c>
      <c r="E504" s="11" t="s">
        <v>29</v>
      </c>
      <c r="F504" s="11" t="s">
        <v>18</v>
      </c>
      <c r="G504" s="11">
        <v>177</v>
      </c>
      <c r="H504" s="15" t="s">
        <v>29</v>
      </c>
      <c r="I504" s="11">
        <v>19.2</v>
      </c>
      <c r="J504" s="11" t="s">
        <v>19</v>
      </c>
      <c r="K504" s="11" t="s">
        <v>34</v>
      </c>
      <c r="L504" s="11" t="s">
        <v>41</v>
      </c>
      <c r="M504" s="11" t="s">
        <v>46</v>
      </c>
      <c r="N504" s="11" t="s">
        <v>23</v>
      </c>
      <c r="O504" s="16" t="s">
        <v>29</v>
      </c>
      <c r="P504" s="11">
        <v>211</v>
      </c>
      <c r="Q504" s="8"/>
      <c r="R504">
        <v>16.510000000000002</v>
      </c>
      <c r="S504">
        <v>4503.6499999999996</v>
      </c>
      <c r="T504">
        <v>4.26</v>
      </c>
      <c r="U504">
        <v>11.86</v>
      </c>
      <c r="V504">
        <v>165.14</v>
      </c>
      <c r="W504" s="317">
        <v>3.8</v>
      </c>
      <c r="X504" s="190">
        <f t="shared" si="17"/>
        <v>72.959999999999994</v>
      </c>
      <c r="Y504" s="8"/>
      <c r="Z504" s="8"/>
    </row>
    <row r="505" spans="1:26" ht="12.75" customHeight="1" x14ac:dyDescent="0.2">
      <c r="A505" s="11">
        <v>53</v>
      </c>
      <c r="B505" s="11">
        <v>2012</v>
      </c>
      <c r="C505" s="11">
        <v>29</v>
      </c>
      <c r="D505" s="11">
        <v>7</v>
      </c>
      <c r="E505" s="11" t="s">
        <v>29</v>
      </c>
      <c r="F505" s="11" t="s">
        <v>18</v>
      </c>
      <c r="G505" s="11">
        <v>107</v>
      </c>
      <c r="H505" s="15" t="s">
        <v>29</v>
      </c>
      <c r="I505" s="11">
        <v>1.4</v>
      </c>
      <c r="J505" s="11" t="s">
        <v>32</v>
      </c>
      <c r="K505" s="11" t="s">
        <v>29</v>
      </c>
      <c r="L505" s="11" t="s">
        <v>29</v>
      </c>
      <c r="M505" s="11" t="s">
        <v>46</v>
      </c>
      <c r="N505" s="11" t="s">
        <v>24</v>
      </c>
      <c r="O505" s="16" t="s">
        <v>29</v>
      </c>
      <c r="P505" s="11">
        <v>211</v>
      </c>
      <c r="Q505" s="8"/>
      <c r="R505">
        <v>9.98</v>
      </c>
      <c r="S505">
        <v>994.94</v>
      </c>
      <c r="T505">
        <v>1.41</v>
      </c>
      <c r="U505">
        <v>7.17</v>
      </c>
      <c r="V505">
        <v>99.83</v>
      </c>
      <c r="W505" s="8"/>
      <c r="X505" s="8"/>
      <c r="Y505" s="8"/>
      <c r="Z505" s="8"/>
    </row>
    <row r="506" spans="1:26" ht="12.75" customHeight="1" x14ac:dyDescent="0.2">
      <c r="A506" s="11">
        <v>54</v>
      </c>
      <c r="B506" s="11">
        <v>2012</v>
      </c>
      <c r="C506" s="11">
        <v>29</v>
      </c>
      <c r="D506" s="11">
        <v>7</v>
      </c>
      <c r="E506" s="11" t="s">
        <v>29</v>
      </c>
      <c r="F506" s="11" t="s">
        <v>18</v>
      </c>
      <c r="G506" s="11">
        <v>194</v>
      </c>
      <c r="H506" s="15" t="s">
        <v>29</v>
      </c>
      <c r="I506" s="11">
        <v>13.9</v>
      </c>
      <c r="J506" s="11" t="s">
        <v>32</v>
      </c>
      <c r="K506" s="11" t="s">
        <v>29</v>
      </c>
      <c r="L506" s="11" t="s">
        <v>29</v>
      </c>
      <c r="M506" s="11" t="s">
        <v>46</v>
      </c>
      <c r="N506" s="11" t="s">
        <v>24</v>
      </c>
      <c r="O506" s="16" t="s">
        <v>29</v>
      </c>
      <c r="P506" s="11">
        <v>211</v>
      </c>
      <c r="Q506" s="8"/>
      <c r="R506">
        <v>18.100000000000001</v>
      </c>
      <c r="S506">
        <v>5929.94</v>
      </c>
      <c r="T506">
        <v>2.34</v>
      </c>
      <c r="U506">
        <v>13</v>
      </c>
      <c r="V506">
        <v>181</v>
      </c>
      <c r="W506" s="8"/>
      <c r="X506" s="8"/>
      <c r="Y506" s="8"/>
      <c r="Z506" s="8"/>
    </row>
    <row r="507" spans="1:26" ht="12.75" customHeight="1" x14ac:dyDescent="0.2">
      <c r="A507" s="11">
        <v>55</v>
      </c>
      <c r="B507" s="11">
        <v>2012</v>
      </c>
      <c r="C507" s="11">
        <v>29</v>
      </c>
      <c r="D507" s="11">
        <v>7</v>
      </c>
      <c r="E507" s="11" t="s">
        <v>29</v>
      </c>
      <c r="F507" s="11" t="s">
        <v>18</v>
      </c>
      <c r="G507" s="11">
        <v>191</v>
      </c>
      <c r="H507" s="15" t="s">
        <v>29</v>
      </c>
      <c r="I507" s="11">
        <v>18.5</v>
      </c>
      <c r="J507" s="11" t="s">
        <v>19</v>
      </c>
      <c r="K507" s="11" t="s">
        <v>20</v>
      </c>
      <c r="L507" s="11" t="s">
        <v>21</v>
      </c>
      <c r="M507" s="11" t="s">
        <v>46</v>
      </c>
      <c r="N507" s="11" t="s">
        <v>23</v>
      </c>
      <c r="O507" s="16" t="s">
        <v>29</v>
      </c>
      <c r="P507" s="11">
        <v>211</v>
      </c>
      <c r="Q507" s="8"/>
      <c r="R507">
        <v>17.82</v>
      </c>
      <c r="S507">
        <v>5659.07</v>
      </c>
      <c r="T507">
        <v>3.27</v>
      </c>
      <c r="U507">
        <v>12.8</v>
      </c>
      <c r="V507">
        <v>178.2</v>
      </c>
      <c r="W507" s="317">
        <v>3.9</v>
      </c>
      <c r="X507" s="190">
        <f>I507*W507</f>
        <v>72.149999999999991</v>
      </c>
      <c r="Y507" s="8"/>
      <c r="Z507" s="8"/>
    </row>
    <row r="508" spans="1:26" ht="12.75" customHeight="1" x14ac:dyDescent="0.2">
      <c r="A508" s="11">
        <v>56</v>
      </c>
      <c r="B508" s="11">
        <v>2012</v>
      </c>
      <c r="C508" s="11">
        <v>29</v>
      </c>
      <c r="D508" s="11">
        <v>7</v>
      </c>
      <c r="E508" s="11" t="s">
        <v>29</v>
      </c>
      <c r="F508" s="11" t="s">
        <v>18</v>
      </c>
      <c r="G508" s="11">
        <v>177</v>
      </c>
      <c r="H508" s="15" t="s">
        <v>29</v>
      </c>
      <c r="I508" s="11">
        <v>11</v>
      </c>
      <c r="J508" s="11" t="s">
        <v>32</v>
      </c>
      <c r="K508" s="11" t="s">
        <v>29</v>
      </c>
      <c r="L508" s="11" t="s">
        <v>29</v>
      </c>
      <c r="M508" s="11" t="s">
        <v>46</v>
      </c>
      <c r="N508" s="11" t="s">
        <v>23</v>
      </c>
      <c r="O508" s="16" t="s">
        <v>29</v>
      </c>
      <c r="P508" s="11">
        <v>211</v>
      </c>
      <c r="Q508" s="8"/>
      <c r="R508">
        <v>16.510000000000002</v>
      </c>
      <c r="S508">
        <v>4503.6499999999996</v>
      </c>
      <c r="T508">
        <v>2.44</v>
      </c>
      <c r="U508">
        <v>11.86</v>
      </c>
      <c r="V508">
        <v>165.14</v>
      </c>
      <c r="W508" s="8"/>
      <c r="X508" s="8"/>
      <c r="Y508" s="8"/>
      <c r="Z508" s="8"/>
    </row>
    <row r="509" spans="1:26" ht="12.75" customHeight="1" x14ac:dyDescent="0.2">
      <c r="A509" s="11">
        <v>57</v>
      </c>
      <c r="B509" s="11">
        <v>2012</v>
      </c>
      <c r="C509" s="11">
        <v>29</v>
      </c>
      <c r="D509" s="11">
        <v>7</v>
      </c>
      <c r="E509" s="11" t="s">
        <v>29</v>
      </c>
      <c r="F509" s="11" t="s">
        <v>18</v>
      </c>
      <c r="G509" s="11">
        <v>172</v>
      </c>
      <c r="H509" s="15" t="s">
        <v>29</v>
      </c>
      <c r="I509" s="11">
        <v>11.3</v>
      </c>
      <c r="J509" s="11" t="s">
        <v>32</v>
      </c>
      <c r="K509" s="11" t="s">
        <v>29</v>
      </c>
      <c r="L509" s="11" t="s">
        <v>29</v>
      </c>
      <c r="M509" s="11" t="s">
        <v>46</v>
      </c>
      <c r="N509" s="11" t="s">
        <v>23</v>
      </c>
      <c r="O509" s="16" t="s">
        <v>29</v>
      </c>
      <c r="P509" s="11">
        <v>211</v>
      </c>
      <c r="Q509" s="8"/>
      <c r="R509">
        <v>16.05</v>
      </c>
      <c r="S509">
        <v>4132.67</v>
      </c>
      <c r="T509">
        <v>2.73</v>
      </c>
      <c r="U509">
        <v>11.52</v>
      </c>
      <c r="V509">
        <v>160.47999999999999</v>
      </c>
      <c r="W509" s="8"/>
      <c r="X509" s="8"/>
      <c r="Y509" s="8"/>
      <c r="Z509" s="8"/>
    </row>
    <row r="510" spans="1:26" ht="12.75" customHeight="1" x14ac:dyDescent="0.2">
      <c r="A510" s="11">
        <v>58</v>
      </c>
      <c r="B510" s="11">
        <v>2012</v>
      </c>
      <c r="C510" s="11">
        <v>29</v>
      </c>
      <c r="D510" s="11">
        <v>7</v>
      </c>
      <c r="E510" s="11" t="s">
        <v>29</v>
      </c>
      <c r="F510" s="11" t="s">
        <v>18</v>
      </c>
      <c r="G510" s="11">
        <v>156</v>
      </c>
      <c r="H510" s="15" t="s">
        <v>29</v>
      </c>
      <c r="I510" s="11">
        <v>9.1999999999999993</v>
      </c>
      <c r="J510" s="11" t="s">
        <v>19</v>
      </c>
      <c r="K510" s="11" t="s">
        <v>20</v>
      </c>
      <c r="L510" s="11" t="s">
        <v>30</v>
      </c>
      <c r="M510" s="11" t="s">
        <v>46</v>
      </c>
      <c r="N510" s="11" t="s">
        <v>39</v>
      </c>
      <c r="O510" s="16" t="s">
        <v>29</v>
      </c>
      <c r="P510" s="11">
        <v>211</v>
      </c>
      <c r="Q510" s="8"/>
      <c r="R510">
        <v>14.55</v>
      </c>
      <c r="S510">
        <v>3083.32</v>
      </c>
      <c r="T510">
        <v>2.98</v>
      </c>
      <c r="U510">
        <v>10.45</v>
      </c>
      <c r="V510">
        <v>145.55000000000001</v>
      </c>
      <c r="W510" s="317">
        <v>4.5999999999999996</v>
      </c>
      <c r="X510" s="190">
        <f t="shared" ref="X510:X516" si="18">I510*W510</f>
        <v>42.319999999999993</v>
      </c>
      <c r="Y510" s="8"/>
      <c r="Z510" s="8"/>
    </row>
    <row r="511" spans="1:26" ht="12.75" customHeight="1" x14ac:dyDescent="0.2">
      <c r="A511" s="11">
        <v>59</v>
      </c>
      <c r="B511" s="11">
        <v>2012</v>
      </c>
      <c r="C511" s="11">
        <v>29</v>
      </c>
      <c r="D511" s="11">
        <v>7</v>
      </c>
      <c r="E511" s="11" t="s">
        <v>29</v>
      </c>
      <c r="F511" s="11" t="s">
        <v>18</v>
      </c>
      <c r="G511" s="11">
        <v>156</v>
      </c>
      <c r="H511" s="15" t="s">
        <v>29</v>
      </c>
      <c r="I511" s="11">
        <v>11.6</v>
      </c>
      <c r="J511" s="11" t="s">
        <v>19</v>
      </c>
      <c r="K511" s="11" t="s">
        <v>20</v>
      </c>
      <c r="L511" s="11" t="s">
        <v>30</v>
      </c>
      <c r="M511" s="11" t="s">
        <v>45</v>
      </c>
      <c r="N511" s="11" t="s">
        <v>24</v>
      </c>
      <c r="O511" s="16" t="s">
        <v>29</v>
      </c>
      <c r="P511" s="11">
        <v>211</v>
      </c>
      <c r="Q511" s="8"/>
      <c r="R511">
        <v>14.55</v>
      </c>
      <c r="S511">
        <v>3083.32</v>
      </c>
      <c r="T511">
        <v>3.76</v>
      </c>
      <c r="U511">
        <v>10.45</v>
      </c>
      <c r="V511">
        <v>145.55000000000001</v>
      </c>
      <c r="W511" s="317">
        <v>4.5999999999999996</v>
      </c>
      <c r="X511" s="190">
        <f t="shared" si="18"/>
        <v>53.359999999999992</v>
      </c>
      <c r="Y511" s="8"/>
      <c r="Z511" s="8"/>
    </row>
    <row r="512" spans="1:26" ht="12.75" customHeight="1" x14ac:dyDescent="0.2">
      <c r="A512" s="11">
        <v>60</v>
      </c>
      <c r="B512" s="11">
        <v>2012</v>
      </c>
      <c r="C512" s="11">
        <v>29</v>
      </c>
      <c r="D512" s="11">
        <v>7</v>
      </c>
      <c r="E512" s="11" t="s">
        <v>29</v>
      </c>
      <c r="F512" s="11" t="s">
        <v>18</v>
      </c>
      <c r="G512" s="11">
        <v>147</v>
      </c>
      <c r="H512" s="15" t="s">
        <v>29</v>
      </c>
      <c r="I512" s="11">
        <v>7.4</v>
      </c>
      <c r="J512" s="11" t="s">
        <v>19</v>
      </c>
      <c r="K512" s="11" t="s">
        <v>20</v>
      </c>
      <c r="L512" s="11" t="s">
        <v>21</v>
      </c>
      <c r="M512" s="11" t="s">
        <v>46</v>
      </c>
      <c r="N512" s="11" t="s">
        <v>39</v>
      </c>
      <c r="O512" s="16" t="s">
        <v>29</v>
      </c>
      <c r="P512" s="11">
        <v>211</v>
      </c>
      <c r="Q512" s="8"/>
      <c r="R512">
        <v>13.72</v>
      </c>
      <c r="S512">
        <v>2579.86</v>
      </c>
      <c r="T512">
        <v>2.87</v>
      </c>
      <c r="U512">
        <v>9.85</v>
      </c>
      <c r="V512">
        <v>137.15</v>
      </c>
      <c r="W512" s="317">
        <v>3.9</v>
      </c>
      <c r="X512" s="190">
        <f t="shared" si="18"/>
        <v>28.86</v>
      </c>
      <c r="Y512" s="8"/>
      <c r="Z512" s="8"/>
    </row>
    <row r="513" spans="1:26" ht="12.75" customHeight="1" x14ac:dyDescent="0.2">
      <c r="A513" s="11">
        <v>61</v>
      </c>
      <c r="B513" s="11">
        <v>2012</v>
      </c>
      <c r="C513" s="11">
        <v>29</v>
      </c>
      <c r="D513" s="11">
        <v>7</v>
      </c>
      <c r="E513" s="11" t="s">
        <v>29</v>
      </c>
      <c r="F513" s="11" t="s">
        <v>18</v>
      </c>
      <c r="G513" s="11" t="s">
        <v>29</v>
      </c>
      <c r="H513" s="15" t="s">
        <v>29</v>
      </c>
      <c r="I513" s="11" t="s">
        <v>29</v>
      </c>
      <c r="J513" s="11" t="s">
        <v>19</v>
      </c>
      <c r="K513" s="11" t="s">
        <v>20</v>
      </c>
      <c r="L513" s="11" t="s">
        <v>21</v>
      </c>
      <c r="M513" s="11" t="s">
        <v>29</v>
      </c>
      <c r="N513" s="11" t="s">
        <v>25</v>
      </c>
      <c r="O513" s="16" t="s">
        <v>29</v>
      </c>
      <c r="P513" s="11">
        <v>211</v>
      </c>
      <c r="Q513" s="8"/>
      <c r="W513" s="317">
        <v>3.9</v>
      </c>
      <c r="X513" s="190"/>
      <c r="Y513" s="8"/>
      <c r="Z513" s="8"/>
    </row>
    <row r="514" spans="1:26" ht="12.75" customHeight="1" x14ac:dyDescent="0.2">
      <c r="A514" s="11">
        <v>62</v>
      </c>
      <c r="B514" s="11">
        <v>2012</v>
      </c>
      <c r="C514" s="11">
        <v>29</v>
      </c>
      <c r="D514" s="11">
        <v>7</v>
      </c>
      <c r="E514" s="11" t="s">
        <v>29</v>
      </c>
      <c r="F514" s="11" t="s">
        <v>18</v>
      </c>
      <c r="G514" s="11">
        <v>139</v>
      </c>
      <c r="H514" s="15" t="s">
        <v>29</v>
      </c>
      <c r="I514" s="11">
        <v>7.4</v>
      </c>
      <c r="J514" s="11" t="s">
        <v>19</v>
      </c>
      <c r="K514" s="11" t="s">
        <v>20</v>
      </c>
      <c r="L514" s="11" t="s">
        <v>35</v>
      </c>
      <c r="M514" s="11" t="s">
        <v>46</v>
      </c>
      <c r="N514" s="11" t="s">
        <v>23</v>
      </c>
      <c r="O514" s="16" t="s">
        <v>29</v>
      </c>
      <c r="P514" s="11">
        <v>211</v>
      </c>
      <c r="Q514" s="8"/>
      <c r="R514">
        <v>12.97</v>
      </c>
      <c r="S514">
        <v>2181.17</v>
      </c>
      <c r="T514">
        <v>3.39</v>
      </c>
      <c r="U514">
        <v>9.31</v>
      </c>
      <c r="V514">
        <v>129.69</v>
      </c>
      <c r="W514" s="317">
        <v>3.9</v>
      </c>
      <c r="X514" s="190">
        <f t="shared" si="18"/>
        <v>28.86</v>
      </c>
      <c r="Y514" s="8"/>
      <c r="Z514" s="8"/>
    </row>
    <row r="515" spans="1:26" ht="12.75" customHeight="1" x14ac:dyDescent="0.2">
      <c r="A515" s="11">
        <v>63</v>
      </c>
      <c r="B515" s="11">
        <v>2012</v>
      </c>
      <c r="C515" s="11">
        <v>29</v>
      </c>
      <c r="D515" s="11">
        <v>7</v>
      </c>
      <c r="E515" s="11" t="s">
        <v>29</v>
      </c>
      <c r="F515" s="11" t="s">
        <v>18</v>
      </c>
      <c r="G515" s="11">
        <v>135</v>
      </c>
      <c r="H515" s="15" t="s">
        <v>29</v>
      </c>
      <c r="I515" s="11">
        <v>7.3</v>
      </c>
      <c r="J515" s="11" t="s">
        <v>19</v>
      </c>
      <c r="K515" s="11" t="s">
        <v>20</v>
      </c>
      <c r="L515" s="11" t="s">
        <v>30</v>
      </c>
      <c r="M515" s="11" t="s">
        <v>46</v>
      </c>
      <c r="N515" s="11" t="s">
        <v>24</v>
      </c>
      <c r="O515" s="16" t="s">
        <v>29</v>
      </c>
      <c r="P515" s="11">
        <v>211</v>
      </c>
      <c r="Q515" s="8"/>
      <c r="R515">
        <v>12.6</v>
      </c>
      <c r="S515">
        <v>1998.23</v>
      </c>
      <c r="T515">
        <v>3.65</v>
      </c>
      <c r="U515">
        <v>9.0500000000000007</v>
      </c>
      <c r="V515">
        <v>125.96</v>
      </c>
      <c r="W515" s="317">
        <v>4.5999999999999996</v>
      </c>
      <c r="X515" s="190">
        <f t="shared" si="18"/>
        <v>33.58</v>
      </c>
      <c r="Y515" s="8"/>
      <c r="Z515" s="8"/>
    </row>
    <row r="516" spans="1:26" ht="12.75" customHeight="1" x14ac:dyDescent="0.2">
      <c r="A516" s="11">
        <v>64</v>
      </c>
      <c r="B516" s="11">
        <v>2012</v>
      </c>
      <c r="C516" s="11">
        <v>29</v>
      </c>
      <c r="D516" s="11">
        <v>7</v>
      </c>
      <c r="E516" s="11" t="s">
        <v>29</v>
      </c>
      <c r="F516" s="11" t="s">
        <v>18</v>
      </c>
      <c r="G516" s="11">
        <v>153</v>
      </c>
      <c r="H516" s="15" t="s">
        <v>29</v>
      </c>
      <c r="I516" s="11">
        <v>12</v>
      </c>
      <c r="J516" s="11" t="s">
        <v>19</v>
      </c>
      <c r="K516" s="11" t="s">
        <v>20</v>
      </c>
      <c r="L516" s="11" t="s">
        <v>30</v>
      </c>
      <c r="M516" s="11" t="s">
        <v>46</v>
      </c>
      <c r="N516" s="11" t="s">
        <v>23</v>
      </c>
      <c r="O516" s="16" t="s">
        <v>29</v>
      </c>
      <c r="P516" s="11">
        <v>211</v>
      </c>
      <c r="Q516" s="8"/>
      <c r="R516">
        <v>14.27</v>
      </c>
      <c r="S516">
        <v>2908.84</v>
      </c>
      <c r="T516">
        <v>4.13</v>
      </c>
      <c r="U516">
        <v>10.25</v>
      </c>
      <c r="V516">
        <v>142.75</v>
      </c>
      <c r="W516" s="317">
        <v>4.5999999999999996</v>
      </c>
      <c r="X516" s="190">
        <f t="shared" si="18"/>
        <v>55.199999999999996</v>
      </c>
      <c r="Y516" s="8"/>
      <c r="Z516" s="8"/>
    </row>
    <row r="517" spans="1:26" ht="12.75" customHeight="1" x14ac:dyDescent="0.2">
      <c r="A517" s="11">
        <v>65</v>
      </c>
      <c r="B517" s="11">
        <v>2012</v>
      </c>
      <c r="C517" s="11">
        <v>29</v>
      </c>
      <c r="D517" s="11">
        <v>7</v>
      </c>
      <c r="E517" s="11" t="s">
        <v>29</v>
      </c>
      <c r="F517" s="11" t="s">
        <v>18</v>
      </c>
      <c r="G517" s="11">
        <v>199</v>
      </c>
      <c r="H517" s="15" t="s">
        <v>29</v>
      </c>
      <c r="I517" s="11">
        <v>17</v>
      </c>
      <c r="J517" s="11" t="s">
        <v>32</v>
      </c>
      <c r="K517" s="11" t="s">
        <v>29</v>
      </c>
      <c r="L517" s="11" t="s">
        <v>29</v>
      </c>
      <c r="M517" s="11" t="s">
        <v>46</v>
      </c>
      <c r="N517" s="11" t="s">
        <v>24</v>
      </c>
      <c r="O517" s="16" t="s">
        <v>29</v>
      </c>
      <c r="P517" s="11">
        <v>211</v>
      </c>
      <c r="Q517" s="8"/>
      <c r="R517">
        <v>18.57</v>
      </c>
      <c r="S517">
        <v>6400.36</v>
      </c>
      <c r="T517">
        <v>2.66</v>
      </c>
      <c r="U517">
        <v>13.33</v>
      </c>
      <c r="V517">
        <v>185.67</v>
      </c>
      <c r="W517" s="8"/>
      <c r="X517" s="8"/>
      <c r="Y517" s="8"/>
      <c r="Z517" s="8"/>
    </row>
    <row r="518" spans="1:26" ht="12.75" customHeight="1" x14ac:dyDescent="0.2">
      <c r="A518" s="11">
        <v>66</v>
      </c>
      <c r="B518" s="11">
        <v>2012</v>
      </c>
      <c r="C518" s="11">
        <v>29</v>
      </c>
      <c r="D518" s="11">
        <v>7</v>
      </c>
      <c r="E518" s="11" t="s">
        <v>29</v>
      </c>
      <c r="F518" s="11" t="s">
        <v>18</v>
      </c>
      <c r="G518" s="11">
        <v>152</v>
      </c>
      <c r="H518" s="15" t="s">
        <v>29</v>
      </c>
      <c r="I518" s="11">
        <v>11.5</v>
      </c>
      <c r="J518" s="11" t="s">
        <v>19</v>
      </c>
      <c r="K518" s="11" t="s">
        <v>20</v>
      </c>
      <c r="L518" s="11" t="s">
        <v>30</v>
      </c>
      <c r="M518" s="11" t="s">
        <v>45</v>
      </c>
      <c r="N518" s="11" t="s">
        <v>39</v>
      </c>
      <c r="O518" s="16" t="s">
        <v>29</v>
      </c>
      <c r="P518" s="11">
        <v>211</v>
      </c>
      <c r="Q518" s="8"/>
      <c r="R518">
        <v>14.18</v>
      </c>
      <c r="S518">
        <v>2852.17</v>
      </c>
      <c r="T518">
        <v>4.03</v>
      </c>
      <c r="U518">
        <v>10.18</v>
      </c>
      <c r="V518">
        <v>141.82</v>
      </c>
      <c r="W518" s="317">
        <v>4.5999999999999996</v>
      </c>
      <c r="X518" s="190">
        <f>I518*W518</f>
        <v>52.9</v>
      </c>
      <c r="Y518" s="8"/>
      <c r="Z518" s="8"/>
    </row>
    <row r="519" spans="1:26" ht="12.75" customHeight="1" x14ac:dyDescent="0.2">
      <c r="A519" s="11">
        <v>67</v>
      </c>
      <c r="B519" s="11">
        <v>2012</v>
      </c>
      <c r="C519" s="11">
        <v>29</v>
      </c>
      <c r="D519" s="11">
        <v>7</v>
      </c>
      <c r="E519" s="11" t="s">
        <v>29</v>
      </c>
      <c r="F519" s="11" t="s">
        <v>18</v>
      </c>
      <c r="G519" s="11">
        <v>148</v>
      </c>
      <c r="H519" s="15" t="s">
        <v>29</v>
      </c>
      <c r="I519" s="11">
        <v>7.8</v>
      </c>
      <c r="J519" s="11" t="s">
        <v>19</v>
      </c>
      <c r="K519" s="11" t="s">
        <v>20</v>
      </c>
      <c r="L519" s="11" t="s">
        <v>35</v>
      </c>
      <c r="M519" s="11" t="s">
        <v>46</v>
      </c>
      <c r="N519" s="11" t="s">
        <v>24</v>
      </c>
      <c r="O519" s="16" t="s">
        <v>29</v>
      </c>
      <c r="P519" s="11">
        <v>211</v>
      </c>
      <c r="Q519" s="8"/>
      <c r="R519">
        <v>13.81</v>
      </c>
      <c r="S519">
        <v>2632.87</v>
      </c>
      <c r="T519">
        <v>2.96</v>
      </c>
      <c r="U519">
        <v>9.92</v>
      </c>
      <c r="V519">
        <v>138.08000000000001</v>
      </c>
      <c r="W519" s="317">
        <v>3.9</v>
      </c>
      <c r="X519" s="190">
        <f>I519*W519</f>
        <v>30.419999999999998</v>
      </c>
      <c r="Y519" s="8"/>
      <c r="Z519" s="8"/>
    </row>
    <row r="520" spans="1:26" ht="12.75" customHeight="1" x14ac:dyDescent="0.2">
      <c r="A520" s="11">
        <v>68</v>
      </c>
      <c r="B520" s="11">
        <v>2012</v>
      </c>
      <c r="C520" s="11">
        <v>29</v>
      </c>
      <c r="D520" s="11">
        <v>7</v>
      </c>
      <c r="E520" s="11" t="s">
        <v>29</v>
      </c>
      <c r="F520" s="11" t="s">
        <v>18</v>
      </c>
      <c r="G520" s="11">
        <v>181</v>
      </c>
      <c r="H520" s="15" t="s">
        <v>29</v>
      </c>
      <c r="I520" s="11">
        <v>15</v>
      </c>
      <c r="J520" s="11" t="s">
        <v>32</v>
      </c>
      <c r="K520" s="11" t="s">
        <v>29</v>
      </c>
      <c r="L520" s="11" t="s">
        <v>29</v>
      </c>
      <c r="M520" s="11" t="s">
        <v>46</v>
      </c>
      <c r="N520" s="11" t="s">
        <v>39</v>
      </c>
      <c r="O520" s="16" t="s">
        <v>29</v>
      </c>
      <c r="P520" s="11">
        <v>211</v>
      </c>
      <c r="Q520" s="8"/>
      <c r="R520">
        <v>16.89</v>
      </c>
      <c r="S520">
        <v>4815.9399999999996</v>
      </c>
      <c r="T520">
        <v>3.11</v>
      </c>
      <c r="U520">
        <v>12.13</v>
      </c>
      <c r="V520">
        <v>168.87</v>
      </c>
      <c r="W520" s="8"/>
      <c r="X520" s="8"/>
      <c r="Y520" s="8"/>
      <c r="Z520" s="8"/>
    </row>
    <row r="521" spans="1:26" ht="12.75" customHeight="1" x14ac:dyDescent="0.2">
      <c r="A521" s="11">
        <v>69</v>
      </c>
      <c r="B521" s="11">
        <v>2012</v>
      </c>
      <c r="C521" s="11">
        <v>29</v>
      </c>
      <c r="D521" s="11">
        <v>7</v>
      </c>
      <c r="E521" s="11" t="s">
        <v>29</v>
      </c>
      <c r="F521" s="11" t="s">
        <v>18</v>
      </c>
      <c r="G521" s="11">
        <v>145</v>
      </c>
      <c r="H521" s="15" t="s">
        <v>29</v>
      </c>
      <c r="I521" s="11">
        <v>8.8000000000000007</v>
      </c>
      <c r="J521" s="11" t="s">
        <v>19</v>
      </c>
      <c r="K521" s="11" t="s">
        <v>20</v>
      </c>
      <c r="L521" s="11" t="s">
        <v>30</v>
      </c>
      <c r="M521" s="11" t="s">
        <v>45</v>
      </c>
      <c r="N521" s="11" t="s">
        <v>23</v>
      </c>
      <c r="O521" s="16" t="s">
        <v>29</v>
      </c>
      <c r="P521" s="11">
        <v>211</v>
      </c>
      <c r="Q521" s="8"/>
      <c r="R521">
        <v>13.53</v>
      </c>
      <c r="S521">
        <v>2475.9899999999998</v>
      </c>
      <c r="T521">
        <v>3.55</v>
      </c>
      <c r="U521">
        <v>9.7200000000000006</v>
      </c>
      <c r="V521">
        <v>135.29</v>
      </c>
      <c r="W521" s="317">
        <v>4.5999999999999996</v>
      </c>
      <c r="X521" s="190">
        <f>I521*W521</f>
        <v>40.479999999999997</v>
      </c>
      <c r="Y521" s="8"/>
      <c r="Z521" s="8"/>
    </row>
    <row r="522" spans="1:26" ht="12.75" customHeight="1" x14ac:dyDescent="0.2">
      <c r="A522" s="11">
        <v>70</v>
      </c>
      <c r="B522" s="11">
        <v>2012</v>
      </c>
      <c r="C522" s="11">
        <v>29</v>
      </c>
      <c r="D522" s="11">
        <v>7</v>
      </c>
      <c r="E522" s="11" t="s">
        <v>29</v>
      </c>
      <c r="F522" s="11" t="s">
        <v>18</v>
      </c>
      <c r="G522" s="11">
        <v>158</v>
      </c>
      <c r="H522" s="15" t="s">
        <v>29</v>
      </c>
      <c r="I522" s="11">
        <v>12.1</v>
      </c>
      <c r="J522" s="11" t="s">
        <v>19</v>
      </c>
      <c r="K522" s="11" t="s">
        <v>20</v>
      </c>
      <c r="L522" s="11" t="s">
        <v>21</v>
      </c>
      <c r="M522" s="11" t="s">
        <v>46</v>
      </c>
      <c r="N522" s="11" t="s">
        <v>23</v>
      </c>
      <c r="O522" s="16" t="s">
        <v>29</v>
      </c>
      <c r="P522" s="11">
        <v>211</v>
      </c>
      <c r="Q522" s="8"/>
      <c r="R522">
        <v>14.74</v>
      </c>
      <c r="S522">
        <v>3203.44</v>
      </c>
      <c r="T522">
        <v>3.78</v>
      </c>
      <c r="U522">
        <v>10.59</v>
      </c>
      <c r="V522">
        <v>147.41</v>
      </c>
      <c r="W522" s="317">
        <v>3.9</v>
      </c>
      <c r="X522" s="190">
        <f>I522*W522</f>
        <v>47.19</v>
      </c>
      <c r="Y522" s="8"/>
      <c r="Z522" s="8"/>
    </row>
    <row r="523" spans="1:26" ht="12.75" customHeight="1" x14ac:dyDescent="0.2">
      <c r="A523" s="11">
        <v>71</v>
      </c>
      <c r="B523" s="11">
        <v>2012</v>
      </c>
      <c r="C523" s="11">
        <v>29</v>
      </c>
      <c r="D523" s="11">
        <v>7</v>
      </c>
      <c r="E523" s="14">
        <v>0.45833333333333331</v>
      </c>
      <c r="F523" s="11" t="s">
        <v>18</v>
      </c>
      <c r="G523" s="11">
        <v>138</v>
      </c>
      <c r="H523" s="15" t="s">
        <v>29</v>
      </c>
      <c r="I523" s="11">
        <v>5.3</v>
      </c>
      <c r="J523" s="11" t="s">
        <v>19</v>
      </c>
      <c r="K523" s="11" t="s">
        <v>20</v>
      </c>
      <c r="L523" s="11" t="s">
        <v>21</v>
      </c>
      <c r="M523" s="11" t="s">
        <v>45</v>
      </c>
      <c r="N523" s="11" t="s">
        <v>39</v>
      </c>
      <c r="O523" s="16" t="s">
        <v>29</v>
      </c>
      <c r="P523" s="11">
        <v>211</v>
      </c>
      <c r="Q523" s="8"/>
      <c r="R523">
        <v>12.88</v>
      </c>
      <c r="S523">
        <v>2134.4299999999998</v>
      </c>
      <c r="T523">
        <v>2.48</v>
      </c>
      <c r="U523">
        <v>9.25</v>
      </c>
      <c r="V523">
        <v>128.75</v>
      </c>
      <c r="W523" s="317">
        <v>3.9</v>
      </c>
      <c r="X523" s="190">
        <f>I523*W523</f>
        <v>20.669999999999998</v>
      </c>
      <c r="Y523" s="8"/>
      <c r="Z523" s="8"/>
    </row>
    <row r="524" spans="1:26" ht="12.75" customHeight="1" x14ac:dyDescent="0.2">
      <c r="A524" s="11">
        <v>72</v>
      </c>
      <c r="B524" s="11">
        <v>2012</v>
      </c>
      <c r="C524" s="11">
        <v>29</v>
      </c>
      <c r="D524" s="11">
        <v>7</v>
      </c>
      <c r="E524" s="11" t="s">
        <v>29</v>
      </c>
      <c r="F524" s="11" t="s">
        <v>18</v>
      </c>
      <c r="G524" s="11">
        <v>226</v>
      </c>
      <c r="H524" s="15" t="s">
        <v>29</v>
      </c>
      <c r="I524" s="11">
        <v>18.7</v>
      </c>
      <c r="J524" s="11" t="s">
        <v>32</v>
      </c>
      <c r="K524" s="11" t="s">
        <v>29</v>
      </c>
      <c r="L524" s="11" t="s">
        <v>29</v>
      </c>
      <c r="M524" s="11" t="s">
        <v>46</v>
      </c>
      <c r="N524" s="11" t="s">
        <v>24</v>
      </c>
      <c r="O524" s="16" t="s">
        <v>29</v>
      </c>
      <c r="P524" s="11">
        <v>211</v>
      </c>
      <c r="Q524" s="8"/>
      <c r="R524">
        <v>21.09</v>
      </c>
      <c r="S524">
        <v>9374.98</v>
      </c>
      <c r="T524">
        <v>1.99</v>
      </c>
      <c r="U524">
        <v>15.14</v>
      </c>
      <c r="V524">
        <v>210.86</v>
      </c>
      <c r="W524" s="8"/>
      <c r="X524" s="8"/>
      <c r="Y524" s="8"/>
      <c r="Z524" s="8"/>
    </row>
    <row r="525" spans="1:26" ht="12.75" customHeight="1" x14ac:dyDescent="0.2">
      <c r="A525" s="11">
        <v>73</v>
      </c>
      <c r="B525" s="11">
        <v>2012</v>
      </c>
      <c r="C525" s="11">
        <v>29</v>
      </c>
      <c r="D525" s="11">
        <v>7</v>
      </c>
      <c r="E525" s="11" t="s">
        <v>29</v>
      </c>
      <c r="F525" s="11" t="s">
        <v>18</v>
      </c>
      <c r="G525" s="11">
        <v>163</v>
      </c>
      <c r="H525" s="15" t="s">
        <v>29</v>
      </c>
      <c r="I525" s="11">
        <v>13.5</v>
      </c>
      <c r="J525" s="11" t="s">
        <v>19</v>
      </c>
      <c r="K525" s="11" t="s">
        <v>20</v>
      </c>
      <c r="L525" s="11" t="s">
        <v>30</v>
      </c>
      <c r="M525" s="11" t="s">
        <v>46</v>
      </c>
      <c r="N525" s="11" t="s">
        <v>23</v>
      </c>
      <c r="O525" s="16" t="s">
        <v>29</v>
      </c>
      <c r="P525" s="11">
        <v>211</v>
      </c>
      <c r="Q525" s="8"/>
      <c r="R525">
        <v>15.21</v>
      </c>
      <c r="S525">
        <v>3517.29</v>
      </c>
      <c r="T525">
        <v>3.84</v>
      </c>
      <c r="U525">
        <v>10.92</v>
      </c>
      <c r="V525">
        <v>152.08000000000001</v>
      </c>
      <c r="W525" s="317">
        <v>4.5999999999999996</v>
      </c>
      <c r="X525" s="190">
        <f>I525*W525</f>
        <v>62.099999999999994</v>
      </c>
      <c r="Y525" s="8"/>
      <c r="Z525" s="8"/>
    </row>
    <row r="526" spans="1:26" ht="12.75" customHeight="1" x14ac:dyDescent="0.2">
      <c r="A526" s="11">
        <v>74</v>
      </c>
      <c r="B526" s="11">
        <v>2012</v>
      </c>
      <c r="C526" s="11">
        <v>29</v>
      </c>
      <c r="D526" s="11">
        <v>7</v>
      </c>
      <c r="E526" s="11" t="s">
        <v>29</v>
      </c>
      <c r="F526" s="11" t="s">
        <v>18</v>
      </c>
      <c r="G526" s="11">
        <v>149</v>
      </c>
      <c r="H526" s="15" t="s">
        <v>29</v>
      </c>
      <c r="I526" s="11">
        <v>8.8000000000000007</v>
      </c>
      <c r="J526" s="11" t="s">
        <v>19</v>
      </c>
      <c r="K526" s="11" t="s">
        <v>20</v>
      </c>
      <c r="L526" s="11" t="s">
        <v>21</v>
      </c>
      <c r="M526" s="11" t="s">
        <v>45</v>
      </c>
      <c r="N526" s="11" t="s">
        <v>24</v>
      </c>
      <c r="O526" s="16" t="s">
        <v>29</v>
      </c>
      <c r="P526" s="11">
        <v>211</v>
      </c>
      <c r="Q526" s="8"/>
      <c r="R526">
        <v>13.9</v>
      </c>
      <c r="S526">
        <v>2686.6</v>
      </c>
      <c r="T526">
        <v>3.28</v>
      </c>
      <c r="U526">
        <v>9.98</v>
      </c>
      <c r="V526">
        <v>139.02000000000001</v>
      </c>
      <c r="W526" s="317">
        <v>3.9</v>
      </c>
      <c r="X526" s="190">
        <f>I526*W526</f>
        <v>34.32</v>
      </c>
      <c r="Y526" s="8"/>
      <c r="Z526" s="8"/>
    </row>
    <row r="527" spans="1:26" ht="12.75" customHeight="1" x14ac:dyDescent="0.2">
      <c r="A527" s="11">
        <v>75</v>
      </c>
      <c r="B527" s="11">
        <v>2012</v>
      </c>
      <c r="C527" s="11">
        <v>29</v>
      </c>
      <c r="D527" s="11">
        <v>7</v>
      </c>
      <c r="E527" s="11" t="s">
        <v>29</v>
      </c>
      <c r="F527" s="11" t="s">
        <v>18</v>
      </c>
      <c r="G527" s="11">
        <v>175</v>
      </c>
      <c r="H527" s="15" t="s">
        <v>29</v>
      </c>
      <c r="I527" s="11">
        <v>8</v>
      </c>
      <c r="J527" s="11" t="s">
        <v>32</v>
      </c>
      <c r="K527" s="11" t="s">
        <v>29</v>
      </c>
      <c r="L527" s="11" t="s">
        <v>29</v>
      </c>
      <c r="M527" s="11" t="s">
        <v>45</v>
      </c>
      <c r="N527" s="11" t="s">
        <v>39</v>
      </c>
      <c r="O527" s="16" t="s">
        <v>29</v>
      </c>
      <c r="P527" s="11">
        <v>211</v>
      </c>
      <c r="Q527" s="8"/>
      <c r="R527">
        <v>16.329999999999998</v>
      </c>
      <c r="S527">
        <v>4352.7</v>
      </c>
      <c r="T527">
        <v>1.84</v>
      </c>
      <c r="U527">
        <v>11.73</v>
      </c>
      <c r="V527">
        <v>163.28</v>
      </c>
      <c r="W527" s="8"/>
      <c r="X527" s="8"/>
      <c r="Y527" s="8"/>
      <c r="Z527" s="8"/>
    </row>
    <row r="528" spans="1:26" ht="12.75" customHeight="1" x14ac:dyDescent="0.2">
      <c r="A528" s="11">
        <v>76</v>
      </c>
      <c r="B528" s="11">
        <v>2012</v>
      </c>
      <c r="C528" s="11">
        <v>29</v>
      </c>
      <c r="D528" s="11">
        <v>7</v>
      </c>
      <c r="E528" s="11" t="s">
        <v>29</v>
      </c>
      <c r="F528" s="11" t="s">
        <v>18</v>
      </c>
      <c r="G528" s="11">
        <v>155</v>
      </c>
      <c r="H528" s="15" t="s">
        <v>29</v>
      </c>
      <c r="I528" s="11">
        <v>13</v>
      </c>
      <c r="J528" s="11" t="s">
        <v>32</v>
      </c>
      <c r="K528" s="11" t="s">
        <v>29</v>
      </c>
      <c r="L528" s="11" t="s">
        <v>29</v>
      </c>
      <c r="M528" s="11" t="s">
        <v>45</v>
      </c>
      <c r="N528" s="11" t="s">
        <v>24</v>
      </c>
      <c r="O528" s="16" t="s">
        <v>29</v>
      </c>
      <c r="P528" s="11">
        <v>211</v>
      </c>
      <c r="Q528" s="8"/>
      <c r="R528">
        <v>14.46</v>
      </c>
      <c r="S528">
        <v>3024.41</v>
      </c>
      <c r="T528">
        <v>4.3</v>
      </c>
      <c r="U528">
        <v>10.39</v>
      </c>
      <c r="V528">
        <v>144.62</v>
      </c>
      <c r="W528" s="8"/>
      <c r="X528" s="8"/>
      <c r="Y528" s="8"/>
      <c r="Z528" s="8"/>
    </row>
    <row r="529" spans="1:26" ht="12.75" customHeight="1" x14ac:dyDescent="0.2">
      <c r="A529" s="11">
        <v>77</v>
      </c>
      <c r="B529" s="11">
        <v>2012</v>
      </c>
      <c r="C529" s="11">
        <v>29</v>
      </c>
      <c r="D529" s="11">
        <v>7</v>
      </c>
      <c r="E529" s="11" t="s">
        <v>29</v>
      </c>
      <c r="F529" s="11" t="s">
        <v>18</v>
      </c>
      <c r="G529" s="11">
        <v>175</v>
      </c>
      <c r="H529" s="15" t="s">
        <v>29</v>
      </c>
      <c r="I529" s="11">
        <v>12.8</v>
      </c>
      <c r="J529" s="11" t="s">
        <v>19</v>
      </c>
      <c r="K529" s="11" t="s">
        <v>20</v>
      </c>
      <c r="L529" s="11" t="s">
        <v>21</v>
      </c>
      <c r="M529" s="11" t="s">
        <v>45</v>
      </c>
      <c r="N529" s="11" t="s">
        <v>24</v>
      </c>
      <c r="O529" s="16" t="s">
        <v>29</v>
      </c>
      <c r="P529" s="11">
        <v>211</v>
      </c>
      <c r="Q529" s="8"/>
      <c r="R529">
        <v>16.329999999999998</v>
      </c>
      <c r="S529">
        <v>4352.7</v>
      </c>
      <c r="T529">
        <v>2.94</v>
      </c>
      <c r="U529">
        <v>11.73</v>
      </c>
      <c r="V529">
        <v>163.28</v>
      </c>
      <c r="W529" s="317">
        <v>3.9</v>
      </c>
      <c r="X529" s="190">
        <f>I529*W529</f>
        <v>49.92</v>
      </c>
      <c r="Y529" s="8"/>
      <c r="Z529" s="8"/>
    </row>
    <row r="530" spans="1:26" ht="12.75" customHeight="1" x14ac:dyDescent="0.2">
      <c r="A530" s="11">
        <v>78</v>
      </c>
      <c r="B530" s="11">
        <v>2012</v>
      </c>
      <c r="C530" s="11">
        <v>29</v>
      </c>
      <c r="D530" s="11">
        <v>7</v>
      </c>
      <c r="E530" s="11" t="s">
        <v>29</v>
      </c>
      <c r="F530" s="11" t="s">
        <v>18</v>
      </c>
      <c r="G530" s="11">
        <v>212</v>
      </c>
      <c r="H530" s="15" t="s">
        <v>29</v>
      </c>
      <c r="I530" s="11">
        <v>17.2</v>
      </c>
      <c r="J530" s="11" t="s">
        <v>32</v>
      </c>
      <c r="K530" s="11" t="s">
        <v>29</v>
      </c>
      <c r="L530" s="11" t="s">
        <v>29</v>
      </c>
      <c r="M530" s="11" t="s">
        <v>46</v>
      </c>
      <c r="N530" s="11" t="s">
        <v>24</v>
      </c>
      <c r="O530" s="16" t="s">
        <v>29</v>
      </c>
      <c r="P530" s="11">
        <v>211</v>
      </c>
      <c r="Q530" s="8"/>
      <c r="R530">
        <v>19.78</v>
      </c>
      <c r="S530">
        <v>7738.42</v>
      </c>
      <c r="T530">
        <v>2.2200000000000002</v>
      </c>
      <c r="U530">
        <v>14.2</v>
      </c>
      <c r="V530">
        <v>197.8</v>
      </c>
      <c r="W530" s="8"/>
      <c r="X530" s="8"/>
      <c r="Y530" s="8"/>
      <c r="Z530" s="8"/>
    </row>
    <row r="531" spans="1:26" ht="12.75" customHeight="1" x14ac:dyDescent="0.2">
      <c r="A531" s="11">
        <v>79</v>
      </c>
      <c r="B531" s="11">
        <v>2012</v>
      </c>
      <c r="C531" s="11">
        <v>29</v>
      </c>
      <c r="D531" s="11">
        <v>7</v>
      </c>
      <c r="E531" s="11" t="s">
        <v>29</v>
      </c>
      <c r="F531" s="11" t="s">
        <v>28</v>
      </c>
      <c r="G531" s="11" t="s">
        <v>29</v>
      </c>
      <c r="H531" s="15" t="s">
        <v>29</v>
      </c>
      <c r="I531" s="11" t="s">
        <v>29</v>
      </c>
      <c r="J531" s="11" t="s">
        <v>19</v>
      </c>
      <c r="K531" s="11" t="s">
        <v>20</v>
      </c>
      <c r="L531" s="11" t="s">
        <v>21</v>
      </c>
      <c r="M531" s="11" t="s">
        <v>46</v>
      </c>
      <c r="N531" s="11" t="s">
        <v>29</v>
      </c>
      <c r="O531" s="16" t="s">
        <v>29</v>
      </c>
      <c r="P531" s="11">
        <v>211</v>
      </c>
      <c r="Q531" s="8"/>
      <c r="W531" s="317">
        <v>3.9</v>
      </c>
      <c r="X531" s="190"/>
      <c r="Y531" s="8"/>
      <c r="Z531" s="8"/>
    </row>
    <row r="532" spans="1:26" ht="12.75" customHeight="1" x14ac:dyDescent="0.2">
      <c r="A532" s="11">
        <v>80</v>
      </c>
      <c r="B532" s="11">
        <v>2012</v>
      </c>
      <c r="C532" s="11">
        <v>29</v>
      </c>
      <c r="D532" s="11">
        <v>7</v>
      </c>
      <c r="E532" s="11" t="s">
        <v>29</v>
      </c>
      <c r="F532" s="11" t="s">
        <v>18</v>
      </c>
      <c r="G532" s="11">
        <v>169</v>
      </c>
      <c r="H532" s="15" t="s">
        <v>29</v>
      </c>
      <c r="I532" s="11">
        <v>8</v>
      </c>
      <c r="J532" s="11" t="s">
        <v>32</v>
      </c>
      <c r="K532" s="11" t="s">
        <v>29</v>
      </c>
      <c r="L532" s="11" t="s">
        <v>29</v>
      </c>
      <c r="M532" s="11" t="s">
        <v>46</v>
      </c>
      <c r="N532" s="11" t="s">
        <v>29</v>
      </c>
      <c r="O532" s="16" t="s">
        <v>29</v>
      </c>
      <c r="P532" s="11">
        <v>211</v>
      </c>
      <c r="Q532" s="8"/>
      <c r="R532">
        <v>15.77</v>
      </c>
      <c r="S532">
        <v>3920.17</v>
      </c>
      <c r="T532">
        <v>2.04</v>
      </c>
      <c r="U532">
        <v>11.32</v>
      </c>
      <c r="V532">
        <v>157.68</v>
      </c>
      <c r="W532" s="10"/>
      <c r="X532" s="10"/>
      <c r="Y532" s="10"/>
      <c r="Z532" s="10"/>
    </row>
    <row r="533" spans="1:26" ht="12.75" customHeight="1" x14ac:dyDescent="0.2">
      <c r="A533" s="11">
        <v>81</v>
      </c>
      <c r="B533" s="11">
        <v>2012</v>
      </c>
      <c r="C533" s="11">
        <v>29</v>
      </c>
      <c r="D533" s="11">
        <v>7</v>
      </c>
      <c r="E533" s="11" t="s">
        <v>29</v>
      </c>
      <c r="F533" s="11" t="s">
        <v>18</v>
      </c>
      <c r="G533" s="11">
        <v>121</v>
      </c>
      <c r="H533" s="15" t="s">
        <v>29</v>
      </c>
      <c r="I533" s="11">
        <v>4.5</v>
      </c>
      <c r="J533" s="11" t="s">
        <v>19</v>
      </c>
      <c r="K533" s="11" t="s">
        <v>41</v>
      </c>
      <c r="L533" s="11" t="s">
        <v>35</v>
      </c>
      <c r="M533" s="11" t="s">
        <v>27</v>
      </c>
      <c r="N533" s="11" t="s">
        <v>25</v>
      </c>
      <c r="O533" s="16" t="s">
        <v>29</v>
      </c>
      <c r="P533" s="11">
        <v>211</v>
      </c>
      <c r="Q533" s="8"/>
      <c r="R533">
        <v>11.29</v>
      </c>
      <c r="S533">
        <v>1438.8</v>
      </c>
      <c r="T533">
        <v>3.13</v>
      </c>
      <c r="U533">
        <v>8.11</v>
      </c>
      <c r="V533">
        <v>112.89</v>
      </c>
      <c r="W533" s="317"/>
      <c r="X533" s="10"/>
      <c r="Y533" s="10"/>
      <c r="Z533" s="10"/>
    </row>
    <row r="534" spans="1:26" ht="12.75" customHeight="1" x14ac:dyDescent="0.2">
      <c r="A534" s="11">
        <v>82</v>
      </c>
      <c r="B534" s="11">
        <v>2012</v>
      </c>
      <c r="C534" s="11">
        <v>29</v>
      </c>
      <c r="D534" s="11">
        <v>7</v>
      </c>
      <c r="E534" s="11" t="s">
        <v>29</v>
      </c>
      <c r="F534" s="11" t="s">
        <v>18</v>
      </c>
      <c r="G534" s="11">
        <v>185</v>
      </c>
      <c r="H534" s="15" t="s">
        <v>29</v>
      </c>
      <c r="I534" s="11">
        <v>12</v>
      </c>
      <c r="J534" s="11" t="s">
        <v>32</v>
      </c>
      <c r="K534" s="11" t="s">
        <v>29</v>
      </c>
      <c r="L534" s="11" t="s">
        <v>29</v>
      </c>
      <c r="M534" s="11" t="s">
        <v>46</v>
      </c>
      <c r="N534" s="11" t="s">
        <v>25</v>
      </c>
      <c r="O534" s="16" t="s">
        <v>29</v>
      </c>
      <c r="P534" s="11">
        <v>211</v>
      </c>
      <c r="Q534" s="8"/>
      <c r="R534">
        <v>17.260000000000002</v>
      </c>
      <c r="S534">
        <v>5142.33</v>
      </c>
      <c r="T534">
        <v>2.33</v>
      </c>
      <c r="U534">
        <v>12.4</v>
      </c>
      <c r="V534">
        <v>172.61</v>
      </c>
      <c r="W534" s="10"/>
      <c r="X534" s="10"/>
      <c r="Y534" s="10"/>
      <c r="Z534" s="10"/>
    </row>
    <row r="535" spans="1:26" ht="12.75" customHeight="1" x14ac:dyDescent="0.2">
      <c r="A535" s="11">
        <v>83</v>
      </c>
      <c r="B535" s="11">
        <v>2012</v>
      </c>
      <c r="C535" s="11">
        <v>29</v>
      </c>
      <c r="D535" s="11">
        <v>7</v>
      </c>
      <c r="E535" s="11" t="s">
        <v>29</v>
      </c>
      <c r="F535" s="11" t="s">
        <v>18</v>
      </c>
      <c r="G535" s="11">
        <v>167</v>
      </c>
      <c r="H535" s="15" t="s">
        <v>29</v>
      </c>
      <c r="I535" s="11">
        <v>12</v>
      </c>
      <c r="J535" s="11" t="s">
        <v>19</v>
      </c>
      <c r="K535" s="11" t="s">
        <v>20</v>
      </c>
      <c r="L535" s="11" t="s">
        <v>21</v>
      </c>
      <c r="M535" s="11" t="s">
        <v>46</v>
      </c>
      <c r="N535" s="11" t="s">
        <v>24</v>
      </c>
      <c r="O535" s="16" t="s">
        <v>29</v>
      </c>
      <c r="P535" s="11">
        <v>211</v>
      </c>
      <c r="Q535" s="8"/>
      <c r="R535">
        <v>15.58</v>
      </c>
      <c r="S535">
        <v>3782.63</v>
      </c>
      <c r="T535">
        <v>3.17</v>
      </c>
      <c r="U535">
        <v>11.19</v>
      </c>
      <c r="V535">
        <v>155.81</v>
      </c>
      <c r="W535" s="317">
        <v>3.9</v>
      </c>
      <c r="X535" s="190">
        <f>I535*W535</f>
        <v>46.8</v>
      </c>
      <c r="Y535" s="10"/>
      <c r="Z535" s="10"/>
    </row>
    <row r="536" spans="1:26" ht="12.75" customHeight="1" x14ac:dyDescent="0.2">
      <c r="A536" s="11">
        <v>84</v>
      </c>
      <c r="B536" s="11">
        <v>2012</v>
      </c>
      <c r="C536" s="11">
        <v>29</v>
      </c>
      <c r="D536" s="11">
        <v>7</v>
      </c>
      <c r="E536" s="11" t="s">
        <v>29</v>
      </c>
      <c r="F536" s="11" t="s">
        <v>18</v>
      </c>
      <c r="G536" s="11">
        <v>128</v>
      </c>
      <c r="H536" s="15" t="s">
        <v>29</v>
      </c>
      <c r="I536" s="11" t="s">
        <v>29</v>
      </c>
      <c r="J536" s="11" t="s">
        <v>32</v>
      </c>
      <c r="K536" s="11" t="s">
        <v>29</v>
      </c>
      <c r="L536" s="11" t="s">
        <v>29</v>
      </c>
      <c r="M536" s="11" t="s">
        <v>46</v>
      </c>
      <c r="N536" s="11" t="s">
        <v>24</v>
      </c>
      <c r="O536" s="16" t="s">
        <v>29</v>
      </c>
      <c r="P536" s="11">
        <v>211</v>
      </c>
      <c r="Q536" s="8"/>
      <c r="R536">
        <v>11.94</v>
      </c>
      <c r="S536">
        <v>1703.24</v>
      </c>
      <c r="U536">
        <v>8.58</v>
      </c>
      <c r="V536">
        <v>119.42</v>
      </c>
      <c r="W536" s="10"/>
      <c r="X536" s="10"/>
      <c r="Y536" s="10"/>
      <c r="Z536" s="10"/>
    </row>
    <row r="537" spans="1:26" ht="12.75" customHeight="1" x14ac:dyDescent="0.2">
      <c r="A537" s="11">
        <v>85</v>
      </c>
      <c r="B537" s="11">
        <v>2012</v>
      </c>
      <c r="C537" s="11">
        <v>30</v>
      </c>
      <c r="D537" s="11">
        <v>7</v>
      </c>
      <c r="E537" s="14">
        <v>0.39583333333333331</v>
      </c>
      <c r="F537" s="11" t="s">
        <v>18</v>
      </c>
      <c r="G537" s="11">
        <v>147</v>
      </c>
      <c r="H537" s="15" t="s">
        <v>29</v>
      </c>
      <c r="I537" s="11">
        <v>9.3000000000000007</v>
      </c>
      <c r="J537" s="11" t="s">
        <v>19</v>
      </c>
      <c r="K537" s="11" t="s">
        <v>20</v>
      </c>
      <c r="L537" s="11" t="s">
        <v>21</v>
      </c>
      <c r="M537" s="11" t="s">
        <v>46</v>
      </c>
      <c r="N537" s="11" t="s">
        <v>23</v>
      </c>
      <c r="O537" s="16" t="s">
        <v>29</v>
      </c>
      <c r="P537" s="11">
        <v>212</v>
      </c>
      <c r="Q537" s="8"/>
      <c r="R537">
        <v>13.72</v>
      </c>
      <c r="S537">
        <v>2579.86</v>
      </c>
      <c r="T537">
        <v>3.6</v>
      </c>
      <c r="U537">
        <v>9.85</v>
      </c>
      <c r="V537">
        <v>137.15</v>
      </c>
      <c r="W537" s="317">
        <v>3.9</v>
      </c>
      <c r="X537" s="190">
        <f>I537*W537</f>
        <v>36.270000000000003</v>
      </c>
      <c r="Y537" s="10"/>
      <c r="Z537" s="10"/>
    </row>
    <row r="538" spans="1:26" ht="12.75" customHeight="1" x14ac:dyDescent="0.2">
      <c r="A538" s="11">
        <v>86</v>
      </c>
      <c r="B538" s="11">
        <v>2012</v>
      </c>
      <c r="C538" s="11">
        <v>30</v>
      </c>
      <c r="D538" s="11">
        <v>7</v>
      </c>
      <c r="E538" s="11" t="s">
        <v>29</v>
      </c>
      <c r="F538" s="11" t="s">
        <v>18</v>
      </c>
      <c r="G538" s="11">
        <v>141</v>
      </c>
      <c r="H538" s="15" t="s">
        <v>29</v>
      </c>
      <c r="I538" s="11">
        <v>5.4</v>
      </c>
      <c r="J538" s="11" t="s">
        <v>19</v>
      </c>
      <c r="K538" s="11" t="s">
        <v>20</v>
      </c>
      <c r="L538" s="11" t="s">
        <v>21</v>
      </c>
      <c r="M538" s="11" t="s">
        <v>27</v>
      </c>
      <c r="N538" s="11" t="s">
        <v>25</v>
      </c>
      <c r="O538" s="16" t="s">
        <v>29</v>
      </c>
      <c r="P538" s="11">
        <v>212</v>
      </c>
      <c r="Q538" s="8"/>
      <c r="R538">
        <v>13.16</v>
      </c>
      <c r="S538">
        <v>2276.6799999999998</v>
      </c>
      <c r="T538">
        <v>2.37</v>
      </c>
      <c r="U538">
        <v>9.4499999999999993</v>
      </c>
      <c r="V538">
        <v>131.55000000000001</v>
      </c>
      <c r="W538" s="317">
        <v>3.9</v>
      </c>
      <c r="X538" s="190">
        <f>I538*W538</f>
        <v>21.060000000000002</v>
      </c>
      <c r="Y538" s="10"/>
      <c r="Z538" s="10"/>
    </row>
    <row r="539" spans="1:26" ht="12.75" customHeight="1" x14ac:dyDescent="0.2">
      <c r="A539" s="11">
        <v>87</v>
      </c>
      <c r="B539" s="11">
        <v>2012</v>
      </c>
      <c r="C539" s="11">
        <v>30</v>
      </c>
      <c r="D539" s="11">
        <v>7</v>
      </c>
      <c r="E539" s="11" t="s">
        <v>29</v>
      </c>
      <c r="F539" s="11" t="s">
        <v>18</v>
      </c>
      <c r="G539" s="11">
        <v>181</v>
      </c>
      <c r="H539" s="15" t="s">
        <v>29</v>
      </c>
      <c r="I539" s="11">
        <v>9.5</v>
      </c>
      <c r="J539" s="11" t="s">
        <v>32</v>
      </c>
      <c r="K539" s="11" t="s">
        <v>29</v>
      </c>
      <c r="L539" s="11" t="s">
        <v>29</v>
      </c>
      <c r="M539" s="11" t="s">
        <v>46</v>
      </c>
      <c r="N539" s="11" t="s">
        <v>24</v>
      </c>
      <c r="O539" s="16" t="s">
        <v>29</v>
      </c>
      <c r="P539" s="11">
        <v>212</v>
      </c>
      <c r="Q539" s="8"/>
      <c r="R539">
        <v>16.89</v>
      </c>
      <c r="S539">
        <v>4815.9399999999996</v>
      </c>
      <c r="T539">
        <v>1.97</v>
      </c>
      <c r="U539">
        <v>12.13</v>
      </c>
      <c r="V539">
        <v>168.87</v>
      </c>
      <c r="W539" s="10"/>
      <c r="X539" s="10"/>
      <c r="Y539" s="10"/>
      <c r="Z539" s="10"/>
    </row>
    <row r="540" spans="1:26" ht="12.75" customHeight="1" x14ac:dyDescent="0.2">
      <c r="A540" s="11">
        <v>88</v>
      </c>
      <c r="B540" s="11">
        <v>2012</v>
      </c>
      <c r="C540" s="11">
        <v>30</v>
      </c>
      <c r="D540" s="11">
        <v>7</v>
      </c>
      <c r="E540" s="11" t="s">
        <v>29</v>
      </c>
      <c r="F540" s="11" t="s">
        <v>18</v>
      </c>
      <c r="G540" s="11">
        <v>172</v>
      </c>
      <c r="H540" s="15" t="s">
        <v>29</v>
      </c>
      <c r="I540" s="11">
        <v>12</v>
      </c>
      <c r="J540" s="11" t="s">
        <v>32</v>
      </c>
      <c r="K540" s="11" t="s">
        <v>29</v>
      </c>
      <c r="L540" s="11" t="s">
        <v>29</v>
      </c>
      <c r="M540" s="11" t="s">
        <v>27</v>
      </c>
      <c r="N540" s="11" t="s">
        <v>24</v>
      </c>
      <c r="O540" s="16" t="s">
        <v>29</v>
      </c>
      <c r="P540" s="11">
        <v>212</v>
      </c>
      <c r="Q540" s="8"/>
      <c r="R540">
        <v>16.05</v>
      </c>
      <c r="S540">
        <v>4132.67</v>
      </c>
      <c r="T540">
        <v>2.9</v>
      </c>
      <c r="U540">
        <v>11.52</v>
      </c>
      <c r="V540">
        <v>160.47999999999999</v>
      </c>
      <c r="W540" s="10"/>
      <c r="X540" s="10"/>
      <c r="Y540" s="10"/>
      <c r="Z540" s="10"/>
    </row>
    <row r="541" spans="1:26" ht="12.75" customHeight="1" x14ac:dyDescent="0.2">
      <c r="A541" s="11">
        <v>89</v>
      </c>
      <c r="B541" s="11">
        <v>2012</v>
      </c>
      <c r="C541" s="11">
        <v>30</v>
      </c>
      <c r="D541" s="11">
        <v>7</v>
      </c>
      <c r="E541" s="11" t="s">
        <v>29</v>
      </c>
      <c r="F541" s="11" t="s">
        <v>18</v>
      </c>
      <c r="G541" s="11">
        <v>146</v>
      </c>
      <c r="H541" s="15" t="s">
        <v>29</v>
      </c>
      <c r="I541" s="11">
        <v>10.8</v>
      </c>
      <c r="J541" s="11" t="s">
        <v>19</v>
      </c>
      <c r="K541" s="11" t="s">
        <v>20</v>
      </c>
      <c r="L541" s="11" t="s">
        <v>21</v>
      </c>
      <c r="M541" s="11" t="s">
        <v>27</v>
      </c>
      <c r="N541" s="11" t="s">
        <v>23</v>
      </c>
      <c r="O541" s="16" t="s">
        <v>29</v>
      </c>
      <c r="P541" s="11">
        <v>212</v>
      </c>
      <c r="Q541" s="8"/>
      <c r="R541">
        <v>13.62</v>
      </c>
      <c r="S541">
        <v>2527.5700000000002</v>
      </c>
      <c r="T541">
        <v>4.2699999999999996</v>
      </c>
      <c r="U541">
        <v>9.7799999999999994</v>
      </c>
      <c r="V541">
        <v>136.22</v>
      </c>
      <c r="W541" s="317">
        <v>3.9</v>
      </c>
      <c r="X541" s="190">
        <f>I541*W541</f>
        <v>42.120000000000005</v>
      </c>
      <c r="Y541" s="10"/>
      <c r="Z541" s="10"/>
    </row>
    <row r="542" spans="1:26" ht="12.75" customHeight="1" x14ac:dyDescent="0.2">
      <c r="A542" s="11">
        <v>90</v>
      </c>
      <c r="B542" s="11">
        <v>2012</v>
      </c>
      <c r="C542" s="11">
        <v>30</v>
      </c>
      <c r="D542" s="11">
        <v>7</v>
      </c>
      <c r="E542" s="11" t="s">
        <v>29</v>
      </c>
      <c r="F542" s="11" t="s">
        <v>18</v>
      </c>
      <c r="G542" s="11">
        <v>204</v>
      </c>
      <c r="H542" s="15" t="s">
        <v>29</v>
      </c>
      <c r="I542" s="11">
        <v>15.6</v>
      </c>
      <c r="J542" s="11" t="s">
        <v>32</v>
      </c>
      <c r="K542" s="11" t="s">
        <v>29</v>
      </c>
      <c r="L542" s="11" t="s">
        <v>29</v>
      </c>
      <c r="M542" s="11" t="s">
        <v>46</v>
      </c>
      <c r="N542" s="11" t="s">
        <v>24</v>
      </c>
      <c r="O542" s="16" t="s">
        <v>29</v>
      </c>
      <c r="P542" s="11">
        <v>212</v>
      </c>
      <c r="Q542" s="8"/>
      <c r="R542">
        <v>19.03</v>
      </c>
      <c r="S542">
        <v>6895.02</v>
      </c>
      <c r="T542">
        <v>2.2599999999999998</v>
      </c>
      <c r="U542">
        <v>13.67</v>
      </c>
      <c r="V542">
        <v>190.33</v>
      </c>
      <c r="W542" s="10"/>
      <c r="X542" s="10"/>
      <c r="Y542" s="10"/>
      <c r="Z542" s="10"/>
    </row>
    <row r="543" spans="1:26" ht="12.75" customHeight="1" x14ac:dyDescent="0.2">
      <c r="A543" s="11">
        <v>91</v>
      </c>
      <c r="B543" s="11">
        <v>2012</v>
      </c>
      <c r="C543" s="11">
        <v>30</v>
      </c>
      <c r="D543" s="11">
        <v>7</v>
      </c>
      <c r="E543" s="11" t="s">
        <v>29</v>
      </c>
      <c r="F543" s="11" t="s">
        <v>18</v>
      </c>
      <c r="G543" s="11">
        <v>116</v>
      </c>
      <c r="H543" s="15" t="s">
        <v>29</v>
      </c>
      <c r="I543" s="11">
        <v>3</v>
      </c>
      <c r="J543" s="11" t="s">
        <v>32</v>
      </c>
      <c r="K543" s="11" t="s">
        <v>29</v>
      </c>
      <c r="L543" s="11" t="s">
        <v>29</v>
      </c>
      <c r="M543" s="11" t="s">
        <v>46</v>
      </c>
      <c r="N543" s="11" t="s">
        <v>24</v>
      </c>
      <c r="O543" s="16" t="s">
        <v>29</v>
      </c>
      <c r="P543" s="11">
        <v>212</v>
      </c>
      <c r="Q543" s="8"/>
      <c r="R543">
        <v>10.82</v>
      </c>
      <c r="S543">
        <v>1267.71</v>
      </c>
      <c r="T543">
        <v>2.37</v>
      </c>
      <c r="U543">
        <v>7.77</v>
      </c>
      <c r="V543">
        <v>108.23</v>
      </c>
      <c r="W543" s="10"/>
      <c r="X543" s="10"/>
      <c r="Y543" s="10"/>
      <c r="Z543" s="10"/>
    </row>
    <row r="544" spans="1:26" ht="12.75" customHeight="1" x14ac:dyDescent="0.2">
      <c r="A544" s="11">
        <v>92</v>
      </c>
      <c r="B544" s="11">
        <v>2012</v>
      </c>
      <c r="C544" s="11">
        <v>30</v>
      </c>
      <c r="D544" s="11">
        <v>7</v>
      </c>
      <c r="E544" s="11" t="s">
        <v>29</v>
      </c>
      <c r="F544" s="11" t="s">
        <v>18</v>
      </c>
      <c r="G544" s="11">
        <v>158</v>
      </c>
      <c r="H544" s="15" t="s">
        <v>29</v>
      </c>
      <c r="I544" s="11">
        <v>15.8</v>
      </c>
      <c r="J544" s="11" t="s">
        <v>19</v>
      </c>
      <c r="K544" s="11" t="s">
        <v>20</v>
      </c>
      <c r="L544" s="11" t="s">
        <v>30</v>
      </c>
      <c r="M544" s="11" t="s">
        <v>46</v>
      </c>
      <c r="N544" s="11" t="s">
        <v>24</v>
      </c>
      <c r="O544" s="16" t="s">
        <v>29</v>
      </c>
      <c r="P544" s="11">
        <v>212</v>
      </c>
      <c r="Q544" s="8"/>
      <c r="R544">
        <v>14.74</v>
      </c>
      <c r="S544">
        <v>3203.44</v>
      </c>
      <c r="T544">
        <v>4.93</v>
      </c>
      <c r="U544">
        <v>10.59</v>
      </c>
      <c r="V544">
        <v>147.41</v>
      </c>
      <c r="W544" s="317">
        <v>4.5999999999999996</v>
      </c>
      <c r="X544" s="190">
        <f>I544*W544</f>
        <v>72.679999999999993</v>
      </c>
      <c r="Y544" s="10"/>
      <c r="Z544" s="10"/>
    </row>
    <row r="545" spans="1:26" ht="12.75" customHeight="1" x14ac:dyDescent="0.2">
      <c r="A545" s="11">
        <v>93</v>
      </c>
      <c r="B545" s="11">
        <v>2012</v>
      </c>
      <c r="C545" s="11">
        <v>30</v>
      </c>
      <c r="D545" s="11">
        <v>7</v>
      </c>
      <c r="E545" s="11" t="s">
        <v>29</v>
      </c>
      <c r="F545" s="11" t="s">
        <v>18</v>
      </c>
      <c r="G545" s="11">
        <v>181</v>
      </c>
      <c r="H545" s="15" t="s">
        <v>29</v>
      </c>
      <c r="I545" s="11">
        <v>14.8</v>
      </c>
      <c r="J545" s="11" t="s">
        <v>19</v>
      </c>
      <c r="K545" s="11" t="s">
        <v>20</v>
      </c>
      <c r="L545" s="11" t="s">
        <v>30</v>
      </c>
      <c r="M545" s="11" t="s">
        <v>46</v>
      </c>
      <c r="N545" s="11" t="s">
        <v>24</v>
      </c>
      <c r="O545" s="16" t="s">
        <v>29</v>
      </c>
      <c r="P545" s="11">
        <v>212</v>
      </c>
      <c r="Q545" s="8"/>
      <c r="R545">
        <v>16.89</v>
      </c>
      <c r="S545">
        <v>4815.9399999999996</v>
      </c>
      <c r="T545">
        <v>3.07</v>
      </c>
      <c r="U545">
        <v>12.13</v>
      </c>
      <c r="V545">
        <v>168.87</v>
      </c>
      <c r="W545" s="317">
        <v>4.5999999999999996</v>
      </c>
      <c r="X545" s="190">
        <f>I545*W545</f>
        <v>68.08</v>
      </c>
      <c r="Y545" s="10"/>
      <c r="Z545" s="10"/>
    </row>
    <row r="546" spans="1:26" ht="12.75" customHeight="1" x14ac:dyDescent="0.2">
      <c r="A546" s="11">
        <v>94</v>
      </c>
      <c r="B546" s="11">
        <v>2012</v>
      </c>
      <c r="C546" s="11">
        <v>30</v>
      </c>
      <c r="D546" s="11">
        <v>7</v>
      </c>
      <c r="E546" s="11" t="s">
        <v>29</v>
      </c>
      <c r="F546" s="11" t="s">
        <v>18</v>
      </c>
      <c r="G546" s="11">
        <v>171</v>
      </c>
      <c r="H546" s="15" t="s">
        <v>29</v>
      </c>
      <c r="I546" s="11">
        <v>13.8</v>
      </c>
      <c r="J546" s="11" t="s">
        <v>19</v>
      </c>
      <c r="K546" s="11" t="s">
        <v>20</v>
      </c>
      <c r="L546" s="11" t="s">
        <v>21</v>
      </c>
      <c r="M546" s="11" t="s">
        <v>27</v>
      </c>
      <c r="N546" s="11" t="s">
        <v>24</v>
      </c>
      <c r="O546" s="16" t="s">
        <v>29</v>
      </c>
      <c r="P546" s="11">
        <v>212</v>
      </c>
      <c r="Q546" s="8"/>
      <c r="R546">
        <v>15.95</v>
      </c>
      <c r="S546">
        <v>4061</v>
      </c>
      <c r="T546">
        <v>3.4</v>
      </c>
      <c r="U546">
        <v>11.46</v>
      </c>
      <c r="V546">
        <v>159.54</v>
      </c>
      <c r="W546" s="317">
        <v>3.9</v>
      </c>
      <c r="X546" s="190">
        <f>I546*W546</f>
        <v>53.82</v>
      </c>
      <c r="Y546" s="10"/>
      <c r="Z546" s="10"/>
    </row>
    <row r="547" spans="1:26" ht="12.75" customHeight="1" x14ac:dyDescent="0.2">
      <c r="A547" s="11">
        <v>95</v>
      </c>
      <c r="B547" s="11">
        <v>2012</v>
      </c>
      <c r="C547" s="11">
        <v>30</v>
      </c>
      <c r="D547" s="11">
        <v>7</v>
      </c>
      <c r="E547" s="11" t="s">
        <v>29</v>
      </c>
      <c r="F547" s="11" t="s">
        <v>18</v>
      </c>
      <c r="G547" s="11">
        <v>169</v>
      </c>
      <c r="H547" s="15" t="s">
        <v>29</v>
      </c>
      <c r="I547" s="11">
        <v>9</v>
      </c>
      <c r="J547" s="11" t="s">
        <v>32</v>
      </c>
      <c r="K547" s="11" t="s">
        <v>29</v>
      </c>
      <c r="L547" s="11" t="s">
        <v>29</v>
      </c>
      <c r="M547" s="11" t="s">
        <v>27</v>
      </c>
      <c r="N547" s="11" t="s">
        <v>24</v>
      </c>
      <c r="O547" s="16" t="s">
        <v>29</v>
      </c>
      <c r="P547" s="11">
        <v>212</v>
      </c>
      <c r="Q547" s="8"/>
      <c r="R547">
        <v>15.77</v>
      </c>
      <c r="S547">
        <v>3920.17</v>
      </c>
      <c r="T547">
        <v>2.2999999999999998</v>
      </c>
      <c r="U547">
        <v>11.32</v>
      </c>
      <c r="V547">
        <v>157.68</v>
      </c>
      <c r="W547" s="10"/>
      <c r="X547" s="10"/>
      <c r="Y547" s="10"/>
      <c r="Z547" s="10"/>
    </row>
    <row r="548" spans="1:26" ht="12.75" customHeight="1" x14ac:dyDescent="0.2">
      <c r="A548" s="11">
        <v>96</v>
      </c>
      <c r="B548" s="11">
        <v>2012</v>
      </c>
      <c r="C548" s="11">
        <v>30</v>
      </c>
      <c r="D548" s="11">
        <v>7</v>
      </c>
      <c r="E548" s="11" t="s">
        <v>29</v>
      </c>
      <c r="F548" s="11" t="s">
        <v>18</v>
      </c>
      <c r="G548" s="11">
        <v>161</v>
      </c>
      <c r="H548" s="15" t="s">
        <v>29</v>
      </c>
      <c r="I548" s="11">
        <v>10</v>
      </c>
      <c r="J548" s="11" t="s">
        <v>19</v>
      </c>
      <c r="K548" s="11" t="s">
        <v>20</v>
      </c>
      <c r="L548" s="11" t="s">
        <v>21</v>
      </c>
      <c r="M548" s="11" t="s">
        <v>45</v>
      </c>
      <c r="N548" s="11" t="s">
        <v>24</v>
      </c>
      <c r="O548" s="16" t="s">
        <v>29</v>
      </c>
      <c r="P548" s="11">
        <v>212</v>
      </c>
      <c r="Q548" s="8"/>
      <c r="R548">
        <v>15.02</v>
      </c>
      <c r="S548">
        <v>3389.4</v>
      </c>
      <c r="T548">
        <v>2.95</v>
      </c>
      <c r="U548">
        <v>10.79</v>
      </c>
      <c r="V548">
        <v>150.21</v>
      </c>
      <c r="W548" s="317">
        <v>3.9</v>
      </c>
      <c r="X548" s="190">
        <f>I548*W548</f>
        <v>39</v>
      </c>
      <c r="Y548" s="10"/>
      <c r="Z548" s="10"/>
    </row>
    <row r="549" spans="1:26" ht="12.75" customHeight="1" x14ac:dyDescent="0.2">
      <c r="A549" s="11">
        <v>97</v>
      </c>
      <c r="B549" s="11">
        <v>2012</v>
      </c>
      <c r="C549" s="11">
        <v>30</v>
      </c>
      <c r="D549" s="11">
        <v>7</v>
      </c>
      <c r="E549" s="11" t="s">
        <v>29</v>
      </c>
      <c r="F549" s="11" t="s">
        <v>18</v>
      </c>
      <c r="G549" s="11">
        <v>147</v>
      </c>
      <c r="H549" s="15" t="s">
        <v>29</v>
      </c>
      <c r="I549" s="11">
        <v>7.4</v>
      </c>
      <c r="J549" s="11" t="s">
        <v>19</v>
      </c>
      <c r="K549" s="11" t="s">
        <v>20</v>
      </c>
      <c r="L549" s="11" t="s">
        <v>21</v>
      </c>
      <c r="M549" s="11" t="s">
        <v>46</v>
      </c>
      <c r="N549" s="11" t="s">
        <v>25</v>
      </c>
      <c r="O549" s="16" t="s">
        <v>29</v>
      </c>
      <c r="P549" s="11">
        <v>212</v>
      </c>
      <c r="Q549" s="8"/>
      <c r="R549">
        <v>13.72</v>
      </c>
      <c r="S549">
        <v>2579.86</v>
      </c>
      <c r="T549">
        <v>2.87</v>
      </c>
      <c r="U549">
        <v>9.85</v>
      </c>
      <c r="V549">
        <v>137.15</v>
      </c>
      <c r="W549" s="317">
        <v>3.9</v>
      </c>
      <c r="X549" s="190">
        <f>I549*W549</f>
        <v>28.86</v>
      </c>
      <c r="Y549" s="10"/>
      <c r="Z549" s="10"/>
    </row>
    <row r="550" spans="1:26" ht="12.75" customHeight="1" x14ac:dyDescent="0.2">
      <c r="A550" s="11">
        <v>98</v>
      </c>
      <c r="B550" s="11">
        <v>2012</v>
      </c>
      <c r="C550" s="11">
        <v>30</v>
      </c>
      <c r="D550" s="11">
        <v>7</v>
      </c>
      <c r="E550" s="11" t="s">
        <v>29</v>
      </c>
      <c r="F550" s="11" t="s">
        <v>18</v>
      </c>
      <c r="G550" s="11">
        <v>158</v>
      </c>
      <c r="H550" s="15" t="s">
        <v>29</v>
      </c>
      <c r="I550" s="11">
        <v>11.3</v>
      </c>
      <c r="J550" s="11" t="s">
        <v>19</v>
      </c>
      <c r="K550" s="11" t="s">
        <v>20</v>
      </c>
      <c r="L550" s="11" t="s">
        <v>30</v>
      </c>
      <c r="M550" s="11" t="s">
        <v>46</v>
      </c>
      <c r="N550" s="11" t="s">
        <v>23</v>
      </c>
      <c r="O550" s="16" t="s">
        <v>29</v>
      </c>
      <c r="P550" s="11">
        <v>212</v>
      </c>
      <c r="Q550" s="8"/>
      <c r="R550">
        <v>14.74</v>
      </c>
      <c r="S550">
        <v>3203.44</v>
      </c>
      <c r="T550">
        <v>3.53</v>
      </c>
      <c r="U550">
        <v>10.59</v>
      </c>
      <c r="V550">
        <v>147.41</v>
      </c>
      <c r="W550" s="317">
        <v>4.5999999999999996</v>
      </c>
      <c r="X550" s="190">
        <f>I550*W550</f>
        <v>51.98</v>
      </c>
      <c r="Y550" s="10"/>
      <c r="Z550" s="10"/>
    </row>
    <row r="551" spans="1:26" ht="12.75" customHeight="1" x14ac:dyDescent="0.2">
      <c r="A551" s="11">
        <v>99</v>
      </c>
      <c r="B551" s="11">
        <v>2012</v>
      </c>
      <c r="C551" s="11">
        <v>30</v>
      </c>
      <c r="D551" s="11">
        <v>7</v>
      </c>
      <c r="E551" s="11" t="s">
        <v>29</v>
      </c>
      <c r="F551" s="11" t="s">
        <v>18</v>
      </c>
      <c r="G551" s="11">
        <v>145</v>
      </c>
      <c r="H551" s="15" t="s">
        <v>29</v>
      </c>
      <c r="I551" s="11">
        <v>9.5</v>
      </c>
      <c r="J551" s="11" t="s">
        <v>19</v>
      </c>
      <c r="K551" s="11" t="s">
        <v>20</v>
      </c>
      <c r="L551" s="11" t="s">
        <v>30</v>
      </c>
      <c r="M551" s="11" t="s">
        <v>46</v>
      </c>
      <c r="N551" s="11" t="s">
        <v>24</v>
      </c>
      <c r="O551" s="16" t="s">
        <v>29</v>
      </c>
      <c r="P551" s="11">
        <v>212</v>
      </c>
      <c r="Q551" s="8"/>
      <c r="R551">
        <v>13.53</v>
      </c>
      <c r="S551">
        <v>2475.9899999999998</v>
      </c>
      <c r="T551">
        <v>3.84</v>
      </c>
      <c r="U551">
        <v>9.7200000000000006</v>
      </c>
      <c r="V551">
        <v>135.29</v>
      </c>
      <c r="W551" s="317">
        <v>4.5999999999999996</v>
      </c>
      <c r="X551" s="190">
        <f>I551*W551</f>
        <v>43.699999999999996</v>
      </c>
      <c r="Y551" s="10"/>
      <c r="Z551" s="10"/>
    </row>
    <row r="552" spans="1:26" ht="12.75" customHeight="1" x14ac:dyDescent="0.2">
      <c r="A552" s="11">
        <v>100</v>
      </c>
      <c r="B552" s="11">
        <v>2012</v>
      </c>
      <c r="C552" s="11">
        <v>30</v>
      </c>
      <c r="D552" s="11">
        <v>7</v>
      </c>
      <c r="E552" s="11" t="s">
        <v>29</v>
      </c>
      <c r="F552" s="11" t="s">
        <v>18</v>
      </c>
      <c r="G552" s="11">
        <v>145</v>
      </c>
      <c r="H552" s="15" t="s">
        <v>29</v>
      </c>
      <c r="I552" s="11">
        <v>6.3</v>
      </c>
      <c r="J552" s="11" t="s">
        <v>19</v>
      </c>
      <c r="K552" s="11" t="s">
        <v>41</v>
      </c>
      <c r="L552" s="11" t="s">
        <v>35</v>
      </c>
      <c r="M552" s="11" t="s">
        <v>45</v>
      </c>
      <c r="N552" s="11" t="s">
        <v>24</v>
      </c>
      <c r="O552" s="16" t="s">
        <v>29</v>
      </c>
      <c r="P552" s="11">
        <v>212</v>
      </c>
      <c r="Q552" s="8"/>
      <c r="R552">
        <v>13.53</v>
      </c>
      <c r="S552">
        <v>2475.9899999999998</v>
      </c>
      <c r="T552">
        <v>2.54</v>
      </c>
      <c r="U552">
        <v>9.7200000000000006</v>
      </c>
      <c r="V552">
        <v>135.29</v>
      </c>
      <c r="W552" s="317"/>
      <c r="X552" s="10"/>
      <c r="Y552" s="10"/>
      <c r="Z552" s="10"/>
    </row>
    <row r="553" spans="1:26" ht="12.75" customHeight="1" x14ac:dyDescent="0.2">
      <c r="A553" s="11">
        <v>101</v>
      </c>
      <c r="B553" s="11">
        <v>2012</v>
      </c>
      <c r="C553" s="11">
        <v>30</v>
      </c>
      <c r="D553" s="11">
        <v>7</v>
      </c>
      <c r="E553" s="11" t="s">
        <v>29</v>
      </c>
      <c r="F553" s="11" t="s">
        <v>18</v>
      </c>
      <c r="G553" s="11">
        <v>126</v>
      </c>
      <c r="H553" s="15" t="s">
        <v>29</v>
      </c>
      <c r="I553" s="11">
        <v>4.5999999999999996</v>
      </c>
      <c r="J553" s="11" t="s">
        <v>19</v>
      </c>
      <c r="K553" s="11" t="s">
        <v>20</v>
      </c>
      <c r="L553" s="11" t="s">
        <v>21</v>
      </c>
      <c r="M553" s="11" t="s">
        <v>45</v>
      </c>
      <c r="N553" s="11" t="s">
        <v>25</v>
      </c>
      <c r="O553" s="16" t="s">
        <v>29</v>
      </c>
      <c r="P553" s="11">
        <v>212</v>
      </c>
      <c r="Q553" s="8"/>
      <c r="R553">
        <v>11.76</v>
      </c>
      <c r="S553">
        <v>1624.64</v>
      </c>
      <c r="T553">
        <v>2.83</v>
      </c>
      <c r="U553">
        <v>8.44</v>
      </c>
      <c r="V553">
        <v>117.56</v>
      </c>
      <c r="W553" s="317">
        <v>3.9</v>
      </c>
      <c r="X553" s="190">
        <f>I553*W553</f>
        <v>17.939999999999998</v>
      </c>
      <c r="Y553" s="10"/>
      <c r="Z553" s="10"/>
    </row>
    <row r="554" spans="1:26" ht="12.75" customHeight="1" x14ac:dyDescent="0.2">
      <c r="A554" s="11">
        <v>102</v>
      </c>
      <c r="B554" s="11">
        <v>2012</v>
      </c>
      <c r="C554" s="11">
        <v>30</v>
      </c>
      <c r="D554" s="11">
        <v>7</v>
      </c>
      <c r="E554" s="11" t="s">
        <v>29</v>
      </c>
      <c r="F554" s="11" t="s">
        <v>18</v>
      </c>
      <c r="G554" s="11">
        <v>167</v>
      </c>
      <c r="H554" s="15" t="s">
        <v>29</v>
      </c>
      <c r="I554" s="11">
        <v>9.1</v>
      </c>
      <c r="J554" s="11" t="s">
        <v>19</v>
      </c>
      <c r="K554" s="11" t="s">
        <v>20</v>
      </c>
      <c r="L554" s="11" t="s">
        <v>21</v>
      </c>
      <c r="M554" s="11" t="s">
        <v>46</v>
      </c>
      <c r="N554" s="11" t="s">
        <v>24</v>
      </c>
      <c r="O554" s="16" t="s">
        <v>29</v>
      </c>
      <c r="P554" s="11">
        <v>212</v>
      </c>
      <c r="Q554" s="8"/>
      <c r="R554">
        <v>15.58</v>
      </c>
      <c r="S554">
        <v>3782.63</v>
      </c>
      <c r="T554">
        <v>2.41</v>
      </c>
      <c r="U554">
        <v>11.19</v>
      </c>
      <c r="V554">
        <v>155.81</v>
      </c>
      <c r="W554" s="317">
        <v>3.9</v>
      </c>
      <c r="X554" s="190">
        <f>I554*W554</f>
        <v>35.489999999999995</v>
      </c>
      <c r="Y554" s="10"/>
      <c r="Z554" s="10"/>
    </row>
    <row r="555" spans="1:26" ht="12.75" customHeight="1" x14ac:dyDescent="0.2">
      <c r="A555" s="11">
        <v>103</v>
      </c>
      <c r="B555" s="11">
        <v>2012</v>
      </c>
      <c r="C555" s="11">
        <v>30</v>
      </c>
      <c r="D555" s="11">
        <v>7</v>
      </c>
      <c r="E555" s="11" t="s">
        <v>29</v>
      </c>
      <c r="F555" s="11" t="s">
        <v>18</v>
      </c>
      <c r="G555" s="11">
        <v>123</v>
      </c>
      <c r="H555" s="15" t="s">
        <v>29</v>
      </c>
      <c r="I555" s="11">
        <v>3.1</v>
      </c>
      <c r="J555" s="11" t="s">
        <v>19</v>
      </c>
      <c r="K555" s="11" t="s">
        <v>20</v>
      </c>
      <c r="L555" s="11" t="s">
        <v>35</v>
      </c>
      <c r="M555" s="11" t="s">
        <v>46</v>
      </c>
      <c r="N555" s="11" t="s">
        <v>24</v>
      </c>
      <c r="O555" s="16" t="s">
        <v>29</v>
      </c>
      <c r="P555" s="11">
        <v>212</v>
      </c>
      <c r="Q555" s="8"/>
      <c r="R555">
        <v>11.48</v>
      </c>
      <c r="S555">
        <v>1511.33</v>
      </c>
      <c r="T555">
        <v>2.0499999999999998</v>
      </c>
      <c r="U555">
        <v>8.24</v>
      </c>
      <c r="V555">
        <v>114.76</v>
      </c>
      <c r="W555" s="317">
        <v>3.9</v>
      </c>
      <c r="X555" s="190">
        <f>I555*W555</f>
        <v>12.09</v>
      </c>
      <c r="Y555" s="10"/>
      <c r="Z555" s="10"/>
    </row>
    <row r="556" spans="1:26" ht="12.75" customHeight="1" x14ac:dyDescent="0.2">
      <c r="A556" s="11">
        <v>104</v>
      </c>
      <c r="B556" s="11">
        <v>2012</v>
      </c>
      <c r="C556" s="11">
        <v>30</v>
      </c>
      <c r="D556" s="11">
        <v>7</v>
      </c>
      <c r="E556" s="11" t="s">
        <v>29</v>
      </c>
      <c r="F556" s="11" t="s">
        <v>18</v>
      </c>
      <c r="G556" s="11">
        <v>166</v>
      </c>
      <c r="H556" s="15" t="s">
        <v>29</v>
      </c>
      <c r="I556" s="11">
        <v>6.1</v>
      </c>
      <c r="J556" s="11" t="s">
        <v>19</v>
      </c>
      <c r="K556" s="11" t="s">
        <v>20</v>
      </c>
      <c r="L556" s="11" t="s">
        <v>21</v>
      </c>
      <c r="M556" s="11" t="s">
        <v>46</v>
      </c>
      <c r="N556" s="11" t="s">
        <v>25</v>
      </c>
      <c r="O556" s="16" t="s">
        <v>29</v>
      </c>
      <c r="P556" s="11">
        <v>212</v>
      </c>
      <c r="Q556" s="8"/>
      <c r="R556">
        <v>15.49</v>
      </c>
      <c r="S556">
        <v>3715.09</v>
      </c>
      <c r="T556">
        <v>1.64</v>
      </c>
      <c r="U556">
        <v>11.12</v>
      </c>
      <c r="V556">
        <v>154.88</v>
      </c>
      <c r="W556" s="317">
        <v>3.9</v>
      </c>
      <c r="X556" s="190">
        <f>I556*W556</f>
        <v>23.79</v>
      </c>
      <c r="Y556" s="10"/>
      <c r="Z556" s="10"/>
    </row>
    <row r="557" spans="1:26" ht="12.75" customHeight="1" x14ac:dyDescent="0.2">
      <c r="A557" s="11">
        <v>105</v>
      </c>
      <c r="B557" s="11">
        <v>2012</v>
      </c>
      <c r="C557" s="11">
        <v>30</v>
      </c>
      <c r="D557" s="11">
        <v>7</v>
      </c>
      <c r="E557" s="11" t="s">
        <v>29</v>
      </c>
      <c r="F557" s="11" t="s">
        <v>28</v>
      </c>
      <c r="G557" s="11" t="s">
        <v>29</v>
      </c>
      <c r="H557" s="15" t="s">
        <v>29</v>
      </c>
      <c r="I557" s="11" t="s">
        <v>29</v>
      </c>
      <c r="J557" s="11" t="s">
        <v>19</v>
      </c>
      <c r="K557" s="11" t="s">
        <v>20</v>
      </c>
      <c r="L557" s="11" t="s">
        <v>41</v>
      </c>
      <c r="M557" s="11" t="s">
        <v>46</v>
      </c>
      <c r="N557" s="11" t="s">
        <v>29</v>
      </c>
      <c r="O557" s="16" t="s">
        <v>29</v>
      </c>
      <c r="P557" s="11">
        <v>212</v>
      </c>
      <c r="Q557" s="8"/>
      <c r="W557" s="10"/>
      <c r="X557" s="10"/>
      <c r="Y557" s="10"/>
      <c r="Z557" s="10"/>
    </row>
    <row r="558" spans="1:26" ht="12.75" customHeight="1" x14ac:dyDescent="0.2">
      <c r="A558" s="11">
        <v>106</v>
      </c>
      <c r="B558" s="11">
        <v>2012</v>
      </c>
      <c r="C558" s="11">
        <v>30</v>
      </c>
      <c r="D558" s="11">
        <v>7</v>
      </c>
      <c r="E558" s="11" t="s">
        <v>29</v>
      </c>
      <c r="F558" s="11" t="s">
        <v>18</v>
      </c>
      <c r="G558" s="11">
        <v>153</v>
      </c>
      <c r="H558" s="15" t="s">
        <v>29</v>
      </c>
      <c r="I558" s="11">
        <v>7.3</v>
      </c>
      <c r="J558" s="11" t="s">
        <v>19</v>
      </c>
      <c r="K558" s="11" t="s">
        <v>20</v>
      </c>
      <c r="L558" s="11" t="s">
        <v>21</v>
      </c>
      <c r="M558" s="11" t="s">
        <v>27</v>
      </c>
      <c r="N558" s="11" t="s">
        <v>25</v>
      </c>
      <c r="O558" s="16" t="s">
        <v>29</v>
      </c>
      <c r="P558" s="11">
        <v>212</v>
      </c>
      <c r="Q558" s="8"/>
      <c r="R558">
        <v>14.27</v>
      </c>
      <c r="S558">
        <v>2908.84</v>
      </c>
      <c r="T558">
        <v>2.5099999999999998</v>
      </c>
      <c r="U558">
        <v>10.25</v>
      </c>
      <c r="V558">
        <v>142.75</v>
      </c>
      <c r="W558" s="317">
        <v>3.9</v>
      </c>
      <c r="X558" s="190">
        <f>I558*W558</f>
        <v>28.47</v>
      </c>
      <c r="Y558" s="10"/>
      <c r="Z558" s="10"/>
    </row>
    <row r="559" spans="1:26" ht="12.75" customHeight="1" x14ac:dyDescent="0.2">
      <c r="A559" s="11">
        <v>107</v>
      </c>
      <c r="B559" s="11">
        <v>2012</v>
      </c>
      <c r="C559" s="11">
        <v>30</v>
      </c>
      <c r="D559" s="11">
        <v>7</v>
      </c>
      <c r="E559" s="11" t="s">
        <v>29</v>
      </c>
      <c r="F559" s="11" t="s">
        <v>18</v>
      </c>
      <c r="G559" s="11">
        <v>148</v>
      </c>
      <c r="H559" s="15" t="s">
        <v>29</v>
      </c>
      <c r="I559" s="11">
        <v>7.8</v>
      </c>
      <c r="J559" s="11" t="s">
        <v>19</v>
      </c>
      <c r="K559" s="11" t="s">
        <v>20</v>
      </c>
      <c r="L559" s="11" t="s">
        <v>30</v>
      </c>
      <c r="M559" s="11" t="s">
        <v>27</v>
      </c>
      <c r="N559" s="11" t="s">
        <v>25</v>
      </c>
      <c r="O559" s="16" t="s">
        <v>29</v>
      </c>
      <c r="P559" s="11">
        <v>212</v>
      </c>
      <c r="Q559" s="8"/>
      <c r="R559">
        <v>13.81</v>
      </c>
      <c r="S559">
        <v>2632.87</v>
      </c>
      <c r="T559">
        <v>2.96</v>
      </c>
      <c r="U559">
        <v>9.92</v>
      </c>
      <c r="V559">
        <v>138.08000000000001</v>
      </c>
      <c r="W559" s="317">
        <v>4.5999999999999996</v>
      </c>
      <c r="X559" s="190">
        <f>I559*W559</f>
        <v>35.879999999999995</v>
      </c>
      <c r="Y559" s="10"/>
      <c r="Z559" s="10"/>
    </row>
    <row r="560" spans="1:26" ht="12.75" customHeight="1" x14ac:dyDescent="0.2">
      <c r="A560" s="11">
        <v>108</v>
      </c>
      <c r="B560" s="11">
        <v>2012</v>
      </c>
      <c r="C560" s="11">
        <v>30</v>
      </c>
      <c r="D560" s="11">
        <v>7</v>
      </c>
      <c r="E560" s="11" t="s">
        <v>29</v>
      </c>
      <c r="F560" s="11" t="s">
        <v>18</v>
      </c>
      <c r="G560" s="11">
        <v>95</v>
      </c>
      <c r="H560" s="15" t="s">
        <v>29</v>
      </c>
      <c r="I560" s="11">
        <v>0.8</v>
      </c>
      <c r="J560" s="11" t="s">
        <v>32</v>
      </c>
      <c r="K560" s="11" t="s">
        <v>29</v>
      </c>
      <c r="L560" s="11" t="s">
        <v>35</v>
      </c>
      <c r="M560" s="11" t="s">
        <v>46</v>
      </c>
      <c r="N560" s="11" t="s">
        <v>24</v>
      </c>
      <c r="O560" s="16" t="s">
        <v>29</v>
      </c>
      <c r="P560" s="11">
        <v>212</v>
      </c>
      <c r="Q560" s="8"/>
      <c r="R560">
        <v>8.86</v>
      </c>
      <c r="S560">
        <v>696.33</v>
      </c>
      <c r="T560">
        <v>1.1499999999999999</v>
      </c>
      <c r="U560">
        <v>6.37</v>
      </c>
      <c r="V560">
        <v>88.64</v>
      </c>
      <c r="W560" s="317"/>
      <c r="X560" s="10"/>
      <c r="Y560" s="10"/>
      <c r="Z560" s="10"/>
    </row>
    <row r="561" spans="1:26" ht="12.75" customHeight="1" x14ac:dyDescent="0.2">
      <c r="A561" s="11">
        <v>109</v>
      </c>
      <c r="B561" s="11">
        <v>2012</v>
      </c>
      <c r="C561" s="11">
        <v>30</v>
      </c>
      <c r="D561" s="11">
        <v>7</v>
      </c>
      <c r="E561" s="11" t="s">
        <v>29</v>
      </c>
      <c r="F561" s="11" t="s">
        <v>18</v>
      </c>
      <c r="G561" s="11">
        <v>178</v>
      </c>
      <c r="H561" s="15" t="s">
        <v>29</v>
      </c>
      <c r="I561" s="11">
        <v>8.1999999999999993</v>
      </c>
      <c r="J561" s="11" t="s">
        <v>32</v>
      </c>
      <c r="K561" s="11" t="s">
        <v>29</v>
      </c>
      <c r="L561" s="11" t="s">
        <v>29</v>
      </c>
      <c r="M561" s="11" t="s">
        <v>46</v>
      </c>
      <c r="N561" s="11" t="s">
        <v>24</v>
      </c>
      <c r="O561" s="16" t="s">
        <v>29</v>
      </c>
      <c r="P561" s="11">
        <v>212</v>
      </c>
      <c r="Q561" s="8"/>
      <c r="R561">
        <v>16.61</v>
      </c>
      <c r="S561">
        <v>4580.42</v>
      </c>
      <c r="T561">
        <v>1.79</v>
      </c>
      <c r="U561">
        <v>11.93</v>
      </c>
      <c r="V561">
        <v>166.07</v>
      </c>
      <c r="W561" s="10"/>
      <c r="X561" s="10"/>
      <c r="Y561" s="10"/>
      <c r="Z561" s="10"/>
    </row>
    <row r="562" spans="1:26" ht="12.75" customHeight="1" x14ac:dyDescent="0.2">
      <c r="A562" s="11">
        <v>110</v>
      </c>
      <c r="B562" s="11">
        <v>2012</v>
      </c>
      <c r="C562" s="11">
        <v>30</v>
      </c>
      <c r="D562" s="11">
        <v>7</v>
      </c>
      <c r="E562" s="11" t="s">
        <v>29</v>
      </c>
      <c r="F562" s="11" t="s">
        <v>18</v>
      </c>
      <c r="G562" s="11">
        <v>180</v>
      </c>
      <c r="H562" s="15" t="s">
        <v>29</v>
      </c>
      <c r="I562" s="11">
        <v>7.5</v>
      </c>
      <c r="J562" s="11" t="s">
        <v>32</v>
      </c>
      <c r="K562" s="11" t="s">
        <v>29</v>
      </c>
      <c r="L562" s="11" t="s">
        <v>29</v>
      </c>
      <c r="M562" s="11" t="s">
        <v>46</v>
      </c>
      <c r="N562" s="11" t="s">
        <v>24</v>
      </c>
      <c r="O562" s="16" t="s">
        <v>29</v>
      </c>
      <c r="P562" s="11">
        <v>212</v>
      </c>
      <c r="Q562" s="8"/>
      <c r="R562">
        <v>16.79</v>
      </c>
      <c r="S562">
        <v>4736.55</v>
      </c>
      <c r="T562">
        <v>1.58</v>
      </c>
      <c r="U562">
        <v>12.06</v>
      </c>
      <c r="V562">
        <v>167.94</v>
      </c>
      <c r="W562" s="10"/>
      <c r="X562" s="10"/>
      <c r="Y562" s="10"/>
      <c r="Z562" s="10"/>
    </row>
    <row r="563" spans="1:26" ht="12.75" customHeight="1" x14ac:dyDescent="0.2">
      <c r="A563" s="11">
        <v>111</v>
      </c>
      <c r="B563" s="11">
        <v>2012</v>
      </c>
      <c r="C563" s="11">
        <v>30</v>
      </c>
      <c r="D563" s="11">
        <v>7</v>
      </c>
      <c r="E563" s="11" t="s">
        <v>29</v>
      </c>
      <c r="F563" s="11" t="s">
        <v>18</v>
      </c>
      <c r="G563" s="11">
        <v>165</v>
      </c>
      <c r="H563" s="15" t="s">
        <v>29</v>
      </c>
      <c r="I563" s="11">
        <v>11.4</v>
      </c>
      <c r="J563" s="11" t="s">
        <v>19</v>
      </c>
      <c r="K563" s="11" t="s">
        <v>20</v>
      </c>
      <c r="L563" s="11" t="s">
        <v>21</v>
      </c>
      <c r="M563" s="11" t="s">
        <v>46</v>
      </c>
      <c r="N563" s="11" t="s">
        <v>24</v>
      </c>
      <c r="O563" s="16" t="s">
        <v>29</v>
      </c>
      <c r="P563" s="11">
        <v>212</v>
      </c>
      <c r="Q563" s="8"/>
      <c r="R563">
        <v>15.39</v>
      </c>
      <c r="S563">
        <v>3648.35</v>
      </c>
      <c r="T563">
        <v>3.12</v>
      </c>
      <c r="U563">
        <v>11.06</v>
      </c>
      <c r="V563">
        <v>153.94999999999999</v>
      </c>
      <c r="W563" s="317">
        <v>3.9</v>
      </c>
      <c r="X563" s="190">
        <f>I563*W563</f>
        <v>44.46</v>
      </c>
      <c r="Y563" s="10"/>
      <c r="Z563" s="10"/>
    </row>
    <row r="564" spans="1:26" ht="12.75" customHeight="1" x14ac:dyDescent="0.2">
      <c r="A564" s="11">
        <v>112</v>
      </c>
      <c r="B564" s="11">
        <v>2012</v>
      </c>
      <c r="C564" s="11">
        <v>30</v>
      </c>
      <c r="D564" s="11">
        <v>7</v>
      </c>
      <c r="E564" s="11" t="s">
        <v>29</v>
      </c>
      <c r="F564" s="11" t="s">
        <v>18</v>
      </c>
      <c r="G564" s="11" t="s">
        <v>29</v>
      </c>
      <c r="H564" s="15" t="s">
        <v>29</v>
      </c>
      <c r="I564" s="11" t="s">
        <v>29</v>
      </c>
      <c r="J564" s="11" t="s">
        <v>19</v>
      </c>
      <c r="K564" s="11" t="s">
        <v>20</v>
      </c>
      <c r="L564" s="11" t="s">
        <v>35</v>
      </c>
      <c r="M564" s="11" t="s">
        <v>46</v>
      </c>
      <c r="N564" s="11" t="s">
        <v>25</v>
      </c>
      <c r="O564" s="16" t="s">
        <v>29</v>
      </c>
      <c r="P564" s="11">
        <v>212</v>
      </c>
      <c r="Q564" s="8"/>
      <c r="W564" s="317">
        <v>3.9</v>
      </c>
      <c r="X564" s="190"/>
      <c r="Y564" s="10"/>
      <c r="Z564" s="10"/>
    </row>
    <row r="565" spans="1:26" ht="12.75" customHeight="1" x14ac:dyDescent="0.2">
      <c r="A565" s="11">
        <v>113</v>
      </c>
      <c r="B565" s="11">
        <v>2012</v>
      </c>
      <c r="C565" s="11">
        <v>30</v>
      </c>
      <c r="D565" s="11">
        <v>7</v>
      </c>
      <c r="E565" s="11" t="s">
        <v>29</v>
      </c>
      <c r="F565" s="11" t="s">
        <v>18</v>
      </c>
      <c r="G565" s="11" t="s">
        <v>29</v>
      </c>
      <c r="H565" s="15" t="s">
        <v>29</v>
      </c>
      <c r="I565" s="11" t="s">
        <v>29</v>
      </c>
      <c r="J565" s="11" t="s">
        <v>19</v>
      </c>
      <c r="K565" s="11" t="s">
        <v>20</v>
      </c>
      <c r="L565" s="11" t="s">
        <v>30</v>
      </c>
      <c r="M565" s="11" t="s">
        <v>46</v>
      </c>
      <c r="N565" s="11" t="s">
        <v>25</v>
      </c>
      <c r="O565" s="16" t="s">
        <v>29</v>
      </c>
      <c r="P565" s="11">
        <v>212</v>
      </c>
      <c r="Q565" s="8"/>
      <c r="W565" s="317">
        <v>4.5999999999999996</v>
      </c>
      <c r="X565" s="190"/>
      <c r="Y565" s="10"/>
      <c r="Z565" s="10"/>
    </row>
    <row r="566" spans="1:26" ht="12.75" customHeight="1" x14ac:dyDescent="0.2">
      <c r="A566" s="11">
        <v>114</v>
      </c>
      <c r="B566" s="11">
        <v>2012</v>
      </c>
      <c r="C566" s="11">
        <v>30</v>
      </c>
      <c r="D566" s="11">
        <v>7</v>
      </c>
      <c r="E566" s="11" t="s">
        <v>29</v>
      </c>
      <c r="F566" s="11" t="s">
        <v>18</v>
      </c>
      <c r="G566" s="11">
        <v>122</v>
      </c>
      <c r="H566" s="15" t="s">
        <v>29</v>
      </c>
      <c r="I566" s="11">
        <v>3</v>
      </c>
      <c r="J566" s="11" t="s">
        <v>19</v>
      </c>
      <c r="K566" s="11" t="s">
        <v>20</v>
      </c>
      <c r="L566" s="11" t="s">
        <v>35</v>
      </c>
      <c r="M566" s="11" t="s">
        <v>46</v>
      </c>
      <c r="N566" s="11" t="s">
        <v>23</v>
      </c>
      <c r="O566" s="16" t="s">
        <v>29</v>
      </c>
      <c r="P566" s="11">
        <v>212</v>
      </c>
      <c r="Q566" s="8"/>
      <c r="R566">
        <v>11.38</v>
      </c>
      <c r="S566">
        <v>1474.77</v>
      </c>
      <c r="T566">
        <v>2.0299999999999998</v>
      </c>
      <c r="U566">
        <v>8.17</v>
      </c>
      <c r="V566">
        <v>113.83</v>
      </c>
      <c r="W566" s="317">
        <v>3.9</v>
      </c>
      <c r="X566" s="190">
        <f>I566*W566</f>
        <v>11.7</v>
      </c>
      <c r="Y566" s="10"/>
      <c r="Z566" s="10"/>
    </row>
    <row r="567" spans="1:26" ht="12.75" customHeight="1" x14ac:dyDescent="0.2">
      <c r="A567" s="11">
        <v>115</v>
      </c>
      <c r="B567" s="11">
        <v>2012</v>
      </c>
      <c r="C567" s="11">
        <v>1</v>
      </c>
      <c r="D567" s="11">
        <v>8</v>
      </c>
      <c r="E567" s="11" t="s">
        <v>29</v>
      </c>
      <c r="F567" s="11" t="s">
        <v>28</v>
      </c>
      <c r="G567" s="11" t="s">
        <v>29</v>
      </c>
      <c r="H567" s="15" t="s">
        <v>29</v>
      </c>
      <c r="I567" s="11" t="s">
        <v>29</v>
      </c>
      <c r="J567" s="11" t="s">
        <v>32</v>
      </c>
      <c r="K567" s="11" t="s">
        <v>29</v>
      </c>
      <c r="L567" s="11" t="s">
        <v>35</v>
      </c>
      <c r="M567" s="11" t="s">
        <v>29</v>
      </c>
      <c r="N567" s="11" t="s">
        <v>29</v>
      </c>
      <c r="O567" s="16" t="s">
        <v>29</v>
      </c>
      <c r="P567" s="11">
        <v>214</v>
      </c>
      <c r="Q567" s="8"/>
      <c r="W567" s="317"/>
      <c r="X567" s="10"/>
      <c r="Y567" s="10"/>
      <c r="Z567" s="10"/>
    </row>
    <row r="568" spans="1:26" ht="12.75" customHeight="1" x14ac:dyDescent="0.2">
      <c r="A568" s="11">
        <v>116</v>
      </c>
      <c r="B568" s="11">
        <v>2012</v>
      </c>
      <c r="C568" s="11">
        <v>1</v>
      </c>
      <c r="D568" s="11">
        <v>8</v>
      </c>
      <c r="E568" s="11" t="s">
        <v>29</v>
      </c>
      <c r="F568" s="11" t="s">
        <v>18</v>
      </c>
      <c r="G568" s="11">
        <v>126</v>
      </c>
      <c r="H568" s="15" t="s">
        <v>29</v>
      </c>
      <c r="I568" s="11">
        <v>5.8</v>
      </c>
      <c r="J568" s="11" t="s">
        <v>19</v>
      </c>
      <c r="K568" s="11" t="s">
        <v>20</v>
      </c>
      <c r="L568" s="11" t="s">
        <v>30</v>
      </c>
      <c r="M568" s="11" t="s">
        <v>46</v>
      </c>
      <c r="N568" s="11" t="s">
        <v>23</v>
      </c>
      <c r="O568" s="16" t="s">
        <v>29</v>
      </c>
      <c r="P568" s="11">
        <v>214</v>
      </c>
      <c r="Q568" s="8"/>
      <c r="R568">
        <v>11.76</v>
      </c>
      <c r="S568">
        <v>1624.64</v>
      </c>
      <c r="T568">
        <v>3.57</v>
      </c>
      <c r="U568">
        <v>8.44</v>
      </c>
      <c r="V568">
        <v>117.56</v>
      </c>
      <c r="W568" s="317">
        <v>4.5999999999999996</v>
      </c>
      <c r="X568" s="190">
        <f>I568*W568</f>
        <v>26.679999999999996</v>
      </c>
      <c r="Y568" s="10"/>
      <c r="Z568" s="10"/>
    </row>
    <row r="569" spans="1:26" ht="12.75" customHeight="1" x14ac:dyDescent="0.2">
      <c r="A569" s="11">
        <v>117</v>
      </c>
      <c r="B569" s="11">
        <v>2012</v>
      </c>
      <c r="C569" s="11">
        <v>1</v>
      </c>
      <c r="D569" s="11">
        <v>8</v>
      </c>
      <c r="E569" s="11" t="s">
        <v>29</v>
      </c>
      <c r="F569" s="11" t="s">
        <v>18</v>
      </c>
      <c r="G569" s="11">
        <v>127</v>
      </c>
      <c r="H569" s="15" t="s">
        <v>29</v>
      </c>
      <c r="I569" s="11">
        <v>4.3</v>
      </c>
      <c r="J569" s="11" t="s">
        <v>19</v>
      </c>
      <c r="K569" s="11" t="s">
        <v>20</v>
      </c>
      <c r="L569" s="11" t="s">
        <v>21</v>
      </c>
      <c r="M569" s="11" t="s">
        <v>46</v>
      </c>
      <c r="N569" s="11" t="s">
        <v>23</v>
      </c>
      <c r="O569" s="16" t="s">
        <v>29</v>
      </c>
      <c r="P569" s="11">
        <v>214</v>
      </c>
      <c r="Q569" s="8"/>
      <c r="R569">
        <v>11.85</v>
      </c>
      <c r="S569">
        <v>1663.63</v>
      </c>
      <c r="T569">
        <v>2.58</v>
      </c>
      <c r="U569">
        <v>8.51</v>
      </c>
      <c r="V569">
        <v>118.49</v>
      </c>
      <c r="W569" s="317">
        <v>3.9</v>
      </c>
      <c r="X569" s="190">
        <f>I569*W569</f>
        <v>16.77</v>
      </c>
      <c r="Y569" s="10"/>
      <c r="Z569" s="10"/>
    </row>
    <row r="570" spans="1:26" ht="12.75" customHeight="1" x14ac:dyDescent="0.2">
      <c r="A570" s="11">
        <v>118</v>
      </c>
      <c r="B570" s="11">
        <v>2012</v>
      </c>
      <c r="C570" s="11">
        <v>1</v>
      </c>
      <c r="D570" s="11">
        <v>8</v>
      </c>
      <c r="E570" s="11" t="s">
        <v>29</v>
      </c>
      <c r="F570" s="11" t="s">
        <v>18</v>
      </c>
      <c r="G570" s="11">
        <v>157</v>
      </c>
      <c r="H570" s="15" t="s">
        <v>29</v>
      </c>
      <c r="I570" s="11">
        <v>11.3</v>
      </c>
      <c r="J570" s="11" t="s">
        <v>19</v>
      </c>
      <c r="K570" s="11" t="s">
        <v>20</v>
      </c>
      <c r="L570" s="11" t="s">
        <v>30</v>
      </c>
      <c r="M570" s="11" t="s">
        <v>46</v>
      </c>
      <c r="N570" s="11" t="s">
        <v>23</v>
      </c>
      <c r="O570" s="16" t="s">
        <v>29</v>
      </c>
      <c r="P570" s="11">
        <v>214</v>
      </c>
      <c r="Q570" s="8"/>
      <c r="R570">
        <v>14.65</v>
      </c>
      <c r="S570">
        <v>3143</v>
      </c>
      <c r="T570">
        <v>3.6</v>
      </c>
      <c r="U570">
        <v>10.52</v>
      </c>
      <c r="V570">
        <v>146.47999999999999</v>
      </c>
      <c r="W570" s="317">
        <v>4.5999999999999996</v>
      </c>
      <c r="X570" s="190">
        <f>I570*W570</f>
        <v>51.98</v>
      </c>
      <c r="Y570" s="10"/>
      <c r="Z570" s="10"/>
    </row>
    <row r="571" spans="1:26" ht="12.75" customHeight="1" x14ac:dyDescent="0.2">
      <c r="A571" s="11">
        <v>119</v>
      </c>
      <c r="B571" s="11">
        <v>2012</v>
      </c>
      <c r="C571" s="11">
        <v>1</v>
      </c>
      <c r="D571" s="11">
        <v>8</v>
      </c>
      <c r="E571" s="11" t="s">
        <v>29</v>
      </c>
      <c r="F571" s="11" t="s">
        <v>18</v>
      </c>
      <c r="G571" s="11">
        <v>166</v>
      </c>
      <c r="H571" s="15" t="s">
        <v>29</v>
      </c>
      <c r="I571" s="11">
        <v>9.3000000000000007</v>
      </c>
      <c r="J571" s="11" t="s">
        <v>19</v>
      </c>
      <c r="K571" s="11" t="s">
        <v>20</v>
      </c>
      <c r="L571" s="11" t="s">
        <v>35</v>
      </c>
      <c r="M571" s="11" t="s">
        <v>46</v>
      </c>
      <c r="N571" s="11" t="s">
        <v>23</v>
      </c>
      <c r="O571" s="16" t="s">
        <v>29</v>
      </c>
      <c r="P571" s="11">
        <v>214</v>
      </c>
      <c r="Q571" s="8"/>
      <c r="R571">
        <v>15.49</v>
      </c>
      <c r="S571">
        <v>3715.09</v>
      </c>
      <c r="T571">
        <v>2.5</v>
      </c>
      <c r="U571">
        <v>11.12</v>
      </c>
      <c r="V571">
        <v>154.88</v>
      </c>
      <c r="W571" s="317">
        <v>3.9</v>
      </c>
      <c r="X571" s="190">
        <f>I571*W571</f>
        <v>36.270000000000003</v>
      </c>
      <c r="Y571" s="10"/>
      <c r="Z571" s="10"/>
    </row>
    <row r="572" spans="1:26" ht="12.75" customHeight="1" x14ac:dyDescent="0.2">
      <c r="A572" s="11">
        <v>120</v>
      </c>
      <c r="B572" s="11">
        <v>2012</v>
      </c>
      <c r="C572" s="11">
        <v>1</v>
      </c>
      <c r="D572" s="11">
        <v>8</v>
      </c>
      <c r="E572" s="11" t="s">
        <v>29</v>
      </c>
      <c r="F572" s="11" t="s">
        <v>18</v>
      </c>
      <c r="G572" s="11">
        <v>192</v>
      </c>
      <c r="H572" s="15" t="s">
        <v>29</v>
      </c>
      <c r="I572" s="11">
        <v>10.3</v>
      </c>
      <c r="J572" s="11" t="s">
        <v>32</v>
      </c>
      <c r="K572" s="11" t="s">
        <v>29</v>
      </c>
      <c r="L572" s="11" t="s">
        <v>29</v>
      </c>
      <c r="M572" s="11" t="s">
        <v>46</v>
      </c>
      <c r="N572" s="11" t="s">
        <v>24</v>
      </c>
      <c r="O572" s="16" t="s">
        <v>29</v>
      </c>
      <c r="P572" s="11">
        <v>214</v>
      </c>
      <c r="Q572" s="8"/>
      <c r="R572">
        <v>17.91</v>
      </c>
      <c r="S572">
        <v>5748.42</v>
      </c>
      <c r="T572">
        <v>1.79</v>
      </c>
      <c r="U572">
        <v>12.86</v>
      </c>
      <c r="V572">
        <v>179.14</v>
      </c>
      <c r="W572" s="10"/>
      <c r="X572" s="10"/>
      <c r="Y572" s="10"/>
      <c r="Z572" s="10"/>
    </row>
    <row r="573" spans="1:26" ht="12.75" customHeight="1" x14ac:dyDescent="0.2">
      <c r="A573" s="11">
        <v>121</v>
      </c>
      <c r="B573" s="11">
        <v>2012</v>
      </c>
      <c r="C573" s="11">
        <v>1</v>
      </c>
      <c r="D573" s="11">
        <v>8</v>
      </c>
      <c r="E573" s="11" t="s">
        <v>29</v>
      </c>
      <c r="F573" s="11" t="s">
        <v>18</v>
      </c>
      <c r="G573" s="11">
        <v>146</v>
      </c>
      <c r="H573" s="15" t="s">
        <v>29</v>
      </c>
      <c r="I573" s="11">
        <v>11</v>
      </c>
      <c r="J573" s="11" t="s">
        <v>19</v>
      </c>
      <c r="K573" s="11" t="s">
        <v>20</v>
      </c>
      <c r="L573" s="11" t="s">
        <v>30</v>
      </c>
      <c r="M573" s="11" t="s">
        <v>46</v>
      </c>
      <c r="N573" s="11" t="s">
        <v>23</v>
      </c>
      <c r="O573" s="16" t="s">
        <v>29</v>
      </c>
      <c r="P573" s="11">
        <v>214</v>
      </c>
      <c r="Q573" s="8"/>
      <c r="R573">
        <v>13.62</v>
      </c>
      <c r="S573">
        <v>2527.5700000000002</v>
      </c>
      <c r="T573">
        <v>4.3499999999999996</v>
      </c>
      <c r="U573">
        <v>9.7799999999999994</v>
      </c>
      <c r="V573">
        <v>136.22</v>
      </c>
      <c r="W573" s="317">
        <v>4.5999999999999996</v>
      </c>
      <c r="X573" s="190">
        <f>I573*W573</f>
        <v>50.599999999999994</v>
      </c>
      <c r="Y573" s="10"/>
      <c r="Z573" s="10"/>
    </row>
    <row r="574" spans="1:26" ht="12.75" customHeight="1" x14ac:dyDescent="0.2">
      <c r="A574" s="11">
        <v>122</v>
      </c>
      <c r="B574" s="11">
        <v>2012</v>
      </c>
      <c r="C574" s="11">
        <v>1</v>
      </c>
      <c r="D574" s="11">
        <v>8</v>
      </c>
      <c r="E574" s="11" t="s">
        <v>29</v>
      </c>
      <c r="F574" s="11" t="s">
        <v>18</v>
      </c>
      <c r="G574" s="11">
        <v>186</v>
      </c>
      <c r="H574" s="15" t="s">
        <v>29</v>
      </c>
      <c r="I574" s="11">
        <v>12</v>
      </c>
      <c r="J574" s="11" t="s">
        <v>32</v>
      </c>
      <c r="K574" s="11" t="s">
        <v>29</v>
      </c>
      <c r="L574" s="11" t="s">
        <v>29</v>
      </c>
      <c r="M574" s="11" t="s">
        <v>45</v>
      </c>
      <c r="N574" s="11" t="s">
        <v>25</v>
      </c>
      <c r="O574" s="16" t="s">
        <v>29</v>
      </c>
      <c r="P574" s="11">
        <v>214</v>
      </c>
      <c r="Q574" s="8"/>
      <c r="R574">
        <v>17.350000000000001</v>
      </c>
      <c r="S574">
        <v>5226.17</v>
      </c>
      <c r="T574">
        <v>2.2999999999999998</v>
      </c>
      <c r="U574">
        <v>12.46</v>
      </c>
      <c r="V574">
        <v>173.54</v>
      </c>
      <c r="W574" s="10"/>
      <c r="X574" s="10"/>
      <c r="Y574" s="10"/>
      <c r="Z574" s="10"/>
    </row>
    <row r="575" spans="1:26" ht="12.75" customHeight="1" x14ac:dyDescent="0.2">
      <c r="A575" s="11">
        <v>123</v>
      </c>
      <c r="B575" s="11">
        <v>2012</v>
      </c>
      <c r="C575" s="11">
        <v>1</v>
      </c>
      <c r="D575" s="11">
        <v>8</v>
      </c>
      <c r="E575" s="11" t="s">
        <v>29</v>
      </c>
      <c r="F575" s="11" t="s">
        <v>18</v>
      </c>
      <c r="G575" s="11">
        <v>158</v>
      </c>
      <c r="H575" s="15" t="s">
        <v>29</v>
      </c>
      <c r="I575" s="11">
        <v>8</v>
      </c>
      <c r="J575" s="11" t="s">
        <v>19</v>
      </c>
      <c r="K575" s="11" t="s">
        <v>20</v>
      </c>
      <c r="L575" s="11" t="s">
        <v>21</v>
      </c>
      <c r="M575" s="11" t="s">
        <v>27</v>
      </c>
      <c r="N575" s="11" t="s">
        <v>39</v>
      </c>
      <c r="O575" s="16" t="s">
        <v>29</v>
      </c>
      <c r="P575" s="11">
        <v>214</v>
      </c>
      <c r="Q575" s="8"/>
      <c r="R575">
        <v>14.74</v>
      </c>
      <c r="S575">
        <v>3203.44</v>
      </c>
      <c r="T575">
        <v>2.5</v>
      </c>
      <c r="U575">
        <v>10.59</v>
      </c>
      <c r="V575">
        <v>147.41</v>
      </c>
      <c r="W575" s="317">
        <v>3.9</v>
      </c>
      <c r="X575" s="190">
        <f>I575*W575</f>
        <v>31.2</v>
      </c>
      <c r="Y575" s="10"/>
      <c r="Z575" s="10"/>
    </row>
    <row r="576" spans="1:26" ht="12.75" customHeight="1" x14ac:dyDescent="0.2">
      <c r="A576" s="11">
        <v>124</v>
      </c>
      <c r="B576" s="11">
        <v>2012</v>
      </c>
      <c r="C576" s="11">
        <v>1</v>
      </c>
      <c r="D576" s="11">
        <v>8</v>
      </c>
      <c r="E576" s="11" t="s">
        <v>29</v>
      </c>
      <c r="F576" s="11" t="s">
        <v>18</v>
      </c>
      <c r="G576" s="11">
        <v>193</v>
      </c>
      <c r="H576" s="15" t="s">
        <v>29</v>
      </c>
      <c r="I576" s="11">
        <v>15</v>
      </c>
      <c r="J576" s="11" t="s">
        <v>32</v>
      </c>
      <c r="K576" s="11" t="s">
        <v>29</v>
      </c>
      <c r="L576" s="11" t="s">
        <v>29</v>
      </c>
      <c r="M576" s="11" t="s">
        <v>27</v>
      </c>
      <c r="N576" s="11" t="s">
        <v>24</v>
      </c>
      <c r="O576" s="16" t="s">
        <v>29</v>
      </c>
      <c r="P576" s="11">
        <v>214</v>
      </c>
      <c r="Q576" s="8"/>
      <c r="R576">
        <v>18.010000000000002</v>
      </c>
      <c r="S576">
        <v>5838.71</v>
      </c>
      <c r="T576">
        <v>2.57</v>
      </c>
      <c r="U576">
        <v>12.93</v>
      </c>
      <c r="V576">
        <v>180.07</v>
      </c>
      <c r="W576" s="10"/>
      <c r="X576" s="10"/>
      <c r="Y576" s="10"/>
      <c r="Z576" s="10"/>
    </row>
    <row r="577" spans="1:26" ht="12.75" customHeight="1" x14ac:dyDescent="0.2">
      <c r="A577" s="11">
        <v>125</v>
      </c>
      <c r="B577" s="11">
        <v>2012</v>
      </c>
      <c r="C577" s="11">
        <v>1</v>
      </c>
      <c r="D577" s="11">
        <v>8</v>
      </c>
      <c r="E577" s="11" t="s">
        <v>29</v>
      </c>
      <c r="F577" s="11" t="s">
        <v>28</v>
      </c>
      <c r="G577" s="11" t="s">
        <v>29</v>
      </c>
      <c r="H577" s="15" t="s">
        <v>29</v>
      </c>
      <c r="I577" s="11" t="s">
        <v>29</v>
      </c>
      <c r="J577" s="11" t="s">
        <v>19</v>
      </c>
      <c r="K577" s="11" t="s">
        <v>20</v>
      </c>
      <c r="L577" s="11" t="s">
        <v>21</v>
      </c>
      <c r="M577" s="11" t="s">
        <v>29</v>
      </c>
      <c r="N577" s="11" t="s">
        <v>29</v>
      </c>
      <c r="O577" s="16" t="s">
        <v>29</v>
      </c>
      <c r="P577" s="11">
        <v>214</v>
      </c>
      <c r="Q577" s="8"/>
      <c r="W577" s="317">
        <v>3.9</v>
      </c>
      <c r="X577" s="190"/>
      <c r="Y577" s="10"/>
      <c r="Z577" s="10"/>
    </row>
    <row r="578" spans="1:26" ht="12.75" customHeight="1" x14ac:dyDescent="0.2">
      <c r="A578" s="11">
        <v>126</v>
      </c>
      <c r="B578" s="11">
        <v>2012</v>
      </c>
      <c r="C578" s="11">
        <v>1</v>
      </c>
      <c r="D578" s="11">
        <v>8</v>
      </c>
      <c r="E578" s="11" t="s">
        <v>29</v>
      </c>
      <c r="F578" s="11" t="s">
        <v>18</v>
      </c>
      <c r="G578" s="11">
        <v>166</v>
      </c>
      <c r="H578" s="15" t="s">
        <v>29</v>
      </c>
      <c r="I578" s="11">
        <v>9.5</v>
      </c>
      <c r="J578" s="11" t="s">
        <v>32</v>
      </c>
      <c r="K578" s="11" t="s">
        <v>29</v>
      </c>
      <c r="L578" s="11" t="s">
        <v>29</v>
      </c>
      <c r="M578" s="11" t="s">
        <v>45</v>
      </c>
      <c r="N578" s="11" t="s">
        <v>24</v>
      </c>
      <c r="O578" s="16" t="s">
        <v>29</v>
      </c>
      <c r="P578" s="11">
        <v>214</v>
      </c>
      <c r="Q578" s="8"/>
      <c r="R578">
        <v>15.49</v>
      </c>
      <c r="S578">
        <v>3715.09</v>
      </c>
      <c r="T578">
        <v>2.56</v>
      </c>
      <c r="U578">
        <v>11.12</v>
      </c>
      <c r="V578">
        <v>154.88</v>
      </c>
      <c r="W578" s="10"/>
      <c r="X578" s="10"/>
      <c r="Y578" s="10"/>
      <c r="Z578" s="10"/>
    </row>
    <row r="579" spans="1:26" ht="12.75" customHeight="1" x14ac:dyDescent="0.2">
      <c r="A579" s="11">
        <v>127</v>
      </c>
      <c r="B579" s="11">
        <v>2012</v>
      </c>
      <c r="C579" s="11">
        <v>1</v>
      </c>
      <c r="D579" s="11">
        <v>8</v>
      </c>
      <c r="E579" s="11" t="s">
        <v>29</v>
      </c>
      <c r="F579" s="11" t="s">
        <v>28</v>
      </c>
      <c r="G579" s="11" t="s">
        <v>29</v>
      </c>
      <c r="H579" s="15" t="s">
        <v>29</v>
      </c>
      <c r="I579" s="11" t="s">
        <v>29</v>
      </c>
      <c r="J579" s="11" t="s">
        <v>19</v>
      </c>
      <c r="K579" s="11" t="s">
        <v>20</v>
      </c>
      <c r="L579" s="11" t="s">
        <v>21</v>
      </c>
      <c r="M579" s="11" t="s">
        <v>29</v>
      </c>
      <c r="N579" s="11" t="s">
        <v>39</v>
      </c>
      <c r="O579" s="16" t="s">
        <v>29</v>
      </c>
      <c r="P579" s="11">
        <v>214</v>
      </c>
      <c r="Q579" s="8"/>
      <c r="W579" s="317">
        <v>3.9</v>
      </c>
      <c r="X579" s="190"/>
      <c r="Y579" s="10"/>
      <c r="Z579" s="10"/>
    </row>
    <row r="580" spans="1:26" ht="12.75" customHeight="1" x14ac:dyDescent="0.2">
      <c r="A580" s="11">
        <v>128</v>
      </c>
      <c r="B580" s="11">
        <v>2012</v>
      </c>
      <c r="C580" s="11">
        <v>1</v>
      </c>
      <c r="D580" s="11">
        <v>8</v>
      </c>
      <c r="E580" s="11" t="s">
        <v>29</v>
      </c>
      <c r="F580" s="11" t="s">
        <v>18</v>
      </c>
      <c r="G580" s="11">
        <v>149</v>
      </c>
      <c r="H580" s="15" t="s">
        <v>29</v>
      </c>
      <c r="I580" s="11">
        <v>8.9</v>
      </c>
      <c r="J580" s="11" t="s">
        <v>19</v>
      </c>
      <c r="K580" s="11" t="s">
        <v>20</v>
      </c>
      <c r="L580" s="11" t="s">
        <v>21</v>
      </c>
      <c r="M580" s="11" t="s">
        <v>45</v>
      </c>
      <c r="N580" s="11" t="s">
        <v>23</v>
      </c>
      <c r="O580" s="16" t="s">
        <v>29</v>
      </c>
      <c r="P580" s="11">
        <v>214</v>
      </c>
      <c r="Q580" s="8"/>
      <c r="R580">
        <v>13.9</v>
      </c>
      <c r="S580">
        <v>2686.6</v>
      </c>
      <c r="T580">
        <v>3.31</v>
      </c>
      <c r="U580">
        <v>9.98</v>
      </c>
      <c r="V580">
        <v>139.02000000000001</v>
      </c>
      <c r="W580" s="317">
        <v>3.9</v>
      </c>
      <c r="X580" s="190">
        <f t="shared" ref="X580:X585" si="19">I580*W580</f>
        <v>34.71</v>
      </c>
      <c r="Y580" s="10"/>
      <c r="Z580" s="10"/>
    </row>
    <row r="581" spans="1:26" ht="12.75" customHeight="1" x14ac:dyDescent="0.2">
      <c r="A581" s="11">
        <v>129</v>
      </c>
      <c r="B581" s="11">
        <v>2012</v>
      </c>
      <c r="C581" s="11">
        <v>1</v>
      </c>
      <c r="D581" s="11">
        <v>8</v>
      </c>
      <c r="E581" s="11" t="s">
        <v>29</v>
      </c>
      <c r="F581" s="11" t="s">
        <v>18</v>
      </c>
      <c r="G581" s="11">
        <v>155</v>
      </c>
      <c r="H581" s="15" t="s">
        <v>29</v>
      </c>
      <c r="I581" s="11">
        <v>8</v>
      </c>
      <c r="J581" s="11" t="s">
        <v>19</v>
      </c>
      <c r="K581" s="11" t="s">
        <v>20</v>
      </c>
      <c r="L581" s="11" t="s">
        <v>21</v>
      </c>
      <c r="M581" s="11" t="s">
        <v>27</v>
      </c>
      <c r="N581" s="11" t="s">
        <v>23</v>
      </c>
      <c r="O581" s="16" t="s">
        <v>29</v>
      </c>
      <c r="P581" s="11">
        <v>214</v>
      </c>
      <c r="Q581" s="8"/>
      <c r="R581">
        <v>14.46</v>
      </c>
      <c r="S581">
        <v>3024.41</v>
      </c>
      <c r="T581">
        <v>2.65</v>
      </c>
      <c r="U581">
        <v>10.39</v>
      </c>
      <c r="V581">
        <v>144.62</v>
      </c>
      <c r="W581" s="317">
        <v>3.9</v>
      </c>
      <c r="X581" s="190">
        <f t="shared" si="19"/>
        <v>31.2</v>
      </c>
      <c r="Y581" s="10"/>
      <c r="Z581" s="10"/>
    </row>
    <row r="582" spans="1:26" ht="12.75" customHeight="1" x14ac:dyDescent="0.2">
      <c r="A582" s="11">
        <v>130</v>
      </c>
      <c r="B582" s="11">
        <v>2012</v>
      </c>
      <c r="C582" s="11">
        <v>1</v>
      </c>
      <c r="D582" s="11">
        <v>8</v>
      </c>
      <c r="E582" s="11" t="s">
        <v>29</v>
      </c>
      <c r="F582" s="11" t="s">
        <v>18</v>
      </c>
      <c r="G582" s="11">
        <v>161</v>
      </c>
      <c r="H582" s="15" t="s">
        <v>29</v>
      </c>
      <c r="I582" s="11">
        <v>11.3</v>
      </c>
      <c r="J582" s="11" t="s">
        <v>19</v>
      </c>
      <c r="K582" s="11" t="s">
        <v>20</v>
      </c>
      <c r="L582" s="11" t="s">
        <v>21</v>
      </c>
      <c r="M582" s="11" t="s">
        <v>27</v>
      </c>
      <c r="N582" s="11" t="s">
        <v>24</v>
      </c>
      <c r="O582" s="16" t="s">
        <v>29</v>
      </c>
      <c r="P582" s="11">
        <v>214</v>
      </c>
      <c r="Q582" s="8"/>
      <c r="R582">
        <v>15.02</v>
      </c>
      <c r="S582">
        <v>3389.4</v>
      </c>
      <c r="T582">
        <v>3.33</v>
      </c>
      <c r="U582">
        <v>10.79</v>
      </c>
      <c r="V582">
        <v>150.21</v>
      </c>
      <c r="W582" s="317">
        <v>3.9</v>
      </c>
      <c r="X582" s="190">
        <f t="shared" si="19"/>
        <v>44.07</v>
      </c>
      <c r="Y582" s="10"/>
      <c r="Z582" s="10"/>
    </row>
    <row r="583" spans="1:26" ht="12.75" customHeight="1" x14ac:dyDescent="0.2">
      <c r="A583" s="11">
        <v>131</v>
      </c>
      <c r="B583" s="11">
        <v>2012</v>
      </c>
      <c r="C583" s="11">
        <v>1</v>
      </c>
      <c r="D583" s="11">
        <v>8</v>
      </c>
      <c r="E583" s="11" t="s">
        <v>29</v>
      </c>
      <c r="F583" s="11" t="s">
        <v>18</v>
      </c>
      <c r="G583" s="11">
        <v>145</v>
      </c>
      <c r="H583" s="15" t="s">
        <v>29</v>
      </c>
      <c r="I583" s="11">
        <v>9</v>
      </c>
      <c r="J583" s="11" t="s">
        <v>19</v>
      </c>
      <c r="K583" s="11" t="s">
        <v>20</v>
      </c>
      <c r="L583" s="11" t="s">
        <v>30</v>
      </c>
      <c r="M583" s="11" t="s">
        <v>27</v>
      </c>
      <c r="N583" s="11" t="s">
        <v>33</v>
      </c>
      <c r="O583" s="16" t="s">
        <v>29</v>
      </c>
      <c r="P583" s="11">
        <v>214</v>
      </c>
      <c r="Q583" s="8"/>
      <c r="R583">
        <v>13.53</v>
      </c>
      <c r="S583">
        <v>2475.9899999999998</v>
      </c>
      <c r="T583">
        <v>3.63</v>
      </c>
      <c r="U583">
        <v>9.7200000000000006</v>
      </c>
      <c r="V583">
        <v>135.29</v>
      </c>
      <c r="W583" s="317">
        <v>4.5999999999999996</v>
      </c>
      <c r="X583" s="190">
        <f t="shared" si="19"/>
        <v>41.4</v>
      </c>
      <c r="Y583" s="10"/>
      <c r="Z583" s="10"/>
    </row>
    <row r="584" spans="1:26" ht="12.75" customHeight="1" x14ac:dyDescent="0.2">
      <c r="A584" s="11">
        <v>132</v>
      </c>
      <c r="B584" s="11">
        <v>2012</v>
      </c>
      <c r="C584" s="11">
        <v>1</v>
      </c>
      <c r="D584" s="11">
        <v>8</v>
      </c>
      <c r="E584" s="11" t="s">
        <v>29</v>
      </c>
      <c r="F584" s="11" t="s">
        <v>18</v>
      </c>
      <c r="G584" s="11">
        <v>147</v>
      </c>
      <c r="H584" s="15" t="s">
        <v>29</v>
      </c>
      <c r="I584" s="11">
        <v>7.2</v>
      </c>
      <c r="J584" s="11" t="s">
        <v>19</v>
      </c>
      <c r="K584" s="11" t="s">
        <v>20</v>
      </c>
      <c r="L584" s="11" t="s">
        <v>21</v>
      </c>
      <c r="M584" s="11" t="s">
        <v>47</v>
      </c>
      <c r="N584" s="11" t="s">
        <v>24</v>
      </c>
      <c r="O584" s="16" t="s">
        <v>29</v>
      </c>
      <c r="P584" s="11">
        <v>214</v>
      </c>
      <c r="Q584" s="8"/>
      <c r="R584">
        <v>13.72</v>
      </c>
      <c r="S584">
        <v>2579.86</v>
      </c>
      <c r="T584">
        <v>2.79</v>
      </c>
      <c r="U584">
        <v>9.85</v>
      </c>
      <c r="V584">
        <v>137.15</v>
      </c>
      <c r="W584" s="317">
        <v>3.9</v>
      </c>
      <c r="X584" s="190">
        <f t="shared" si="19"/>
        <v>28.08</v>
      </c>
      <c r="Y584" s="10"/>
      <c r="Z584" s="10"/>
    </row>
    <row r="585" spans="1:26" ht="12.75" customHeight="1" x14ac:dyDescent="0.2">
      <c r="A585" s="11">
        <v>133</v>
      </c>
      <c r="B585" s="11">
        <v>2012</v>
      </c>
      <c r="C585" s="11">
        <v>1</v>
      </c>
      <c r="D585" s="11">
        <v>8</v>
      </c>
      <c r="E585" s="11" t="s">
        <v>29</v>
      </c>
      <c r="F585" s="11" t="s">
        <v>18</v>
      </c>
      <c r="G585" s="11">
        <v>167</v>
      </c>
      <c r="H585" s="15" t="s">
        <v>29</v>
      </c>
      <c r="I585" s="11">
        <v>9.5</v>
      </c>
      <c r="J585" s="11" t="s">
        <v>19</v>
      </c>
      <c r="K585" s="11" t="s">
        <v>20</v>
      </c>
      <c r="L585" s="11" t="s">
        <v>21</v>
      </c>
      <c r="M585" s="11" t="s">
        <v>27</v>
      </c>
      <c r="N585" s="11" t="s">
        <v>48</v>
      </c>
      <c r="O585" s="16" t="s">
        <v>29</v>
      </c>
      <c r="P585" s="11">
        <v>214</v>
      </c>
      <c r="Q585" s="8"/>
      <c r="R585">
        <v>15.58</v>
      </c>
      <c r="S585">
        <v>3782.63</v>
      </c>
      <c r="T585">
        <v>2.5099999999999998</v>
      </c>
      <c r="U585">
        <v>11.19</v>
      </c>
      <c r="V585">
        <v>155.81</v>
      </c>
      <c r="W585" s="317">
        <v>3.9</v>
      </c>
      <c r="X585" s="190">
        <f t="shared" si="19"/>
        <v>37.049999999999997</v>
      </c>
      <c r="Y585" s="10"/>
      <c r="Z585" s="10"/>
    </row>
    <row r="586" spans="1:26" ht="12.75" customHeight="1" x14ac:dyDescent="0.2">
      <c r="A586" s="11">
        <v>134</v>
      </c>
      <c r="B586" s="11">
        <v>2012</v>
      </c>
      <c r="C586" s="11">
        <v>1</v>
      </c>
      <c r="D586" s="11">
        <v>8</v>
      </c>
      <c r="E586" s="11" t="s">
        <v>29</v>
      </c>
      <c r="F586" s="11" t="s">
        <v>18</v>
      </c>
      <c r="G586" s="11">
        <v>186</v>
      </c>
      <c r="H586" s="15" t="s">
        <v>29</v>
      </c>
      <c r="I586" s="11">
        <v>11.6</v>
      </c>
      <c r="J586" s="11" t="s">
        <v>32</v>
      </c>
      <c r="K586" s="11" t="s">
        <v>29</v>
      </c>
      <c r="L586" s="11" t="s">
        <v>29</v>
      </c>
      <c r="M586" s="11" t="s">
        <v>27</v>
      </c>
      <c r="N586" s="11" t="s">
        <v>24</v>
      </c>
      <c r="O586" s="16" t="s">
        <v>29</v>
      </c>
      <c r="P586" s="11">
        <v>214</v>
      </c>
      <c r="Q586" s="8"/>
      <c r="R586">
        <v>17.350000000000001</v>
      </c>
      <c r="S586">
        <v>5226.17</v>
      </c>
      <c r="T586">
        <v>2.2200000000000002</v>
      </c>
      <c r="U586">
        <v>12.46</v>
      </c>
      <c r="V586">
        <v>173.54</v>
      </c>
      <c r="W586" s="10"/>
      <c r="X586" s="10"/>
      <c r="Y586" s="10"/>
      <c r="Z586" s="10"/>
    </row>
    <row r="587" spans="1:26" ht="12.75" customHeight="1" x14ac:dyDescent="0.2">
      <c r="A587" s="11">
        <v>135</v>
      </c>
      <c r="B587" s="11">
        <v>2012</v>
      </c>
      <c r="C587" s="11">
        <v>1</v>
      </c>
      <c r="D587" s="11">
        <v>8</v>
      </c>
      <c r="E587" s="11" t="s">
        <v>29</v>
      </c>
      <c r="F587" s="11" t="s">
        <v>18</v>
      </c>
      <c r="G587" s="11">
        <v>184</v>
      </c>
      <c r="H587" s="15" t="s">
        <v>29</v>
      </c>
      <c r="I587" s="11">
        <v>17</v>
      </c>
      <c r="J587" s="11" t="s">
        <v>19</v>
      </c>
      <c r="K587" s="11" t="s">
        <v>20</v>
      </c>
      <c r="L587" s="11" t="s">
        <v>21</v>
      </c>
      <c r="M587" s="11" t="s">
        <v>46</v>
      </c>
      <c r="N587" s="11" t="s">
        <v>24</v>
      </c>
      <c r="O587" s="16" t="s">
        <v>29</v>
      </c>
      <c r="P587" s="11">
        <v>214</v>
      </c>
      <c r="Q587" s="8"/>
      <c r="R587">
        <v>17.170000000000002</v>
      </c>
      <c r="S587">
        <v>5059.3900000000003</v>
      </c>
      <c r="T587">
        <v>3.36</v>
      </c>
      <c r="U587">
        <v>12.33</v>
      </c>
      <c r="V587">
        <v>171.67</v>
      </c>
      <c r="W587" s="317">
        <v>3.9</v>
      </c>
      <c r="X587" s="190">
        <f>I587*W587</f>
        <v>66.3</v>
      </c>
      <c r="Y587" s="10"/>
      <c r="Z587" s="10"/>
    </row>
    <row r="588" spans="1:26" ht="12.75" customHeight="1" x14ac:dyDescent="0.2">
      <c r="A588" s="11">
        <v>136</v>
      </c>
      <c r="B588" s="11">
        <v>2012</v>
      </c>
      <c r="C588" s="11">
        <v>1</v>
      </c>
      <c r="D588" s="11">
        <v>8</v>
      </c>
      <c r="E588" s="11" t="s">
        <v>29</v>
      </c>
      <c r="F588" s="11" t="s">
        <v>18</v>
      </c>
      <c r="G588" s="11">
        <v>160</v>
      </c>
      <c r="H588" s="15" t="s">
        <v>29</v>
      </c>
      <c r="I588" s="11">
        <v>16</v>
      </c>
      <c r="J588" s="11" t="s">
        <v>19</v>
      </c>
      <c r="K588" s="11" t="s">
        <v>34</v>
      </c>
      <c r="L588" s="11" t="s">
        <v>50</v>
      </c>
      <c r="M588" s="11" t="s">
        <v>27</v>
      </c>
      <c r="N588" s="11" t="s">
        <v>25</v>
      </c>
      <c r="O588" s="16" t="s">
        <v>29</v>
      </c>
      <c r="P588" s="11">
        <v>214</v>
      </c>
      <c r="Q588" s="8"/>
      <c r="R588">
        <v>14.93</v>
      </c>
      <c r="S588">
        <v>3326.63</v>
      </c>
      <c r="T588">
        <v>4.8099999999999996</v>
      </c>
      <c r="U588">
        <v>10.72</v>
      </c>
      <c r="V588">
        <v>149.28</v>
      </c>
      <c r="W588" s="317">
        <v>3.8</v>
      </c>
      <c r="X588" s="190">
        <f>I588*W588</f>
        <v>60.8</v>
      </c>
      <c r="Y588" s="10"/>
      <c r="Z588" s="10"/>
    </row>
    <row r="589" spans="1:26" ht="12.75" customHeight="1" x14ac:dyDescent="0.2">
      <c r="A589" s="11">
        <v>137</v>
      </c>
      <c r="B589" s="11">
        <v>2012</v>
      </c>
      <c r="C589" s="11">
        <v>1</v>
      </c>
      <c r="D589" s="11">
        <v>8</v>
      </c>
      <c r="E589" s="11" t="s">
        <v>29</v>
      </c>
      <c r="F589" s="11" t="s">
        <v>18</v>
      </c>
      <c r="G589" s="11">
        <v>141</v>
      </c>
      <c r="H589" s="15" t="s">
        <v>29</v>
      </c>
      <c r="I589" s="11">
        <v>6.5</v>
      </c>
      <c r="J589" s="11" t="s">
        <v>19</v>
      </c>
      <c r="K589" s="11" t="s">
        <v>20</v>
      </c>
      <c r="L589" s="11" t="s">
        <v>21</v>
      </c>
      <c r="M589" s="11" t="s">
        <v>27</v>
      </c>
      <c r="N589" s="11" t="s">
        <v>29</v>
      </c>
      <c r="O589" s="16" t="s">
        <v>29</v>
      </c>
      <c r="P589" s="11">
        <v>214</v>
      </c>
      <c r="Q589" s="8"/>
      <c r="R589">
        <v>13.16</v>
      </c>
      <c r="S589">
        <v>2276.6799999999998</v>
      </c>
      <c r="T589">
        <v>2.86</v>
      </c>
      <c r="U589">
        <v>9.4499999999999993</v>
      </c>
      <c r="V589">
        <v>131.55000000000001</v>
      </c>
      <c r="W589" s="317">
        <v>3.9</v>
      </c>
      <c r="X589" s="190">
        <f>I589*W589</f>
        <v>25.349999999999998</v>
      </c>
      <c r="Y589" s="10"/>
      <c r="Z589" s="10"/>
    </row>
    <row r="590" spans="1:26" ht="12.75" customHeight="1" x14ac:dyDescent="0.2">
      <c r="A590" s="11">
        <v>138</v>
      </c>
      <c r="B590" s="11">
        <v>2012</v>
      </c>
      <c r="C590" s="11">
        <v>1</v>
      </c>
      <c r="D590" s="11">
        <v>8</v>
      </c>
      <c r="E590" s="11" t="s">
        <v>29</v>
      </c>
      <c r="F590" s="11" t="s">
        <v>18</v>
      </c>
      <c r="G590" s="11">
        <v>170</v>
      </c>
      <c r="H590" s="15" t="s">
        <v>29</v>
      </c>
      <c r="I590" s="11">
        <v>13</v>
      </c>
      <c r="J590" s="11" t="s">
        <v>32</v>
      </c>
      <c r="K590" s="11" t="s">
        <v>29</v>
      </c>
      <c r="L590" s="11" t="s">
        <v>29</v>
      </c>
      <c r="M590" s="11" t="s">
        <v>45</v>
      </c>
      <c r="N590" s="11" t="s">
        <v>25</v>
      </c>
      <c r="O590" s="16" t="s">
        <v>29</v>
      </c>
      <c r="P590" s="11">
        <v>214</v>
      </c>
      <c r="Q590" s="8"/>
      <c r="R590">
        <v>15.86</v>
      </c>
      <c r="S590">
        <v>3990.17</v>
      </c>
      <c r="T590">
        <v>3.26</v>
      </c>
      <c r="U590">
        <v>11.39</v>
      </c>
      <c r="V590">
        <v>158.61000000000001</v>
      </c>
      <c r="W590" s="10"/>
      <c r="X590" s="10"/>
      <c r="Y590" s="10"/>
      <c r="Z590" s="10"/>
    </row>
    <row r="591" spans="1:26" ht="12.75" customHeight="1" x14ac:dyDescent="0.2">
      <c r="A591" s="11">
        <v>139</v>
      </c>
      <c r="B591" s="11">
        <v>2012</v>
      </c>
      <c r="C591" s="11">
        <v>1</v>
      </c>
      <c r="D591" s="11">
        <v>8</v>
      </c>
      <c r="E591" s="11" t="s">
        <v>29</v>
      </c>
      <c r="F591" s="11" t="s">
        <v>18</v>
      </c>
      <c r="G591" s="11">
        <v>150</v>
      </c>
      <c r="H591" s="15" t="s">
        <v>29</v>
      </c>
      <c r="I591" s="11">
        <v>8.5</v>
      </c>
      <c r="J591" s="11" t="s">
        <v>19</v>
      </c>
      <c r="K591" s="11" t="s">
        <v>20</v>
      </c>
      <c r="L591" s="11" t="s">
        <v>21</v>
      </c>
      <c r="M591" s="11" t="s">
        <v>27</v>
      </c>
      <c r="N591" s="11" t="s">
        <v>48</v>
      </c>
      <c r="O591" s="16" t="s">
        <v>29</v>
      </c>
      <c r="P591" s="11">
        <v>214</v>
      </c>
      <c r="Q591" s="8"/>
      <c r="R591">
        <v>14</v>
      </c>
      <c r="S591">
        <v>2741.06</v>
      </c>
      <c r="T591">
        <v>3.1</v>
      </c>
      <c r="U591">
        <v>10.050000000000001</v>
      </c>
      <c r="V591">
        <v>139.94999999999999</v>
      </c>
      <c r="W591" s="317">
        <v>3.9</v>
      </c>
      <c r="X591" s="190">
        <f>I591*W591</f>
        <v>33.15</v>
      </c>
      <c r="Y591" s="10"/>
      <c r="Z591" s="10"/>
    </row>
    <row r="592" spans="1:26" ht="12.75" customHeight="1" x14ac:dyDescent="0.2">
      <c r="A592" s="11">
        <v>140</v>
      </c>
      <c r="B592" s="11">
        <v>2012</v>
      </c>
      <c r="C592" s="11">
        <v>1</v>
      </c>
      <c r="D592" s="11">
        <v>8</v>
      </c>
      <c r="E592" s="11" t="s">
        <v>29</v>
      </c>
      <c r="F592" s="11" t="s">
        <v>18</v>
      </c>
      <c r="G592" s="11">
        <v>103</v>
      </c>
      <c r="H592" s="15" t="s">
        <v>29</v>
      </c>
      <c r="I592" s="11">
        <v>2.8</v>
      </c>
      <c r="J592" s="11" t="s">
        <v>19</v>
      </c>
      <c r="K592" s="11" t="s">
        <v>41</v>
      </c>
      <c r="L592" s="11" t="s">
        <v>35</v>
      </c>
      <c r="M592" s="11" t="s">
        <v>27</v>
      </c>
      <c r="N592" s="11" t="s">
        <v>25</v>
      </c>
      <c r="O592" s="16" t="s">
        <v>29</v>
      </c>
      <c r="P592" s="11">
        <v>214</v>
      </c>
      <c r="Q592" s="8"/>
      <c r="R592">
        <v>9.61</v>
      </c>
      <c r="S592">
        <v>887.48</v>
      </c>
      <c r="T592">
        <v>3.16</v>
      </c>
      <c r="U592">
        <v>6.9</v>
      </c>
      <c r="V592">
        <v>96.1</v>
      </c>
      <c r="W592" s="317"/>
      <c r="X592" s="10"/>
      <c r="Y592" s="10"/>
      <c r="Z592" s="10"/>
    </row>
    <row r="593" spans="1:26" ht="12.75" customHeight="1" x14ac:dyDescent="0.2">
      <c r="A593" s="11">
        <v>141</v>
      </c>
      <c r="B593" s="11">
        <v>2012</v>
      </c>
      <c r="C593" s="11">
        <v>2</v>
      </c>
      <c r="D593" s="11">
        <v>8</v>
      </c>
      <c r="E593" s="11" t="s">
        <v>29</v>
      </c>
      <c r="F593" s="11" t="s">
        <v>18</v>
      </c>
      <c r="G593" s="11">
        <v>155</v>
      </c>
      <c r="H593" s="15" t="s">
        <v>29</v>
      </c>
      <c r="I593" s="11">
        <v>14.5</v>
      </c>
      <c r="J593" s="11" t="s">
        <v>19</v>
      </c>
      <c r="K593" s="11" t="s">
        <v>20</v>
      </c>
      <c r="L593" s="11" t="s">
        <v>30</v>
      </c>
      <c r="M593" s="11" t="s">
        <v>46</v>
      </c>
      <c r="N593" s="11" t="s">
        <v>39</v>
      </c>
      <c r="O593" s="16" t="s">
        <v>29</v>
      </c>
      <c r="P593" s="11">
        <v>215</v>
      </c>
      <c r="Q593" s="8"/>
      <c r="R593">
        <v>14.46</v>
      </c>
      <c r="S593">
        <v>3024.41</v>
      </c>
      <c r="T593">
        <v>4.79</v>
      </c>
      <c r="U593">
        <v>10.39</v>
      </c>
      <c r="V593">
        <v>144.62</v>
      </c>
      <c r="W593" s="317">
        <v>4.5999999999999996</v>
      </c>
      <c r="X593" s="190">
        <f>I593*W593</f>
        <v>66.699999999999989</v>
      </c>
      <c r="Y593" s="10"/>
      <c r="Z593" s="10"/>
    </row>
    <row r="594" spans="1:26" ht="12.75" customHeight="1" x14ac:dyDescent="0.2">
      <c r="A594" s="11">
        <v>142</v>
      </c>
      <c r="B594" s="11">
        <v>2012</v>
      </c>
      <c r="C594" s="11">
        <v>2</v>
      </c>
      <c r="D594" s="11">
        <v>8</v>
      </c>
      <c r="E594" s="11" t="s">
        <v>29</v>
      </c>
      <c r="F594" s="11" t="s">
        <v>18</v>
      </c>
      <c r="G594" s="11">
        <v>190</v>
      </c>
      <c r="H594" s="15" t="s">
        <v>29</v>
      </c>
      <c r="I594" s="11">
        <v>12</v>
      </c>
      <c r="J594" s="11" t="s">
        <v>32</v>
      </c>
      <c r="K594" s="11" t="s">
        <v>29</v>
      </c>
      <c r="L594" s="11" t="s">
        <v>29</v>
      </c>
      <c r="M594" s="11" t="s">
        <v>46</v>
      </c>
      <c r="N594" s="11" t="s">
        <v>24</v>
      </c>
      <c r="O594" s="16" t="s">
        <v>29</v>
      </c>
      <c r="P594" s="11">
        <v>215</v>
      </c>
      <c r="Q594" s="8"/>
      <c r="R594">
        <v>17.73</v>
      </c>
      <c r="S594">
        <v>5570.65</v>
      </c>
      <c r="T594">
        <v>2.15</v>
      </c>
      <c r="U594">
        <v>12.73</v>
      </c>
      <c r="V594">
        <v>177.27</v>
      </c>
      <c r="W594" s="10"/>
      <c r="X594" s="10"/>
      <c r="Y594" s="10"/>
      <c r="Z594" s="10"/>
    </row>
    <row r="595" spans="1:26" ht="12.75" customHeight="1" x14ac:dyDescent="0.2">
      <c r="A595" s="11">
        <v>143</v>
      </c>
      <c r="B595" s="11">
        <v>2012</v>
      </c>
      <c r="C595" s="11">
        <v>2</v>
      </c>
      <c r="D595" s="11">
        <v>8</v>
      </c>
      <c r="E595" s="11" t="s">
        <v>29</v>
      </c>
      <c r="F595" s="11" t="s">
        <v>18</v>
      </c>
      <c r="G595" s="11">
        <v>186</v>
      </c>
      <c r="H595" s="15" t="s">
        <v>29</v>
      </c>
      <c r="I595" s="11">
        <v>10.5</v>
      </c>
      <c r="J595" s="11" t="s">
        <v>32</v>
      </c>
      <c r="K595" s="11" t="s">
        <v>29</v>
      </c>
      <c r="L595" s="11" t="s">
        <v>29</v>
      </c>
      <c r="M595" s="11" t="s">
        <v>46</v>
      </c>
      <c r="N595" s="11" t="s">
        <v>24</v>
      </c>
      <c r="O595" s="16" t="s">
        <v>29</v>
      </c>
      <c r="P595" s="11">
        <v>215</v>
      </c>
      <c r="Q595" s="8"/>
      <c r="R595">
        <v>17.350000000000001</v>
      </c>
      <c r="S595">
        <v>5226.17</v>
      </c>
      <c r="T595">
        <v>2.0099999999999998</v>
      </c>
      <c r="U595">
        <v>12.46</v>
      </c>
      <c r="V595">
        <v>173.54</v>
      </c>
      <c r="W595" s="10"/>
      <c r="X595" s="10"/>
      <c r="Y595" s="10"/>
      <c r="Z595" s="10"/>
    </row>
    <row r="596" spans="1:26" ht="12.75" customHeight="1" x14ac:dyDescent="0.2">
      <c r="A596" s="11">
        <v>144</v>
      </c>
      <c r="B596" s="11">
        <v>2012</v>
      </c>
      <c r="C596" s="11">
        <v>2</v>
      </c>
      <c r="D596" s="11">
        <v>8</v>
      </c>
      <c r="E596" s="11" t="s">
        <v>29</v>
      </c>
      <c r="F596" s="11" t="s">
        <v>18</v>
      </c>
      <c r="G596" s="11">
        <v>182</v>
      </c>
      <c r="H596" s="15" t="s">
        <v>29</v>
      </c>
      <c r="I596" s="11">
        <v>8.6999999999999993</v>
      </c>
      <c r="J596" s="11" t="s">
        <v>32</v>
      </c>
      <c r="K596" s="11" t="s">
        <v>29</v>
      </c>
      <c r="L596" s="11" t="s">
        <v>29</v>
      </c>
      <c r="M596" s="11" t="s">
        <v>46</v>
      </c>
      <c r="N596" s="11" t="s">
        <v>24</v>
      </c>
      <c r="O596" s="16" t="s">
        <v>29</v>
      </c>
      <c r="P596" s="11">
        <v>215</v>
      </c>
      <c r="Q596" s="8"/>
      <c r="R596">
        <v>16.98</v>
      </c>
      <c r="S596">
        <v>4896.2</v>
      </c>
      <c r="T596">
        <v>1.78</v>
      </c>
      <c r="U596">
        <v>12.19</v>
      </c>
      <c r="V596">
        <v>169.81</v>
      </c>
      <c r="W596" s="10"/>
      <c r="X596" s="10"/>
      <c r="Y596" s="10"/>
      <c r="Z596" s="10"/>
    </row>
    <row r="597" spans="1:26" ht="12.75" customHeight="1" x14ac:dyDescent="0.2">
      <c r="A597" s="11">
        <v>145</v>
      </c>
      <c r="B597" s="11">
        <v>2012</v>
      </c>
      <c r="C597" s="11">
        <v>2</v>
      </c>
      <c r="D597" s="11">
        <v>8</v>
      </c>
      <c r="E597" s="11" t="s">
        <v>29</v>
      </c>
      <c r="F597" s="11" t="s">
        <v>18</v>
      </c>
      <c r="G597" s="11">
        <v>184</v>
      </c>
      <c r="H597" s="15" t="s">
        <v>29</v>
      </c>
      <c r="I597" s="11">
        <v>10.6</v>
      </c>
      <c r="J597" s="11" t="s">
        <v>32</v>
      </c>
      <c r="K597" s="11" t="s">
        <v>29</v>
      </c>
      <c r="L597" s="11" t="s">
        <v>29</v>
      </c>
      <c r="M597" s="11" t="s">
        <v>46</v>
      </c>
      <c r="N597" s="11" t="s">
        <v>24</v>
      </c>
      <c r="O597" s="16" t="s">
        <v>29</v>
      </c>
      <c r="P597" s="11">
        <v>215</v>
      </c>
      <c r="Q597" s="8"/>
      <c r="R597">
        <v>17.170000000000002</v>
      </c>
      <c r="S597">
        <v>5059.3900000000003</v>
      </c>
      <c r="T597">
        <v>2.1</v>
      </c>
      <c r="U597">
        <v>12.33</v>
      </c>
      <c r="V597">
        <v>171.67</v>
      </c>
      <c r="W597" s="10"/>
      <c r="X597" s="10"/>
      <c r="Y597" s="10"/>
      <c r="Z597" s="10"/>
    </row>
    <row r="598" spans="1:26" ht="12.75" customHeight="1" x14ac:dyDescent="0.2">
      <c r="A598" s="11">
        <v>146</v>
      </c>
      <c r="B598" s="11">
        <v>2012</v>
      </c>
      <c r="C598" s="11">
        <v>2</v>
      </c>
      <c r="D598" s="11">
        <v>8</v>
      </c>
      <c r="E598" s="11" t="s">
        <v>29</v>
      </c>
      <c r="F598" s="11" t="s">
        <v>18</v>
      </c>
      <c r="G598" s="11">
        <v>133</v>
      </c>
      <c r="H598" s="15" t="s">
        <v>29</v>
      </c>
      <c r="I598" s="11">
        <v>7</v>
      </c>
      <c r="J598" s="11" t="s">
        <v>19</v>
      </c>
      <c r="K598" s="11" t="s">
        <v>20</v>
      </c>
      <c r="L598" s="11" t="s">
        <v>30</v>
      </c>
      <c r="M598" s="11" t="s">
        <v>46</v>
      </c>
      <c r="N598" s="11" t="s">
        <v>23</v>
      </c>
      <c r="O598" s="16" t="s">
        <v>29</v>
      </c>
      <c r="P598" s="11">
        <v>215</v>
      </c>
      <c r="Q598" s="8"/>
      <c r="R598">
        <v>12.41</v>
      </c>
      <c r="S598">
        <v>1910.73</v>
      </c>
      <c r="T598">
        <v>3.66</v>
      </c>
      <c r="U598">
        <v>8.91</v>
      </c>
      <c r="V598">
        <v>124.09</v>
      </c>
      <c r="W598" s="317">
        <v>4.5999999999999996</v>
      </c>
      <c r="X598" s="190">
        <f>I598*W598</f>
        <v>32.199999999999996</v>
      </c>
      <c r="Y598" s="10"/>
      <c r="Z598" s="10"/>
    </row>
    <row r="599" spans="1:26" ht="12.75" customHeight="1" x14ac:dyDescent="0.2">
      <c r="A599" s="11">
        <v>147</v>
      </c>
      <c r="B599" s="11">
        <v>2012</v>
      </c>
      <c r="C599" s="11">
        <v>2</v>
      </c>
      <c r="D599" s="11">
        <v>8</v>
      </c>
      <c r="E599" s="11" t="s">
        <v>29</v>
      </c>
      <c r="F599" s="11" t="s">
        <v>18</v>
      </c>
      <c r="G599" s="11">
        <v>166</v>
      </c>
      <c r="H599" s="15" t="s">
        <v>29</v>
      </c>
      <c r="I599" s="11">
        <v>11</v>
      </c>
      <c r="J599" s="11" t="s">
        <v>19</v>
      </c>
      <c r="K599" s="11" t="s">
        <v>20</v>
      </c>
      <c r="L599" s="11" t="s">
        <v>21</v>
      </c>
      <c r="M599" s="11" t="s">
        <v>46</v>
      </c>
      <c r="N599" s="11" t="s">
        <v>23</v>
      </c>
      <c r="O599" s="16" t="s">
        <v>29</v>
      </c>
      <c r="P599" s="11">
        <v>215</v>
      </c>
      <c r="Q599" s="8"/>
      <c r="R599">
        <v>15.49</v>
      </c>
      <c r="S599">
        <v>3715.09</v>
      </c>
      <c r="T599">
        <v>2.96</v>
      </c>
      <c r="U599">
        <v>11.12</v>
      </c>
      <c r="V599">
        <v>154.88</v>
      </c>
      <c r="W599" s="317">
        <v>3.9</v>
      </c>
      <c r="X599" s="190">
        <f>I599*W599</f>
        <v>42.9</v>
      </c>
      <c r="Y599" s="10"/>
      <c r="Z599" s="10"/>
    </row>
    <row r="600" spans="1:26" ht="12.75" customHeight="1" x14ac:dyDescent="0.2">
      <c r="A600" s="11">
        <v>148</v>
      </c>
      <c r="B600" s="11">
        <v>2012</v>
      </c>
      <c r="C600" s="11">
        <v>2</v>
      </c>
      <c r="D600" s="11">
        <v>8</v>
      </c>
      <c r="E600" s="11" t="s">
        <v>29</v>
      </c>
      <c r="F600" s="11" t="s">
        <v>18</v>
      </c>
      <c r="G600" s="11">
        <v>160</v>
      </c>
      <c r="H600" s="15" t="s">
        <v>29</v>
      </c>
      <c r="I600" s="11">
        <v>13.7</v>
      </c>
      <c r="J600" s="11" t="s">
        <v>19</v>
      </c>
      <c r="K600" s="11" t="s">
        <v>20</v>
      </c>
      <c r="L600" s="11" t="s">
        <v>30</v>
      </c>
      <c r="M600" s="11" t="s">
        <v>46</v>
      </c>
      <c r="N600" s="11" t="s">
        <v>39</v>
      </c>
      <c r="O600" s="16" t="s">
        <v>29</v>
      </c>
      <c r="P600" s="11">
        <v>215</v>
      </c>
      <c r="Q600" s="8"/>
      <c r="R600">
        <v>14.93</v>
      </c>
      <c r="S600">
        <v>3326.63</v>
      </c>
      <c r="T600">
        <v>4.12</v>
      </c>
      <c r="U600">
        <v>10.72</v>
      </c>
      <c r="V600">
        <v>149.28</v>
      </c>
      <c r="W600" s="317">
        <v>4.5999999999999996</v>
      </c>
      <c r="X600" s="190">
        <f>I600*W600</f>
        <v>63.019999999999989</v>
      </c>
      <c r="Y600" s="10"/>
      <c r="Z600" s="10"/>
    </row>
    <row r="601" spans="1:26" ht="12.75" customHeight="1" x14ac:dyDescent="0.2">
      <c r="A601" s="11">
        <v>149</v>
      </c>
      <c r="B601" s="11">
        <v>2012</v>
      </c>
      <c r="C601" s="11">
        <v>2</v>
      </c>
      <c r="D601" s="11">
        <v>8</v>
      </c>
      <c r="E601" s="11" t="s">
        <v>29</v>
      </c>
      <c r="F601" s="11" t="s">
        <v>18</v>
      </c>
      <c r="G601" s="11">
        <v>203</v>
      </c>
      <c r="H601" s="15" t="s">
        <v>29</v>
      </c>
      <c r="I601" s="11">
        <v>14.7</v>
      </c>
      <c r="J601" s="11" t="s">
        <v>32</v>
      </c>
      <c r="K601" s="11" t="s">
        <v>29</v>
      </c>
      <c r="L601" s="11" t="s">
        <v>29</v>
      </c>
      <c r="M601" s="11" t="s">
        <v>46</v>
      </c>
      <c r="N601" s="11" t="s">
        <v>24</v>
      </c>
      <c r="O601" s="16" t="s">
        <v>29</v>
      </c>
      <c r="P601" s="11">
        <v>215</v>
      </c>
      <c r="Q601" s="8"/>
      <c r="R601">
        <v>18.940000000000001</v>
      </c>
      <c r="S601">
        <v>6794.12</v>
      </c>
      <c r="T601">
        <v>2.16</v>
      </c>
      <c r="U601">
        <v>13.6</v>
      </c>
      <c r="V601">
        <v>189.4</v>
      </c>
      <c r="W601" s="10"/>
      <c r="X601" s="10"/>
      <c r="Y601" s="10"/>
      <c r="Z601" s="10"/>
    </row>
    <row r="602" spans="1:26" ht="12.75" customHeight="1" x14ac:dyDescent="0.2">
      <c r="A602" s="11">
        <v>150</v>
      </c>
      <c r="B602" s="11">
        <v>2012</v>
      </c>
      <c r="C602" s="11">
        <v>2</v>
      </c>
      <c r="D602" s="11">
        <v>8</v>
      </c>
      <c r="E602" s="11" t="s">
        <v>29</v>
      </c>
      <c r="F602" s="11" t="s">
        <v>18</v>
      </c>
      <c r="G602" s="11">
        <v>216</v>
      </c>
      <c r="H602" s="15" t="s">
        <v>29</v>
      </c>
      <c r="I602" s="11">
        <v>17.3</v>
      </c>
      <c r="J602" s="11" t="s">
        <v>32</v>
      </c>
      <c r="K602" s="11" t="s">
        <v>29</v>
      </c>
      <c r="L602" s="11" t="s">
        <v>29</v>
      </c>
      <c r="M602" s="11" t="s">
        <v>46</v>
      </c>
      <c r="N602" s="11" t="s">
        <v>24</v>
      </c>
      <c r="O602" s="16" t="s">
        <v>29</v>
      </c>
      <c r="P602" s="11">
        <v>215</v>
      </c>
      <c r="Q602" s="8"/>
      <c r="R602">
        <v>20.149999999999999</v>
      </c>
      <c r="S602">
        <v>8184.76</v>
      </c>
      <c r="T602">
        <v>2.11</v>
      </c>
      <c r="U602">
        <v>14.47</v>
      </c>
      <c r="V602">
        <v>201.53</v>
      </c>
      <c r="W602" s="10"/>
      <c r="X602" s="10"/>
      <c r="Y602" s="10"/>
      <c r="Z602" s="10"/>
    </row>
    <row r="603" spans="1:26" ht="12.75" customHeight="1" x14ac:dyDescent="0.2">
      <c r="A603" s="11">
        <v>151</v>
      </c>
      <c r="B603" s="11">
        <v>2012</v>
      </c>
      <c r="C603" s="11">
        <v>2</v>
      </c>
      <c r="D603" s="11">
        <v>8</v>
      </c>
      <c r="E603" s="11" t="s">
        <v>29</v>
      </c>
      <c r="F603" s="11" t="s">
        <v>18</v>
      </c>
      <c r="G603" s="11">
        <v>146</v>
      </c>
      <c r="H603" s="15" t="s">
        <v>29</v>
      </c>
      <c r="I603" s="11">
        <v>6</v>
      </c>
      <c r="J603" s="11" t="s">
        <v>19</v>
      </c>
      <c r="K603" s="11" t="s">
        <v>20</v>
      </c>
      <c r="L603" s="11" t="s">
        <v>30</v>
      </c>
      <c r="M603" s="11" t="s">
        <v>46</v>
      </c>
      <c r="N603" s="11" t="s">
        <v>24</v>
      </c>
      <c r="O603" s="16" t="s">
        <v>29</v>
      </c>
      <c r="P603" s="11">
        <v>215</v>
      </c>
      <c r="Q603" s="8"/>
      <c r="R603">
        <v>13.62</v>
      </c>
      <c r="S603">
        <v>2527.5700000000002</v>
      </c>
      <c r="T603">
        <v>2.37</v>
      </c>
      <c r="U603">
        <v>9.7799999999999994</v>
      </c>
      <c r="V603">
        <v>136.22</v>
      </c>
      <c r="W603" s="317">
        <v>4.5999999999999996</v>
      </c>
      <c r="X603" s="190">
        <f>I603*W603</f>
        <v>27.599999999999998</v>
      </c>
      <c r="Y603" s="10"/>
      <c r="Z603" s="10"/>
    </row>
    <row r="604" spans="1:26" ht="12.75" customHeight="1" x14ac:dyDescent="0.2">
      <c r="A604" s="11">
        <v>152</v>
      </c>
      <c r="B604" s="11">
        <v>2012</v>
      </c>
      <c r="C604" s="11">
        <v>2</v>
      </c>
      <c r="D604" s="11">
        <v>8</v>
      </c>
      <c r="E604" s="11" t="s">
        <v>29</v>
      </c>
      <c r="F604" s="11" t="s">
        <v>18</v>
      </c>
      <c r="G604" s="11">
        <v>157</v>
      </c>
      <c r="H604" s="15" t="s">
        <v>29</v>
      </c>
      <c r="I604" s="11">
        <v>14.6</v>
      </c>
      <c r="J604" s="11" t="s">
        <v>19</v>
      </c>
      <c r="K604" s="11" t="s">
        <v>20</v>
      </c>
      <c r="L604" s="11" t="s">
        <v>30</v>
      </c>
      <c r="M604" s="11" t="s">
        <v>46</v>
      </c>
      <c r="N604" s="11" t="s">
        <v>24</v>
      </c>
      <c r="O604" s="16" t="s">
        <v>29</v>
      </c>
      <c r="P604" s="11">
        <v>215</v>
      </c>
      <c r="Q604" s="8"/>
      <c r="R604">
        <v>14.65</v>
      </c>
      <c r="S604">
        <v>3143</v>
      </c>
      <c r="T604">
        <v>4.6500000000000004</v>
      </c>
      <c r="U604">
        <v>10.52</v>
      </c>
      <c r="V604">
        <v>146.47999999999999</v>
      </c>
      <c r="W604" s="317">
        <v>4.5999999999999996</v>
      </c>
      <c r="X604" s="190">
        <f>I604*W604</f>
        <v>67.16</v>
      </c>
      <c r="Y604" s="10"/>
      <c r="Z604" s="10"/>
    </row>
    <row r="605" spans="1:26" ht="12.75" customHeight="1" x14ac:dyDescent="0.2">
      <c r="A605" s="11">
        <v>153</v>
      </c>
      <c r="B605" s="11">
        <v>2012</v>
      </c>
      <c r="C605" s="11">
        <v>2</v>
      </c>
      <c r="D605" s="11">
        <v>8</v>
      </c>
      <c r="E605" s="11" t="s">
        <v>29</v>
      </c>
      <c r="F605" s="11" t="s">
        <v>18</v>
      </c>
      <c r="G605" s="11">
        <v>186</v>
      </c>
      <c r="H605" s="15" t="s">
        <v>29</v>
      </c>
      <c r="I605" s="11">
        <v>11.4</v>
      </c>
      <c r="J605" s="11" t="s">
        <v>32</v>
      </c>
      <c r="K605" s="11" t="s">
        <v>29</v>
      </c>
      <c r="L605" s="11" t="s">
        <v>29</v>
      </c>
      <c r="M605" s="11" t="s">
        <v>46</v>
      </c>
      <c r="N605" s="11" t="s">
        <v>24</v>
      </c>
      <c r="O605" s="16" t="s">
        <v>29</v>
      </c>
      <c r="P605" s="11">
        <v>215</v>
      </c>
      <c r="Q605" s="8"/>
      <c r="R605">
        <v>17.350000000000001</v>
      </c>
      <c r="S605">
        <v>5226.17</v>
      </c>
      <c r="T605">
        <v>2.1800000000000002</v>
      </c>
      <c r="U605">
        <v>12.46</v>
      </c>
      <c r="V605">
        <v>173.54</v>
      </c>
      <c r="W605" s="10"/>
      <c r="X605" s="10"/>
      <c r="Y605" s="10"/>
      <c r="Z605" s="10"/>
    </row>
    <row r="606" spans="1:26" ht="12.75" customHeight="1" x14ac:dyDescent="0.2">
      <c r="A606" s="11">
        <v>154</v>
      </c>
      <c r="B606" s="11">
        <v>2012</v>
      </c>
      <c r="C606" s="11">
        <v>2</v>
      </c>
      <c r="D606" s="11">
        <v>8</v>
      </c>
      <c r="E606" s="11" t="s">
        <v>29</v>
      </c>
      <c r="F606" s="11" t="s">
        <v>18</v>
      </c>
      <c r="G606" s="11">
        <v>204</v>
      </c>
      <c r="H606" s="15" t="s">
        <v>29</v>
      </c>
      <c r="I606" s="11">
        <v>15.5</v>
      </c>
      <c r="J606" s="11" t="s">
        <v>32</v>
      </c>
      <c r="K606" s="11" t="s">
        <v>29</v>
      </c>
      <c r="L606" s="11" t="s">
        <v>29</v>
      </c>
      <c r="M606" s="11" t="s">
        <v>46</v>
      </c>
      <c r="N606" s="11" t="s">
        <v>24</v>
      </c>
      <c r="O606" s="16" t="s">
        <v>29</v>
      </c>
      <c r="P606" s="11">
        <v>215</v>
      </c>
      <c r="Q606" s="8"/>
      <c r="R606">
        <v>19.03</v>
      </c>
      <c r="S606">
        <v>6895.02</v>
      </c>
      <c r="T606">
        <v>2.25</v>
      </c>
      <c r="U606">
        <v>13.67</v>
      </c>
      <c r="V606">
        <v>190.33</v>
      </c>
      <c r="W606" s="10"/>
      <c r="X606" s="10"/>
      <c r="Y606" s="10"/>
      <c r="Z606" s="10"/>
    </row>
    <row r="607" spans="1:26" ht="12.75" customHeight="1" x14ac:dyDescent="0.2">
      <c r="A607" s="11">
        <v>155</v>
      </c>
      <c r="B607" s="11">
        <v>2012</v>
      </c>
      <c r="C607" s="11">
        <v>2</v>
      </c>
      <c r="D607" s="11">
        <v>8</v>
      </c>
      <c r="E607" s="11" t="s">
        <v>29</v>
      </c>
      <c r="F607" s="11" t="s">
        <v>18</v>
      </c>
      <c r="G607" s="11">
        <v>206</v>
      </c>
      <c r="H607" s="15" t="s">
        <v>29</v>
      </c>
      <c r="I607" s="11">
        <v>15.7</v>
      </c>
      <c r="J607" s="11" t="s">
        <v>32</v>
      </c>
      <c r="K607" s="11" t="s">
        <v>29</v>
      </c>
      <c r="L607" s="11" t="s">
        <v>29</v>
      </c>
      <c r="M607" s="11" t="s">
        <v>46</v>
      </c>
      <c r="N607" s="11" t="s">
        <v>24</v>
      </c>
      <c r="O607" s="16" t="s">
        <v>29</v>
      </c>
      <c r="P607" s="11">
        <v>215</v>
      </c>
      <c r="Q607" s="8"/>
      <c r="R607">
        <v>19.22</v>
      </c>
      <c r="S607">
        <v>7099.81</v>
      </c>
      <c r="T607">
        <v>2.21</v>
      </c>
      <c r="U607">
        <v>13.8</v>
      </c>
      <c r="V607">
        <v>192.2</v>
      </c>
      <c r="W607" s="10"/>
      <c r="X607" s="10"/>
      <c r="Y607" s="10"/>
      <c r="Z607" s="10"/>
    </row>
    <row r="608" spans="1:26" ht="12.75" customHeight="1" x14ac:dyDescent="0.2">
      <c r="A608" s="11">
        <v>156</v>
      </c>
      <c r="B608" s="11">
        <v>2012</v>
      </c>
      <c r="C608" s="11">
        <v>2</v>
      </c>
      <c r="D608" s="11">
        <v>8</v>
      </c>
      <c r="E608" s="11" t="s">
        <v>29</v>
      </c>
      <c r="F608" s="11" t="s">
        <v>18</v>
      </c>
      <c r="G608" s="11">
        <v>191</v>
      </c>
      <c r="H608" s="15" t="s">
        <v>29</v>
      </c>
      <c r="I608" s="11">
        <v>13.5</v>
      </c>
      <c r="J608" s="11" t="s">
        <v>32</v>
      </c>
      <c r="K608" s="11" t="s">
        <v>29</v>
      </c>
      <c r="L608" s="11" t="s">
        <v>29</v>
      </c>
      <c r="M608" s="11" t="s">
        <v>46</v>
      </c>
      <c r="N608" s="11" t="s">
        <v>24</v>
      </c>
      <c r="O608" s="16" t="s">
        <v>29</v>
      </c>
      <c r="P608" s="11">
        <v>215</v>
      </c>
      <c r="Q608" s="8"/>
      <c r="R608">
        <v>17.82</v>
      </c>
      <c r="S608">
        <v>5659.07</v>
      </c>
      <c r="T608">
        <v>2.39</v>
      </c>
      <c r="U608">
        <v>12.8</v>
      </c>
      <c r="V608">
        <v>178.2</v>
      </c>
      <c r="W608" s="10"/>
      <c r="X608" s="10"/>
      <c r="Y608" s="10"/>
      <c r="Z608" s="10"/>
    </row>
    <row r="609" spans="1:26" ht="12.75" customHeight="1" x14ac:dyDescent="0.2">
      <c r="A609" s="11">
        <v>157</v>
      </c>
      <c r="B609" s="11">
        <v>2012</v>
      </c>
      <c r="C609" s="11">
        <v>2</v>
      </c>
      <c r="D609" s="11">
        <v>8</v>
      </c>
      <c r="E609" s="11" t="s">
        <v>29</v>
      </c>
      <c r="F609" s="11" t="s">
        <v>18</v>
      </c>
      <c r="G609" s="11">
        <v>144</v>
      </c>
      <c r="H609" s="15" t="s">
        <v>29</v>
      </c>
      <c r="I609" s="11">
        <v>9</v>
      </c>
      <c r="J609" s="11" t="s">
        <v>19</v>
      </c>
      <c r="K609" s="11" t="s">
        <v>20</v>
      </c>
      <c r="L609" s="11" t="s">
        <v>21</v>
      </c>
      <c r="M609" s="11" t="s">
        <v>45</v>
      </c>
      <c r="N609" s="11" t="s">
        <v>39</v>
      </c>
      <c r="O609" s="16" t="s">
        <v>29</v>
      </c>
      <c r="P609" s="11">
        <v>215</v>
      </c>
      <c r="Q609" s="8"/>
      <c r="R609">
        <v>13.44</v>
      </c>
      <c r="S609">
        <v>2425.12</v>
      </c>
      <c r="T609">
        <v>3.71</v>
      </c>
      <c r="U609">
        <v>9.65</v>
      </c>
      <c r="V609">
        <v>134.35</v>
      </c>
      <c r="W609" s="317">
        <v>3.9</v>
      </c>
      <c r="X609" s="190">
        <f>I609*W609</f>
        <v>35.1</v>
      </c>
      <c r="Y609" s="10"/>
      <c r="Z609" s="10"/>
    </row>
    <row r="610" spans="1:26" ht="12.75" customHeight="1" x14ac:dyDescent="0.2">
      <c r="A610" s="11">
        <v>158</v>
      </c>
      <c r="B610" s="11">
        <v>2012</v>
      </c>
      <c r="C610" s="11">
        <v>2</v>
      </c>
      <c r="D610" s="11">
        <v>8</v>
      </c>
      <c r="E610" s="11" t="s">
        <v>29</v>
      </c>
      <c r="F610" s="11" t="s">
        <v>18</v>
      </c>
      <c r="G610" s="11">
        <v>167</v>
      </c>
      <c r="H610" s="15" t="s">
        <v>29</v>
      </c>
      <c r="I610" s="11">
        <v>8</v>
      </c>
      <c r="J610" s="11" t="s">
        <v>19</v>
      </c>
      <c r="K610" s="11" t="s">
        <v>20</v>
      </c>
      <c r="L610" s="11" t="s">
        <v>21</v>
      </c>
      <c r="M610" s="11" t="s">
        <v>46</v>
      </c>
      <c r="N610" s="11" t="s">
        <v>39</v>
      </c>
      <c r="O610" s="16" t="s">
        <v>29</v>
      </c>
      <c r="P610" s="11">
        <v>215</v>
      </c>
      <c r="Q610" s="8"/>
      <c r="R610">
        <v>15.58</v>
      </c>
      <c r="S610">
        <v>3782.63</v>
      </c>
      <c r="T610">
        <v>2.11</v>
      </c>
      <c r="U610">
        <v>11.19</v>
      </c>
      <c r="V610">
        <v>155.81</v>
      </c>
      <c r="W610" s="317">
        <v>3.9</v>
      </c>
      <c r="X610" s="190">
        <f>I610*W610</f>
        <v>31.2</v>
      </c>
      <c r="Y610" s="10"/>
      <c r="Z610" s="10"/>
    </row>
    <row r="611" spans="1:26" ht="12.75" customHeight="1" x14ac:dyDescent="0.2">
      <c r="A611" s="11">
        <v>159</v>
      </c>
      <c r="B611" s="11">
        <v>2012</v>
      </c>
      <c r="C611" s="11">
        <v>2</v>
      </c>
      <c r="D611" s="11">
        <v>8</v>
      </c>
      <c r="E611" s="11" t="s">
        <v>29</v>
      </c>
      <c r="F611" s="11" t="s">
        <v>18</v>
      </c>
      <c r="G611" s="11">
        <v>133</v>
      </c>
      <c r="H611" s="15" t="s">
        <v>29</v>
      </c>
      <c r="I611" s="11">
        <v>7</v>
      </c>
      <c r="J611" s="11" t="s">
        <v>19</v>
      </c>
      <c r="K611" s="11" t="s">
        <v>20</v>
      </c>
      <c r="L611" s="11" t="s">
        <v>30</v>
      </c>
      <c r="M611" s="11" t="s">
        <v>45</v>
      </c>
      <c r="N611" s="11" t="s">
        <v>39</v>
      </c>
      <c r="O611" s="16" t="s">
        <v>29</v>
      </c>
      <c r="P611" s="11">
        <v>215</v>
      </c>
      <c r="Q611" s="8"/>
      <c r="R611">
        <v>12.41</v>
      </c>
      <c r="S611">
        <v>1910.73</v>
      </c>
      <c r="T611">
        <v>3.66</v>
      </c>
      <c r="U611">
        <v>8.91</v>
      </c>
      <c r="V611">
        <v>124.09</v>
      </c>
      <c r="W611" s="317">
        <v>4.5999999999999996</v>
      </c>
      <c r="X611" s="190">
        <f>I611*W611</f>
        <v>32.199999999999996</v>
      </c>
      <c r="Y611" s="10"/>
      <c r="Z611" s="10"/>
    </row>
    <row r="612" spans="1:26" ht="12.75" customHeight="1" x14ac:dyDescent="0.2">
      <c r="A612" s="11">
        <v>160</v>
      </c>
      <c r="B612" s="11">
        <v>2012</v>
      </c>
      <c r="C612" s="11">
        <v>2</v>
      </c>
      <c r="D612" s="11">
        <v>8</v>
      </c>
      <c r="E612" s="11" t="s">
        <v>29</v>
      </c>
      <c r="F612" s="11" t="s">
        <v>18</v>
      </c>
      <c r="G612" s="11">
        <v>219</v>
      </c>
      <c r="H612" s="15" t="s">
        <v>29</v>
      </c>
      <c r="I612" s="11">
        <v>22</v>
      </c>
      <c r="J612" s="11" t="s">
        <v>32</v>
      </c>
      <c r="K612" s="11" t="s">
        <v>29</v>
      </c>
      <c r="L612" s="11" t="s">
        <v>29</v>
      </c>
      <c r="M612" s="11" t="s">
        <v>46</v>
      </c>
      <c r="N612" s="11" t="s">
        <v>24</v>
      </c>
      <c r="O612" s="16" t="s">
        <v>29</v>
      </c>
      <c r="P612" s="11">
        <v>215</v>
      </c>
      <c r="Q612" s="8"/>
      <c r="R612">
        <v>20.43</v>
      </c>
      <c r="S612">
        <v>8530.5499999999993</v>
      </c>
      <c r="T612">
        <v>2.58</v>
      </c>
      <c r="U612">
        <v>14.67</v>
      </c>
      <c r="V612">
        <v>204.33</v>
      </c>
      <c r="W612" s="10"/>
      <c r="X612" s="10"/>
      <c r="Y612" s="10"/>
      <c r="Z612" s="10"/>
    </row>
    <row r="613" spans="1:26" ht="12.75" customHeight="1" x14ac:dyDescent="0.2">
      <c r="A613" s="11">
        <v>161</v>
      </c>
      <c r="B613" s="11">
        <v>2012</v>
      </c>
      <c r="C613" s="11">
        <v>2</v>
      </c>
      <c r="D613" s="11">
        <v>8</v>
      </c>
      <c r="E613" s="11" t="s">
        <v>29</v>
      </c>
      <c r="F613" s="11" t="s">
        <v>18</v>
      </c>
      <c r="G613" s="11">
        <v>145</v>
      </c>
      <c r="H613" s="15" t="s">
        <v>29</v>
      </c>
      <c r="I613" s="11">
        <v>10</v>
      </c>
      <c r="J613" s="11" t="s">
        <v>19</v>
      </c>
      <c r="K613" s="11" t="s">
        <v>20</v>
      </c>
      <c r="L613" s="11" t="s">
        <v>30</v>
      </c>
      <c r="M613" s="11" t="s">
        <v>46</v>
      </c>
      <c r="N613" s="11" t="s">
        <v>24</v>
      </c>
      <c r="O613" s="16" t="s">
        <v>29</v>
      </c>
      <c r="P613" s="11">
        <v>215</v>
      </c>
      <c r="Q613" s="8"/>
      <c r="R613">
        <v>13.53</v>
      </c>
      <c r="S613">
        <v>2475.9899999999998</v>
      </c>
      <c r="T613">
        <v>4.04</v>
      </c>
      <c r="U613">
        <v>9.7200000000000006</v>
      </c>
      <c r="V613">
        <v>135.29</v>
      </c>
      <c r="W613" s="317">
        <v>4.5999999999999996</v>
      </c>
      <c r="X613" s="190">
        <f>I613*W613</f>
        <v>46</v>
      </c>
      <c r="Y613" s="10"/>
      <c r="Z613" s="10"/>
    </row>
    <row r="614" spans="1:26" ht="12.75" customHeight="1" x14ac:dyDescent="0.2">
      <c r="A614" s="11">
        <v>162</v>
      </c>
      <c r="B614" s="11">
        <v>2012</v>
      </c>
      <c r="C614" s="11">
        <v>2</v>
      </c>
      <c r="D614" s="11">
        <v>8</v>
      </c>
      <c r="E614" s="11" t="s">
        <v>29</v>
      </c>
      <c r="F614" s="11" t="s">
        <v>18</v>
      </c>
      <c r="G614" s="11">
        <v>156</v>
      </c>
      <c r="H614" s="15" t="s">
        <v>29</v>
      </c>
      <c r="I614" s="11">
        <v>11.2</v>
      </c>
      <c r="J614" s="11" t="s">
        <v>19</v>
      </c>
      <c r="K614" s="11" t="s">
        <v>20</v>
      </c>
      <c r="L614" s="11" t="s">
        <v>30</v>
      </c>
      <c r="M614" s="11" t="s">
        <v>46</v>
      </c>
      <c r="N614" s="11" t="s">
        <v>23</v>
      </c>
      <c r="O614" s="16" t="s">
        <v>29</v>
      </c>
      <c r="P614" s="11">
        <v>215</v>
      </c>
      <c r="Q614" s="8"/>
      <c r="R614">
        <v>14.55</v>
      </c>
      <c r="S614">
        <v>3083.32</v>
      </c>
      <c r="T614">
        <v>3.63</v>
      </c>
      <c r="U614">
        <v>10.45</v>
      </c>
      <c r="V614">
        <v>145.55000000000001</v>
      </c>
      <c r="W614" s="317">
        <v>4.5999999999999996</v>
      </c>
      <c r="X614" s="190">
        <f>I614*W614</f>
        <v>51.519999999999996</v>
      </c>
      <c r="Y614" s="10"/>
      <c r="Z614" s="10"/>
    </row>
    <row r="615" spans="1:26" ht="12.75" customHeight="1" x14ac:dyDescent="0.2">
      <c r="A615" s="11">
        <v>163</v>
      </c>
      <c r="B615" s="11">
        <v>2012</v>
      </c>
      <c r="C615" s="11">
        <v>2</v>
      </c>
      <c r="D615" s="11">
        <v>8</v>
      </c>
      <c r="E615" s="11" t="s">
        <v>29</v>
      </c>
      <c r="F615" s="11" t="s">
        <v>18</v>
      </c>
      <c r="G615" s="11">
        <v>207</v>
      </c>
      <c r="H615" s="15" t="s">
        <v>29</v>
      </c>
      <c r="I615" s="11">
        <v>19</v>
      </c>
      <c r="J615" s="11" t="s">
        <v>32</v>
      </c>
      <c r="K615" s="11" t="s">
        <v>29</v>
      </c>
      <c r="L615" s="11" t="s">
        <v>29</v>
      </c>
      <c r="M615" s="11" t="s">
        <v>27</v>
      </c>
      <c r="N615" s="11" t="s">
        <v>24</v>
      </c>
      <c r="O615" s="16" t="s">
        <v>29</v>
      </c>
      <c r="P615" s="11">
        <v>215</v>
      </c>
      <c r="Q615" s="8"/>
      <c r="R615">
        <v>19.309999999999999</v>
      </c>
      <c r="S615">
        <v>7203.71</v>
      </c>
      <c r="T615">
        <v>2.64</v>
      </c>
      <c r="U615">
        <v>13.87</v>
      </c>
      <c r="V615">
        <v>193.13</v>
      </c>
      <c r="W615" s="10"/>
      <c r="X615" s="10"/>
      <c r="Y615" s="10"/>
      <c r="Z615" s="10"/>
    </row>
    <row r="616" spans="1:26" ht="12.75" customHeight="1" x14ac:dyDescent="0.2">
      <c r="A616" s="11">
        <v>164</v>
      </c>
      <c r="B616" s="11">
        <v>2012</v>
      </c>
      <c r="C616" s="11">
        <v>2</v>
      </c>
      <c r="D616" s="11">
        <v>8</v>
      </c>
      <c r="E616" s="11" t="s">
        <v>29</v>
      </c>
      <c r="F616" s="11" t="s">
        <v>18</v>
      </c>
      <c r="G616" s="11">
        <v>119</v>
      </c>
      <c r="H616" s="15" t="s">
        <v>29</v>
      </c>
      <c r="I616" s="11">
        <v>2.4</v>
      </c>
      <c r="J616" s="11" t="s">
        <v>32</v>
      </c>
      <c r="K616" s="11" t="s">
        <v>29</v>
      </c>
      <c r="L616" s="11" t="s">
        <v>29</v>
      </c>
      <c r="M616" s="11" t="s">
        <v>47</v>
      </c>
      <c r="N616" s="11" t="s">
        <v>24</v>
      </c>
      <c r="O616" s="16" t="s">
        <v>29</v>
      </c>
      <c r="P616" s="11">
        <v>215</v>
      </c>
      <c r="Q616" s="8"/>
      <c r="R616">
        <v>11.1</v>
      </c>
      <c r="S616">
        <v>1368.63</v>
      </c>
      <c r="T616">
        <v>1.75</v>
      </c>
      <c r="U616">
        <v>7.97</v>
      </c>
      <c r="V616">
        <v>111.03</v>
      </c>
      <c r="W616" s="10"/>
      <c r="X616" s="10"/>
      <c r="Y616" s="10"/>
      <c r="Z616" s="10"/>
    </row>
    <row r="617" spans="1:26" ht="12.75" customHeight="1" x14ac:dyDescent="0.2">
      <c r="A617" s="11">
        <v>165</v>
      </c>
      <c r="B617" s="11">
        <v>2012</v>
      </c>
      <c r="C617" s="11">
        <v>2</v>
      </c>
      <c r="D617" s="11">
        <v>8</v>
      </c>
      <c r="E617" s="11" t="s">
        <v>29</v>
      </c>
      <c r="F617" s="11" t="s">
        <v>18</v>
      </c>
      <c r="G617" s="11">
        <v>171</v>
      </c>
      <c r="H617" s="15" t="s">
        <v>29</v>
      </c>
      <c r="I617" s="11">
        <v>15</v>
      </c>
      <c r="J617" s="11" t="s">
        <v>19</v>
      </c>
      <c r="K617" s="11" t="s">
        <v>20</v>
      </c>
      <c r="L617" s="11" t="s">
        <v>30</v>
      </c>
      <c r="M617" s="11" t="s">
        <v>46</v>
      </c>
      <c r="N617" s="11" t="s">
        <v>23</v>
      </c>
      <c r="O617" s="16" t="s">
        <v>29</v>
      </c>
      <c r="P617" s="11">
        <v>215</v>
      </c>
      <c r="Q617" s="8"/>
      <c r="R617">
        <v>15.95</v>
      </c>
      <c r="S617">
        <v>4061</v>
      </c>
      <c r="T617">
        <v>3.69</v>
      </c>
      <c r="U617">
        <v>11.46</v>
      </c>
      <c r="V617">
        <v>159.54</v>
      </c>
      <c r="W617" s="317">
        <v>4.5999999999999996</v>
      </c>
      <c r="X617" s="190">
        <f>I617*W617</f>
        <v>69</v>
      </c>
      <c r="Y617" s="10"/>
      <c r="Z617" s="10"/>
    </row>
    <row r="618" spans="1:26" ht="12.75" customHeight="1" x14ac:dyDescent="0.2">
      <c r="A618" s="11">
        <v>166</v>
      </c>
      <c r="B618" s="11">
        <v>2012</v>
      </c>
      <c r="C618" s="11">
        <v>2</v>
      </c>
      <c r="D618" s="11">
        <v>8</v>
      </c>
      <c r="E618" s="11" t="s">
        <v>29</v>
      </c>
      <c r="F618" s="11" t="s">
        <v>28</v>
      </c>
      <c r="G618" s="11" t="s">
        <v>29</v>
      </c>
      <c r="H618" s="15" t="s">
        <v>29</v>
      </c>
      <c r="I618" s="11" t="s">
        <v>29</v>
      </c>
      <c r="J618" s="11" t="s">
        <v>32</v>
      </c>
      <c r="K618" s="11" t="s">
        <v>29</v>
      </c>
      <c r="L618" s="11" t="s">
        <v>29</v>
      </c>
      <c r="M618" s="11" t="s">
        <v>29</v>
      </c>
      <c r="N618" s="11" t="s">
        <v>29</v>
      </c>
      <c r="O618" s="16" t="s">
        <v>29</v>
      </c>
      <c r="P618" s="11">
        <v>215</v>
      </c>
      <c r="Q618" s="8"/>
      <c r="W618" s="10"/>
      <c r="X618" s="10"/>
      <c r="Y618" s="10"/>
      <c r="Z618" s="10"/>
    </row>
    <row r="619" spans="1:26" ht="12.75" customHeight="1" x14ac:dyDescent="0.2">
      <c r="A619" s="11">
        <v>167</v>
      </c>
      <c r="B619" s="11">
        <v>2012</v>
      </c>
      <c r="C619" s="11">
        <v>2</v>
      </c>
      <c r="D619" s="11">
        <v>8</v>
      </c>
      <c r="E619" s="11" t="s">
        <v>29</v>
      </c>
      <c r="F619" s="11" t="s">
        <v>18</v>
      </c>
      <c r="G619" s="11">
        <v>215</v>
      </c>
      <c r="H619" s="15" t="s">
        <v>29</v>
      </c>
      <c r="I619" s="11">
        <v>21</v>
      </c>
      <c r="J619" s="11" t="s">
        <v>32</v>
      </c>
      <c r="K619" s="11" t="s">
        <v>29</v>
      </c>
      <c r="L619" s="11" t="s">
        <v>29</v>
      </c>
      <c r="M619" s="11" t="s">
        <v>27</v>
      </c>
      <c r="N619" s="11" t="s">
        <v>24</v>
      </c>
      <c r="O619" s="16" t="s">
        <v>29</v>
      </c>
      <c r="P619" s="11">
        <v>215</v>
      </c>
      <c r="Q619" s="8"/>
      <c r="R619">
        <v>20.059999999999999</v>
      </c>
      <c r="S619">
        <v>8071.61</v>
      </c>
      <c r="T619">
        <v>2.6</v>
      </c>
      <c r="U619">
        <v>14.41</v>
      </c>
      <c r="V619">
        <v>200.6</v>
      </c>
      <c r="W619" s="10"/>
      <c r="X619" s="10"/>
      <c r="Y619" s="10"/>
      <c r="Z619" s="10"/>
    </row>
    <row r="620" spans="1:26" ht="12.75" customHeight="1" x14ac:dyDescent="0.2">
      <c r="A620" s="11">
        <v>168</v>
      </c>
      <c r="B620" s="11">
        <v>2012</v>
      </c>
      <c r="C620" s="11">
        <v>2</v>
      </c>
      <c r="D620" s="11">
        <v>8</v>
      </c>
      <c r="E620" s="11" t="s">
        <v>29</v>
      </c>
      <c r="F620" s="11" t="s">
        <v>18</v>
      </c>
      <c r="G620" s="11">
        <v>124</v>
      </c>
      <c r="H620" s="15" t="s">
        <v>29</v>
      </c>
      <c r="I620" s="11">
        <v>5.2</v>
      </c>
      <c r="J620" s="11" t="s">
        <v>19</v>
      </c>
      <c r="K620" s="11" t="s">
        <v>20</v>
      </c>
      <c r="L620" s="11" t="s">
        <v>35</v>
      </c>
      <c r="M620" s="11" t="s">
        <v>29</v>
      </c>
      <c r="N620" s="11" t="s">
        <v>24</v>
      </c>
      <c r="O620" s="16" t="s">
        <v>29</v>
      </c>
      <c r="P620" s="11">
        <v>215</v>
      </c>
      <c r="Q620" s="8"/>
      <c r="R620">
        <v>11.57</v>
      </c>
      <c r="S620">
        <v>1548.5</v>
      </c>
      <c r="T620">
        <v>3.36</v>
      </c>
      <c r="U620">
        <v>8.31</v>
      </c>
      <c r="V620">
        <v>115.69</v>
      </c>
      <c r="W620" s="317">
        <v>3.9</v>
      </c>
      <c r="X620" s="190">
        <f>I620*W620</f>
        <v>20.28</v>
      </c>
      <c r="Y620" s="10"/>
      <c r="Z620" s="10"/>
    </row>
    <row r="621" spans="1:26" ht="12.75" customHeight="1" x14ac:dyDescent="0.2">
      <c r="A621" s="11">
        <v>169</v>
      </c>
      <c r="B621" s="11">
        <v>2012</v>
      </c>
      <c r="C621" s="11">
        <v>2</v>
      </c>
      <c r="D621" s="11">
        <v>8</v>
      </c>
      <c r="E621" s="11" t="s">
        <v>29</v>
      </c>
      <c r="F621" s="11" t="s">
        <v>18</v>
      </c>
      <c r="G621" s="11">
        <v>222</v>
      </c>
      <c r="H621" s="15" t="s">
        <v>29</v>
      </c>
      <c r="I621" s="11">
        <v>19.5</v>
      </c>
      <c r="J621" s="11" t="s">
        <v>32</v>
      </c>
      <c r="K621" s="11" t="s">
        <v>29</v>
      </c>
      <c r="L621" s="11" t="s">
        <v>29</v>
      </c>
      <c r="M621" s="11" t="s">
        <v>46</v>
      </c>
      <c r="N621" s="11" t="s">
        <v>24</v>
      </c>
      <c r="O621" s="16" t="s">
        <v>29</v>
      </c>
      <c r="P621" s="11">
        <v>215</v>
      </c>
      <c r="Q621" s="8"/>
      <c r="R621">
        <v>20.71</v>
      </c>
      <c r="S621">
        <v>8885.9500000000007</v>
      </c>
      <c r="T621">
        <v>2.19</v>
      </c>
      <c r="U621">
        <v>14.87</v>
      </c>
      <c r="V621">
        <v>207.13</v>
      </c>
      <c r="W621" s="10"/>
      <c r="X621" s="10"/>
      <c r="Y621" s="10"/>
      <c r="Z621" s="10"/>
    </row>
    <row r="622" spans="1:26" ht="12.75" customHeight="1" x14ac:dyDescent="0.2">
      <c r="A622" s="11">
        <v>170</v>
      </c>
      <c r="B622" s="11">
        <v>2012</v>
      </c>
      <c r="C622" s="11">
        <v>2</v>
      </c>
      <c r="D622" s="11">
        <v>8</v>
      </c>
      <c r="E622" s="11" t="s">
        <v>29</v>
      </c>
      <c r="F622" s="11" t="s">
        <v>18</v>
      </c>
      <c r="G622" s="11">
        <v>199</v>
      </c>
      <c r="H622" s="15" t="s">
        <v>29</v>
      </c>
      <c r="I622" s="11">
        <v>13</v>
      </c>
      <c r="J622" s="11" t="s">
        <v>32</v>
      </c>
      <c r="K622" s="11" t="s">
        <v>29</v>
      </c>
      <c r="L622" s="11" t="s">
        <v>29</v>
      </c>
      <c r="M622" s="11" t="s">
        <v>46</v>
      </c>
      <c r="N622" s="11" t="s">
        <v>24</v>
      </c>
      <c r="O622" s="16" t="s">
        <v>29</v>
      </c>
      <c r="P622" s="11">
        <v>215</v>
      </c>
      <c r="Q622" s="8"/>
      <c r="R622">
        <v>18.57</v>
      </c>
      <c r="S622">
        <v>6400.36</v>
      </c>
      <c r="T622">
        <v>2.0299999999999998</v>
      </c>
      <c r="U622">
        <v>13.33</v>
      </c>
      <c r="V622">
        <v>185.67</v>
      </c>
      <c r="W622" s="10"/>
      <c r="X622" s="10"/>
      <c r="Y622" s="10"/>
      <c r="Z622" s="10"/>
    </row>
    <row r="623" spans="1:26" ht="12.75" customHeight="1" x14ac:dyDescent="0.2">
      <c r="A623" s="15">
        <v>99</v>
      </c>
      <c r="B623" s="15">
        <v>2011</v>
      </c>
      <c r="C623" s="15">
        <v>9</v>
      </c>
      <c r="D623" s="15">
        <v>8</v>
      </c>
      <c r="E623" s="11" t="s">
        <v>29</v>
      </c>
      <c r="F623" s="11" t="s">
        <v>51</v>
      </c>
      <c r="G623" s="11" t="s">
        <v>29</v>
      </c>
      <c r="H623" s="15" t="s">
        <v>29</v>
      </c>
      <c r="I623" s="11">
        <v>6</v>
      </c>
      <c r="J623" s="11" t="s">
        <v>19</v>
      </c>
      <c r="K623" s="11" t="s">
        <v>20</v>
      </c>
      <c r="L623" s="11" t="s">
        <v>21</v>
      </c>
      <c r="M623" s="11" t="s">
        <v>29</v>
      </c>
      <c r="N623" s="11" t="s">
        <v>25</v>
      </c>
      <c r="O623" s="16" t="s">
        <v>29</v>
      </c>
      <c r="P623" s="11">
        <v>221</v>
      </c>
      <c r="Q623" s="10"/>
      <c r="W623" s="317">
        <v>3.9</v>
      </c>
      <c r="X623" s="190">
        <f>I623*W623</f>
        <v>23.4</v>
      </c>
      <c r="Y623" s="10"/>
      <c r="Z623" s="10"/>
    </row>
    <row r="624" spans="1:26" ht="12.75" customHeight="1" x14ac:dyDescent="0.2">
      <c r="A624" s="15">
        <v>100</v>
      </c>
      <c r="B624" s="15">
        <v>2011</v>
      </c>
      <c r="C624" s="15">
        <v>9</v>
      </c>
      <c r="D624" s="15">
        <v>8</v>
      </c>
      <c r="E624" s="11" t="s">
        <v>29</v>
      </c>
      <c r="F624" s="11" t="s">
        <v>51</v>
      </c>
      <c r="G624" s="11">
        <v>150</v>
      </c>
      <c r="H624" s="15" t="s">
        <v>29</v>
      </c>
      <c r="I624" s="11">
        <v>10.5</v>
      </c>
      <c r="J624" s="11" t="s">
        <v>19</v>
      </c>
      <c r="K624" s="11" t="s">
        <v>20</v>
      </c>
      <c r="L624" s="11" t="s">
        <v>21</v>
      </c>
      <c r="M624" s="11" t="s">
        <v>27</v>
      </c>
      <c r="N624" s="11" t="s">
        <v>24</v>
      </c>
      <c r="O624" s="16" t="s">
        <v>29</v>
      </c>
      <c r="P624" s="11">
        <v>221</v>
      </c>
      <c r="Q624" s="10"/>
      <c r="R624">
        <v>14</v>
      </c>
      <c r="S624">
        <v>2741.06</v>
      </c>
      <c r="T624">
        <v>3.83</v>
      </c>
      <c r="U624">
        <v>10.050000000000001</v>
      </c>
      <c r="V624">
        <v>139.94999999999999</v>
      </c>
      <c r="W624" s="317">
        <v>3.9</v>
      </c>
      <c r="X624" s="190">
        <f>I624*W624</f>
        <v>40.949999999999996</v>
      </c>
      <c r="Y624" s="10"/>
      <c r="Z624" s="10"/>
    </row>
    <row r="625" spans="1:26" ht="12.75" customHeight="1" x14ac:dyDescent="0.2">
      <c r="A625" s="15">
        <v>101</v>
      </c>
      <c r="B625" s="15">
        <v>2011</v>
      </c>
      <c r="C625" s="15">
        <v>9</v>
      </c>
      <c r="D625" s="15">
        <v>8</v>
      </c>
      <c r="E625" s="11" t="s">
        <v>29</v>
      </c>
      <c r="F625" s="11" t="s">
        <v>51</v>
      </c>
      <c r="G625" s="11">
        <v>138</v>
      </c>
      <c r="H625" s="15" t="s">
        <v>29</v>
      </c>
      <c r="I625" s="11">
        <v>9.35</v>
      </c>
      <c r="J625" s="11" t="s">
        <v>19</v>
      </c>
      <c r="K625" s="11" t="s">
        <v>20</v>
      </c>
      <c r="L625" s="11" t="s">
        <v>21</v>
      </c>
      <c r="M625" s="11" t="s">
        <v>45</v>
      </c>
      <c r="N625" s="11" t="s">
        <v>25</v>
      </c>
      <c r="O625" s="16" t="s">
        <v>29</v>
      </c>
      <c r="P625" s="11">
        <v>221</v>
      </c>
      <c r="Q625" s="10"/>
      <c r="R625">
        <v>12.88</v>
      </c>
      <c r="S625">
        <v>2134.4299999999998</v>
      </c>
      <c r="T625">
        <v>4.38</v>
      </c>
      <c r="U625">
        <v>9.25</v>
      </c>
      <c r="V625">
        <v>128.75</v>
      </c>
      <c r="W625" s="317">
        <v>3.9</v>
      </c>
      <c r="X625" s="190">
        <f>I625*W625</f>
        <v>36.464999999999996</v>
      </c>
      <c r="Y625" s="10"/>
      <c r="Z625" s="10"/>
    </row>
    <row r="626" spans="1:26" ht="12.75" customHeight="1" x14ac:dyDescent="0.2">
      <c r="A626" s="15">
        <v>102</v>
      </c>
      <c r="B626" s="15">
        <v>2011</v>
      </c>
      <c r="C626" s="15">
        <v>9</v>
      </c>
      <c r="D626" s="15">
        <v>8</v>
      </c>
      <c r="E626" s="11" t="s">
        <v>29</v>
      </c>
      <c r="F626" s="11" t="s">
        <v>51</v>
      </c>
      <c r="G626" s="11">
        <v>140</v>
      </c>
      <c r="H626" s="15" t="s">
        <v>29</v>
      </c>
      <c r="I626" s="11">
        <v>8</v>
      </c>
      <c r="J626" s="11" t="s">
        <v>19</v>
      </c>
      <c r="K626" s="11" t="s">
        <v>20</v>
      </c>
      <c r="L626" s="11" t="s">
        <v>21</v>
      </c>
      <c r="M626" s="11" t="s">
        <v>27</v>
      </c>
      <c r="N626" s="11" t="s">
        <v>25</v>
      </c>
      <c r="O626" s="16" t="s">
        <v>29</v>
      </c>
      <c r="P626" s="11">
        <v>221</v>
      </c>
      <c r="Q626" s="10"/>
      <c r="R626">
        <v>13.06</v>
      </c>
      <c r="S626">
        <v>2228.58</v>
      </c>
      <c r="T626">
        <v>3.59</v>
      </c>
      <c r="U626">
        <v>9.3800000000000008</v>
      </c>
      <c r="V626">
        <v>130.62</v>
      </c>
      <c r="W626" s="317">
        <v>3.9</v>
      </c>
      <c r="X626" s="190">
        <f>I626*W626</f>
        <v>31.2</v>
      </c>
      <c r="Y626" s="10"/>
      <c r="Z626" s="10"/>
    </row>
    <row r="627" spans="1:26" ht="12.75" customHeight="1" x14ac:dyDescent="0.2">
      <c r="A627" s="15">
        <v>103</v>
      </c>
      <c r="B627" s="15">
        <v>2011</v>
      </c>
      <c r="C627" s="15">
        <v>9</v>
      </c>
      <c r="D627" s="15">
        <v>8</v>
      </c>
      <c r="E627" s="11" t="s">
        <v>29</v>
      </c>
      <c r="F627" s="11" t="s">
        <v>51</v>
      </c>
      <c r="G627" s="11" t="s">
        <v>29</v>
      </c>
      <c r="H627" s="15" t="s">
        <v>29</v>
      </c>
      <c r="I627" s="11">
        <v>12</v>
      </c>
      <c r="J627" s="11" t="s">
        <v>19</v>
      </c>
      <c r="K627" s="11" t="s">
        <v>34</v>
      </c>
      <c r="L627" s="11" t="s">
        <v>41</v>
      </c>
      <c r="M627" s="11" t="s">
        <v>29</v>
      </c>
      <c r="N627" s="11" t="s">
        <v>24</v>
      </c>
      <c r="O627" s="16" t="s">
        <v>29</v>
      </c>
      <c r="P627" s="11">
        <v>221</v>
      </c>
      <c r="Q627" s="10"/>
      <c r="W627" s="317">
        <v>3.8</v>
      </c>
      <c r="X627" s="190">
        <f>I627*W627</f>
        <v>45.599999999999994</v>
      </c>
      <c r="Y627" s="10"/>
      <c r="Z627" s="10"/>
    </row>
    <row r="628" spans="1:26" ht="12.75" customHeight="1" x14ac:dyDescent="0.2">
      <c r="A628" s="15">
        <v>104</v>
      </c>
      <c r="B628" s="15">
        <v>2011</v>
      </c>
      <c r="C628" s="15">
        <v>9</v>
      </c>
      <c r="D628" s="15">
        <v>8</v>
      </c>
      <c r="E628" s="11" t="s">
        <v>29</v>
      </c>
      <c r="F628" s="11" t="s">
        <v>51</v>
      </c>
      <c r="G628" s="11">
        <v>147</v>
      </c>
      <c r="H628" s="15" t="s">
        <v>29</v>
      </c>
      <c r="I628" s="11">
        <v>11</v>
      </c>
      <c r="J628" s="11" t="s">
        <v>19</v>
      </c>
      <c r="K628" s="11" t="s">
        <v>20</v>
      </c>
      <c r="L628" s="11" t="s">
        <v>21</v>
      </c>
      <c r="M628" s="11" t="s">
        <v>46</v>
      </c>
      <c r="N628" s="11" t="s">
        <v>33</v>
      </c>
      <c r="O628" s="16" t="s">
        <v>29</v>
      </c>
      <c r="P628" s="11">
        <v>221</v>
      </c>
      <c r="Q628" s="10"/>
      <c r="R628">
        <v>13.72</v>
      </c>
      <c r="S628">
        <v>2579.86</v>
      </c>
      <c r="T628">
        <v>4.26</v>
      </c>
      <c r="U628">
        <v>9.85</v>
      </c>
      <c r="V628">
        <v>137.15</v>
      </c>
      <c r="W628" s="317">
        <v>3.9</v>
      </c>
      <c r="X628" s="190">
        <f t="shared" ref="X628:X642" si="20">I628*W628</f>
        <v>42.9</v>
      </c>
      <c r="Y628" s="10"/>
      <c r="Z628" s="10"/>
    </row>
    <row r="629" spans="1:26" ht="12.75" customHeight="1" x14ac:dyDescent="0.2">
      <c r="A629" s="15">
        <v>105</v>
      </c>
      <c r="B629" s="15">
        <v>2011</v>
      </c>
      <c r="C629" s="15">
        <v>9</v>
      </c>
      <c r="D629" s="15">
        <v>8</v>
      </c>
      <c r="E629" s="11" t="s">
        <v>29</v>
      </c>
      <c r="F629" s="11" t="s">
        <v>51</v>
      </c>
      <c r="G629" s="11">
        <v>155</v>
      </c>
      <c r="H629" s="15" t="s">
        <v>29</v>
      </c>
      <c r="I629" s="11">
        <v>10</v>
      </c>
      <c r="J629" s="11" t="s">
        <v>19</v>
      </c>
      <c r="K629" s="11" t="s">
        <v>20</v>
      </c>
      <c r="L629" s="11" t="s">
        <v>21</v>
      </c>
      <c r="M629" s="11" t="s">
        <v>29</v>
      </c>
      <c r="N629" s="11" t="s">
        <v>23</v>
      </c>
      <c r="O629" s="16" t="s">
        <v>29</v>
      </c>
      <c r="P629" s="11">
        <v>221</v>
      </c>
      <c r="Q629" s="10"/>
      <c r="R629">
        <v>14.46</v>
      </c>
      <c r="S629">
        <v>3024.41</v>
      </c>
      <c r="T629">
        <v>3.31</v>
      </c>
      <c r="U629">
        <v>10.39</v>
      </c>
      <c r="V629">
        <v>144.62</v>
      </c>
      <c r="W629" s="317">
        <v>3.9</v>
      </c>
      <c r="X629" s="190">
        <f t="shared" si="20"/>
        <v>39</v>
      </c>
      <c r="Y629" s="10"/>
      <c r="Z629" s="10"/>
    </row>
    <row r="630" spans="1:26" ht="12.75" customHeight="1" x14ac:dyDescent="0.2">
      <c r="A630" s="15">
        <v>106</v>
      </c>
      <c r="B630" s="15">
        <v>2011</v>
      </c>
      <c r="C630" s="15">
        <v>9</v>
      </c>
      <c r="D630" s="15">
        <v>8</v>
      </c>
      <c r="E630" s="11" t="s">
        <v>29</v>
      </c>
      <c r="F630" s="11" t="s">
        <v>51</v>
      </c>
      <c r="G630" s="11">
        <v>132</v>
      </c>
      <c r="H630" s="15" t="s">
        <v>29</v>
      </c>
      <c r="I630" s="11">
        <v>9</v>
      </c>
      <c r="J630" s="11" t="s">
        <v>19</v>
      </c>
      <c r="K630" s="11" t="s">
        <v>20</v>
      </c>
      <c r="L630" s="11" t="s">
        <v>52</v>
      </c>
      <c r="M630" s="11" t="s">
        <v>45</v>
      </c>
      <c r="N630" s="11" t="s">
        <v>23</v>
      </c>
      <c r="O630" s="16" t="s">
        <v>29</v>
      </c>
      <c r="P630" s="11">
        <v>221</v>
      </c>
      <c r="Q630" s="10"/>
      <c r="R630">
        <v>12.32</v>
      </c>
      <c r="S630">
        <v>1867.96</v>
      </c>
      <c r="T630">
        <v>4.82</v>
      </c>
      <c r="U630">
        <v>8.84</v>
      </c>
      <c r="V630">
        <v>123.16</v>
      </c>
      <c r="W630" s="317">
        <v>4.5999999999999996</v>
      </c>
      <c r="X630" s="190">
        <f t="shared" si="20"/>
        <v>41.4</v>
      </c>
      <c r="Y630" s="10"/>
      <c r="Z630" s="10"/>
    </row>
    <row r="631" spans="1:26" ht="12.75" customHeight="1" x14ac:dyDescent="0.2">
      <c r="A631" s="15">
        <v>107</v>
      </c>
      <c r="B631" s="15">
        <v>2011</v>
      </c>
      <c r="C631" s="15">
        <v>9</v>
      </c>
      <c r="D631" s="15">
        <v>8</v>
      </c>
      <c r="E631" s="11" t="s">
        <v>29</v>
      </c>
      <c r="F631" s="11" t="s">
        <v>51</v>
      </c>
      <c r="G631" s="11">
        <v>136</v>
      </c>
      <c r="H631" s="15" t="s">
        <v>29</v>
      </c>
      <c r="I631" s="11">
        <v>10</v>
      </c>
      <c r="J631" s="11" t="s">
        <v>19</v>
      </c>
      <c r="K631" s="11" t="s">
        <v>20</v>
      </c>
      <c r="L631" s="11" t="s">
        <v>21</v>
      </c>
      <c r="M631" s="11" t="s">
        <v>46</v>
      </c>
      <c r="N631" s="11" t="s">
        <v>25</v>
      </c>
      <c r="O631" s="16" t="s">
        <v>29</v>
      </c>
      <c r="P631" s="11">
        <v>221</v>
      </c>
      <c r="Q631" s="10"/>
      <c r="R631">
        <v>12.69</v>
      </c>
      <c r="S631">
        <v>2042.97</v>
      </c>
      <c r="T631">
        <v>4.8899999999999997</v>
      </c>
      <c r="U631">
        <v>9.11</v>
      </c>
      <c r="V631">
        <v>126.89</v>
      </c>
      <c r="W631" s="317">
        <v>3.9</v>
      </c>
      <c r="X631" s="190">
        <f t="shared" si="20"/>
        <v>39</v>
      </c>
      <c r="Y631" s="10"/>
      <c r="Z631" s="10"/>
    </row>
    <row r="632" spans="1:26" ht="12.75" customHeight="1" x14ac:dyDescent="0.2">
      <c r="A632" s="15">
        <v>108</v>
      </c>
      <c r="B632" s="15">
        <v>2011</v>
      </c>
      <c r="C632" s="15">
        <v>9</v>
      </c>
      <c r="D632" s="15">
        <v>8</v>
      </c>
      <c r="E632" s="11" t="s">
        <v>29</v>
      </c>
      <c r="F632" s="11" t="s">
        <v>51</v>
      </c>
      <c r="G632" s="11">
        <v>111</v>
      </c>
      <c r="H632" s="15" t="s">
        <v>29</v>
      </c>
      <c r="I632" s="11">
        <v>4.5</v>
      </c>
      <c r="J632" s="11" t="s">
        <v>19</v>
      </c>
      <c r="K632" s="11" t="s">
        <v>20</v>
      </c>
      <c r="L632" s="11" t="s">
        <v>21</v>
      </c>
      <c r="M632" s="11" t="s">
        <v>46</v>
      </c>
      <c r="N632" s="11" t="s">
        <v>24</v>
      </c>
      <c r="O632" s="16" t="s">
        <v>29</v>
      </c>
      <c r="P632" s="11">
        <v>221</v>
      </c>
      <c r="Q632" s="10"/>
      <c r="R632">
        <v>10.36</v>
      </c>
      <c r="S632">
        <v>1110.74</v>
      </c>
      <c r="T632">
        <v>4.05</v>
      </c>
      <c r="U632">
        <v>7.44</v>
      </c>
      <c r="V632">
        <v>103.56</v>
      </c>
      <c r="W632" s="317">
        <v>3.9</v>
      </c>
      <c r="X632" s="190">
        <f t="shared" si="20"/>
        <v>17.55</v>
      </c>
      <c r="Y632" s="10"/>
      <c r="Z632" s="10"/>
    </row>
    <row r="633" spans="1:26" ht="12.75" customHeight="1" x14ac:dyDescent="0.2">
      <c r="A633" s="15">
        <v>109</v>
      </c>
      <c r="B633" s="15">
        <v>2011</v>
      </c>
      <c r="C633" s="15">
        <v>9</v>
      </c>
      <c r="D633" s="15">
        <v>8</v>
      </c>
      <c r="E633" s="11" t="s">
        <v>29</v>
      </c>
      <c r="F633" s="11" t="s">
        <v>51</v>
      </c>
      <c r="G633" s="11">
        <v>149</v>
      </c>
      <c r="H633" s="15" t="s">
        <v>29</v>
      </c>
      <c r="I633" s="11">
        <v>7.5</v>
      </c>
      <c r="J633" s="11" t="s">
        <v>19</v>
      </c>
      <c r="K633" s="11" t="s">
        <v>20</v>
      </c>
      <c r="L633" s="11" t="s">
        <v>21</v>
      </c>
      <c r="M633" s="11" t="s">
        <v>45</v>
      </c>
      <c r="N633" s="11" t="s">
        <v>23</v>
      </c>
      <c r="O633" s="16" t="s">
        <v>29</v>
      </c>
      <c r="P633" s="11">
        <v>221</v>
      </c>
      <c r="Q633" s="10"/>
      <c r="R633">
        <v>13.9</v>
      </c>
      <c r="S633">
        <v>2686.6</v>
      </c>
      <c r="T633">
        <v>2.79</v>
      </c>
      <c r="U633">
        <v>9.98</v>
      </c>
      <c r="V633">
        <v>139.02000000000001</v>
      </c>
      <c r="W633" s="317">
        <v>3.9</v>
      </c>
      <c r="X633" s="190">
        <f t="shared" si="20"/>
        <v>29.25</v>
      </c>
      <c r="Y633" s="10"/>
      <c r="Z633" s="10"/>
    </row>
    <row r="634" spans="1:26" ht="12.75" customHeight="1" x14ac:dyDescent="0.2">
      <c r="A634" s="15">
        <v>110</v>
      </c>
      <c r="B634" s="15">
        <v>2011</v>
      </c>
      <c r="C634" s="15">
        <v>9</v>
      </c>
      <c r="D634" s="15">
        <v>8</v>
      </c>
      <c r="E634" s="11" t="s">
        <v>29</v>
      </c>
      <c r="F634" s="11" t="s">
        <v>51</v>
      </c>
      <c r="G634" s="11">
        <v>157</v>
      </c>
      <c r="H634" s="15" t="s">
        <v>29</v>
      </c>
      <c r="I634" s="11">
        <v>9</v>
      </c>
      <c r="J634" s="11" t="s">
        <v>19</v>
      </c>
      <c r="K634" s="11" t="s">
        <v>20</v>
      </c>
      <c r="L634" s="11" t="s">
        <v>21</v>
      </c>
      <c r="M634" s="11" t="s">
        <v>27</v>
      </c>
      <c r="N634" s="11" t="s">
        <v>23</v>
      </c>
      <c r="O634" s="16" t="s">
        <v>29</v>
      </c>
      <c r="P634" s="11">
        <v>221</v>
      </c>
      <c r="Q634" s="10"/>
      <c r="R634">
        <v>14.65</v>
      </c>
      <c r="S634">
        <v>3143</v>
      </c>
      <c r="T634">
        <v>2.86</v>
      </c>
      <c r="U634">
        <v>10.52</v>
      </c>
      <c r="V634">
        <v>146.47999999999999</v>
      </c>
      <c r="W634" s="317">
        <v>3.9</v>
      </c>
      <c r="X634" s="190">
        <f t="shared" si="20"/>
        <v>35.1</v>
      </c>
      <c r="Y634" s="10"/>
      <c r="Z634" s="10"/>
    </row>
    <row r="635" spans="1:26" ht="12.75" customHeight="1" x14ac:dyDescent="0.2">
      <c r="A635" s="15">
        <v>111</v>
      </c>
      <c r="B635" s="15">
        <v>2011</v>
      </c>
      <c r="C635" s="15">
        <v>9</v>
      </c>
      <c r="D635" s="15">
        <v>8</v>
      </c>
      <c r="E635" s="11" t="s">
        <v>29</v>
      </c>
      <c r="F635" s="11" t="s">
        <v>51</v>
      </c>
      <c r="G635" s="11">
        <v>146</v>
      </c>
      <c r="H635" s="15" t="s">
        <v>29</v>
      </c>
      <c r="I635" s="11">
        <v>8</v>
      </c>
      <c r="J635" s="11" t="s">
        <v>19</v>
      </c>
      <c r="K635" s="11" t="s">
        <v>20</v>
      </c>
      <c r="L635" s="11" t="s">
        <v>21</v>
      </c>
      <c r="M635" s="11" t="s">
        <v>27</v>
      </c>
      <c r="N635" s="11" t="s">
        <v>24</v>
      </c>
      <c r="O635" s="16" t="s">
        <v>29</v>
      </c>
      <c r="P635" s="11">
        <v>221</v>
      </c>
      <c r="Q635" s="10"/>
      <c r="R635">
        <v>13.62</v>
      </c>
      <c r="S635">
        <v>2527.5700000000002</v>
      </c>
      <c r="T635">
        <v>3.17</v>
      </c>
      <c r="U635">
        <v>9.7799999999999994</v>
      </c>
      <c r="V635">
        <v>136.22</v>
      </c>
      <c r="W635" s="317">
        <v>3.9</v>
      </c>
      <c r="X635" s="190">
        <f t="shared" si="20"/>
        <v>31.2</v>
      </c>
      <c r="Y635" s="10"/>
      <c r="Z635" s="10"/>
    </row>
    <row r="636" spans="1:26" ht="12.75" customHeight="1" x14ac:dyDescent="0.2">
      <c r="A636" s="15">
        <v>112</v>
      </c>
      <c r="B636" s="15">
        <v>2011</v>
      </c>
      <c r="C636" s="15">
        <v>9</v>
      </c>
      <c r="D636" s="15">
        <v>8</v>
      </c>
      <c r="E636" s="11" t="s">
        <v>29</v>
      </c>
      <c r="F636" s="11" t="s">
        <v>51</v>
      </c>
      <c r="G636" s="11">
        <v>135</v>
      </c>
      <c r="H636" s="15" t="s">
        <v>29</v>
      </c>
      <c r="I636" s="11">
        <v>7</v>
      </c>
      <c r="J636" s="11" t="s">
        <v>19</v>
      </c>
      <c r="K636" s="11" t="s">
        <v>20</v>
      </c>
      <c r="L636" s="11" t="s">
        <v>21</v>
      </c>
      <c r="M636" s="11" t="s">
        <v>27</v>
      </c>
      <c r="N636" s="11" t="s">
        <v>33</v>
      </c>
      <c r="O636" s="16" t="s">
        <v>29</v>
      </c>
      <c r="P636" s="11">
        <v>221</v>
      </c>
      <c r="Q636" s="10"/>
      <c r="R636">
        <v>12.6</v>
      </c>
      <c r="S636">
        <v>1998.23</v>
      </c>
      <c r="T636">
        <v>3.5</v>
      </c>
      <c r="U636">
        <v>9.0500000000000007</v>
      </c>
      <c r="V636">
        <v>125.96</v>
      </c>
      <c r="W636" s="317">
        <v>3.9</v>
      </c>
      <c r="X636" s="190">
        <f t="shared" si="20"/>
        <v>27.3</v>
      </c>
      <c r="Y636" s="10"/>
      <c r="Z636" s="10"/>
    </row>
    <row r="637" spans="1:26" ht="12.75" customHeight="1" x14ac:dyDescent="0.2">
      <c r="A637" s="15">
        <v>113</v>
      </c>
      <c r="B637" s="15">
        <v>2011</v>
      </c>
      <c r="C637" s="15">
        <v>9</v>
      </c>
      <c r="D637" s="15">
        <v>8</v>
      </c>
      <c r="E637" s="11" t="s">
        <v>29</v>
      </c>
      <c r="F637" s="11" t="s">
        <v>51</v>
      </c>
      <c r="G637" s="11">
        <v>130</v>
      </c>
      <c r="H637" s="15" t="s">
        <v>29</v>
      </c>
      <c r="I637" s="11">
        <v>10</v>
      </c>
      <c r="J637" s="11" t="s">
        <v>19</v>
      </c>
      <c r="K637" s="11" t="s">
        <v>20</v>
      </c>
      <c r="L637" s="11" t="s">
        <v>52</v>
      </c>
      <c r="M637" s="11" t="s">
        <v>47</v>
      </c>
      <c r="N637" s="11" t="s">
        <v>23</v>
      </c>
      <c r="O637" s="16" t="s">
        <v>29</v>
      </c>
      <c r="P637" s="11">
        <v>221</v>
      </c>
      <c r="Q637" s="10"/>
      <c r="R637">
        <v>12.13</v>
      </c>
      <c r="S637">
        <v>1784.33</v>
      </c>
      <c r="T637">
        <v>5.6</v>
      </c>
      <c r="U637">
        <v>8.7100000000000009</v>
      </c>
      <c r="V637">
        <v>121.29</v>
      </c>
      <c r="W637" s="317">
        <v>4.5999999999999996</v>
      </c>
      <c r="X637" s="190">
        <f t="shared" si="20"/>
        <v>46</v>
      </c>
      <c r="Y637" s="10"/>
      <c r="Z637" s="10"/>
    </row>
    <row r="638" spans="1:26" ht="12.75" customHeight="1" x14ac:dyDescent="0.2">
      <c r="A638" s="15">
        <v>114</v>
      </c>
      <c r="B638" s="15">
        <v>2011</v>
      </c>
      <c r="C638" s="15">
        <v>9</v>
      </c>
      <c r="D638" s="15">
        <v>8</v>
      </c>
      <c r="E638" s="11" t="s">
        <v>29</v>
      </c>
      <c r="F638" s="11" t="s">
        <v>51</v>
      </c>
      <c r="G638" s="11">
        <v>141</v>
      </c>
      <c r="H638" s="15" t="s">
        <v>29</v>
      </c>
      <c r="I638" s="11">
        <v>13</v>
      </c>
      <c r="J638" s="11" t="s">
        <v>19</v>
      </c>
      <c r="K638" s="11" t="s">
        <v>20</v>
      </c>
      <c r="L638" s="11" t="s">
        <v>52</v>
      </c>
      <c r="M638" s="11" t="s">
        <v>46</v>
      </c>
      <c r="N638" s="11" t="s">
        <v>23</v>
      </c>
      <c r="O638" s="16" t="s">
        <v>29</v>
      </c>
      <c r="P638" s="11">
        <v>221</v>
      </c>
      <c r="Q638" s="10"/>
      <c r="R638">
        <v>13.16</v>
      </c>
      <c r="S638">
        <v>2276.6799999999998</v>
      </c>
      <c r="T638">
        <v>5.71</v>
      </c>
      <c r="U638">
        <v>9.4499999999999993</v>
      </c>
      <c r="V638">
        <v>131.55000000000001</v>
      </c>
      <c r="W638" s="317">
        <v>4.5999999999999996</v>
      </c>
      <c r="X638" s="190">
        <f t="shared" si="20"/>
        <v>59.8</v>
      </c>
      <c r="Y638" s="10"/>
      <c r="Z638" s="10"/>
    </row>
    <row r="639" spans="1:26" ht="12.75" customHeight="1" x14ac:dyDescent="0.2">
      <c r="A639" s="15">
        <v>115</v>
      </c>
      <c r="B639" s="15">
        <v>2011</v>
      </c>
      <c r="C639" s="15">
        <v>9</v>
      </c>
      <c r="D639" s="15">
        <v>8</v>
      </c>
      <c r="E639" s="11" t="s">
        <v>29</v>
      </c>
      <c r="F639" s="11" t="s">
        <v>51</v>
      </c>
      <c r="G639" s="11">
        <v>128</v>
      </c>
      <c r="H639" s="15" t="s">
        <v>29</v>
      </c>
      <c r="I639" s="11">
        <v>5.5</v>
      </c>
      <c r="J639" s="11" t="s">
        <v>19</v>
      </c>
      <c r="K639" s="11" t="s">
        <v>20</v>
      </c>
      <c r="L639" s="11" t="s">
        <v>21</v>
      </c>
      <c r="M639" s="11" t="s">
        <v>27</v>
      </c>
      <c r="N639" s="11" t="s">
        <v>25</v>
      </c>
      <c r="O639" s="16" t="s">
        <v>29</v>
      </c>
      <c r="P639" s="11">
        <v>221</v>
      </c>
      <c r="Q639" s="10"/>
      <c r="R639">
        <v>11.94</v>
      </c>
      <c r="S639">
        <v>1703.24</v>
      </c>
      <c r="T639">
        <v>3.23</v>
      </c>
      <c r="U639">
        <v>8.58</v>
      </c>
      <c r="V639">
        <v>119.42</v>
      </c>
      <c r="W639" s="317">
        <v>3.9</v>
      </c>
      <c r="X639" s="190">
        <f t="shared" si="20"/>
        <v>21.45</v>
      </c>
      <c r="Y639" s="10"/>
      <c r="Z639" s="10"/>
    </row>
    <row r="640" spans="1:26" ht="12.75" customHeight="1" x14ac:dyDescent="0.2">
      <c r="A640" s="15">
        <v>116</v>
      </c>
      <c r="B640" s="15">
        <v>2011</v>
      </c>
      <c r="C640" s="15">
        <v>9</v>
      </c>
      <c r="D640" s="15">
        <v>8</v>
      </c>
      <c r="E640" s="11" t="s">
        <v>29</v>
      </c>
      <c r="F640" s="11" t="s">
        <v>51</v>
      </c>
      <c r="G640" s="11">
        <v>145</v>
      </c>
      <c r="H640" s="15" t="s">
        <v>29</v>
      </c>
      <c r="I640" s="11">
        <v>11.5</v>
      </c>
      <c r="J640" s="11" t="s">
        <v>19</v>
      </c>
      <c r="K640" s="11" t="s">
        <v>20</v>
      </c>
      <c r="L640" s="11" t="s">
        <v>21</v>
      </c>
      <c r="M640" s="11" t="s">
        <v>46</v>
      </c>
      <c r="N640" s="11" t="s">
        <v>25</v>
      </c>
      <c r="O640" s="16" t="s">
        <v>29</v>
      </c>
      <c r="P640" s="11">
        <v>221</v>
      </c>
      <c r="Q640" s="10"/>
      <c r="R640">
        <v>13.53</v>
      </c>
      <c r="S640">
        <v>2475.9899999999998</v>
      </c>
      <c r="T640">
        <v>4.6399999999999997</v>
      </c>
      <c r="U640">
        <v>9.7200000000000006</v>
      </c>
      <c r="V640">
        <v>135.29</v>
      </c>
      <c r="W640" s="317">
        <v>3.9</v>
      </c>
      <c r="X640" s="190">
        <f t="shared" si="20"/>
        <v>44.85</v>
      </c>
      <c r="Y640" s="10"/>
      <c r="Z640" s="10"/>
    </row>
    <row r="641" spans="1:26" ht="12.75" customHeight="1" x14ac:dyDescent="0.2">
      <c r="A641" s="15">
        <v>117</v>
      </c>
      <c r="B641" s="15">
        <v>2011</v>
      </c>
      <c r="C641" s="15">
        <v>9</v>
      </c>
      <c r="D641" s="15">
        <v>8</v>
      </c>
      <c r="E641" s="11" t="s">
        <v>29</v>
      </c>
      <c r="F641" s="11" t="s">
        <v>51</v>
      </c>
      <c r="G641" s="11">
        <v>140</v>
      </c>
      <c r="H641" s="15" t="s">
        <v>29</v>
      </c>
      <c r="I641" s="11">
        <v>15.9</v>
      </c>
      <c r="J641" s="11" t="s">
        <v>19</v>
      </c>
      <c r="K641" s="11" t="s">
        <v>34</v>
      </c>
      <c r="L641" s="11" t="s">
        <v>41</v>
      </c>
      <c r="M641" s="11" t="s">
        <v>46</v>
      </c>
      <c r="N641" s="11" t="s">
        <v>25</v>
      </c>
      <c r="O641" s="16" t="s">
        <v>29</v>
      </c>
      <c r="P641" s="11">
        <v>221</v>
      </c>
      <c r="Q641" s="10"/>
      <c r="R641">
        <v>13.06</v>
      </c>
      <c r="S641">
        <v>2228.58</v>
      </c>
      <c r="T641">
        <v>7.13</v>
      </c>
      <c r="U641">
        <v>9.3800000000000008</v>
      </c>
      <c r="V641">
        <v>130.62</v>
      </c>
      <c r="W641" s="317">
        <v>3.8</v>
      </c>
      <c r="X641" s="190">
        <f t="shared" si="20"/>
        <v>60.42</v>
      </c>
      <c r="Y641" s="10"/>
      <c r="Z641" s="10"/>
    </row>
    <row r="642" spans="1:26" ht="12.75" customHeight="1" x14ac:dyDescent="0.2">
      <c r="A642" s="15">
        <v>80</v>
      </c>
      <c r="B642" s="15">
        <v>2011</v>
      </c>
      <c r="C642" s="15">
        <v>6</v>
      </c>
      <c r="D642" s="15">
        <v>8</v>
      </c>
      <c r="E642" s="11" t="s">
        <v>29</v>
      </c>
      <c r="F642" s="11" t="s">
        <v>51</v>
      </c>
      <c r="G642" s="11">
        <v>162</v>
      </c>
      <c r="H642" s="15" t="s">
        <v>29</v>
      </c>
      <c r="I642" s="11">
        <v>26</v>
      </c>
      <c r="J642" s="11" t="s">
        <v>19</v>
      </c>
      <c r="K642" s="11" t="s">
        <v>34</v>
      </c>
      <c r="L642" s="11" t="s">
        <v>41</v>
      </c>
      <c r="M642" s="11" t="s">
        <v>45</v>
      </c>
      <c r="N642" s="11" t="s">
        <v>33</v>
      </c>
      <c r="O642" s="16" t="s">
        <v>29</v>
      </c>
      <c r="P642" s="11">
        <v>218</v>
      </c>
      <c r="Q642" s="10"/>
      <c r="R642">
        <v>15.11</v>
      </c>
      <c r="S642">
        <v>3452.95</v>
      </c>
      <c r="T642">
        <v>7.53</v>
      </c>
      <c r="U642">
        <v>10.85</v>
      </c>
      <c r="V642">
        <v>151.15</v>
      </c>
      <c r="W642" s="317">
        <v>3.8</v>
      </c>
      <c r="X642" s="190">
        <f t="shared" si="20"/>
        <v>98.8</v>
      </c>
      <c r="Y642" s="10"/>
      <c r="Z642" s="10"/>
    </row>
    <row r="643" spans="1:26" ht="12.75" customHeight="1" x14ac:dyDescent="0.2">
      <c r="A643" s="15">
        <v>81</v>
      </c>
      <c r="B643" s="15">
        <v>2011</v>
      </c>
      <c r="C643" s="15">
        <v>6</v>
      </c>
      <c r="D643" s="15">
        <v>8</v>
      </c>
      <c r="E643" s="11" t="s">
        <v>29</v>
      </c>
      <c r="F643" s="11" t="s">
        <v>51</v>
      </c>
      <c r="G643" s="11">
        <v>130</v>
      </c>
      <c r="H643" s="15" t="s">
        <v>29</v>
      </c>
      <c r="I643" s="11">
        <v>9.1</v>
      </c>
      <c r="J643" s="11" t="s">
        <v>19</v>
      </c>
      <c r="K643" s="11" t="s">
        <v>20</v>
      </c>
      <c r="L643" s="11" t="s">
        <v>21</v>
      </c>
      <c r="M643" s="11" t="s">
        <v>46</v>
      </c>
      <c r="N643" s="11" t="s">
        <v>25</v>
      </c>
      <c r="O643" s="16" t="s">
        <v>29</v>
      </c>
      <c r="P643" s="11">
        <v>218</v>
      </c>
      <c r="Q643" s="10"/>
      <c r="R643">
        <v>12.13</v>
      </c>
      <c r="S643">
        <v>1784.33</v>
      </c>
      <c r="T643">
        <v>5.0999999999999996</v>
      </c>
      <c r="U643">
        <v>8.7100000000000009</v>
      </c>
      <c r="V643">
        <v>121.29</v>
      </c>
      <c r="W643" s="317">
        <v>3.9</v>
      </c>
      <c r="X643" s="190">
        <f t="shared" ref="X643:X654" si="21">I643*W643</f>
        <v>35.489999999999995</v>
      </c>
      <c r="Y643" s="10"/>
      <c r="Z643" s="10"/>
    </row>
    <row r="644" spans="1:26" ht="12.75" customHeight="1" x14ac:dyDescent="0.2">
      <c r="A644" s="15">
        <v>82</v>
      </c>
      <c r="B644" s="15">
        <v>2011</v>
      </c>
      <c r="C644" s="15">
        <v>6</v>
      </c>
      <c r="D644" s="15">
        <v>8</v>
      </c>
      <c r="E644" s="11" t="s">
        <v>29</v>
      </c>
      <c r="F644" s="11" t="s">
        <v>51</v>
      </c>
      <c r="G644" s="11">
        <v>127</v>
      </c>
      <c r="H644" s="15" t="s">
        <v>29</v>
      </c>
      <c r="I644" s="11">
        <v>9</v>
      </c>
      <c r="J644" s="11" t="s">
        <v>19</v>
      </c>
      <c r="K644" s="11" t="s">
        <v>20</v>
      </c>
      <c r="L644" s="11" t="s">
        <v>52</v>
      </c>
      <c r="M644" s="11" t="s">
        <v>29</v>
      </c>
      <c r="N644" s="11" t="s">
        <v>24</v>
      </c>
      <c r="O644" s="16" t="s">
        <v>29</v>
      </c>
      <c r="P644" s="11">
        <v>218</v>
      </c>
      <c r="Q644" s="10"/>
      <c r="R644">
        <v>11.85</v>
      </c>
      <c r="S644">
        <v>1663.63</v>
      </c>
      <c r="T644">
        <v>5.41</v>
      </c>
      <c r="U644">
        <v>8.51</v>
      </c>
      <c r="V644">
        <v>118.49</v>
      </c>
      <c r="W644" s="317">
        <v>4.5999999999999996</v>
      </c>
      <c r="X644" s="190">
        <f t="shared" si="21"/>
        <v>41.4</v>
      </c>
      <c r="Y644" s="10"/>
      <c r="Z644" s="10"/>
    </row>
    <row r="645" spans="1:26" ht="12.75" customHeight="1" x14ac:dyDescent="0.2">
      <c r="A645" s="15">
        <v>83</v>
      </c>
      <c r="B645" s="15">
        <v>2011</v>
      </c>
      <c r="C645" s="15">
        <v>6</v>
      </c>
      <c r="D645" s="15">
        <v>8</v>
      </c>
      <c r="E645" s="11" t="s">
        <v>29</v>
      </c>
      <c r="F645" s="11" t="s">
        <v>51</v>
      </c>
      <c r="G645" s="11">
        <v>136</v>
      </c>
      <c r="H645" s="15" t="s">
        <v>29</v>
      </c>
      <c r="I645" s="11">
        <v>10</v>
      </c>
      <c r="J645" s="11" t="s">
        <v>19</v>
      </c>
      <c r="K645" s="11" t="s">
        <v>20</v>
      </c>
      <c r="L645" s="11" t="s">
        <v>52</v>
      </c>
      <c r="M645" s="11" t="s">
        <v>45</v>
      </c>
      <c r="N645" s="11" t="s">
        <v>25</v>
      </c>
      <c r="O645" s="16" t="s">
        <v>29</v>
      </c>
      <c r="P645" s="11">
        <v>218</v>
      </c>
      <c r="Q645" s="10"/>
      <c r="R645">
        <v>12.69</v>
      </c>
      <c r="S645">
        <v>2042.97</v>
      </c>
      <c r="T645">
        <v>4.8899999999999997</v>
      </c>
      <c r="U645">
        <v>9.11</v>
      </c>
      <c r="V645">
        <v>126.89</v>
      </c>
      <c r="W645" s="317">
        <v>4.5999999999999996</v>
      </c>
      <c r="X645" s="190">
        <f t="shared" si="21"/>
        <v>46</v>
      </c>
      <c r="Y645" s="10"/>
      <c r="Z645" s="10"/>
    </row>
    <row r="646" spans="1:26" ht="12.75" customHeight="1" x14ac:dyDescent="0.2">
      <c r="A646" s="15">
        <v>84</v>
      </c>
      <c r="B646" s="15">
        <v>2011</v>
      </c>
      <c r="C646" s="15">
        <v>6</v>
      </c>
      <c r="D646" s="15">
        <v>8</v>
      </c>
      <c r="E646" s="11" t="s">
        <v>29</v>
      </c>
      <c r="F646" s="11" t="s">
        <v>51</v>
      </c>
      <c r="G646" s="11">
        <v>141</v>
      </c>
      <c r="H646" s="15" t="s">
        <v>29</v>
      </c>
      <c r="I646" s="11">
        <v>7.5</v>
      </c>
      <c r="J646" s="11" t="s">
        <v>19</v>
      </c>
      <c r="K646" s="11" t="s">
        <v>20</v>
      </c>
      <c r="L646" s="11" t="s">
        <v>21</v>
      </c>
      <c r="M646" s="11" t="s">
        <v>27</v>
      </c>
      <c r="N646" s="11" t="s">
        <v>25</v>
      </c>
      <c r="O646" s="16" t="s">
        <v>29</v>
      </c>
      <c r="P646" s="11">
        <v>218</v>
      </c>
      <c r="Q646" s="10"/>
      <c r="R646">
        <v>13.16</v>
      </c>
      <c r="S646">
        <v>2276.6799999999998</v>
      </c>
      <c r="T646">
        <v>3.29</v>
      </c>
      <c r="U646">
        <v>9.4499999999999993</v>
      </c>
      <c r="V646">
        <v>131.55000000000001</v>
      </c>
      <c r="W646" s="317">
        <v>3.9</v>
      </c>
      <c r="X646" s="190">
        <f t="shared" si="21"/>
        <v>29.25</v>
      </c>
      <c r="Y646" s="10"/>
      <c r="Z646" s="10"/>
    </row>
    <row r="647" spans="1:26" ht="12.75" customHeight="1" x14ac:dyDescent="0.2">
      <c r="A647" s="15">
        <v>85</v>
      </c>
      <c r="B647" s="15">
        <v>2011</v>
      </c>
      <c r="C647" s="15">
        <v>6</v>
      </c>
      <c r="D647" s="15">
        <v>8</v>
      </c>
      <c r="E647" s="11" t="s">
        <v>29</v>
      </c>
      <c r="F647" s="11" t="s">
        <v>51</v>
      </c>
      <c r="G647" s="11">
        <v>149</v>
      </c>
      <c r="H647" s="15" t="s">
        <v>29</v>
      </c>
      <c r="I647" s="11">
        <v>15.5</v>
      </c>
      <c r="J647" s="11" t="s">
        <v>19</v>
      </c>
      <c r="K647" s="11" t="s">
        <v>20</v>
      </c>
      <c r="L647" s="11" t="s">
        <v>52</v>
      </c>
      <c r="M647" s="11" t="s">
        <v>29</v>
      </c>
      <c r="N647" s="11" t="s">
        <v>23</v>
      </c>
      <c r="O647" s="16" t="s">
        <v>29</v>
      </c>
      <c r="P647" s="11">
        <v>218</v>
      </c>
      <c r="Q647" s="10"/>
      <c r="R647">
        <v>13.9</v>
      </c>
      <c r="S647">
        <v>2686.6</v>
      </c>
      <c r="T647">
        <v>5.77</v>
      </c>
      <c r="U647">
        <v>9.98</v>
      </c>
      <c r="V647">
        <v>139.02000000000001</v>
      </c>
      <c r="W647" s="317">
        <v>4.5999999999999996</v>
      </c>
      <c r="X647" s="190">
        <f t="shared" si="21"/>
        <v>71.3</v>
      </c>
      <c r="Y647" s="10"/>
      <c r="Z647" s="10"/>
    </row>
    <row r="648" spans="1:26" ht="12.75" customHeight="1" x14ac:dyDescent="0.2">
      <c r="A648" s="15">
        <v>86</v>
      </c>
      <c r="B648" s="15">
        <v>2011</v>
      </c>
      <c r="C648" s="15">
        <v>6</v>
      </c>
      <c r="D648" s="15">
        <v>8</v>
      </c>
      <c r="E648" s="11" t="s">
        <v>29</v>
      </c>
      <c r="F648" s="11" t="s">
        <v>51</v>
      </c>
      <c r="G648" s="11">
        <v>133</v>
      </c>
      <c r="H648" s="15" t="s">
        <v>29</v>
      </c>
      <c r="I648" s="11">
        <v>12.3</v>
      </c>
      <c r="J648" s="11" t="s">
        <v>19</v>
      </c>
      <c r="K648" s="11" t="s">
        <v>20</v>
      </c>
      <c r="L648" s="11" t="s">
        <v>52</v>
      </c>
      <c r="M648" s="11" t="s">
        <v>27</v>
      </c>
      <c r="N648" s="11" t="s">
        <v>25</v>
      </c>
      <c r="O648" s="16" t="s">
        <v>29</v>
      </c>
      <c r="P648" s="11">
        <v>218</v>
      </c>
      <c r="Q648" s="10"/>
      <c r="R648">
        <v>12.41</v>
      </c>
      <c r="S648">
        <v>1910.73</v>
      </c>
      <c r="T648">
        <v>6.44</v>
      </c>
      <c r="U648">
        <v>8.91</v>
      </c>
      <c r="V648">
        <v>124.09</v>
      </c>
      <c r="W648" s="317">
        <v>4.5999999999999996</v>
      </c>
      <c r="X648" s="190">
        <f t="shared" si="21"/>
        <v>56.58</v>
      </c>
      <c r="Y648" s="10"/>
      <c r="Z648" s="10"/>
    </row>
    <row r="649" spans="1:26" ht="12.75" customHeight="1" x14ac:dyDescent="0.2">
      <c r="A649" s="15">
        <v>87</v>
      </c>
      <c r="B649" s="15">
        <v>2011</v>
      </c>
      <c r="C649" s="15">
        <v>6</v>
      </c>
      <c r="D649" s="15">
        <v>8</v>
      </c>
      <c r="E649" s="11" t="s">
        <v>29</v>
      </c>
      <c r="F649" s="11" t="s">
        <v>51</v>
      </c>
      <c r="G649" s="11">
        <v>110</v>
      </c>
      <c r="H649" s="15" t="s">
        <v>29</v>
      </c>
      <c r="I649" s="11" t="s">
        <v>29</v>
      </c>
      <c r="J649" s="11" t="s">
        <v>19</v>
      </c>
      <c r="K649" s="11" t="s">
        <v>20</v>
      </c>
      <c r="L649" s="11" t="s">
        <v>52</v>
      </c>
      <c r="M649" s="11" t="s">
        <v>27</v>
      </c>
      <c r="N649" s="11" t="s">
        <v>25</v>
      </c>
      <c r="O649" s="16" t="s">
        <v>29</v>
      </c>
      <c r="P649" s="11">
        <v>218</v>
      </c>
      <c r="Q649" s="10"/>
      <c r="R649">
        <v>10.26</v>
      </c>
      <c r="S649">
        <v>1080.99</v>
      </c>
      <c r="U649">
        <v>7.37</v>
      </c>
      <c r="V649">
        <v>102.63</v>
      </c>
      <c r="W649" s="317">
        <v>4.5999999999999996</v>
      </c>
      <c r="X649" s="190"/>
      <c r="Y649" s="10"/>
      <c r="Z649" s="10"/>
    </row>
    <row r="650" spans="1:26" ht="12.75" customHeight="1" x14ac:dyDescent="0.2">
      <c r="A650" s="15">
        <v>88</v>
      </c>
      <c r="B650" s="15">
        <v>2011</v>
      </c>
      <c r="C650" s="15">
        <v>6</v>
      </c>
      <c r="D650" s="15">
        <v>8</v>
      </c>
      <c r="E650" s="11" t="s">
        <v>29</v>
      </c>
      <c r="F650" s="11" t="s">
        <v>51</v>
      </c>
      <c r="G650" s="11">
        <v>129</v>
      </c>
      <c r="H650" s="15" t="s">
        <v>29</v>
      </c>
      <c r="I650" s="11">
        <v>12</v>
      </c>
      <c r="J650" s="11" t="s">
        <v>19</v>
      </c>
      <c r="K650" s="11" t="s">
        <v>20</v>
      </c>
      <c r="L650" s="11" t="s">
        <v>52</v>
      </c>
      <c r="M650" s="11" t="s">
        <v>27</v>
      </c>
      <c r="N650" s="11" t="s">
        <v>24</v>
      </c>
      <c r="O650" s="16" t="s">
        <v>29</v>
      </c>
      <c r="P650" s="11">
        <v>218</v>
      </c>
      <c r="Q650" s="10"/>
      <c r="R650">
        <v>12.04</v>
      </c>
      <c r="S650">
        <v>1743.47</v>
      </c>
      <c r="T650">
        <v>6.88</v>
      </c>
      <c r="U650">
        <v>8.64</v>
      </c>
      <c r="V650">
        <v>120.36</v>
      </c>
      <c r="W650" s="317">
        <v>4.5999999999999996</v>
      </c>
      <c r="X650" s="190">
        <f t="shared" si="21"/>
        <v>55.199999999999996</v>
      </c>
      <c r="Y650" s="10"/>
      <c r="Z650" s="10"/>
    </row>
    <row r="651" spans="1:26" ht="12.75" customHeight="1" x14ac:dyDescent="0.2">
      <c r="A651" s="15">
        <v>89</v>
      </c>
      <c r="B651" s="15">
        <v>2011</v>
      </c>
      <c r="C651" s="15">
        <v>6</v>
      </c>
      <c r="D651" s="15">
        <v>8</v>
      </c>
      <c r="E651" s="11" t="s">
        <v>29</v>
      </c>
      <c r="F651" s="11" t="s">
        <v>51</v>
      </c>
      <c r="G651" s="11">
        <v>127</v>
      </c>
      <c r="H651" s="15" t="s">
        <v>29</v>
      </c>
      <c r="I651" s="11">
        <v>10.3</v>
      </c>
      <c r="J651" s="11" t="s">
        <v>19</v>
      </c>
      <c r="K651" s="11" t="s">
        <v>20</v>
      </c>
      <c r="L651" s="11" t="s">
        <v>52</v>
      </c>
      <c r="M651" s="11" t="s">
        <v>45</v>
      </c>
      <c r="N651" s="11" t="s">
        <v>24</v>
      </c>
      <c r="O651" s="16" t="s">
        <v>29</v>
      </c>
      <c r="P651" s="11">
        <v>218</v>
      </c>
      <c r="Q651" s="10"/>
      <c r="R651">
        <v>11.85</v>
      </c>
      <c r="S651">
        <v>1663.63</v>
      </c>
      <c r="T651">
        <v>6.19</v>
      </c>
      <c r="U651">
        <v>8.51</v>
      </c>
      <c r="V651">
        <v>118.49</v>
      </c>
      <c r="W651" s="317">
        <v>4.5999999999999996</v>
      </c>
      <c r="X651" s="190">
        <f t="shared" si="21"/>
        <v>47.38</v>
      </c>
      <c r="Y651" s="10"/>
      <c r="Z651" s="10"/>
    </row>
    <row r="652" spans="1:26" ht="12.75" customHeight="1" x14ac:dyDescent="0.2">
      <c r="A652" s="15">
        <v>90</v>
      </c>
      <c r="B652" s="15">
        <v>2011</v>
      </c>
      <c r="C652" s="15">
        <v>6</v>
      </c>
      <c r="D652" s="15">
        <v>8</v>
      </c>
      <c r="E652" s="11" t="s">
        <v>29</v>
      </c>
      <c r="F652" s="11" t="s">
        <v>51</v>
      </c>
      <c r="G652" s="11">
        <v>126</v>
      </c>
      <c r="H652" s="15" t="s">
        <v>29</v>
      </c>
      <c r="I652" s="11">
        <v>12.5</v>
      </c>
      <c r="J652" s="11" t="s">
        <v>19</v>
      </c>
      <c r="K652" s="11" t="s">
        <v>20</v>
      </c>
      <c r="L652" s="11" t="s">
        <v>52</v>
      </c>
      <c r="M652" s="11" t="s">
        <v>27</v>
      </c>
      <c r="N652" s="11" t="s">
        <v>25</v>
      </c>
      <c r="O652" s="16" t="s">
        <v>29</v>
      </c>
      <c r="P652" s="11">
        <v>218</v>
      </c>
      <c r="Q652" s="10"/>
      <c r="R652">
        <v>11.76</v>
      </c>
      <c r="S652">
        <v>1624.64</v>
      </c>
      <c r="T652">
        <v>7.69</v>
      </c>
      <c r="U652">
        <v>8.44</v>
      </c>
      <c r="V652">
        <v>117.56</v>
      </c>
      <c r="W652" s="317">
        <v>4.5999999999999996</v>
      </c>
      <c r="X652" s="190">
        <f t="shared" si="21"/>
        <v>57.499999999999993</v>
      </c>
      <c r="Y652" s="10"/>
      <c r="Z652" s="10"/>
    </row>
    <row r="653" spans="1:26" ht="12.75" customHeight="1" x14ac:dyDescent="0.2">
      <c r="A653" s="15">
        <v>91</v>
      </c>
      <c r="B653" s="15">
        <v>2011</v>
      </c>
      <c r="C653" s="15">
        <v>6</v>
      </c>
      <c r="D653" s="15">
        <v>8</v>
      </c>
      <c r="E653" s="11" t="s">
        <v>29</v>
      </c>
      <c r="F653" s="11" t="s">
        <v>51</v>
      </c>
      <c r="G653" s="11">
        <v>140</v>
      </c>
      <c r="H653" s="15" t="s">
        <v>29</v>
      </c>
      <c r="I653" s="11">
        <v>12.3</v>
      </c>
      <c r="J653" s="11" t="s">
        <v>19</v>
      </c>
      <c r="K653" s="11" t="s">
        <v>20</v>
      </c>
      <c r="L653" s="11" t="s">
        <v>52</v>
      </c>
      <c r="M653" s="11" t="s">
        <v>46</v>
      </c>
      <c r="N653" s="11" t="s">
        <v>33</v>
      </c>
      <c r="O653" s="16" t="s">
        <v>29</v>
      </c>
      <c r="P653" s="11">
        <v>218</v>
      </c>
      <c r="Q653" s="10"/>
      <c r="R653">
        <v>13.06</v>
      </c>
      <c r="S653">
        <v>2228.58</v>
      </c>
      <c r="T653">
        <v>5.52</v>
      </c>
      <c r="U653">
        <v>9.3800000000000008</v>
      </c>
      <c r="V653">
        <v>130.62</v>
      </c>
      <c r="W653" s="317">
        <v>4.5999999999999996</v>
      </c>
      <c r="X653" s="190">
        <f t="shared" si="21"/>
        <v>56.58</v>
      </c>
      <c r="Y653" s="10"/>
      <c r="Z653" s="10"/>
    </row>
    <row r="654" spans="1:26" ht="12.75" customHeight="1" x14ac:dyDescent="0.2">
      <c r="A654" s="15">
        <v>92</v>
      </c>
      <c r="B654" s="15">
        <v>2011</v>
      </c>
      <c r="C654" s="15">
        <v>6</v>
      </c>
      <c r="D654" s="15">
        <v>8</v>
      </c>
      <c r="E654" s="11" t="s">
        <v>29</v>
      </c>
      <c r="F654" s="11" t="s">
        <v>51</v>
      </c>
      <c r="G654" s="11">
        <v>161</v>
      </c>
      <c r="H654" s="15" t="s">
        <v>29</v>
      </c>
      <c r="I654" s="11">
        <v>20.100000000000001</v>
      </c>
      <c r="J654" s="11" t="s">
        <v>19</v>
      </c>
      <c r="K654" s="11" t="s">
        <v>34</v>
      </c>
      <c r="L654" s="11" t="s">
        <v>41</v>
      </c>
      <c r="M654" s="11" t="s">
        <v>45</v>
      </c>
      <c r="N654" s="11" t="s">
        <v>24</v>
      </c>
      <c r="O654" s="16" t="s">
        <v>29</v>
      </c>
      <c r="P654" s="11">
        <v>218</v>
      </c>
      <c r="Q654" s="10"/>
      <c r="R654">
        <v>15.02</v>
      </c>
      <c r="S654">
        <v>3389.4</v>
      </c>
      <c r="T654">
        <v>5.93</v>
      </c>
      <c r="U654">
        <v>10.79</v>
      </c>
      <c r="V654">
        <v>150.21</v>
      </c>
      <c r="W654" s="317">
        <v>3.8</v>
      </c>
      <c r="X654" s="190">
        <f t="shared" si="21"/>
        <v>76.38</v>
      </c>
      <c r="Y654" s="10"/>
      <c r="Z654" s="10"/>
    </row>
    <row r="655" spans="1:26" ht="12.75" customHeight="1" x14ac:dyDescent="0.2">
      <c r="A655" s="15">
        <v>93</v>
      </c>
      <c r="B655" s="15">
        <v>2011</v>
      </c>
      <c r="C655" s="15">
        <v>6</v>
      </c>
      <c r="D655" s="15">
        <v>8</v>
      </c>
      <c r="E655" s="11" t="s">
        <v>29</v>
      </c>
      <c r="F655" s="11" t="s">
        <v>51</v>
      </c>
      <c r="G655" s="11">
        <v>147</v>
      </c>
      <c r="H655" s="15" t="s">
        <v>29</v>
      </c>
      <c r="I655" s="11">
        <v>13.5</v>
      </c>
      <c r="J655" s="11" t="s">
        <v>19</v>
      </c>
      <c r="K655" s="11" t="s">
        <v>20</v>
      </c>
      <c r="L655" s="11" t="s">
        <v>52</v>
      </c>
      <c r="M655" s="11" t="s">
        <v>46</v>
      </c>
      <c r="N655" s="11" t="s">
        <v>23</v>
      </c>
      <c r="O655" s="16" t="s">
        <v>29</v>
      </c>
      <c r="P655" s="11">
        <v>218</v>
      </c>
      <c r="Q655" s="10"/>
      <c r="R655">
        <v>13.72</v>
      </c>
      <c r="S655">
        <v>2579.86</v>
      </c>
      <c r="T655">
        <v>5.23</v>
      </c>
      <c r="U655">
        <v>9.85</v>
      </c>
      <c r="V655">
        <v>137.15</v>
      </c>
      <c r="W655" s="317">
        <v>4.5999999999999996</v>
      </c>
      <c r="X655" s="190">
        <f t="shared" ref="X655:X668" si="22">I655*W655</f>
        <v>62.099999999999994</v>
      </c>
      <c r="Y655" s="10"/>
      <c r="Z655" s="10"/>
    </row>
    <row r="656" spans="1:26" ht="12.75" customHeight="1" x14ac:dyDescent="0.2">
      <c r="A656" s="15">
        <v>94</v>
      </c>
      <c r="B656" s="15">
        <v>2011</v>
      </c>
      <c r="C656" s="15">
        <v>6</v>
      </c>
      <c r="D656" s="15">
        <v>8</v>
      </c>
      <c r="E656" s="11" t="s">
        <v>29</v>
      </c>
      <c r="F656" s="11" t="s">
        <v>51</v>
      </c>
      <c r="G656" s="11">
        <v>140</v>
      </c>
      <c r="H656" s="15" t="s">
        <v>29</v>
      </c>
      <c r="I656" s="11">
        <v>10.5</v>
      </c>
      <c r="J656" s="11" t="s">
        <v>19</v>
      </c>
      <c r="K656" s="11" t="s">
        <v>20</v>
      </c>
      <c r="L656" s="11" t="s">
        <v>21</v>
      </c>
      <c r="M656" s="11" t="s">
        <v>46</v>
      </c>
      <c r="N656" s="11" t="s">
        <v>33</v>
      </c>
      <c r="O656" s="16" t="s">
        <v>29</v>
      </c>
      <c r="P656" s="11">
        <v>218</v>
      </c>
      <c r="Q656" s="10"/>
      <c r="R656">
        <v>13.06</v>
      </c>
      <c r="S656">
        <v>2228.58</v>
      </c>
      <c r="T656">
        <v>4.71</v>
      </c>
      <c r="U656">
        <v>9.3800000000000008</v>
      </c>
      <c r="V656">
        <v>130.62</v>
      </c>
      <c r="W656" s="317">
        <v>3.9</v>
      </c>
      <c r="X656" s="190">
        <f t="shared" si="22"/>
        <v>40.949999999999996</v>
      </c>
      <c r="Y656" s="10"/>
      <c r="Z656" s="10"/>
    </row>
    <row r="657" spans="1:26" ht="12.75" customHeight="1" x14ac:dyDescent="0.2">
      <c r="A657" s="15">
        <v>95</v>
      </c>
      <c r="B657" s="15">
        <v>2011</v>
      </c>
      <c r="C657" s="15">
        <v>6</v>
      </c>
      <c r="D657" s="15">
        <v>8</v>
      </c>
      <c r="E657" s="11" t="s">
        <v>29</v>
      </c>
      <c r="F657" s="11" t="s">
        <v>51</v>
      </c>
      <c r="G657" s="11">
        <v>122</v>
      </c>
      <c r="H657" s="15" t="s">
        <v>29</v>
      </c>
      <c r="I657" s="11">
        <v>10.5</v>
      </c>
      <c r="J657" s="11" t="s">
        <v>19</v>
      </c>
      <c r="K657" s="11" t="s">
        <v>20</v>
      </c>
      <c r="L657" s="11" t="s">
        <v>52</v>
      </c>
      <c r="M657" s="11" t="s">
        <v>27</v>
      </c>
      <c r="N657" s="11" t="s">
        <v>23</v>
      </c>
      <c r="O657" s="16" t="s">
        <v>29</v>
      </c>
      <c r="P657" s="11">
        <v>218</v>
      </c>
      <c r="Q657" s="10"/>
      <c r="R657">
        <v>11.38</v>
      </c>
      <c r="S657">
        <v>1474.77</v>
      </c>
      <c r="T657">
        <v>7.12</v>
      </c>
      <c r="U657">
        <v>8.17</v>
      </c>
      <c r="V657">
        <v>113.83</v>
      </c>
      <c r="W657" s="317">
        <v>4.5999999999999996</v>
      </c>
      <c r="X657" s="190">
        <f t="shared" si="22"/>
        <v>48.3</v>
      </c>
      <c r="Y657" s="10"/>
      <c r="Z657" s="10"/>
    </row>
    <row r="658" spans="1:26" ht="12.75" customHeight="1" x14ac:dyDescent="0.2">
      <c r="A658" s="15">
        <v>59</v>
      </c>
      <c r="B658" s="15">
        <v>2011</v>
      </c>
      <c r="C658" s="15">
        <v>5</v>
      </c>
      <c r="D658" s="15">
        <v>8</v>
      </c>
      <c r="E658" s="11" t="s">
        <v>29</v>
      </c>
      <c r="F658" s="11" t="s">
        <v>51</v>
      </c>
      <c r="G658" s="11" t="s">
        <v>29</v>
      </c>
      <c r="H658" s="15" t="s">
        <v>29</v>
      </c>
      <c r="I658" s="11">
        <v>18</v>
      </c>
      <c r="J658" s="11" t="s">
        <v>19</v>
      </c>
      <c r="K658" s="11" t="s">
        <v>20</v>
      </c>
      <c r="L658" s="11" t="s">
        <v>52</v>
      </c>
      <c r="M658" s="11" t="s">
        <v>27</v>
      </c>
      <c r="N658" s="11" t="s">
        <v>23</v>
      </c>
      <c r="O658" s="16" t="s">
        <v>29</v>
      </c>
      <c r="P658" s="11">
        <v>217</v>
      </c>
      <c r="Q658" s="10"/>
      <c r="W658" s="317">
        <v>4.5999999999999996</v>
      </c>
      <c r="X658" s="190">
        <f t="shared" si="22"/>
        <v>82.8</v>
      </c>
      <c r="Y658" s="10"/>
      <c r="Z658" s="10"/>
    </row>
    <row r="659" spans="1:26" ht="12.75" customHeight="1" x14ac:dyDescent="0.2">
      <c r="A659" s="15">
        <v>60</v>
      </c>
      <c r="B659" s="15">
        <v>2011</v>
      </c>
      <c r="C659" s="15">
        <v>5</v>
      </c>
      <c r="D659" s="15">
        <v>8</v>
      </c>
      <c r="E659" s="11" t="s">
        <v>29</v>
      </c>
      <c r="F659" s="11" t="s">
        <v>51</v>
      </c>
      <c r="G659" s="11">
        <v>141</v>
      </c>
      <c r="H659" s="15" t="s">
        <v>29</v>
      </c>
      <c r="I659" s="11">
        <v>14</v>
      </c>
      <c r="J659" s="11" t="s">
        <v>19</v>
      </c>
      <c r="K659" s="11" t="s">
        <v>20</v>
      </c>
      <c r="L659" s="11" t="s">
        <v>52</v>
      </c>
      <c r="M659" s="11" t="s">
        <v>46</v>
      </c>
      <c r="N659" s="11" t="s">
        <v>25</v>
      </c>
      <c r="O659" s="16" t="s">
        <v>29</v>
      </c>
      <c r="P659" s="11">
        <v>217</v>
      </c>
      <c r="Q659" s="10"/>
      <c r="R659">
        <v>13.16</v>
      </c>
      <c r="S659">
        <v>2276.6799999999998</v>
      </c>
      <c r="T659">
        <v>6.15</v>
      </c>
      <c r="U659">
        <v>9.4499999999999993</v>
      </c>
      <c r="V659">
        <v>131.55000000000001</v>
      </c>
      <c r="W659" s="317">
        <v>4.5999999999999996</v>
      </c>
      <c r="X659" s="190">
        <f t="shared" si="22"/>
        <v>64.399999999999991</v>
      </c>
      <c r="Y659" s="10"/>
      <c r="Z659" s="10"/>
    </row>
    <row r="660" spans="1:26" ht="12.75" customHeight="1" x14ac:dyDescent="0.2">
      <c r="A660" s="15">
        <v>61</v>
      </c>
      <c r="B660" s="15">
        <v>2011</v>
      </c>
      <c r="C660" s="15">
        <v>5</v>
      </c>
      <c r="D660" s="15">
        <v>8</v>
      </c>
      <c r="E660" s="11" t="s">
        <v>29</v>
      </c>
      <c r="F660" s="11" t="s">
        <v>51</v>
      </c>
      <c r="G660" s="11">
        <v>142</v>
      </c>
      <c r="H660" s="15" t="s">
        <v>29</v>
      </c>
      <c r="I660" s="11">
        <v>11.5</v>
      </c>
      <c r="J660" s="11" t="s">
        <v>19</v>
      </c>
      <c r="K660" s="11" t="s">
        <v>20</v>
      </c>
      <c r="L660" s="11" t="s">
        <v>21</v>
      </c>
      <c r="M660" s="11" t="s">
        <v>46</v>
      </c>
      <c r="N660" s="11" t="s">
        <v>25</v>
      </c>
      <c r="O660" s="16" t="s">
        <v>29</v>
      </c>
      <c r="P660" s="11">
        <v>217</v>
      </c>
      <c r="Q660" s="10"/>
      <c r="R660">
        <v>13.25</v>
      </c>
      <c r="S660">
        <v>2325.4699999999998</v>
      </c>
      <c r="T660">
        <v>4.95</v>
      </c>
      <c r="U660">
        <v>9.51</v>
      </c>
      <c r="V660">
        <v>132.49</v>
      </c>
      <c r="W660" s="317">
        <v>3.9</v>
      </c>
      <c r="X660" s="190">
        <f t="shared" si="22"/>
        <v>44.85</v>
      </c>
      <c r="Y660" s="10"/>
      <c r="Z660" s="10"/>
    </row>
    <row r="661" spans="1:26" ht="12.75" customHeight="1" x14ac:dyDescent="0.2">
      <c r="A661" s="15">
        <v>62</v>
      </c>
      <c r="B661" s="15">
        <v>2011</v>
      </c>
      <c r="C661" s="15">
        <v>5</v>
      </c>
      <c r="D661" s="15">
        <v>8</v>
      </c>
      <c r="E661" s="11" t="s">
        <v>29</v>
      </c>
      <c r="F661" s="11" t="s">
        <v>51</v>
      </c>
      <c r="G661" s="11">
        <v>130</v>
      </c>
      <c r="H661" s="15" t="s">
        <v>29</v>
      </c>
      <c r="I661" s="11">
        <v>11</v>
      </c>
      <c r="J661" s="11" t="s">
        <v>19</v>
      </c>
      <c r="K661" s="11" t="s">
        <v>20</v>
      </c>
      <c r="L661" s="11" t="s">
        <v>52</v>
      </c>
      <c r="M661" s="11" t="s">
        <v>46</v>
      </c>
      <c r="N661" s="11" t="s">
        <v>23</v>
      </c>
      <c r="O661" s="16" t="s">
        <v>29</v>
      </c>
      <c r="P661" s="11">
        <v>217</v>
      </c>
      <c r="Q661" s="10"/>
      <c r="R661">
        <v>12.13</v>
      </c>
      <c r="S661">
        <v>1784.33</v>
      </c>
      <c r="T661">
        <v>6.16</v>
      </c>
      <c r="U661">
        <v>8.7100000000000009</v>
      </c>
      <c r="V661">
        <v>121.29</v>
      </c>
      <c r="W661" s="317">
        <v>4.5999999999999996</v>
      </c>
      <c r="X661" s="190">
        <f t="shared" si="22"/>
        <v>50.599999999999994</v>
      </c>
      <c r="Y661" s="8"/>
      <c r="Z661" s="8"/>
    </row>
    <row r="662" spans="1:26" ht="12.75" customHeight="1" x14ac:dyDescent="0.2">
      <c r="A662" s="15">
        <v>63</v>
      </c>
      <c r="B662" s="15">
        <v>2011</v>
      </c>
      <c r="C662" s="15">
        <v>5</v>
      </c>
      <c r="D662" s="15">
        <v>8</v>
      </c>
      <c r="E662" s="11" t="s">
        <v>29</v>
      </c>
      <c r="F662" s="11" t="s">
        <v>51</v>
      </c>
      <c r="G662" s="11">
        <v>143</v>
      </c>
      <c r="H662" s="15" t="s">
        <v>29</v>
      </c>
      <c r="I662" s="11">
        <v>11</v>
      </c>
      <c r="J662" s="11" t="s">
        <v>19</v>
      </c>
      <c r="K662" s="11" t="s">
        <v>20</v>
      </c>
      <c r="L662" s="11" t="s">
        <v>21</v>
      </c>
      <c r="M662" s="11" t="s">
        <v>46</v>
      </c>
      <c r="N662" s="11" t="s">
        <v>24</v>
      </c>
      <c r="O662" s="16" t="s">
        <v>29</v>
      </c>
      <c r="P662" s="11">
        <v>217</v>
      </c>
      <c r="Q662" s="10"/>
      <c r="R662">
        <v>13.34</v>
      </c>
      <c r="S662">
        <v>2374.94</v>
      </c>
      <c r="T662">
        <v>4.63</v>
      </c>
      <c r="U662">
        <v>9.58</v>
      </c>
      <c r="V662">
        <v>133.41999999999999</v>
      </c>
      <c r="W662" s="317">
        <v>3.9</v>
      </c>
      <c r="X662" s="190">
        <f t="shared" si="22"/>
        <v>42.9</v>
      </c>
      <c r="Y662" s="8"/>
      <c r="Z662" s="8"/>
    </row>
    <row r="663" spans="1:26" ht="12.75" customHeight="1" x14ac:dyDescent="0.2">
      <c r="A663" s="15">
        <v>64</v>
      </c>
      <c r="B663" s="15">
        <v>2011</v>
      </c>
      <c r="C663" s="15">
        <v>5</v>
      </c>
      <c r="D663" s="15">
        <v>8</v>
      </c>
      <c r="E663" s="11" t="s">
        <v>29</v>
      </c>
      <c r="F663" s="11" t="s">
        <v>51</v>
      </c>
      <c r="G663" s="11">
        <v>116</v>
      </c>
      <c r="H663" s="15" t="s">
        <v>29</v>
      </c>
      <c r="I663" s="11">
        <v>9.5</v>
      </c>
      <c r="J663" s="11" t="s">
        <v>19</v>
      </c>
      <c r="K663" s="11" t="s">
        <v>20</v>
      </c>
      <c r="L663" s="11" t="s">
        <v>52</v>
      </c>
      <c r="M663" s="11" t="s">
        <v>45</v>
      </c>
      <c r="N663" s="11" t="s">
        <v>23</v>
      </c>
      <c r="O663" s="16" t="s">
        <v>29</v>
      </c>
      <c r="P663" s="11">
        <v>217</v>
      </c>
      <c r="Q663" s="10"/>
      <c r="R663">
        <v>10.82</v>
      </c>
      <c r="S663">
        <v>1267.71</v>
      </c>
      <c r="T663">
        <v>7.49</v>
      </c>
      <c r="U663">
        <v>7.77</v>
      </c>
      <c r="V663">
        <v>108.23</v>
      </c>
      <c r="W663" s="317">
        <v>4.5999999999999996</v>
      </c>
      <c r="X663" s="190">
        <f t="shared" si="22"/>
        <v>43.699999999999996</v>
      </c>
      <c r="Y663" s="8"/>
      <c r="Z663" s="8"/>
    </row>
    <row r="664" spans="1:26" ht="12.75" customHeight="1" x14ac:dyDescent="0.2">
      <c r="A664" s="15">
        <v>65</v>
      </c>
      <c r="B664" s="15">
        <v>2011</v>
      </c>
      <c r="C664" s="15">
        <v>5</v>
      </c>
      <c r="D664" s="15">
        <v>8</v>
      </c>
      <c r="E664" s="11" t="s">
        <v>29</v>
      </c>
      <c r="F664" s="11" t="s">
        <v>51</v>
      </c>
      <c r="G664" s="11">
        <v>142</v>
      </c>
      <c r="H664" s="15" t="s">
        <v>29</v>
      </c>
      <c r="I664" s="11">
        <v>15.5</v>
      </c>
      <c r="J664" s="11" t="s">
        <v>19</v>
      </c>
      <c r="K664" s="11" t="s">
        <v>20</v>
      </c>
      <c r="L664" s="11" t="s">
        <v>52</v>
      </c>
      <c r="M664" s="11" t="s">
        <v>45</v>
      </c>
      <c r="N664" s="11" t="s">
        <v>23</v>
      </c>
      <c r="O664" s="16" t="s">
        <v>29</v>
      </c>
      <c r="P664" s="11">
        <v>217</v>
      </c>
      <c r="Q664" s="10"/>
      <c r="R664">
        <v>13.25</v>
      </c>
      <c r="S664">
        <v>2325.4699999999998</v>
      </c>
      <c r="T664">
        <v>6.67</v>
      </c>
      <c r="U664">
        <v>9.51</v>
      </c>
      <c r="V664">
        <v>132.49</v>
      </c>
      <c r="W664" s="317">
        <v>4.5999999999999996</v>
      </c>
      <c r="X664" s="190">
        <f t="shared" si="22"/>
        <v>71.3</v>
      </c>
      <c r="Y664" s="8"/>
      <c r="Z664" s="8"/>
    </row>
    <row r="665" spans="1:26" ht="12.75" customHeight="1" x14ac:dyDescent="0.2">
      <c r="A665" s="15">
        <v>66</v>
      </c>
      <c r="B665" s="15">
        <v>2011</v>
      </c>
      <c r="C665" s="15">
        <v>5</v>
      </c>
      <c r="D665" s="15">
        <v>8</v>
      </c>
      <c r="E665" s="11" t="s">
        <v>29</v>
      </c>
      <c r="F665" s="11" t="s">
        <v>51</v>
      </c>
      <c r="G665" s="11">
        <v>147</v>
      </c>
      <c r="H665" s="15" t="s">
        <v>29</v>
      </c>
      <c r="I665" s="11">
        <v>14.5</v>
      </c>
      <c r="J665" s="11" t="s">
        <v>19</v>
      </c>
      <c r="K665" s="11" t="s">
        <v>20</v>
      </c>
      <c r="L665" s="11" t="s">
        <v>52</v>
      </c>
      <c r="M665" s="11" t="s">
        <v>45</v>
      </c>
      <c r="N665" s="11" t="s">
        <v>23</v>
      </c>
      <c r="O665" s="16" t="s">
        <v>29</v>
      </c>
      <c r="P665" s="11">
        <v>217</v>
      </c>
      <c r="Q665" s="10"/>
      <c r="R665">
        <v>13.72</v>
      </c>
      <c r="S665">
        <v>2579.86</v>
      </c>
      <c r="T665">
        <v>5.62</v>
      </c>
      <c r="U665">
        <v>9.85</v>
      </c>
      <c r="V665">
        <v>137.15</v>
      </c>
      <c r="W665" s="317">
        <v>4.5999999999999996</v>
      </c>
      <c r="X665" s="190">
        <f t="shared" si="22"/>
        <v>66.699999999999989</v>
      </c>
      <c r="Y665" s="8"/>
      <c r="Z665" s="8"/>
    </row>
    <row r="666" spans="1:26" ht="12.75" customHeight="1" x14ac:dyDescent="0.2">
      <c r="A666" s="15">
        <v>67</v>
      </c>
      <c r="B666" s="15">
        <v>2011</v>
      </c>
      <c r="C666" s="15">
        <v>5</v>
      </c>
      <c r="D666" s="15">
        <v>8</v>
      </c>
      <c r="E666" s="11" t="s">
        <v>29</v>
      </c>
      <c r="F666" s="11" t="s">
        <v>51</v>
      </c>
      <c r="G666" s="11">
        <v>138</v>
      </c>
      <c r="H666" s="15" t="s">
        <v>29</v>
      </c>
      <c r="I666" s="11">
        <v>13</v>
      </c>
      <c r="J666" s="11" t="s">
        <v>19</v>
      </c>
      <c r="K666" s="11" t="s">
        <v>20</v>
      </c>
      <c r="L666" s="11" t="s">
        <v>52</v>
      </c>
      <c r="M666" s="11" t="s">
        <v>27</v>
      </c>
      <c r="N666" s="11" t="s">
        <v>29</v>
      </c>
      <c r="O666" s="16" t="s">
        <v>29</v>
      </c>
      <c r="P666" s="11">
        <v>217</v>
      </c>
      <c r="Q666" s="10"/>
      <c r="R666">
        <v>12.88</v>
      </c>
      <c r="S666">
        <v>2134.4299999999998</v>
      </c>
      <c r="T666">
        <v>6.09</v>
      </c>
      <c r="U666">
        <v>9.25</v>
      </c>
      <c r="V666">
        <v>128.75</v>
      </c>
      <c r="W666" s="317">
        <v>4.5999999999999996</v>
      </c>
      <c r="X666" s="190">
        <f t="shared" si="22"/>
        <v>59.8</v>
      </c>
      <c r="Y666" s="8"/>
      <c r="Z666" s="8"/>
    </row>
    <row r="667" spans="1:26" ht="12.75" customHeight="1" x14ac:dyDescent="0.2">
      <c r="A667" s="15">
        <v>68</v>
      </c>
      <c r="B667" s="15">
        <v>2011</v>
      </c>
      <c r="C667" s="15">
        <v>5</v>
      </c>
      <c r="D667" s="15">
        <v>8</v>
      </c>
      <c r="E667" s="11" t="s">
        <v>29</v>
      </c>
      <c r="F667" s="11" t="s">
        <v>51</v>
      </c>
      <c r="G667" s="11">
        <v>140</v>
      </c>
      <c r="H667" s="15" t="s">
        <v>29</v>
      </c>
      <c r="I667" s="11">
        <v>15</v>
      </c>
      <c r="J667" s="11" t="s">
        <v>19</v>
      </c>
      <c r="K667" s="11" t="s">
        <v>20</v>
      </c>
      <c r="L667" s="11" t="s">
        <v>52</v>
      </c>
      <c r="M667" s="11" t="s">
        <v>46</v>
      </c>
      <c r="N667" s="11" t="s">
        <v>24</v>
      </c>
      <c r="O667" s="16" t="s">
        <v>29</v>
      </c>
      <c r="P667" s="11">
        <v>217</v>
      </c>
      <c r="Q667" s="10"/>
      <c r="R667">
        <v>13.06</v>
      </c>
      <c r="S667">
        <v>2228.58</v>
      </c>
      <c r="T667">
        <v>6.73</v>
      </c>
      <c r="U667">
        <v>9.3800000000000008</v>
      </c>
      <c r="V667">
        <v>130.62</v>
      </c>
      <c r="W667" s="317">
        <v>4.5999999999999996</v>
      </c>
      <c r="X667" s="190">
        <f t="shared" si="22"/>
        <v>69</v>
      </c>
      <c r="Y667" s="8"/>
      <c r="Z667" s="8"/>
    </row>
    <row r="668" spans="1:26" ht="12.75" customHeight="1" x14ac:dyDescent="0.2">
      <c r="A668" s="15">
        <v>69</v>
      </c>
      <c r="B668" s="15">
        <v>2011</v>
      </c>
      <c r="C668" s="15">
        <v>5</v>
      </c>
      <c r="D668" s="15">
        <v>8</v>
      </c>
      <c r="E668" s="11" t="s">
        <v>29</v>
      </c>
      <c r="F668" s="11" t="s">
        <v>51</v>
      </c>
      <c r="G668" s="11">
        <v>153</v>
      </c>
      <c r="H668" s="15" t="s">
        <v>29</v>
      </c>
      <c r="I668" s="11">
        <v>15</v>
      </c>
      <c r="J668" s="11" t="s">
        <v>19</v>
      </c>
      <c r="K668" s="11" t="s">
        <v>34</v>
      </c>
      <c r="L668" s="11" t="s">
        <v>41</v>
      </c>
      <c r="M668" s="11" t="s">
        <v>46</v>
      </c>
      <c r="N668" s="11" t="s">
        <v>29</v>
      </c>
      <c r="O668" s="16" t="s">
        <v>29</v>
      </c>
      <c r="P668" s="11">
        <v>217</v>
      </c>
      <c r="Q668" s="10"/>
      <c r="R668">
        <v>14.27</v>
      </c>
      <c r="S668">
        <v>2908.84</v>
      </c>
      <c r="T668">
        <v>5.16</v>
      </c>
      <c r="U668">
        <v>10.25</v>
      </c>
      <c r="V668">
        <v>142.75</v>
      </c>
      <c r="W668" s="317">
        <v>3.8</v>
      </c>
      <c r="X668" s="190">
        <f t="shared" si="22"/>
        <v>57</v>
      </c>
      <c r="Y668" s="8"/>
      <c r="Z668" s="8"/>
    </row>
    <row r="669" spans="1:26" ht="12.75" customHeight="1" x14ac:dyDescent="0.2">
      <c r="A669" s="15">
        <v>70</v>
      </c>
      <c r="B669" s="15">
        <v>2011</v>
      </c>
      <c r="C669" s="15">
        <v>5</v>
      </c>
      <c r="D669" s="15">
        <v>8</v>
      </c>
      <c r="E669" s="11" t="s">
        <v>29</v>
      </c>
      <c r="F669" s="11" t="s">
        <v>51</v>
      </c>
      <c r="G669" s="11">
        <v>134</v>
      </c>
      <c r="H669" s="15" t="s">
        <v>29</v>
      </c>
      <c r="I669" s="11">
        <v>8</v>
      </c>
      <c r="J669" s="11" t="s">
        <v>19</v>
      </c>
      <c r="K669" s="11" t="s">
        <v>20</v>
      </c>
      <c r="L669" s="11" t="s">
        <v>52</v>
      </c>
      <c r="M669" s="11" t="s">
        <v>46</v>
      </c>
      <c r="N669" s="11" t="s">
        <v>25</v>
      </c>
      <c r="O669" s="16" t="s">
        <v>29</v>
      </c>
      <c r="P669" s="11">
        <v>217</v>
      </c>
      <c r="Q669" s="10"/>
      <c r="R669">
        <v>12.5</v>
      </c>
      <c r="S669">
        <v>1954.16</v>
      </c>
      <c r="T669">
        <v>4.09</v>
      </c>
      <c r="U669">
        <v>8.98</v>
      </c>
      <c r="V669">
        <v>125.02</v>
      </c>
      <c r="W669" s="317">
        <v>4.5999999999999996</v>
      </c>
      <c r="X669" s="190">
        <f t="shared" ref="X669:X678" si="23">I669*W669</f>
        <v>36.799999999999997</v>
      </c>
      <c r="Y669" s="8"/>
      <c r="Z669" s="8"/>
    </row>
    <row r="670" spans="1:26" ht="12.75" customHeight="1" x14ac:dyDescent="0.2">
      <c r="A670" s="15">
        <v>71</v>
      </c>
      <c r="B670" s="15">
        <v>2011</v>
      </c>
      <c r="C670" s="15">
        <v>5</v>
      </c>
      <c r="D670" s="15">
        <v>8</v>
      </c>
      <c r="E670" s="11" t="s">
        <v>29</v>
      </c>
      <c r="F670" s="11" t="s">
        <v>51</v>
      </c>
      <c r="G670" s="11">
        <v>143</v>
      </c>
      <c r="H670" s="15" t="s">
        <v>29</v>
      </c>
      <c r="I670" s="11">
        <v>12</v>
      </c>
      <c r="J670" s="11" t="s">
        <v>19</v>
      </c>
      <c r="K670" s="11" t="s">
        <v>20</v>
      </c>
      <c r="L670" s="11" t="s">
        <v>52</v>
      </c>
      <c r="M670" s="11" t="s">
        <v>46</v>
      </c>
      <c r="N670" s="11" t="s">
        <v>24</v>
      </c>
      <c r="O670" s="16" t="s">
        <v>29</v>
      </c>
      <c r="P670" s="11">
        <v>217</v>
      </c>
      <c r="Q670" s="10"/>
      <c r="R670">
        <v>13.34</v>
      </c>
      <c r="S670">
        <v>2374.94</v>
      </c>
      <c r="T670">
        <v>5.05</v>
      </c>
      <c r="U670">
        <v>9.58</v>
      </c>
      <c r="V670">
        <v>133.41999999999999</v>
      </c>
      <c r="W670" s="317">
        <v>4.5999999999999996</v>
      </c>
      <c r="X670" s="190">
        <f t="shared" si="23"/>
        <v>55.199999999999996</v>
      </c>
      <c r="Y670" s="8"/>
      <c r="Z670" s="8"/>
    </row>
    <row r="671" spans="1:26" ht="12.75" customHeight="1" x14ac:dyDescent="0.2">
      <c r="A671" s="15">
        <v>72</v>
      </c>
      <c r="B671" s="15">
        <v>2011</v>
      </c>
      <c r="C671" s="15">
        <v>5</v>
      </c>
      <c r="D671" s="15">
        <v>8</v>
      </c>
      <c r="E671" s="11" t="s">
        <v>29</v>
      </c>
      <c r="F671" s="11" t="s">
        <v>51</v>
      </c>
      <c r="G671" s="11">
        <v>137</v>
      </c>
      <c r="H671" s="15" t="s">
        <v>29</v>
      </c>
      <c r="I671" s="11">
        <v>15</v>
      </c>
      <c r="J671" s="11" t="s">
        <v>19</v>
      </c>
      <c r="K671" s="11" t="s">
        <v>20</v>
      </c>
      <c r="L671" s="11" t="s">
        <v>52</v>
      </c>
      <c r="M671" s="11" t="s">
        <v>46</v>
      </c>
      <c r="N671" s="11" t="s">
        <v>23</v>
      </c>
      <c r="O671" s="16" t="s">
        <v>29</v>
      </c>
      <c r="P671" s="11">
        <v>217</v>
      </c>
      <c r="Q671" s="10"/>
      <c r="R671">
        <v>12.78</v>
      </c>
      <c r="S671">
        <v>2088.37</v>
      </c>
      <c r="T671">
        <v>7.18</v>
      </c>
      <c r="U671">
        <v>9.18</v>
      </c>
      <c r="V671">
        <v>127.82</v>
      </c>
      <c r="W671" s="317">
        <v>4.5999999999999996</v>
      </c>
      <c r="X671" s="190">
        <f t="shared" si="23"/>
        <v>69</v>
      </c>
      <c r="Y671" s="8"/>
      <c r="Z671" s="8"/>
    </row>
    <row r="672" spans="1:26" ht="12.75" customHeight="1" x14ac:dyDescent="0.2">
      <c r="A672" s="15">
        <v>73</v>
      </c>
      <c r="B672" s="15">
        <v>2011</v>
      </c>
      <c r="C672" s="15">
        <v>5</v>
      </c>
      <c r="D672" s="15">
        <v>8</v>
      </c>
      <c r="E672" s="11" t="s">
        <v>29</v>
      </c>
      <c r="F672" s="11" t="s">
        <v>51</v>
      </c>
      <c r="G672" s="11">
        <v>130</v>
      </c>
      <c r="H672" s="15" t="s">
        <v>29</v>
      </c>
      <c r="I672" s="11">
        <v>12.1</v>
      </c>
      <c r="J672" s="11" t="s">
        <v>19</v>
      </c>
      <c r="K672" s="11" t="s">
        <v>20</v>
      </c>
      <c r="L672" s="11" t="s">
        <v>52</v>
      </c>
      <c r="M672" s="11" t="s">
        <v>27</v>
      </c>
      <c r="N672" s="11" t="s">
        <v>24</v>
      </c>
      <c r="O672" s="16" t="s">
        <v>29</v>
      </c>
      <c r="P672" s="11">
        <v>217</v>
      </c>
      <c r="Q672" s="10"/>
      <c r="R672">
        <v>12.13</v>
      </c>
      <c r="S672">
        <v>1784.33</v>
      </c>
      <c r="T672">
        <v>6.78</v>
      </c>
      <c r="U672">
        <v>8.7100000000000009</v>
      </c>
      <c r="V672">
        <v>121.29</v>
      </c>
      <c r="W672" s="317">
        <v>4.5999999999999996</v>
      </c>
      <c r="X672" s="190">
        <f t="shared" si="23"/>
        <v>55.66</v>
      </c>
      <c r="Y672" s="8"/>
      <c r="Z672" s="8"/>
    </row>
    <row r="673" spans="1:26" ht="12.75" customHeight="1" x14ac:dyDescent="0.2">
      <c r="A673" s="15">
        <v>74</v>
      </c>
      <c r="B673" s="15">
        <v>2011</v>
      </c>
      <c r="C673" s="15">
        <v>5</v>
      </c>
      <c r="D673" s="15">
        <v>8</v>
      </c>
      <c r="E673" s="11" t="s">
        <v>29</v>
      </c>
      <c r="F673" s="11" t="s">
        <v>51</v>
      </c>
      <c r="G673" s="11">
        <v>154</v>
      </c>
      <c r="H673" s="15" t="s">
        <v>29</v>
      </c>
      <c r="I673" s="11">
        <v>14.5</v>
      </c>
      <c r="J673" s="11" t="s">
        <v>19</v>
      </c>
      <c r="K673" s="11" t="s">
        <v>20</v>
      </c>
      <c r="L673" s="11" t="s">
        <v>21</v>
      </c>
      <c r="M673" s="11" t="s">
        <v>46</v>
      </c>
      <c r="N673" s="11" t="s">
        <v>33</v>
      </c>
      <c r="O673" s="16" t="s">
        <v>29</v>
      </c>
      <c r="P673" s="11">
        <v>217</v>
      </c>
      <c r="Q673" s="10"/>
      <c r="R673">
        <v>14.37</v>
      </c>
      <c r="S673">
        <v>2966.25</v>
      </c>
      <c r="T673">
        <v>4.8899999999999997</v>
      </c>
      <c r="U673">
        <v>10.32</v>
      </c>
      <c r="V673">
        <v>143.68</v>
      </c>
      <c r="W673" s="317">
        <v>3.9</v>
      </c>
      <c r="X673" s="190">
        <f t="shared" si="23"/>
        <v>56.55</v>
      </c>
      <c r="Y673" s="8"/>
      <c r="Z673" s="8"/>
    </row>
    <row r="674" spans="1:26" ht="12.75" customHeight="1" x14ac:dyDescent="0.2">
      <c r="A674" s="15">
        <v>75</v>
      </c>
      <c r="B674" s="15">
        <v>2011</v>
      </c>
      <c r="C674" s="15">
        <v>5</v>
      </c>
      <c r="D674" s="15">
        <v>8</v>
      </c>
      <c r="E674" s="11" t="s">
        <v>29</v>
      </c>
      <c r="F674" s="11" t="s">
        <v>51</v>
      </c>
      <c r="G674" s="11">
        <v>145</v>
      </c>
      <c r="H674" s="15" t="s">
        <v>29</v>
      </c>
      <c r="I674" s="11">
        <v>10.5</v>
      </c>
      <c r="J674" s="11" t="s">
        <v>19</v>
      </c>
      <c r="K674" s="11" t="s">
        <v>20</v>
      </c>
      <c r="L674" s="11" t="s">
        <v>21</v>
      </c>
      <c r="M674" s="11" t="s">
        <v>46</v>
      </c>
      <c r="N674" s="11" t="s">
        <v>23</v>
      </c>
      <c r="O674" s="16" t="s">
        <v>29</v>
      </c>
      <c r="P674" s="11">
        <v>217</v>
      </c>
      <c r="Q674" s="10"/>
      <c r="R674">
        <v>13.53</v>
      </c>
      <c r="S674">
        <v>2475.9899999999998</v>
      </c>
      <c r="T674">
        <v>4.24</v>
      </c>
      <c r="U674">
        <v>9.7200000000000006</v>
      </c>
      <c r="V674">
        <v>135.29</v>
      </c>
      <c r="W674" s="317">
        <v>3.9</v>
      </c>
      <c r="X674" s="190">
        <f t="shared" si="23"/>
        <v>40.949999999999996</v>
      </c>
      <c r="Y674" s="8"/>
      <c r="Z674" s="8"/>
    </row>
    <row r="675" spans="1:26" ht="12.75" customHeight="1" x14ac:dyDescent="0.2">
      <c r="A675" s="15">
        <v>76</v>
      </c>
      <c r="B675" s="15">
        <v>2011</v>
      </c>
      <c r="C675" s="15">
        <v>5</v>
      </c>
      <c r="D675" s="15">
        <v>8</v>
      </c>
      <c r="E675" s="11" t="s">
        <v>29</v>
      </c>
      <c r="F675" s="11" t="s">
        <v>51</v>
      </c>
      <c r="G675" s="11" t="s">
        <v>29</v>
      </c>
      <c r="H675" s="15" t="s">
        <v>29</v>
      </c>
      <c r="I675" s="11">
        <v>10.5</v>
      </c>
      <c r="J675" s="11" t="s">
        <v>19</v>
      </c>
      <c r="K675" s="11" t="s">
        <v>20</v>
      </c>
      <c r="L675" s="11" t="s">
        <v>21</v>
      </c>
      <c r="M675" s="11" t="s">
        <v>46</v>
      </c>
      <c r="N675" s="11" t="s">
        <v>33</v>
      </c>
      <c r="O675" s="16" t="s">
        <v>29</v>
      </c>
      <c r="P675" s="11">
        <v>217</v>
      </c>
      <c r="Q675" s="10"/>
      <c r="W675" s="317">
        <v>3.9</v>
      </c>
      <c r="X675" s="190">
        <f t="shared" si="23"/>
        <v>40.949999999999996</v>
      </c>
      <c r="Y675" s="8"/>
      <c r="Z675" s="8"/>
    </row>
    <row r="676" spans="1:26" ht="12.75" customHeight="1" x14ac:dyDescent="0.2">
      <c r="A676" s="15">
        <v>77</v>
      </c>
      <c r="B676" s="15">
        <v>2011</v>
      </c>
      <c r="C676" s="15">
        <v>5</v>
      </c>
      <c r="D676" s="15">
        <v>8</v>
      </c>
      <c r="E676" s="11" t="s">
        <v>29</v>
      </c>
      <c r="F676" s="11" t="s">
        <v>51</v>
      </c>
      <c r="G676" s="11">
        <v>122</v>
      </c>
      <c r="H676" s="15" t="s">
        <v>29</v>
      </c>
      <c r="I676" s="11">
        <v>7</v>
      </c>
      <c r="J676" s="11" t="s">
        <v>19</v>
      </c>
      <c r="K676" s="11" t="s">
        <v>20</v>
      </c>
      <c r="L676" s="11" t="s">
        <v>52</v>
      </c>
      <c r="M676" s="11" t="s">
        <v>47</v>
      </c>
      <c r="N676" s="11" t="s">
        <v>23</v>
      </c>
      <c r="O676" s="16" t="s">
        <v>29</v>
      </c>
      <c r="P676" s="11">
        <v>217</v>
      </c>
      <c r="Q676" s="10"/>
      <c r="R676">
        <v>11.38</v>
      </c>
      <c r="S676">
        <v>1474.77</v>
      </c>
      <c r="T676">
        <v>4.75</v>
      </c>
      <c r="U676">
        <v>8.17</v>
      </c>
      <c r="V676">
        <v>113.83</v>
      </c>
      <c r="W676" s="317">
        <v>4.5999999999999996</v>
      </c>
      <c r="X676" s="190">
        <f t="shared" si="23"/>
        <v>32.199999999999996</v>
      </c>
      <c r="Y676" s="8"/>
      <c r="Z676" s="8"/>
    </row>
    <row r="677" spans="1:26" ht="12.75" customHeight="1" x14ac:dyDescent="0.2">
      <c r="A677" s="15">
        <v>78</v>
      </c>
      <c r="B677" s="15">
        <v>2011</v>
      </c>
      <c r="C677" s="15">
        <v>5</v>
      </c>
      <c r="D677" s="15">
        <v>8</v>
      </c>
      <c r="E677" s="11" t="s">
        <v>29</v>
      </c>
      <c r="F677" s="11" t="s">
        <v>51</v>
      </c>
      <c r="G677" s="11">
        <v>157</v>
      </c>
      <c r="H677" s="15" t="s">
        <v>29</v>
      </c>
      <c r="I677" s="11">
        <v>17</v>
      </c>
      <c r="J677" s="11" t="s">
        <v>19</v>
      </c>
      <c r="K677" s="11" t="s">
        <v>20</v>
      </c>
      <c r="L677" s="11" t="s">
        <v>52</v>
      </c>
      <c r="M677" s="11" t="s">
        <v>27</v>
      </c>
      <c r="N677" s="11" t="s">
        <v>33</v>
      </c>
      <c r="O677" s="16" t="s">
        <v>29</v>
      </c>
      <c r="P677" s="11">
        <v>217</v>
      </c>
      <c r="Q677" s="10"/>
      <c r="R677">
        <v>14.65</v>
      </c>
      <c r="S677">
        <v>3143</v>
      </c>
      <c r="T677">
        <v>5.41</v>
      </c>
      <c r="U677">
        <v>10.52</v>
      </c>
      <c r="V677">
        <v>146.47999999999999</v>
      </c>
      <c r="W677" s="317">
        <v>4.5999999999999996</v>
      </c>
      <c r="X677" s="190">
        <f t="shared" si="23"/>
        <v>78.199999999999989</v>
      </c>
      <c r="Y677" s="8"/>
      <c r="Z677" s="8"/>
    </row>
    <row r="678" spans="1:26" ht="12.75" customHeight="1" x14ac:dyDescent="0.2">
      <c r="A678" s="15">
        <v>79</v>
      </c>
      <c r="B678" s="15">
        <v>2011</v>
      </c>
      <c r="C678" s="15">
        <v>5</v>
      </c>
      <c r="D678" s="15">
        <v>8</v>
      </c>
      <c r="E678" s="11" t="s">
        <v>29</v>
      </c>
      <c r="F678" s="11" t="s">
        <v>51</v>
      </c>
      <c r="G678" s="11">
        <v>155</v>
      </c>
      <c r="H678" s="15" t="s">
        <v>29</v>
      </c>
      <c r="I678" s="11">
        <v>20</v>
      </c>
      <c r="J678" s="11" t="s">
        <v>19</v>
      </c>
      <c r="K678" s="11" t="s">
        <v>34</v>
      </c>
      <c r="L678" s="11" t="s">
        <v>41</v>
      </c>
      <c r="M678" s="11" t="s">
        <v>45</v>
      </c>
      <c r="N678" s="11" t="s">
        <v>24</v>
      </c>
      <c r="O678" s="16" t="s">
        <v>29</v>
      </c>
      <c r="P678" s="11">
        <v>217</v>
      </c>
      <c r="Q678" s="10"/>
      <c r="R678">
        <v>14.46</v>
      </c>
      <c r="S678">
        <v>3024.41</v>
      </c>
      <c r="T678">
        <v>6.61</v>
      </c>
      <c r="U678">
        <v>10.39</v>
      </c>
      <c r="V678">
        <v>144.62</v>
      </c>
      <c r="W678" s="317">
        <v>3.8</v>
      </c>
      <c r="X678" s="190">
        <f t="shared" si="23"/>
        <v>76</v>
      </c>
      <c r="Y678" s="8"/>
      <c r="Z678" s="8"/>
    </row>
    <row r="679" spans="1:26" ht="12.75" customHeight="1" x14ac:dyDescent="0.2">
      <c r="A679" s="15">
        <v>96</v>
      </c>
      <c r="B679" s="15">
        <v>2011</v>
      </c>
      <c r="C679" s="15">
        <v>5</v>
      </c>
      <c r="D679" s="15">
        <v>8</v>
      </c>
      <c r="E679" s="11" t="s">
        <v>29</v>
      </c>
      <c r="F679" s="11" t="s">
        <v>51</v>
      </c>
      <c r="G679" s="11">
        <v>145</v>
      </c>
      <c r="H679" s="15" t="s">
        <v>29</v>
      </c>
      <c r="I679" s="11">
        <v>11.5</v>
      </c>
      <c r="J679" s="11" t="s">
        <v>19</v>
      </c>
      <c r="K679" s="11" t="s">
        <v>20</v>
      </c>
      <c r="L679" s="11" t="s">
        <v>21</v>
      </c>
      <c r="M679" s="11" t="s">
        <v>45</v>
      </c>
      <c r="N679" s="11" t="s">
        <v>24</v>
      </c>
      <c r="O679" s="16" t="s">
        <v>29</v>
      </c>
      <c r="P679" s="11">
        <v>217</v>
      </c>
      <c r="Q679" s="10"/>
      <c r="R679">
        <v>13.53</v>
      </c>
      <c r="S679">
        <v>2475.9899999999998</v>
      </c>
      <c r="T679">
        <v>4.6399999999999997</v>
      </c>
      <c r="U679">
        <v>9.7200000000000006</v>
      </c>
      <c r="V679">
        <v>135.29</v>
      </c>
      <c r="W679" s="317">
        <v>3.9</v>
      </c>
      <c r="X679" s="190">
        <f>I679*W679</f>
        <v>44.85</v>
      </c>
      <c r="Y679" s="8"/>
      <c r="Z679" s="8"/>
    </row>
    <row r="680" spans="1:26" ht="12.75" customHeight="1" x14ac:dyDescent="0.2">
      <c r="A680" s="15">
        <v>97</v>
      </c>
      <c r="B680" s="15">
        <v>2011</v>
      </c>
      <c r="C680" s="15">
        <v>5</v>
      </c>
      <c r="D680" s="15">
        <v>8</v>
      </c>
      <c r="E680" s="11" t="s">
        <v>29</v>
      </c>
      <c r="F680" s="11" t="s">
        <v>51</v>
      </c>
      <c r="G680" s="11">
        <v>119</v>
      </c>
      <c r="H680" s="15" t="s">
        <v>29</v>
      </c>
      <c r="I680" s="11">
        <v>7.5</v>
      </c>
      <c r="J680" s="11" t="s">
        <v>19</v>
      </c>
      <c r="K680" s="11" t="s">
        <v>20</v>
      </c>
      <c r="L680" s="11" t="s">
        <v>52</v>
      </c>
      <c r="M680" s="11" t="s">
        <v>46</v>
      </c>
      <c r="N680" s="11" t="s">
        <v>24</v>
      </c>
      <c r="O680" s="16" t="s">
        <v>29</v>
      </c>
      <c r="P680" s="11">
        <v>217</v>
      </c>
      <c r="Q680" s="10"/>
      <c r="R680">
        <v>11.1</v>
      </c>
      <c r="S680">
        <v>1368.63</v>
      </c>
      <c r="T680">
        <v>5.48</v>
      </c>
      <c r="U680">
        <v>7.97</v>
      </c>
      <c r="V680">
        <v>111.03</v>
      </c>
      <c r="W680" s="317">
        <v>4.5999999999999996</v>
      </c>
      <c r="X680" s="190">
        <f>I680*W680</f>
        <v>34.5</v>
      </c>
      <c r="Y680" s="8"/>
      <c r="Z680" s="8"/>
    </row>
    <row r="681" spans="1:26" ht="12.75" customHeight="1" x14ac:dyDescent="0.2">
      <c r="A681" s="15">
        <v>98</v>
      </c>
      <c r="B681" s="15">
        <v>2011</v>
      </c>
      <c r="C681" s="15">
        <v>5</v>
      </c>
      <c r="D681" s="15">
        <v>8</v>
      </c>
      <c r="E681" s="11" t="s">
        <v>29</v>
      </c>
      <c r="F681" s="11" t="s">
        <v>51</v>
      </c>
      <c r="G681" s="11">
        <v>135</v>
      </c>
      <c r="H681" s="15" t="s">
        <v>29</v>
      </c>
      <c r="I681" s="11">
        <v>10</v>
      </c>
      <c r="J681" s="11" t="s">
        <v>19</v>
      </c>
      <c r="K681" s="11" t="s">
        <v>20</v>
      </c>
      <c r="L681" s="11" t="s">
        <v>21</v>
      </c>
      <c r="M681" s="11" t="s">
        <v>46</v>
      </c>
      <c r="N681" s="11" t="s">
        <v>25</v>
      </c>
      <c r="O681" s="16" t="s">
        <v>29</v>
      </c>
      <c r="P681" s="11">
        <v>217</v>
      </c>
      <c r="Q681" s="10"/>
      <c r="R681">
        <v>12.6</v>
      </c>
      <c r="S681">
        <v>1998.23</v>
      </c>
      <c r="T681">
        <v>5</v>
      </c>
      <c r="U681">
        <v>9.0500000000000007</v>
      </c>
      <c r="V681">
        <v>125.96</v>
      </c>
      <c r="W681" s="317">
        <v>3.9</v>
      </c>
      <c r="X681" s="190">
        <f>I681*W681</f>
        <v>39</v>
      </c>
      <c r="Y681" s="8"/>
      <c r="Z681" s="8"/>
    </row>
    <row r="682" spans="1:26" ht="12.75" customHeight="1" x14ac:dyDescent="0.2">
      <c r="A682" s="15">
        <v>24</v>
      </c>
      <c r="B682" s="15">
        <v>2011</v>
      </c>
      <c r="C682" s="15">
        <v>4</v>
      </c>
      <c r="D682" s="15">
        <v>8</v>
      </c>
      <c r="E682" s="11" t="s">
        <v>29</v>
      </c>
      <c r="F682" s="11" t="s">
        <v>51</v>
      </c>
      <c r="G682" s="11">
        <v>152</v>
      </c>
      <c r="H682" s="15" t="s">
        <v>29</v>
      </c>
      <c r="I682" s="11">
        <v>8.5</v>
      </c>
      <c r="J682" s="11" t="s">
        <v>32</v>
      </c>
      <c r="K682" s="11" t="s">
        <v>29</v>
      </c>
      <c r="L682" s="11" t="s">
        <v>29</v>
      </c>
      <c r="M682" s="11" t="s">
        <v>29</v>
      </c>
      <c r="N682" s="11" t="s">
        <v>25</v>
      </c>
      <c r="O682" s="16" t="s">
        <v>29</v>
      </c>
      <c r="P682" s="11">
        <v>216</v>
      </c>
      <c r="Q682" s="10"/>
      <c r="R682">
        <v>14.18</v>
      </c>
      <c r="S682">
        <v>2852.17</v>
      </c>
      <c r="T682">
        <v>2.98</v>
      </c>
      <c r="U682">
        <v>10.18</v>
      </c>
      <c r="V682">
        <v>141.82</v>
      </c>
      <c r="W682" s="8"/>
      <c r="X682" s="8"/>
      <c r="Y682" s="8"/>
      <c r="Z682" s="8"/>
    </row>
    <row r="683" spans="1:26" ht="12.75" customHeight="1" x14ac:dyDescent="0.2">
      <c r="A683" s="15">
        <v>25</v>
      </c>
      <c r="B683" s="15">
        <v>2011</v>
      </c>
      <c r="C683" s="15">
        <v>4</v>
      </c>
      <c r="D683" s="15">
        <v>8</v>
      </c>
      <c r="E683" s="11" t="s">
        <v>29</v>
      </c>
      <c r="F683" s="11" t="s">
        <v>51</v>
      </c>
      <c r="G683" s="11">
        <v>153</v>
      </c>
      <c r="H683" s="15" t="s">
        <v>29</v>
      </c>
      <c r="I683" s="11">
        <v>7.5</v>
      </c>
      <c r="J683" s="11" t="s">
        <v>19</v>
      </c>
      <c r="K683" s="337" t="s">
        <v>34</v>
      </c>
      <c r="L683" s="17" t="s">
        <v>21</v>
      </c>
      <c r="M683" s="11" t="s">
        <v>27</v>
      </c>
      <c r="N683" s="11" t="s">
        <v>33</v>
      </c>
      <c r="O683" s="16" t="s">
        <v>29</v>
      </c>
      <c r="P683" s="11">
        <v>216</v>
      </c>
      <c r="Q683" s="10"/>
      <c r="R683">
        <v>14.27</v>
      </c>
      <c r="S683">
        <v>2908.84</v>
      </c>
      <c r="T683">
        <v>2.58</v>
      </c>
      <c r="U683">
        <v>10.25</v>
      </c>
      <c r="V683">
        <v>142.75</v>
      </c>
      <c r="W683" s="317">
        <v>3.9</v>
      </c>
      <c r="X683" s="190">
        <f t="shared" ref="X683:X690" si="24">I683*W683</f>
        <v>29.25</v>
      </c>
      <c r="Y683" s="8"/>
      <c r="Z683" s="8"/>
    </row>
    <row r="684" spans="1:26" ht="12.75" customHeight="1" x14ac:dyDescent="0.2">
      <c r="A684" s="15">
        <v>26</v>
      </c>
      <c r="B684" s="15">
        <v>2011</v>
      </c>
      <c r="C684" s="15">
        <v>4</v>
      </c>
      <c r="D684" s="15">
        <v>8</v>
      </c>
      <c r="E684" s="11" t="s">
        <v>29</v>
      </c>
      <c r="F684" s="11" t="s">
        <v>51</v>
      </c>
      <c r="G684" s="11">
        <v>144</v>
      </c>
      <c r="H684" s="15" t="s">
        <v>29</v>
      </c>
      <c r="I684" s="11">
        <v>13</v>
      </c>
      <c r="J684" s="11" t="s">
        <v>19</v>
      </c>
      <c r="K684" s="337" t="s">
        <v>34</v>
      </c>
      <c r="L684" s="17" t="s">
        <v>21</v>
      </c>
      <c r="M684" s="11" t="s">
        <v>45</v>
      </c>
      <c r="N684" s="11" t="s">
        <v>24</v>
      </c>
      <c r="O684" s="16" t="s">
        <v>29</v>
      </c>
      <c r="P684" s="11">
        <v>216</v>
      </c>
      <c r="Q684" s="10"/>
      <c r="R684">
        <v>13.44</v>
      </c>
      <c r="S684">
        <v>2425.12</v>
      </c>
      <c r="T684">
        <v>5.36</v>
      </c>
      <c r="U684">
        <v>9.65</v>
      </c>
      <c r="V684">
        <v>134.35</v>
      </c>
      <c r="W684" s="317">
        <v>3.9</v>
      </c>
      <c r="X684" s="190">
        <f t="shared" si="24"/>
        <v>50.699999999999996</v>
      </c>
      <c r="Y684" s="8"/>
      <c r="Z684" s="8"/>
    </row>
    <row r="685" spans="1:26" ht="12.75" customHeight="1" x14ac:dyDescent="0.2">
      <c r="A685" s="15">
        <v>27</v>
      </c>
      <c r="B685" s="15">
        <v>2011</v>
      </c>
      <c r="C685" s="15">
        <v>4</v>
      </c>
      <c r="D685" s="15">
        <v>8</v>
      </c>
      <c r="E685" s="11" t="s">
        <v>29</v>
      </c>
      <c r="F685" s="11" t="s">
        <v>51</v>
      </c>
      <c r="G685" s="11">
        <v>136</v>
      </c>
      <c r="H685" s="15" t="s">
        <v>29</v>
      </c>
      <c r="I685" s="11">
        <v>12</v>
      </c>
      <c r="J685" s="11" t="s">
        <v>19</v>
      </c>
      <c r="K685" s="337" t="s">
        <v>34</v>
      </c>
      <c r="L685" s="17" t="s">
        <v>52</v>
      </c>
      <c r="M685" s="11" t="s">
        <v>27</v>
      </c>
      <c r="N685" s="11" t="s">
        <v>24</v>
      </c>
      <c r="O685" s="16" t="s">
        <v>29</v>
      </c>
      <c r="P685" s="11">
        <v>216</v>
      </c>
      <c r="Q685" s="10"/>
      <c r="R685">
        <v>12.69</v>
      </c>
      <c r="S685">
        <v>2042.97</v>
      </c>
      <c r="T685">
        <v>5.87</v>
      </c>
      <c r="U685">
        <v>9.11</v>
      </c>
      <c r="V685">
        <v>126.89</v>
      </c>
      <c r="W685" s="317">
        <v>4.5999999999999996</v>
      </c>
      <c r="X685" s="190">
        <f t="shared" si="24"/>
        <v>55.199999999999996</v>
      </c>
      <c r="Y685" s="8"/>
      <c r="Z685" s="8"/>
    </row>
    <row r="686" spans="1:26" ht="12.75" customHeight="1" x14ac:dyDescent="0.2">
      <c r="A686" s="15">
        <v>28</v>
      </c>
      <c r="B686" s="15">
        <v>2011</v>
      </c>
      <c r="C686" s="15">
        <v>4</v>
      </c>
      <c r="D686" s="15">
        <v>8</v>
      </c>
      <c r="E686" s="11" t="s">
        <v>29</v>
      </c>
      <c r="F686" s="11" t="s">
        <v>51</v>
      </c>
      <c r="G686" s="11">
        <v>139</v>
      </c>
      <c r="H686" s="15" t="s">
        <v>29</v>
      </c>
      <c r="I686" s="11">
        <v>9.9</v>
      </c>
      <c r="J686" s="11" t="s">
        <v>19</v>
      </c>
      <c r="K686" s="337" t="s">
        <v>34</v>
      </c>
      <c r="L686" s="17" t="s">
        <v>52</v>
      </c>
      <c r="M686" s="11" t="s">
        <v>27</v>
      </c>
      <c r="N686" s="11" t="s">
        <v>23</v>
      </c>
      <c r="O686" s="16" t="s">
        <v>29</v>
      </c>
      <c r="P686" s="11">
        <v>216</v>
      </c>
      <c r="Q686" s="10"/>
      <c r="R686">
        <v>12.97</v>
      </c>
      <c r="S686">
        <v>2181.17</v>
      </c>
      <c r="T686">
        <v>4.54</v>
      </c>
      <c r="U686">
        <v>9.31</v>
      </c>
      <c r="V686">
        <v>129.69</v>
      </c>
      <c r="W686" s="317">
        <v>4.5999999999999996</v>
      </c>
      <c r="X686" s="190">
        <f t="shared" si="24"/>
        <v>45.54</v>
      </c>
      <c r="Y686" s="8"/>
      <c r="Z686" s="8"/>
    </row>
    <row r="687" spans="1:26" ht="12.75" customHeight="1" x14ac:dyDescent="0.2">
      <c r="A687" s="15">
        <v>29</v>
      </c>
      <c r="B687" s="15">
        <v>2011</v>
      </c>
      <c r="C687" s="15">
        <v>4</v>
      </c>
      <c r="D687" s="15">
        <v>8</v>
      </c>
      <c r="E687" s="11" t="s">
        <v>29</v>
      </c>
      <c r="F687" s="11" t="s">
        <v>51</v>
      </c>
      <c r="G687" s="11">
        <v>133</v>
      </c>
      <c r="H687" s="15" t="s">
        <v>29</v>
      </c>
      <c r="I687" s="11">
        <v>10</v>
      </c>
      <c r="J687" s="11" t="s">
        <v>19</v>
      </c>
      <c r="K687" s="337" t="s">
        <v>34</v>
      </c>
      <c r="L687" s="17" t="s">
        <v>52</v>
      </c>
      <c r="M687" s="11" t="s">
        <v>29</v>
      </c>
      <c r="N687" s="11" t="s">
        <v>33</v>
      </c>
      <c r="O687" s="16" t="s">
        <v>29</v>
      </c>
      <c r="P687" s="11">
        <v>216</v>
      </c>
      <c r="Q687" s="10"/>
      <c r="R687">
        <v>12.41</v>
      </c>
      <c r="S687">
        <v>1910.73</v>
      </c>
      <c r="T687">
        <v>5.23</v>
      </c>
      <c r="U687">
        <v>8.91</v>
      </c>
      <c r="V687">
        <v>124.09</v>
      </c>
      <c r="W687" s="317">
        <v>4.5999999999999996</v>
      </c>
      <c r="X687" s="190">
        <f t="shared" si="24"/>
        <v>46</v>
      </c>
      <c r="Y687" s="8"/>
      <c r="Z687" s="8"/>
    </row>
    <row r="688" spans="1:26" ht="12.75" customHeight="1" x14ac:dyDescent="0.2">
      <c r="A688" s="15">
        <v>30</v>
      </c>
      <c r="B688" s="15">
        <v>2011</v>
      </c>
      <c r="C688" s="15">
        <v>4</v>
      </c>
      <c r="D688" s="15">
        <v>8</v>
      </c>
      <c r="E688" s="11" t="s">
        <v>29</v>
      </c>
      <c r="F688" s="11" t="s">
        <v>51</v>
      </c>
      <c r="G688" s="11">
        <v>149</v>
      </c>
      <c r="H688" s="15" t="s">
        <v>29</v>
      </c>
      <c r="I688" s="11">
        <v>12</v>
      </c>
      <c r="J688" s="11" t="s">
        <v>19</v>
      </c>
      <c r="K688" s="337" t="s">
        <v>34</v>
      </c>
      <c r="L688" s="17" t="s">
        <v>52</v>
      </c>
      <c r="M688" s="11" t="s">
        <v>46</v>
      </c>
      <c r="N688" s="11" t="s">
        <v>25</v>
      </c>
      <c r="O688" s="16" t="s">
        <v>29</v>
      </c>
      <c r="P688" s="11">
        <v>216</v>
      </c>
      <c r="Q688" s="10"/>
      <c r="R688">
        <v>13.9</v>
      </c>
      <c r="S688">
        <v>2686.6</v>
      </c>
      <c r="T688">
        <v>4.47</v>
      </c>
      <c r="U688">
        <v>9.98</v>
      </c>
      <c r="V688">
        <v>139.02000000000001</v>
      </c>
      <c r="W688" s="317">
        <v>4.5999999999999996</v>
      </c>
      <c r="X688" s="190">
        <f t="shared" si="24"/>
        <v>55.199999999999996</v>
      </c>
      <c r="Y688" s="8"/>
      <c r="Z688" s="8"/>
    </row>
    <row r="689" spans="1:26" ht="12.75" customHeight="1" x14ac:dyDescent="0.2">
      <c r="A689" s="15">
        <v>31</v>
      </c>
      <c r="B689" s="15">
        <v>2011</v>
      </c>
      <c r="C689" s="15">
        <v>4</v>
      </c>
      <c r="D689" s="15">
        <v>8</v>
      </c>
      <c r="E689" s="11" t="s">
        <v>29</v>
      </c>
      <c r="F689" s="11" t="s">
        <v>51</v>
      </c>
      <c r="G689" s="11">
        <v>152</v>
      </c>
      <c r="H689" s="15" t="s">
        <v>29</v>
      </c>
      <c r="I689" s="11">
        <v>15.1</v>
      </c>
      <c r="J689" s="11" t="s">
        <v>19</v>
      </c>
      <c r="K689" s="337" t="s">
        <v>34</v>
      </c>
      <c r="L689" s="17" t="s">
        <v>52</v>
      </c>
      <c r="M689" s="11" t="s">
        <v>46</v>
      </c>
      <c r="N689" s="11" t="s">
        <v>24</v>
      </c>
      <c r="O689" s="16" t="s">
        <v>29</v>
      </c>
      <c r="P689" s="11">
        <v>216</v>
      </c>
      <c r="Q689" s="10"/>
      <c r="R689">
        <v>14.18</v>
      </c>
      <c r="S689">
        <v>2852.17</v>
      </c>
      <c r="T689">
        <v>5.29</v>
      </c>
      <c r="U689">
        <v>10.18</v>
      </c>
      <c r="V689">
        <v>141.82</v>
      </c>
      <c r="W689" s="317">
        <v>4.5999999999999996</v>
      </c>
      <c r="X689" s="190">
        <f t="shared" si="24"/>
        <v>69.459999999999994</v>
      </c>
      <c r="Y689" s="8"/>
      <c r="Z689" s="8"/>
    </row>
    <row r="690" spans="1:26" ht="12.75" customHeight="1" x14ac:dyDescent="0.2">
      <c r="A690" s="15">
        <v>32</v>
      </c>
      <c r="B690" s="15">
        <v>2011</v>
      </c>
      <c r="C690" s="15">
        <v>4</v>
      </c>
      <c r="D690" s="15">
        <v>8</v>
      </c>
      <c r="E690" s="11" t="s">
        <v>29</v>
      </c>
      <c r="F690" s="11" t="s">
        <v>51</v>
      </c>
      <c r="G690" s="11" t="s">
        <v>29</v>
      </c>
      <c r="H690" s="15" t="s">
        <v>29</v>
      </c>
      <c r="I690" s="11">
        <v>10.5</v>
      </c>
      <c r="J690" s="11" t="s">
        <v>19</v>
      </c>
      <c r="K690" s="337" t="s">
        <v>34</v>
      </c>
      <c r="L690" s="17" t="s">
        <v>52</v>
      </c>
      <c r="M690" s="11" t="s">
        <v>46</v>
      </c>
      <c r="N690" s="11" t="s">
        <v>25</v>
      </c>
      <c r="O690" s="16" t="s">
        <v>29</v>
      </c>
      <c r="P690" s="11">
        <v>216</v>
      </c>
      <c r="Q690" s="10"/>
      <c r="W690" s="317">
        <v>4.5999999999999996</v>
      </c>
      <c r="X690" s="190">
        <f t="shared" si="24"/>
        <v>48.3</v>
      </c>
      <c r="Y690" s="8"/>
      <c r="Z690" s="8"/>
    </row>
    <row r="691" spans="1:26" ht="12.75" customHeight="1" x14ac:dyDescent="0.2">
      <c r="A691" s="15">
        <v>33</v>
      </c>
      <c r="B691" s="15">
        <v>2011</v>
      </c>
      <c r="C691" s="15">
        <v>4</v>
      </c>
      <c r="D691" s="15">
        <v>8</v>
      </c>
      <c r="E691" s="11" t="s">
        <v>29</v>
      </c>
      <c r="F691" s="11" t="s">
        <v>51</v>
      </c>
      <c r="G691" s="11">
        <v>152</v>
      </c>
      <c r="H691" s="15" t="s">
        <v>29</v>
      </c>
      <c r="I691" s="11">
        <v>20.5</v>
      </c>
      <c r="J691" s="11" t="s">
        <v>19</v>
      </c>
      <c r="K691" s="11" t="s">
        <v>20</v>
      </c>
      <c r="L691" s="11" t="s">
        <v>41</v>
      </c>
      <c r="M691" s="11" t="s">
        <v>46</v>
      </c>
      <c r="N691" s="11" t="s">
        <v>23</v>
      </c>
      <c r="O691" s="16" t="s">
        <v>29</v>
      </c>
      <c r="P691" s="11">
        <v>216</v>
      </c>
      <c r="Q691" s="10"/>
      <c r="R691">
        <v>14.18</v>
      </c>
      <c r="S691">
        <v>2852.17</v>
      </c>
      <c r="T691">
        <v>7.19</v>
      </c>
      <c r="U691">
        <v>10.18</v>
      </c>
      <c r="V691">
        <v>141.82</v>
      </c>
      <c r="W691" s="8"/>
      <c r="X691" s="8"/>
      <c r="Y691" s="8"/>
      <c r="Z691" s="8"/>
    </row>
    <row r="692" spans="1:26" ht="12.75" customHeight="1" x14ac:dyDescent="0.2">
      <c r="A692" s="15">
        <v>34</v>
      </c>
      <c r="B692" s="15">
        <v>2011</v>
      </c>
      <c r="C692" s="15">
        <v>4</v>
      </c>
      <c r="D692" s="15">
        <v>8</v>
      </c>
      <c r="E692" s="11" t="s">
        <v>29</v>
      </c>
      <c r="F692" s="11" t="s">
        <v>51</v>
      </c>
      <c r="G692" s="11">
        <v>159</v>
      </c>
      <c r="H692" s="15" t="s">
        <v>29</v>
      </c>
      <c r="I692" s="11">
        <v>10.5</v>
      </c>
      <c r="J692" s="11" t="s">
        <v>19</v>
      </c>
      <c r="K692" s="337" t="s">
        <v>34</v>
      </c>
      <c r="L692" s="17" t="s">
        <v>21</v>
      </c>
      <c r="M692" s="11" t="s">
        <v>27</v>
      </c>
      <c r="N692" s="11" t="s">
        <v>23</v>
      </c>
      <c r="O692" s="16" t="s">
        <v>29</v>
      </c>
      <c r="P692" s="11">
        <v>216</v>
      </c>
      <c r="Q692" s="10"/>
      <c r="R692">
        <v>14.83</v>
      </c>
      <c r="S692">
        <v>3264.65</v>
      </c>
      <c r="T692">
        <v>3.22</v>
      </c>
      <c r="U692">
        <v>10.65</v>
      </c>
      <c r="V692">
        <v>148.35</v>
      </c>
      <c r="W692" s="317">
        <v>3.9</v>
      </c>
      <c r="X692" s="190">
        <f>I692*W692</f>
        <v>40.949999999999996</v>
      </c>
      <c r="Y692" s="8"/>
      <c r="Z692" s="8"/>
    </row>
    <row r="693" spans="1:26" ht="12.75" customHeight="1" x14ac:dyDescent="0.2">
      <c r="A693" s="15">
        <v>35</v>
      </c>
      <c r="B693" s="15">
        <v>2011</v>
      </c>
      <c r="C693" s="15">
        <v>4</v>
      </c>
      <c r="D693" s="15">
        <v>8</v>
      </c>
      <c r="E693" s="11" t="s">
        <v>29</v>
      </c>
      <c r="F693" s="11" t="s">
        <v>51</v>
      </c>
      <c r="G693" s="11">
        <v>142</v>
      </c>
      <c r="H693" s="15" t="s">
        <v>29</v>
      </c>
      <c r="I693" s="11">
        <v>9.1999999999999993</v>
      </c>
      <c r="J693" s="11" t="s">
        <v>19</v>
      </c>
      <c r="K693" s="337" t="s">
        <v>34</v>
      </c>
      <c r="L693" s="17" t="s">
        <v>21</v>
      </c>
      <c r="M693" s="11" t="s">
        <v>27</v>
      </c>
      <c r="N693" s="11" t="s">
        <v>33</v>
      </c>
      <c r="O693" s="16" t="s">
        <v>29</v>
      </c>
      <c r="P693" s="11">
        <v>216</v>
      </c>
      <c r="Q693" s="10"/>
      <c r="R693">
        <v>13.25</v>
      </c>
      <c r="S693">
        <v>2325.4699999999998</v>
      </c>
      <c r="T693">
        <v>3.96</v>
      </c>
      <c r="U693">
        <v>9.51</v>
      </c>
      <c r="V693">
        <v>132.49</v>
      </c>
      <c r="W693" s="317">
        <v>3.9</v>
      </c>
      <c r="X693" s="190">
        <f>I693*W693</f>
        <v>35.879999999999995</v>
      </c>
      <c r="Y693" s="8"/>
      <c r="Z693" s="8"/>
    </row>
    <row r="694" spans="1:26" ht="12.75" customHeight="1" x14ac:dyDescent="0.2">
      <c r="A694" s="15">
        <v>36</v>
      </c>
      <c r="B694" s="15">
        <v>2011</v>
      </c>
      <c r="C694" s="15">
        <v>4</v>
      </c>
      <c r="D694" s="15">
        <v>8</v>
      </c>
      <c r="E694" s="11" t="s">
        <v>29</v>
      </c>
      <c r="F694" s="11" t="s">
        <v>51</v>
      </c>
      <c r="G694" s="11">
        <v>122</v>
      </c>
      <c r="H694" s="15" t="s">
        <v>29</v>
      </c>
      <c r="I694" s="11">
        <v>4</v>
      </c>
      <c r="J694" s="11" t="s">
        <v>32</v>
      </c>
      <c r="K694" s="11" t="s">
        <v>29</v>
      </c>
      <c r="L694" s="11" t="s">
        <v>29</v>
      </c>
      <c r="M694" s="11" t="s">
        <v>46</v>
      </c>
      <c r="N694" s="11" t="s">
        <v>23</v>
      </c>
      <c r="O694" s="16" t="s">
        <v>29</v>
      </c>
      <c r="P694" s="11">
        <v>216</v>
      </c>
      <c r="Q694" s="10"/>
      <c r="R694">
        <v>11.38</v>
      </c>
      <c r="S694">
        <v>1474.77</v>
      </c>
      <c r="T694">
        <v>2.71</v>
      </c>
      <c r="U694">
        <v>8.17</v>
      </c>
      <c r="V694">
        <v>113.83</v>
      </c>
      <c r="W694" s="8"/>
      <c r="X694" s="8"/>
      <c r="Y694" s="8"/>
      <c r="Z694" s="8"/>
    </row>
    <row r="695" spans="1:26" ht="12.75" customHeight="1" x14ac:dyDescent="0.2">
      <c r="A695" s="15">
        <v>37</v>
      </c>
      <c r="B695" s="15">
        <v>2011</v>
      </c>
      <c r="C695" s="15">
        <v>4</v>
      </c>
      <c r="D695" s="15">
        <v>8</v>
      </c>
      <c r="E695" s="11" t="s">
        <v>29</v>
      </c>
      <c r="F695" s="11" t="s">
        <v>51</v>
      </c>
      <c r="G695" s="11">
        <v>150</v>
      </c>
      <c r="H695" s="15" t="s">
        <v>29</v>
      </c>
      <c r="I695" s="11">
        <v>19</v>
      </c>
      <c r="J695" s="11" t="s">
        <v>19</v>
      </c>
      <c r="K695" s="337" t="s">
        <v>34</v>
      </c>
      <c r="L695" s="17" t="s">
        <v>52</v>
      </c>
      <c r="M695" s="11" t="s">
        <v>45</v>
      </c>
      <c r="N695" s="11" t="s">
        <v>24</v>
      </c>
      <c r="O695" s="16" t="s">
        <v>29</v>
      </c>
      <c r="P695" s="11">
        <v>216</v>
      </c>
      <c r="Q695" s="10"/>
      <c r="R695">
        <v>14</v>
      </c>
      <c r="S695">
        <v>2741.06</v>
      </c>
      <c r="T695">
        <v>6.93</v>
      </c>
      <c r="U695">
        <v>10.050000000000001</v>
      </c>
      <c r="V695">
        <v>139.94999999999999</v>
      </c>
      <c r="W695" s="317">
        <v>4.5999999999999996</v>
      </c>
      <c r="X695" s="190">
        <f>I695*W695</f>
        <v>87.399999999999991</v>
      </c>
      <c r="Y695" s="8"/>
      <c r="Z695" s="8"/>
    </row>
    <row r="696" spans="1:26" ht="12.75" customHeight="1" x14ac:dyDescent="0.2">
      <c r="A696" s="15">
        <v>38</v>
      </c>
      <c r="B696" s="15">
        <v>2011</v>
      </c>
      <c r="C696" s="15">
        <v>4</v>
      </c>
      <c r="D696" s="15">
        <v>8</v>
      </c>
      <c r="E696" s="11" t="s">
        <v>29</v>
      </c>
      <c r="F696" s="11" t="s">
        <v>51</v>
      </c>
      <c r="G696" s="11">
        <v>137</v>
      </c>
      <c r="H696" s="15" t="s">
        <v>29</v>
      </c>
      <c r="I696" s="11">
        <v>13.6</v>
      </c>
      <c r="J696" s="11" t="s">
        <v>19</v>
      </c>
      <c r="K696" s="337" t="s">
        <v>34</v>
      </c>
      <c r="L696" s="17" t="s">
        <v>52</v>
      </c>
      <c r="M696" s="11" t="s">
        <v>45</v>
      </c>
      <c r="N696" s="11" t="s">
        <v>33</v>
      </c>
      <c r="O696" s="16" t="s">
        <v>29</v>
      </c>
      <c r="P696" s="11">
        <v>216</v>
      </c>
      <c r="Q696" s="10"/>
      <c r="R696">
        <v>12.78</v>
      </c>
      <c r="S696">
        <v>2088.37</v>
      </c>
      <c r="T696">
        <v>6.51</v>
      </c>
      <c r="U696">
        <v>9.18</v>
      </c>
      <c r="V696">
        <v>127.82</v>
      </c>
      <c r="W696" s="317">
        <v>4.5999999999999996</v>
      </c>
      <c r="X696" s="190">
        <f>I696*W696</f>
        <v>62.559999999999995</v>
      </c>
      <c r="Y696" s="8"/>
      <c r="Z696" s="8"/>
    </row>
    <row r="697" spans="1:26" ht="12.75" customHeight="1" x14ac:dyDescent="0.2">
      <c r="A697" s="15">
        <v>39</v>
      </c>
      <c r="B697" s="15">
        <v>2011</v>
      </c>
      <c r="C697" s="15">
        <v>4</v>
      </c>
      <c r="D697" s="15">
        <v>8</v>
      </c>
      <c r="E697" s="11" t="s">
        <v>29</v>
      </c>
      <c r="F697" s="11" t="s">
        <v>51</v>
      </c>
      <c r="G697" s="11">
        <v>164</v>
      </c>
      <c r="H697" s="15" t="s">
        <v>29</v>
      </c>
      <c r="I697" s="11">
        <v>12</v>
      </c>
      <c r="J697" s="11" t="s">
        <v>19</v>
      </c>
      <c r="K697" s="337" t="s">
        <v>34</v>
      </c>
      <c r="L697" s="17" t="s">
        <v>21</v>
      </c>
      <c r="M697" s="11" t="s">
        <v>27</v>
      </c>
      <c r="N697" s="11" t="s">
        <v>24</v>
      </c>
      <c r="O697" s="16" t="s">
        <v>29</v>
      </c>
      <c r="P697" s="11">
        <v>216</v>
      </c>
      <c r="Q697" s="10"/>
      <c r="R697">
        <v>15.3</v>
      </c>
      <c r="S697">
        <v>3582.42</v>
      </c>
      <c r="T697">
        <v>3.35</v>
      </c>
      <c r="U697">
        <v>10.99</v>
      </c>
      <c r="V697">
        <v>153.01</v>
      </c>
      <c r="W697" s="317">
        <v>3.9</v>
      </c>
      <c r="X697" s="190">
        <f>I697*W697</f>
        <v>46.8</v>
      </c>
      <c r="Y697" s="8"/>
      <c r="Z697" s="8"/>
    </row>
    <row r="698" spans="1:26" ht="12.75" customHeight="1" x14ac:dyDescent="0.2">
      <c r="A698" s="15">
        <v>40</v>
      </c>
      <c r="B698" s="15">
        <v>2011</v>
      </c>
      <c r="C698" s="15">
        <v>4</v>
      </c>
      <c r="D698" s="15">
        <v>8</v>
      </c>
      <c r="E698" s="11" t="s">
        <v>29</v>
      </c>
      <c r="F698" s="11" t="s">
        <v>51</v>
      </c>
      <c r="G698" s="11">
        <v>141</v>
      </c>
      <c r="H698" s="15" t="s">
        <v>29</v>
      </c>
      <c r="I698" s="11">
        <v>13.9</v>
      </c>
      <c r="J698" s="11" t="s">
        <v>19</v>
      </c>
      <c r="K698" s="337" t="s">
        <v>34</v>
      </c>
      <c r="L698" s="17" t="s">
        <v>52</v>
      </c>
      <c r="M698" s="11" t="s">
        <v>45</v>
      </c>
      <c r="N698" s="11" t="s">
        <v>33</v>
      </c>
      <c r="O698" s="16" t="s">
        <v>29</v>
      </c>
      <c r="P698" s="11">
        <v>216</v>
      </c>
      <c r="Q698" s="10"/>
      <c r="R698">
        <v>13.16</v>
      </c>
      <c r="S698">
        <v>2276.6799999999998</v>
      </c>
      <c r="T698">
        <v>6.11</v>
      </c>
      <c r="U698">
        <v>9.4499999999999993</v>
      </c>
      <c r="V698">
        <v>131.55000000000001</v>
      </c>
      <c r="W698" s="317">
        <v>4.5999999999999996</v>
      </c>
      <c r="X698" s="190">
        <f>I698*W698</f>
        <v>63.94</v>
      </c>
      <c r="Y698" s="8"/>
      <c r="Z698" s="8"/>
    </row>
    <row r="699" spans="1:26" ht="12.75" customHeight="1" x14ac:dyDescent="0.2">
      <c r="A699" s="15">
        <v>41</v>
      </c>
      <c r="B699" s="15">
        <v>2011</v>
      </c>
      <c r="C699" s="15">
        <v>4</v>
      </c>
      <c r="D699" s="15">
        <v>8</v>
      </c>
      <c r="E699" s="11" t="s">
        <v>29</v>
      </c>
      <c r="F699" s="11" t="s">
        <v>51</v>
      </c>
      <c r="G699" s="11">
        <v>150</v>
      </c>
      <c r="H699" s="15" t="s">
        <v>29</v>
      </c>
      <c r="I699" s="11">
        <v>17.5</v>
      </c>
      <c r="J699" s="11" t="s">
        <v>19</v>
      </c>
      <c r="K699" s="11" t="s">
        <v>34</v>
      </c>
      <c r="L699" s="11" t="s">
        <v>41</v>
      </c>
      <c r="M699" s="11" t="s">
        <v>45</v>
      </c>
      <c r="N699" s="11" t="s">
        <v>23</v>
      </c>
      <c r="O699" s="16" t="s">
        <v>29</v>
      </c>
      <c r="P699" s="11">
        <v>216</v>
      </c>
      <c r="Q699" s="10"/>
      <c r="R699">
        <v>14</v>
      </c>
      <c r="S699">
        <v>2741.06</v>
      </c>
      <c r="T699">
        <v>6.38</v>
      </c>
      <c r="U699">
        <v>10.050000000000001</v>
      </c>
      <c r="V699">
        <v>139.94999999999999</v>
      </c>
      <c r="W699" s="317">
        <v>3.8</v>
      </c>
      <c r="X699" s="8"/>
      <c r="Y699" s="8"/>
      <c r="Z699" s="8"/>
    </row>
    <row r="700" spans="1:26" ht="12.75" customHeight="1" x14ac:dyDescent="0.2">
      <c r="A700" s="15">
        <v>42</v>
      </c>
      <c r="B700" s="15">
        <v>2011</v>
      </c>
      <c r="C700" s="15">
        <v>4</v>
      </c>
      <c r="D700" s="15">
        <v>8</v>
      </c>
      <c r="E700" s="11" t="s">
        <v>29</v>
      </c>
      <c r="F700" s="11" t="s">
        <v>51</v>
      </c>
      <c r="G700" s="11">
        <v>156</v>
      </c>
      <c r="H700" s="15" t="s">
        <v>29</v>
      </c>
      <c r="I700" s="11">
        <v>9</v>
      </c>
      <c r="J700" s="11" t="s">
        <v>19</v>
      </c>
      <c r="K700" s="11" t="s">
        <v>20</v>
      </c>
      <c r="L700" s="11" t="s">
        <v>21</v>
      </c>
      <c r="M700" s="11" t="s">
        <v>27</v>
      </c>
      <c r="N700" s="11" t="s">
        <v>24</v>
      </c>
      <c r="O700" s="16" t="s">
        <v>29</v>
      </c>
      <c r="P700" s="11">
        <v>216</v>
      </c>
      <c r="Q700" s="10"/>
      <c r="R700">
        <v>14.55</v>
      </c>
      <c r="S700">
        <v>3083.32</v>
      </c>
      <c r="T700">
        <v>2.92</v>
      </c>
      <c r="U700">
        <v>10.45</v>
      </c>
      <c r="V700">
        <v>145.55000000000001</v>
      </c>
      <c r="W700" s="317">
        <v>3.9</v>
      </c>
      <c r="X700" s="190">
        <f t="shared" ref="X700:X705" si="25">I700*W700</f>
        <v>35.1</v>
      </c>
      <c r="Y700" s="8"/>
      <c r="Z700" s="8"/>
    </row>
    <row r="701" spans="1:26" ht="12.75" customHeight="1" x14ac:dyDescent="0.2">
      <c r="A701" s="15">
        <v>43</v>
      </c>
      <c r="B701" s="15">
        <v>2011</v>
      </c>
      <c r="C701" s="15">
        <v>4</v>
      </c>
      <c r="D701" s="15">
        <v>8</v>
      </c>
      <c r="E701" s="11" t="s">
        <v>29</v>
      </c>
      <c r="F701" s="11" t="s">
        <v>51</v>
      </c>
      <c r="G701" s="11">
        <v>129</v>
      </c>
      <c r="H701" s="15" t="s">
        <v>29</v>
      </c>
      <c r="I701" s="11">
        <v>6.2</v>
      </c>
      <c r="J701" s="11" t="s">
        <v>19</v>
      </c>
      <c r="K701" s="11" t="s">
        <v>20</v>
      </c>
      <c r="L701" s="11" t="s">
        <v>21</v>
      </c>
      <c r="M701" s="11" t="s">
        <v>46</v>
      </c>
      <c r="N701" s="11" t="s">
        <v>23</v>
      </c>
      <c r="O701" s="16" t="s">
        <v>29</v>
      </c>
      <c r="P701" s="11">
        <v>216</v>
      </c>
      <c r="Q701" s="10"/>
      <c r="R701">
        <v>12.04</v>
      </c>
      <c r="S701">
        <v>1743.47</v>
      </c>
      <c r="T701">
        <v>3.56</v>
      </c>
      <c r="U701">
        <v>8.64</v>
      </c>
      <c r="V701">
        <v>120.36</v>
      </c>
      <c r="W701" s="317">
        <v>3.9</v>
      </c>
      <c r="X701" s="190">
        <f t="shared" si="25"/>
        <v>24.18</v>
      </c>
      <c r="Y701" s="8"/>
      <c r="Z701" s="8"/>
    </row>
    <row r="702" spans="1:26" ht="12.75" customHeight="1" x14ac:dyDescent="0.2">
      <c r="A702" s="15">
        <v>44</v>
      </c>
      <c r="B702" s="15">
        <v>2011</v>
      </c>
      <c r="C702" s="15">
        <v>4</v>
      </c>
      <c r="D702" s="15">
        <v>8</v>
      </c>
      <c r="E702" s="11" t="s">
        <v>29</v>
      </c>
      <c r="F702" s="11" t="s">
        <v>51</v>
      </c>
      <c r="G702" s="11">
        <v>119</v>
      </c>
      <c r="H702" s="15" t="s">
        <v>29</v>
      </c>
      <c r="I702" s="11">
        <v>7.2</v>
      </c>
      <c r="J702" s="11" t="s">
        <v>19</v>
      </c>
      <c r="K702" s="11" t="s">
        <v>20</v>
      </c>
      <c r="L702" s="11" t="s">
        <v>52</v>
      </c>
      <c r="M702" s="11" t="s">
        <v>45</v>
      </c>
      <c r="N702" s="11" t="s">
        <v>23</v>
      </c>
      <c r="O702" s="16" t="s">
        <v>29</v>
      </c>
      <c r="P702" s="11">
        <v>216</v>
      </c>
      <c r="Q702" s="10"/>
      <c r="R702">
        <v>11.1</v>
      </c>
      <c r="S702">
        <v>1368.63</v>
      </c>
      <c r="T702">
        <v>5.26</v>
      </c>
      <c r="U702">
        <v>7.97</v>
      </c>
      <c r="V702">
        <v>111.03</v>
      </c>
      <c r="W702" s="317">
        <v>4.5999999999999996</v>
      </c>
      <c r="X702" s="190">
        <f t="shared" si="25"/>
        <v>33.119999999999997</v>
      </c>
      <c r="Y702" s="8"/>
      <c r="Z702" s="8"/>
    </row>
    <row r="703" spans="1:26" ht="12.75" customHeight="1" x14ac:dyDescent="0.2">
      <c r="A703" s="15">
        <v>45</v>
      </c>
      <c r="B703" s="15">
        <v>2011</v>
      </c>
      <c r="C703" s="15">
        <v>4</v>
      </c>
      <c r="D703" s="15">
        <v>8</v>
      </c>
      <c r="E703" s="11" t="s">
        <v>29</v>
      </c>
      <c r="F703" s="11" t="s">
        <v>51</v>
      </c>
      <c r="G703" s="11">
        <v>126</v>
      </c>
      <c r="H703" s="15" t="s">
        <v>29</v>
      </c>
      <c r="I703" s="11">
        <v>10.5</v>
      </c>
      <c r="J703" s="11" t="s">
        <v>19</v>
      </c>
      <c r="K703" s="11" t="s">
        <v>20</v>
      </c>
      <c r="L703" s="11" t="s">
        <v>52</v>
      </c>
      <c r="M703" s="11" t="s">
        <v>46</v>
      </c>
      <c r="N703" s="11" t="s">
        <v>24</v>
      </c>
      <c r="O703" s="16" t="s">
        <v>29</v>
      </c>
      <c r="P703" s="11">
        <v>216</v>
      </c>
      <c r="Q703" s="10"/>
      <c r="R703">
        <v>11.76</v>
      </c>
      <c r="S703">
        <v>1624.64</v>
      </c>
      <c r="T703">
        <v>6.46</v>
      </c>
      <c r="U703">
        <v>8.44</v>
      </c>
      <c r="V703">
        <v>117.56</v>
      </c>
      <c r="W703" s="317">
        <v>4.5999999999999996</v>
      </c>
      <c r="X703" s="190">
        <f t="shared" si="25"/>
        <v>48.3</v>
      </c>
      <c r="Y703" s="8"/>
      <c r="Z703" s="8"/>
    </row>
    <row r="704" spans="1:26" ht="12.75" customHeight="1" x14ac:dyDescent="0.2">
      <c r="A704" s="15">
        <v>46</v>
      </c>
      <c r="B704" s="15">
        <v>2011</v>
      </c>
      <c r="C704" s="15">
        <v>4</v>
      </c>
      <c r="D704" s="15">
        <v>8</v>
      </c>
      <c r="E704" s="11" t="s">
        <v>29</v>
      </c>
      <c r="F704" s="11" t="s">
        <v>51</v>
      </c>
      <c r="G704" s="11">
        <v>157</v>
      </c>
      <c r="H704" s="15" t="s">
        <v>29</v>
      </c>
      <c r="I704" s="11">
        <v>9</v>
      </c>
      <c r="J704" s="11" t="s">
        <v>19</v>
      </c>
      <c r="K704" s="11" t="s">
        <v>20</v>
      </c>
      <c r="L704" s="11" t="s">
        <v>21</v>
      </c>
      <c r="M704" s="11" t="s">
        <v>27</v>
      </c>
      <c r="N704" s="11" t="s">
        <v>24</v>
      </c>
      <c r="O704" s="16" t="s">
        <v>29</v>
      </c>
      <c r="P704" s="11">
        <v>216</v>
      </c>
      <c r="Q704" s="10"/>
      <c r="R704">
        <v>14.65</v>
      </c>
      <c r="S704">
        <v>3143</v>
      </c>
      <c r="T704">
        <v>2.86</v>
      </c>
      <c r="U704">
        <v>10.52</v>
      </c>
      <c r="V704">
        <v>146.47999999999999</v>
      </c>
      <c r="W704" s="317">
        <v>3.9</v>
      </c>
      <c r="X704" s="190">
        <f t="shared" si="25"/>
        <v>35.1</v>
      </c>
      <c r="Y704" s="8"/>
      <c r="Z704" s="8"/>
    </row>
    <row r="705" spans="1:26" ht="12.75" customHeight="1" x14ac:dyDescent="0.2">
      <c r="A705" s="15">
        <v>47</v>
      </c>
      <c r="B705" s="15">
        <v>2011</v>
      </c>
      <c r="C705" s="15">
        <v>4</v>
      </c>
      <c r="D705" s="15">
        <v>8</v>
      </c>
      <c r="E705" s="11" t="s">
        <v>29</v>
      </c>
      <c r="F705" s="11" t="s">
        <v>51</v>
      </c>
      <c r="G705" s="11">
        <v>160</v>
      </c>
      <c r="H705" s="15" t="s">
        <v>29</v>
      </c>
      <c r="I705" s="11">
        <v>10.5</v>
      </c>
      <c r="J705" s="11" t="s">
        <v>19</v>
      </c>
      <c r="K705" s="11" t="s">
        <v>20</v>
      </c>
      <c r="L705" s="11" t="s">
        <v>21</v>
      </c>
      <c r="M705" s="11" t="s">
        <v>46</v>
      </c>
      <c r="N705" s="11" t="s">
        <v>24</v>
      </c>
      <c r="O705" s="16" t="s">
        <v>29</v>
      </c>
      <c r="P705" s="11">
        <v>216</v>
      </c>
      <c r="Q705" s="10"/>
      <c r="R705">
        <v>14.93</v>
      </c>
      <c r="S705">
        <v>3326.63</v>
      </c>
      <c r="T705">
        <v>3.16</v>
      </c>
      <c r="U705">
        <v>10.72</v>
      </c>
      <c r="V705">
        <v>149.28</v>
      </c>
      <c r="W705" s="317">
        <v>3.9</v>
      </c>
      <c r="X705" s="190">
        <f t="shared" si="25"/>
        <v>40.949999999999996</v>
      </c>
      <c r="Y705" s="8"/>
      <c r="Z705" s="8"/>
    </row>
    <row r="706" spans="1:26" ht="12.75" customHeight="1" x14ac:dyDescent="0.2">
      <c r="A706" s="15">
        <v>48</v>
      </c>
      <c r="B706" s="15">
        <v>2011</v>
      </c>
      <c r="C706" s="15">
        <v>4</v>
      </c>
      <c r="D706" s="15">
        <v>8</v>
      </c>
      <c r="E706" s="11" t="s">
        <v>29</v>
      </c>
      <c r="F706" s="11" t="s">
        <v>51</v>
      </c>
      <c r="G706" s="11">
        <v>120</v>
      </c>
      <c r="H706" s="15" t="s">
        <v>29</v>
      </c>
      <c r="I706" s="11">
        <v>4</v>
      </c>
      <c r="J706" s="11" t="s">
        <v>19</v>
      </c>
      <c r="K706" s="5" t="s">
        <v>20</v>
      </c>
      <c r="L706" s="11" t="s">
        <v>41</v>
      </c>
      <c r="M706" s="11" t="s">
        <v>46</v>
      </c>
      <c r="N706" s="11" t="s">
        <v>24</v>
      </c>
      <c r="O706" s="16" t="s">
        <v>29</v>
      </c>
      <c r="P706" s="11">
        <v>216</v>
      </c>
      <c r="Q706" s="10"/>
      <c r="R706">
        <v>11.2</v>
      </c>
      <c r="S706">
        <v>1403.42</v>
      </c>
      <c r="T706">
        <v>2.85</v>
      </c>
      <c r="U706">
        <v>8.0399999999999991</v>
      </c>
      <c r="V706">
        <v>111.96</v>
      </c>
      <c r="W706" s="9"/>
      <c r="X706" s="8"/>
      <c r="Y706" s="8"/>
      <c r="Z706" s="8"/>
    </row>
    <row r="707" spans="1:26" ht="12.75" customHeight="1" x14ac:dyDescent="0.2">
      <c r="A707" s="15">
        <v>49</v>
      </c>
      <c r="B707" s="15">
        <v>2011</v>
      </c>
      <c r="C707" s="15">
        <v>4</v>
      </c>
      <c r="D707" s="15">
        <v>8</v>
      </c>
      <c r="E707" s="11" t="s">
        <v>29</v>
      </c>
      <c r="F707" s="11" t="s">
        <v>51</v>
      </c>
      <c r="G707" s="11">
        <v>150</v>
      </c>
      <c r="H707" s="15" t="s">
        <v>29</v>
      </c>
      <c r="I707" s="11">
        <v>13.5</v>
      </c>
      <c r="J707" s="11" t="s">
        <v>19</v>
      </c>
      <c r="K707" s="11" t="s">
        <v>20</v>
      </c>
      <c r="L707" s="11" t="s">
        <v>52</v>
      </c>
      <c r="M707" s="11" t="s">
        <v>46</v>
      </c>
      <c r="N707" s="11" t="s">
        <v>25</v>
      </c>
      <c r="O707" s="16" t="s">
        <v>29</v>
      </c>
      <c r="P707" s="11">
        <v>216</v>
      </c>
      <c r="Q707" s="10"/>
      <c r="R707">
        <v>14</v>
      </c>
      <c r="S707">
        <v>2741.06</v>
      </c>
      <c r="T707">
        <v>4.93</v>
      </c>
      <c r="U707">
        <v>10.050000000000001</v>
      </c>
      <c r="V707">
        <v>139.94999999999999</v>
      </c>
      <c r="W707" s="317">
        <v>4.5999999999999996</v>
      </c>
      <c r="X707" s="190">
        <f>I707*W707</f>
        <v>62.099999999999994</v>
      </c>
      <c r="Y707" s="8"/>
      <c r="Z707" s="8"/>
    </row>
    <row r="708" spans="1:26" ht="12.75" customHeight="1" x14ac:dyDescent="0.2">
      <c r="A708" s="15">
        <v>50</v>
      </c>
      <c r="B708" s="15">
        <v>2011</v>
      </c>
      <c r="C708" s="15">
        <v>4</v>
      </c>
      <c r="D708" s="15">
        <v>8</v>
      </c>
      <c r="E708" s="11" t="s">
        <v>29</v>
      </c>
      <c r="F708" s="11" t="s">
        <v>51</v>
      </c>
      <c r="G708" s="11">
        <v>153</v>
      </c>
      <c r="H708" s="15" t="s">
        <v>29</v>
      </c>
      <c r="I708" s="11">
        <v>8.5</v>
      </c>
      <c r="J708" s="11" t="s">
        <v>19</v>
      </c>
      <c r="K708" s="11" t="s">
        <v>20</v>
      </c>
      <c r="L708" s="11" t="s">
        <v>21</v>
      </c>
      <c r="M708" s="11" t="s">
        <v>46</v>
      </c>
      <c r="N708" s="11" t="s">
        <v>23</v>
      </c>
      <c r="O708" s="16" t="s">
        <v>29</v>
      </c>
      <c r="P708" s="11">
        <v>216</v>
      </c>
      <c r="Q708" s="10"/>
      <c r="R708">
        <v>14.27</v>
      </c>
      <c r="S708">
        <v>2908.84</v>
      </c>
      <c r="T708">
        <v>2.92</v>
      </c>
      <c r="U708">
        <v>10.25</v>
      </c>
      <c r="V708">
        <v>142.75</v>
      </c>
      <c r="W708" s="317">
        <v>3.9</v>
      </c>
      <c r="X708" s="190">
        <f>I708*W708</f>
        <v>33.15</v>
      </c>
      <c r="Y708" s="8"/>
      <c r="Z708" s="8"/>
    </row>
    <row r="709" spans="1:26" ht="12.75" customHeight="1" x14ac:dyDescent="0.2">
      <c r="A709" s="15">
        <v>51</v>
      </c>
      <c r="B709" s="15">
        <v>2011</v>
      </c>
      <c r="C709" s="15">
        <v>4</v>
      </c>
      <c r="D709" s="15">
        <v>8</v>
      </c>
      <c r="E709" s="11" t="s">
        <v>29</v>
      </c>
      <c r="F709" s="11" t="s">
        <v>51</v>
      </c>
      <c r="G709" s="11">
        <v>170</v>
      </c>
      <c r="H709" s="15" t="s">
        <v>29</v>
      </c>
      <c r="I709" s="11">
        <v>7.5</v>
      </c>
      <c r="J709" s="11" t="s">
        <v>19</v>
      </c>
      <c r="K709" s="11" t="s">
        <v>20</v>
      </c>
      <c r="L709" s="11" t="s">
        <v>41</v>
      </c>
      <c r="M709" s="11" t="s">
        <v>46</v>
      </c>
      <c r="N709" s="11" t="s">
        <v>24</v>
      </c>
      <c r="O709" s="16" t="s">
        <v>29</v>
      </c>
      <c r="P709" s="11">
        <v>216</v>
      </c>
      <c r="Q709" s="10"/>
      <c r="R709">
        <v>15.86</v>
      </c>
      <c r="S709">
        <v>3990.17</v>
      </c>
      <c r="T709">
        <v>1.88</v>
      </c>
      <c r="U709">
        <v>11.39</v>
      </c>
      <c r="V709">
        <v>158.61000000000001</v>
      </c>
      <c r="W709" s="9"/>
      <c r="X709" s="8"/>
      <c r="Y709" s="8"/>
      <c r="Z709" s="8"/>
    </row>
    <row r="710" spans="1:26" ht="12.75" customHeight="1" x14ac:dyDescent="0.2">
      <c r="A710" s="15">
        <v>52</v>
      </c>
      <c r="B710" s="15">
        <v>2011</v>
      </c>
      <c r="C710" s="15">
        <v>4</v>
      </c>
      <c r="D710" s="15">
        <v>8</v>
      </c>
      <c r="E710" s="11" t="s">
        <v>29</v>
      </c>
      <c r="F710" s="11" t="s">
        <v>51</v>
      </c>
      <c r="G710" s="11">
        <v>150</v>
      </c>
      <c r="H710" s="15" t="s">
        <v>29</v>
      </c>
      <c r="I710" s="11">
        <v>5.5</v>
      </c>
      <c r="J710" s="11" t="s">
        <v>19</v>
      </c>
      <c r="K710" s="11" t="s">
        <v>20</v>
      </c>
      <c r="L710" s="11" t="s">
        <v>21</v>
      </c>
      <c r="M710" s="11" t="s">
        <v>45</v>
      </c>
      <c r="N710" s="11" t="s">
        <v>25</v>
      </c>
      <c r="O710" s="16" t="s">
        <v>29</v>
      </c>
      <c r="P710" s="11">
        <v>216</v>
      </c>
      <c r="Q710" s="10"/>
      <c r="R710">
        <v>14</v>
      </c>
      <c r="S710">
        <v>2741.06</v>
      </c>
      <c r="T710">
        <v>2.0099999999999998</v>
      </c>
      <c r="U710">
        <v>10.050000000000001</v>
      </c>
      <c r="V710">
        <v>139.94999999999999</v>
      </c>
      <c r="W710" s="317">
        <v>3.9</v>
      </c>
      <c r="X710" s="190">
        <f t="shared" ref="X710:X716" si="26">I710*W710</f>
        <v>21.45</v>
      </c>
      <c r="Y710" s="8"/>
      <c r="Z710" s="8"/>
    </row>
    <row r="711" spans="1:26" ht="12.75" customHeight="1" x14ac:dyDescent="0.2">
      <c r="A711" s="15">
        <v>53</v>
      </c>
      <c r="B711" s="15">
        <v>2011</v>
      </c>
      <c r="C711" s="15">
        <v>4</v>
      </c>
      <c r="D711" s="15">
        <v>8</v>
      </c>
      <c r="E711" s="11" t="s">
        <v>29</v>
      </c>
      <c r="F711" s="11" t="s">
        <v>51</v>
      </c>
      <c r="G711" s="11">
        <v>141</v>
      </c>
      <c r="H711" s="15" t="s">
        <v>29</v>
      </c>
      <c r="I711" s="11">
        <v>11.5</v>
      </c>
      <c r="J711" s="11" t="s">
        <v>19</v>
      </c>
      <c r="K711" s="11" t="s">
        <v>20</v>
      </c>
      <c r="L711" s="11" t="s">
        <v>52</v>
      </c>
      <c r="M711" s="11" t="s">
        <v>46</v>
      </c>
      <c r="N711" s="11" t="s">
        <v>24</v>
      </c>
      <c r="O711" s="16" t="s">
        <v>29</v>
      </c>
      <c r="P711" s="11">
        <v>216</v>
      </c>
      <c r="Q711" s="10"/>
      <c r="R711">
        <v>13.16</v>
      </c>
      <c r="S711">
        <v>2276.6799999999998</v>
      </c>
      <c r="T711">
        <v>5.05</v>
      </c>
      <c r="U711">
        <v>9.4499999999999993</v>
      </c>
      <c r="V711">
        <v>131.55000000000001</v>
      </c>
      <c r="W711" s="317">
        <v>4.5999999999999996</v>
      </c>
      <c r="X711" s="190">
        <f t="shared" si="26"/>
        <v>52.9</v>
      </c>
      <c r="Y711" s="8"/>
      <c r="Z711" s="8"/>
    </row>
    <row r="712" spans="1:26" ht="12.75" customHeight="1" x14ac:dyDescent="0.2">
      <c r="A712" s="15">
        <v>54</v>
      </c>
      <c r="B712" s="15">
        <v>2011</v>
      </c>
      <c r="C712" s="15">
        <v>4</v>
      </c>
      <c r="D712" s="15">
        <v>8</v>
      </c>
      <c r="E712" s="11" t="s">
        <v>29</v>
      </c>
      <c r="F712" s="11" t="s">
        <v>51</v>
      </c>
      <c r="G712" s="11">
        <v>146</v>
      </c>
      <c r="H712" s="15" t="s">
        <v>29</v>
      </c>
      <c r="I712" s="11">
        <v>10.5</v>
      </c>
      <c r="J712" s="11" t="s">
        <v>19</v>
      </c>
      <c r="K712" s="11" t="s">
        <v>20</v>
      </c>
      <c r="L712" s="11" t="s">
        <v>52</v>
      </c>
      <c r="M712" s="11" t="s">
        <v>46</v>
      </c>
      <c r="N712" s="11" t="s">
        <v>23</v>
      </c>
      <c r="O712" s="16" t="s">
        <v>29</v>
      </c>
      <c r="P712" s="11">
        <v>216</v>
      </c>
      <c r="Q712" s="10"/>
      <c r="R712">
        <v>13.62</v>
      </c>
      <c r="S712">
        <v>2527.5700000000002</v>
      </c>
      <c r="T712">
        <v>4.1500000000000004</v>
      </c>
      <c r="U712">
        <v>9.7799999999999994</v>
      </c>
      <c r="V712">
        <v>136.22</v>
      </c>
      <c r="W712" s="317">
        <v>4.5999999999999996</v>
      </c>
      <c r="X712" s="190">
        <f t="shared" si="26"/>
        <v>48.3</v>
      </c>
      <c r="Y712" s="8"/>
      <c r="Z712" s="8"/>
    </row>
    <row r="713" spans="1:26" ht="12.75" customHeight="1" x14ac:dyDescent="0.2">
      <c r="A713" s="15">
        <v>55</v>
      </c>
      <c r="B713" s="15">
        <v>2011</v>
      </c>
      <c r="C713" s="15">
        <v>4</v>
      </c>
      <c r="D713" s="15">
        <v>8</v>
      </c>
      <c r="E713" s="11" t="s">
        <v>29</v>
      </c>
      <c r="F713" s="11" t="s">
        <v>51</v>
      </c>
      <c r="G713" s="11">
        <v>142</v>
      </c>
      <c r="H713" s="15" t="s">
        <v>29</v>
      </c>
      <c r="I713" s="11">
        <v>9.5</v>
      </c>
      <c r="J713" s="11" t="s">
        <v>19</v>
      </c>
      <c r="K713" s="11" t="s">
        <v>20</v>
      </c>
      <c r="L713" s="11" t="s">
        <v>21</v>
      </c>
      <c r="M713" s="11" t="s">
        <v>46</v>
      </c>
      <c r="N713" s="11" t="s">
        <v>24</v>
      </c>
      <c r="O713" s="16" t="s">
        <v>29</v>
      </c>
      <c r="P713" s="11">
        <v>216</v>
      </c>
      <c r="Q713" s="10"/>
      <c r="R713">
        <v>13.25</v>
      </c>
      <c r="S713">
        <v>2325.4699999999998</v>
      </c>
      <c r="T713">
        <v>4.09</v>
      </c>
      <c r="U713">
        <v>9.51</v>
      </c>
      <c r="V713">
        <v>132.49</v>
      </c>
      <c r="W713" s="317">
        <v>3.9</v>
      </c>
      <c r="X713" s="190">
        <f t="shared" si="26"/>
        <v>37.049999999999997</v>
      </c>
      <c r="Y713" s="8"/>
      <c r="Z713" s="8"/>
    </row>
    <row r="714" spans="1:26" ht="12.75" customHeight="1" x14ac:dyDescent="0.2">
      <c r="A714" s="15">
        <v>56</v>
      </c>
      <c r="B714" s="15">
        <v>2011</v>
      </c>
      <c r="C714" s="15">
        <v>4</v>
      </c>
      <c r="D714" s="15">
        <v>8</v>
      </c>
      <c r="E714" s="11" t="s">
        <v>29</v>
      </c>
      <c r="F714" s="11" t="s">
        <v>51</v>
      </c>
      <c r="G714" s="11">
        <v>133</v>
      </c>
      <c r="H714" s="15" t="s">
        <v>29</v>
      </c>
      <c r="I714" s="11">
        <v>9</v>
      </c>
      <c r="J714" s="11" t="s">
        <v>19</v>
      </c>
      <c r="K714" s="11" t="s">
        <v>20</v>
      </c>
      <c r="L714" s="11" t="s">
        <v>52</v>
      </c>
      <c r="M714" s="11" t="s">
        <v>46</v>
      </c>
      <c r="N714" s="11" t="s">
        <v>25</v>
      </c>
      <c r="O714" s="16" t="s">
        <v>29</v>
      </c>
      <c r="P714" s="11">
        <v>216</v>
      </c>
      <c r="Q714" s="10"/>
      <c r="R714">
        <v>12.41</v>
      </c>
      <c r="S714">
        <v>1910.73</v>
      </c>
      <c r="T714">
        <v>4.71</v>
      </c>
      <c r="U714">
        <v>8.91</v>
      </c>
      <c r="V714">
        <v>124.09</v>
      </c>
      <c r="W714" s="317">
        <v>4.5999999999999996</v>
      </c>
      <c r="X714" s="190">
        <f t="shared" si="26"/>
        <v>41.4</v>
      </c>
      <c r="Y714" s="8"/>
      <c r="Z714" s="8"/>
    </row>
    <row r="715" spans="1:26" ht="12.75" customHeight="1" x14ac:dyDescent="0.2">
      <c r="A715" s="15">
        <v>57</v>
      </c>
      <c r="B715" s="15">
        <v>2011</v>
      </c>
      <c r="C715" s="15">
        <v>4</v>
      </c>
      <c r="D715" s="15">
        <v>8</v>
      </c>
      <c r="E715" s="11" t="s">
        <v>29</v>
      </c>
      <c r="F715" s="11" t="s">
        <v>51</v>
      </c>
      <c r="G715" s="11">
        <v>150</v>
      </c>
      <c r="H715" s="15" t="s">
        <v>29</v>
      </c>
      <c r="I715" s="11">
        <v>14.5</v>
      </c>
      <c r="J715" s="11" t="s">
        <v>19</v>
      </c>
      <c r="K715" s="11" t="s">
        <v>20</v>
      </c>
      <c r="L715" s="11" t="s">
        <v>52</v>
      </c>
      <c r="M715" s="11" t="s">
        <v>46</v>
      </c>
      <c r="N715" s="11" t="s">
        <v>25</v>
      </c>
      <c r="O715" s="16" t="s">
        <v>29</v>
      </c>
      <c r="P715" s="11">
        <v>216</v>
      </c>
      <c r="Q715" s="10"/>
      <c r="R715">
        <v>14</v>
      </c>
      <c r="S715">
        <v>2741.06</v>
      </c>
      <c r="T715">
        <v>5.29</v>
      </c>
      <c r="U715">
        <v>10.050000000000001</v>
      </c>
      <c r="V715">
        <v>139.94999999999999</v>
      </c>
      <c r="W715" s="317">
        <v>4.5999999999999996</v>
      </c>
      <c r="X715" s="190">
        <f t="shared" si="26"/>
        <v>66.699999999999989</v>
      </c>
      <c r="Y715" s="8"/>
      <c r="Z715" s="8"/>
    </row>
    <row r="716" spans="1:26" ht="12.75" customHeight="1" x14ac:dyDescent="0.2">
      <c r="A716" s="15">
        <v>58</v>
      </c>
      <c r="B716" s="15">
        <v>2011</v>
      </c>
      <c r="C716" s="15">
        <v>4</v>
      </c>
      <c r="D716" s="15">
        <v>8</v>
      </c>
      <c r="E716" s="11" t="s">
        <v>29</v>
      </c>
      <c r="F716" s="11" t="s">
        <v>51</v>
      </c>
      <c r="G716" s="11">
        <v>136</v>
      </c>
      <c r="H716" s="15" t="s">
        <v>29</v>
      </c>
      <c r="I716" s="11">
        <v>13.1</v>
      </c>
      <c r="J716" s="11" t="s">
        <v>19</v>
      </c>
      <c r="K716" s="11" t="s">
        <v>20</v>
      </c>
      <c r="L716" s="11" t="s">
        <v>52</v>
      </c>
      <c r="M716" s="11" t="s">
        <v>46</v>
      </c>
      <c r="N716" s="11" t="s">
        <v>24</v>
      </c>
      <c r="O716" s="16" t="s">
        <v>29</v>
      </c>
      <c r="P716" s="11">
        <v>216</v>
      </c>
      <c r="Q716" s="10"/>
      <c r="R716">
        <v>12.69</v>
      </c>
      <c r="S716">
        <v>2042.97</v>
      </c>
      <c r="T716">
        <v>6.41</v>
      </c>
      <c r="U716">
        <v>9.11</v>
      </c>
      <c r="V716">
        <v>126.89</v>
      </c>
      <c r="W716" s="317">
        <v>4.5999999999999996</v>
      </c>
      <c r="X716" s="190">
        <f t="shared" si="26"/>
        <v>60.259999999999991</v>
      </c>
      <c r="Y716" s="8"/>
      <c r="Z716" s="8"/>
    </row>
    <row r="717" spans="1:26" ht="12.75" customHeight="1" x14ac:dyDescent="0.2">
      <c r="A717" s="15">
        <v>124</v>
      </c>
      <c r="B717" s="15">
        <v>2011</v>
      </c>
      <c r="C717" s="15">
        <v>4</v>
      </c>
      <c r="D717" s="15">
        <v>8</v>
      </c>
      <c r="E717" s="11" t="s">
        <v>29</v>
      </c>
      <c r="F717" s="11" t="s">
        <v>51</v>
      </c>
      <c r="G717" s="11" t="s">
        <v>29</v>
      </c>
      <c r="H717" s="15" t="s">
        <v>29</v>
      </c>
      <c r="I717" s="11" t="s">
        <v>29</v>
      </c>
      <c r="J717" s="11" t="s">
        <v>19</v>
      </c>
      <c r="K717" s="11" t="s">
        <v>20</v>
      </c>
      <c r="L717" s="11" t="s">
        <v>30</v>
      </c>
      <c r="M717" s="11" t="s">
        <v>46</v>
      </c>
      <c r="N717" s="11" t="s">
        <v>25</v>
      </c>
      <c r="O717" s="16" t="s">
        <v>53</v>
      </c>
      <c r="P717" s="11">
        <v>216</v>
      </c>
      <c r="Q717" s="10"/>
      <c r="W717" s="317">
        <v>4.5999999999999996</v>
      </c>
      <c r="X717" s="190"/>
      <c r="Y717" s="8"/>
      <c r="Z717" s="8"/>
    </row>
    <row r="718" spans="1:26" ht="12.75" customHeight="1" x14ac:dyDescent="0.2">
      <c r="A718" s="15">
        <v>125</v>
      </c>
      <c r="B718" s="15">
        <v>2011</v>
      </c>
      <c r="C718" s="15">
        <v>4</v>
      </c>
      <c r="D718" s="15">
        <v>8</v>
      </c>
      <c r="E718" s="11" t="s">
        <v>29</v>
      </c>
      <c r="F718" s="11" t="s">
        <v>51</v>
      </c>
      <c r="G718" s="11" t="s">
        <v>29</v>
      </c>
      <c r="H718" s="15" t="s">
        <v>29</v>
      </c>
      <c r="I718" s="11" t="s">
        <v>29</v>
      </c>
      <c r="J718" s="11" t="s">
        <v>19</v>
      </c>
      <c r="K718" s="11" t="s">
        <v>20</v>
      </c>
      <c r="L718" s="11" t="s">
        <v>30</v>
      </c>
      <c r="M718" s="11" t="s">
        <v>45</v>
      </c>
      <c r="N718" s="11" t="s">
        <v>54</v>
      </c>
      <c r="O718" s="16" t="s">
        <v>55</v>
      </c>
      <c r="P718" s="11">
        <v>216</v>
      </c>
      <c r="Q718" s="10"/>
      <c r="W718" s="317">
        <v>4.5999999999999996</v>
      </c>
      <c r="X718" s="190"/>
      <c r="Y718" s="8"/>
      <c r="Z718" s="8"/>
    </row>
    <row r="719" spans="1:26" ht="12.75" customHeight="1" x14ac:dyDescent="0.2">
      <c r="A719" s="15">
        <v>126</v>
      </c>
      <c r="B719" s="15">
        <v>2011</v>
      </c>
      <c r="C719" s="15">
        <v>4</v>
      </c>
      <c r="D719" s="15">
        <v>8</v>
      </c>
      <c r="E719" s="11" t="s">
        <v>29</v>
      </c>
      <c r="F719" s="11" t="s">
        <v>51</v>
      </c>
      <c r="G719" s="11" t="s">
        <v>29</v>
      </c>
      <c r="H719" s="15" t="s">
        <v>29</v>
      </c>
      <c r="I719" s="11" t="s">
        <v>29</v>
      </c>
      <c r="J719" s="11" t="s">
        <v>19</v>
      </c>
      <c r="K719" s="11" t="s">
        <v>20</v>
      </c>
      <c r="L719" s="11" t="s">
        <v>30</v>
      </c>
      <c r="M719" s="11" t="s">
        <v>46</v>
      </c>
      <c r="N719" s="11" t="s">
        <v>23</v>
      </c>
      <c r="O719" s="16" t="s">
        <v>29</v>
      </c>
      <c r="P719" s="11">
        <v>216</v>
      </c>
      <c r="Q719" s="10"/>
      <c r="W719" s="317">
        <v>4.5999999999999996</v>
      </c>
      <c r="X719" s="190"/>
      <c r="Y719" s="8"/>
      <c r="Z719" s="8"/>
    </row>
    <row r="720" spans="1:26" ht="12.75" customHeight="1" x14ac:dyDescent="0.2">
      <c r="A720" s="15">
        <v>127</v>
      </c>
      <c r="B720" s="15">
        <v>2011</v>
      </c>
      <c r="C720" s="15">
        <v>4</v>
      </c>
      <c r="D720" s="15">
        <v>8</v>
      </c>
      <c r="E720" s="11" t="s">
        <v>29</v>
      </c>
      <c r="F720" s="11" t="s">
        <v>51</v>
      </c>
      <c r="G720" s="11" t="s">
        <v>29</v>
      </c>
      <c r="H720" s="15" t="s">
        <v>29</v>
      </c>
      <c r="I720" s="11" t="s">
        <v>29</v>
      </c>
      <c r="J720" s="11" t="s">
        <v>19</v>
      </c>
      <c r="K720" s="11" t="s">
        <v>20</v>
      </c>
      <c r="L720" s="11" t="s">
        <v>30</v>
      </c>
      <c r="M720" s="11" t="s">
        <v>27</v>
      </c>
      <c r="N720" s="11" t="s">
        <v>23</v>
      </c>
      <c r="O720" s="16" t="s">
        <v>56</v>
      </c>
      <c r="P720" s="11">
        <v>216</v>
      </c>
      <c r="Q720" s="10"/>
      <c r="W720" s="317">
        <v>4.5999999999999996</v>
      </c>
      <c r="X720" s="190"/>
      <c r="Y720" s="8"/>
      <c r="Z720" s="8"/>
    </row>
    <row r="721" spans="1:26" ht="12.75" customHeight="1" x14ac:dyDescent="0.2">
      <c r="A721" s="15">
        <v>128</v>
      </c>
      <c r="B721" s="15">
        <v>2011</v>
      </c>
      <c r="C721" s="15">
        <v>4</v>
      </c>
      <c r="D721" s="15">
        <v>8</v>
      </c>
      <c r="E721" s="11" t="s">
        <v>29</v>
      </c>
      <c r="F721" s="11" t="s">
        <v>51</v>
      </c>
      <c r="G721" s="11" t="s">
        <v>29</v>
      </c>
      <c r="H721" s="15" t="s">
        <v>29</v>
      </c>
      <c r="I721" s="11" t="s">
        <v>29</v>
      </c>
      <c r="J721" s="11" t="s">
        <v>19</v>
      </c>
      <c r="K721" s="11" t="s">
        <v>20</v>
      </c>
      <c r="L721" s="11" t="s">
        <v>30</v>
      </c>
      <c r="M721" s="11" t="s">
        <v>45</v>
      </c>
      <c r="N721" s="11" t="s">
        <v>24</v>
      </c>
      <c r="O721" s="16" t="s">
        <v>29</v>
      </c>
      <c r="P721" s="11">
        <v>216</v>
      </c>
      <c r="Q721" s="10"/>
      <c r="W721" s="317">
        <v>4.5999999999999996</v>
      </c>
      <c r="X721" s="190"/>
      <c r="Y721" s="8"/>
      <c r="Z721" s="8"/>
    </row>
    <row r="722" spans="1:26" ht="12.75" customHeight="1" x14ac:dyDescent="0.2">
      <c r="A722" s="15">
        <v>129</v>
      </c>
      <c r="B722" s="15">
        <v>2011</v>
      </c>
      <c r="C722" s="15">
        <v>4</v>
      </c>
      <c r="D722" s="15">
        <v>8</v>
      </c>
      <c r="E722" s="11" t="s">
        <v>29</v>
      </c>
      <c r="F722" s="11" t="s">
        <v>28</v>
      </c>
      <c r="G722" s="11" t="s">
        <v>29</v>
      </c>
      <c r="H722" s="15" t="s">
        <v>29</v>
      </c>
      <c r="I722" s="11" t="s">
        <v>29</v>
      </c>
      <c r="J722" s="11" t="s">
        <v>19</v>
      </c>
      <c r="K722" s="18" t="s">
        <v>34</v>
      </c>
      <c r="L722" s="17" t="s">
        <v>41</v>
      </c>
      <c r="M722" s="11" t="s">
        <v>29</v>
      </c>
      <c r="N722" s="11" t="s">
        <v>29</v>
      </c>
      <c r="O722" s="16" t="s">
        <v>29</v>
      </c>
      <c r="P722" s="11">
        <v>216</v>
      </c>
      <c r="Q722" s="10"/>
      <c r="W722" s="317">
        <v>3.8</v>
      </c>
      <c r="X722" s="8"/>
      <c r="Y722" s="8"/>
      <c r="Z722" s="8"/>
    </row>
    <row r="723" spans="1:26" ht="12.75" customHeight="1" x14ac:dyDescent="0.2">
      <c r="A723" s="15">
        <v>1</v>
      </c>
      <c r="B723" s="15">
        <v>2011</v>
      </c>
      <c r="C723" s="15">
        <v>3</v>
      </c>
      <c r="D723" s="15">
        <v>8</v>
      </c>
      <c r="E723" s="11" t="s">
        <v>29</v>
      </c>
      <c r="F723" s="11" t="s">
        <v>51</v>
      </c>
      <c r="G723" s="11">
        <v>151</v>
      </c>
      <c r="H723" s="15" t="s">
        <v>29</v>
      </c>
      <c r="I723" s="11">
        <v>17.899999999999999</v>
      </c>
      <c r="J723" s="11" t="s">
        <v>19</v>
      </c>
      <c r="K723" s="338" t="s">
        <v>34</v>
      </c>
      <c r="L723" s="17" t="s">
        <v>52</v>
      </c>
      <c r="M723" s="11" t="s">
        <v>27</v>
      </c>
      <c r="N723" s="11" t="s">
        <v>23</v>
      </c>
      <c r="O723" s="16" t="s">
        <v>29</v>
      </c>
      <c r="P723" s="11">
        <v>215</v>
      </c>
      <c r="Q723" s="10"/>
      <c r="R723">
        <v>14.09</v>
      </c>
      <c r="S723">
        <v>2796.25</v>
      </c>
      <c r="T723">
        <v>6.4</v>
      </c>
      <c r="U723">
        <v>10.119999999999999</v>
      </c>
      <c r="V723">
        <v>140.88</v>
      </c>
      <c r="W723" s="317">
        <v>4.5999999999999996</v>
      </c>
      <c r="X723" s="190">
        <f>I723*W723</f>
        <v>82.339999999999989</v>
      </c>
      <c r="Y723" s="8"/>
      <c r="Z723" s="8"/>
    </row>
    <row r="724" spans="1:26" ht="12.75" customHeight="1" x14ac:dyDescent="0.2">
      <c r="A724" s="15">
        <v>2</v>
      </c>
      <c r="B724" s="15">
        <v>2011</v>
      </c>
      <c r="C724" s="15">
        <v>3</v>
      </c>
      <c r="D724" s="15">
        <v>8</v>
      </c>
      <c r="E724" s="11" t="s">
        <v>29</v>
      </c>
      <c r="F724" s="11" t="s">
        <v>51</v>
      </c>
      <c r="G724" s="11">
        <v>150</v>
      </c>
      <c r="H724" s="15" t="s">
        <v>29</v>
      </c>
      <c r="I724" s="11">
        <v>10.1</v>
      </c>
      <c r="J724" s="11" t="s">
        <v>19</v>
      </c>
      <c r="K724" s="338" t="s">
        <v>34</v>
      </c>
      <c r="L724" s="17" t="s">
        <v>52</v>
      </c>
      <c r="M724" s="11" t="s">
        <v>45</v>
      </c>
      <c r="N724" s="11" t="s">
        <v>24</v>
      </c>
      <c r="O724" s="16" t="s">
        <v>29</v>
      </c>
      <c r="P724" s="11">
        <v>215</v>
      </c>
      <c r="Q724" s="10"/>
      <c r="R724">
        <v>14</v>
      </c>
      <c r="S724">
        <v>2741.06</v>
      </c>
      <c r="T724">
        <v>3.68</v>
      </c>
      <c r="U724">
        <v>10.050000000000001</v>
      </c>
      <c r="V724">
        <v>139.94999999999999</v>
      </c>
      <c r="W724" s="317">
        <v>4.5999999999999996</v>
      </c>
      <c r="X724" s="190">
        <f>I724*W724</f>
        <v>46.459999999999994</v>
      </c>
      <c r="Y724" s="8"/>
      <c r="Z724" s="8"/>
    </row>
    <row r="725" spans="1:26" ht="12.75" customHeight="1" x14ac:dyDescent="0.2">
      <c r="A725" s="15">
        <v>3</v>
      </c>
      <c r="B725" s="15">
        <v>2011</v>
      </c>
      <c r="C725" s="15">
        <v>3</v>
      </c>
      <c r="D725" s="15">
        <v>8</v>
      </c>
      <c r="E725" s="11" t="s">
        <v>29</v>
      </c>
      <c r="F725" s="11" t="s">
        <v>51</v>
      </c>
      <c r="G725" s="11">
        <v>134</v>
      </c>
      <c r="H725" s="15" t="s">
        <v>29</v>
      </c>
      <c r="I725" s="11">
        <v>8</v>
      </c>
      <c r="J725" s="11" t="s">
        <v>19</v>
      </c>
      <c r="K725" s="337" t="s">
        <v>34</v>
      </c>
      <c r="L725" s="17" t="s">
        <v>21</v>
      </c>
      <c r="M725" s="11" t="s">
        <v>29</v>
      </c>
      <c r="N725" s="11" t="s">
        <v>23</v>
      </c>
      <c r="O725" s="16" t="s">
        <v>29</v>
      </c>
      <c r="P725" s="11">
        <v>215</v>
      </c>
      <c r="Q725" s="10"/>
      <c r="R725">
        <v>12.5</v>
      </c>
      <c r="S725">
        <v>1954.16</v>
      </c>
      <c r="T725">
        <v>4.09</v>
      </c>
      <c r="U725">
        <v>8.98</v>
      </c>
      <c r="V725">
        <v>125.02</v>
      </c>
      <c r="W725" s="317">
        <v>3.9</v>
      </c>
      <c r="X725" s="190">
        <f>I725*W725</f>
        <v>31.2</v>
      </c>
      <c r="Y725" s="8"/>
      <c r="Z725" s="8"/>
    </row>
    <row r="726" spans="1:26" ht="12.75" customHeight="1" x14ac:dyDescent="0.2">
      <c r="A726" s="15">
        <v>4</v>
      </c>
      <c r="B726" s="15">
        <v>2011</v>
      </c>
      <c r="C726" s="15">
        <v>3</v>
      </c>
      <c r="D726" s="15">
        <v>8</v>
      </c>
      <c r="E726" s="11" t="s">
        <v>29</v>
      </c>
      <c r="F726" s="11" t="s">
        <v>51</v>
      </c>
      <c r="G726" s="11">
        <v>150</v>
      </c>
      <c r="H726" s="15" t="s">
        <v>29</v>
      </c>
      <c r="I726" s="11">
        <v>10.1</v>
      </c>
      <c r="J726" s="11" t="s">
        <v>19</v>
      </c>
      <c r="K726" s="337" t="s">
        <v>34</v>
      </c>
      <c r="L726" s="17" t="s">
        <v>21</v>
      </c>
      <c r="M726" s="11" t="s">
        <v>46</v>
      </c>
      <c r="N726" s="11" t="s">
        <v>23</v>
      </c>
      <c r="O726" s="16" t="s">
        <v>29</v>
      </c>
      <c r="P726" s="11">
        <v>215</v>
      </c>
      <c r="Q726" s="10"/>
      <c r="R726">
        <v>14</v>
      </c>
      <c r="S726">
        <v>2741.06</v>
      </c>
      <c r="T726">
        <v>3.68</v>
      </c>
      <c r="U726">
        <v>10.050000000000001</v>
      </c>
      <c r="V726">
        <v>139.94999999999999</v>
      </c>
      <c r="W726" s="317">
        <v>3.9</v>
      </c>
      <c r="X726" s="190">
        <f>I726*W726</f>
        <v>39.39</v>
      </c>
      <c r="Y726" s="8"/>
      <c r="Z726" s="8"/>
    </row>
    <row r="727" spans="1:26" ht="12.75" customHeight="1" x14ac:dyDescent="0.2">
      <c r="A727" s="15">
        <v>5</v>
      </c>
      <c r="B727" s="15">
        <v>2011</v>
      </c>
      <c r="C727" s="15">
        <v>3</v>
      </c>
      <c r="D727" s="15">
        <v>8</v>
      </c>
      <c r="E727" s="11" t="s">
        <v>29</v>
      </c>
      <c r="F727" s="11" t="s">
        <v>51</v>
      </c>
      <c r="G727" s="11" t="s">
        <v>29</v>
      </c>
      <c r="H727" s="15" t="s">
        <v>29</v>
      </c>
      <c r="I727" s="11">
        <v>7.5</v>
      </c>
      <c r="J727" s="11" t="s">
        <v>19</v>
      </c>
      <c r="K727" s="338" t="s">
        <v>34</v>
      </c>
      <c r="L727" s="17" t="s">
        <v>52</v>
      </c>
      <c r="M727" s="11" t="s">
        <v>46</v>
      </c>
      <c r="N727" s="11" t="s">
        <v>23</v>
      </c>
      <c r="O727" s="16" t="s">
        <v>29</v>
      </c>
      <c r="P727" s="11">
        <v>215</v>
      </c>
      <c r="Q727" s="10"/>
      <c r="W727" s="317">
        <v>4.5999999999999996</v>
      </c>
      <c r="X727" s="190">
        <f>I727*W727</f>
        <v>34.5</v>
      </c>
      <c r="Y727" s="8"/>
      <c r="Z727" s="8"/>
    </row>
    <row r="728" spans="1:26" ht="12.75" customHeight="1" x14ac:dyDescent="0.2">
      <c r="A728" s="15">
        <v>6</v>
      </c>
      <c r="B728" s="15">
        <v>2011</v>
      </c>
      <c r="C728" s="15">
        <v>3</v>
      </c>
      <c r="D728" s="15">
        <v>8</v>
      </c>
      <c r="E728" s="11" t="s">
        <v>29</v>
      </c>
      <c r="F728" s="11" t="s">
        <v>51</v>
      </c>
      <c r="G728" s="11">
        <v>202</v>
      </c>
      <c r="H728" s="15" t="s">
        <v>29</v>
      </c>
      <c r="I728" s="11">
        <v>13</v>
      </c>
      <c r="J728" s="11" t="s">
        <v>32</v>
      </c>
      <c r="K728" s="11" t="s">
        <v>29</v>
      </c>
      <c r="L728" s="11" t="s">
        <v>29</v>
      </c>
      <c r="M728" s="11" t="s">
        <v>46</v>
      </c>
      <c r="N728" s="11" t="s">
        <v>24</v>
      </c>
      <c r="O728" s="16" t="s">
        <v>29</v>
      </c>
      <c r="P728" s="11">
        <v>215</v>
      </c>
      <c r="Q728" s="10"/>
      <c r="R728">
        <v>18.850000000000001</v>
      </c>
      <c r="S728">
        <v>6694.21</v>
      </c>
      <c r="T728">
        <v>1.94</v>
      </c>
      <c r="U728">
        <v>13.53</v>
      </c>
      <c r="V728">
        <v>188.47</v>
      </c>
      <c r="W728" s="9"/>
      <c r="X728" s="8"/>
      <c r="Y728" s="8"/>
      <c r="Z728" s="8"/>
    </row>
    <row r="729" spans="1:26" ht="12.75" customHeight="1" x14ac:dyDescent="0.2">
      <c r="A729" s="15">
        <v>7</v>
      </c>
      <c r="B729" s="15">
        <v>2011</v>
      </c>
      <c r="C729" s="15">
        <v>3</v>
      </c>
      <c r="D729" s="15">
        <v>8</v>
      </c>
      <c r="E729" s="11" t="s">
        <v>29</v>
      </c>
      <c r="F729" s="11" t="s">
        <v>51</v>
      </c>
      <c r="G729" s="11">
        <v>135</v>
      </c>
      <c r="H729" s="15" t="s">
        <v>29</v>
      </c>
      <c r="I729" s="11">
        <v>13.5</v>
      </c>
      <c r="J729" s="11" t="s">
        <v>19</v>
      </c>
      <c r="K729" s="337" t="s">
        <v>34</v>
      </c>
      <c r="L729" s="17" t="s">
        <v>52</v>
      </c>
      <c r="M729" s="11" t="s">
        <v>46</v>
      </c>
      <c r="N729" s="11" t="s">
        <v>23</v>
      </c>
      <c r="O729" s="16" t="s">
        <v>29</v>
      </c>
      <c r="P729" s="11">
        <v>215</v>
      </c>
      <c r="Q729" s="10"/>
      <c r="R729">
        <v>12.6</v>
      </c>
      <c r="S729">
        <v>1998.23</v>
      </c>
      <c r="T729">
        <v>6.76</v>
      </c>
      <c r="U729">
        <v>9.0500000000000007</v>
      </c>
      <c r="V729">
        <v>125.96</v>
      </c>
      <c r="W729" s="317">
        <v>4.5999999999999996</v>
      </c>
      <c r="X729" s="190">
        <f t="shared" ref="X729:X746" si="27">I729*W729</f>
        <v>62.099999999999994</v>
      </c>
      <c r="Y729" s="8"/>
      <c r="Z729" s="8"/>
    </row>
    <row r="730" spans="1:26" ht="12.75" customHeight="1" x14ac:dyDescent="0.2">
      <c r="A730" s="15">
        <v>8</v>
      </c>
      <c r="B730" s="15">
        <v>2011</v>
      </c>
      <c r="C730" s="15">
        <v>3</v>
      </c>
      <c r="D730" s="15">
        <v>8</v>
      </c>
      <c r="E730" s="11" t="s">
        <v>29</v>
      </c>
      <c r="F730" s="11" t="s">
        <v>51</v>
      </c>
      <c r="G730" s="11">
        <v>143</v>
      </c>
      <c r="H730" s="15" t="s">
        <v>29</v>
      </c>
      <c r="I730" s="11">
        <v>16</v>
      </c>
      <c r="J730" s="11" t="s">
        <v>19</v>
      </c>
      <c r="K730" s="337" t="s">
        <v>34</v>
      </c>
      <c r="L730" s="17" t="s">
        <v>52</v>
      </c>
      <c r="M730" s="11" t="s">
        <v>46</v>
      </c>
      <c r="N730" s="11" t="s">
        <v>24</v>
      </c>
      <c r="O730" s="16" t="s">
        <v>29</v>
      </c>
      <c r="P730" s="11">
        <v>215</v>
      </c>
      <c r="Q730" s="10"/>
      <c r="R730">
        <v>13.34</v>
      </c>
      <c r="S730">
        <v>2374.94</v>
      </c>
      <c r="T730">
        <v>6.74</v>
      </c>
      <c r="U730">
        <v>9.58</v>
      </c>
      <c r="V730">
        <v>133.41999999999999</v>
      </c>
      <c r="W730" s="317">
        <v>4.5999999999999996</v>
      </c>
      <c r="X730" s="190">
        <f t="shared" si="27"/>
        <v>73.599999999999994</v>
      </c>
      <c r="Y730" s="8"/>
      <c r="Z730" s="8"/>
    </row>
    <row r="731" spans="1:26" ht="12.75" customHeight="1" x14ac:dyDescent="0.2">
      <c r="A731" s="15">
        <v>9</v>
      </c>
      <c r="B731" s="15">
        <v>2011</v>
      </c>
      <c r="C731" s="15">
        <v>3</v>
      </c>
      <c r="D731" s="15">
        <v>8</v>
      </c>
      <c r="E731" s="11" t="s">
        <v>29</v>
      </c>
      <c r="F731" s="11" t="s">
        <v>51</v>
      </c>
      <c r="G731" s="11">
        <v>133</v>
      </c>
      <c r="H731" s="15" t="s">
        <v>29</v>
      </c>
      <c r="I731" s="11">
        <v>10.5</v>
      </c>
      <c r="J731" s="11" t="s">
        <v>19</v>
      </c>
      <c r="K731" s="11" t="s">
        <v>20</v>
      </c>
      <c r="L731" s="11" t="s">
        <v>52</v>
      </c>
      <c r="M731" s="11" t="s">
        <v>46</v>
      </c>
      <c r="N731" s="11" t="s">
        <v>24</v>
      </c>
      <c r="O731" s="16" t="s">
        <v>29</v>
      </c>
      <c r="P731" s="11">
        <v>215</v>
      </c>
      <c r="Q731" s="10"/>
      <c r="R731">
        <v>12.41</v>
      </c>
      <c r="S731">
        <v>1910.73</v>
      </c>
      <c r="T731">
        <v>5.5</v>
      </c>
      <c r="U731">
        <v>8.91</v>
      </c>
      <c r="V731">
        <v>124.09</v>
      </c>
      <c r="W731" s="317">
        <v>4.5999999999999996</v>
      </c>
      <c r="X731" s="190">
        <f t="shared" si="27"/>
        <v>48.3</v>
      </c>
      <c r="Y731" s="8"/>
      <c r="Z731" s="8"/>
    </row>
    <row r="732" spans="1:26" ht="12.75" customHeight="1" x14ac:dyDescent="0.2">
      <c r="A732" s="15">
        <v>10</v>
      </c>
      <c r="B732" s="15">
        <v>2011</v>
      </c>
      <c r="C732" s="15">
        <v>3</v>
      </c>
      <c r="D732" s="15">
        <v>8</v>
      </c>
      <c r="E732" s="11" t="s">
        <v>29</v>
      </c>
      <c r="F732" s="11" t="s">
        <v>51</v>
      </c>
      <c r="G732" s="11">
        <v>140</v>
      </c>
      <c r="H732" s="15" t="s">
        <v>29</v>
      </c>
      <c r="I732" s="11">
        <v>10</v>
      </c>
      <c r="J732" s="11" t="s">
        <v>19</v>
      </c>
      <c r="K732" s="11" t="s">
        <v>20</v>
      </c>
      <c r="L732" s="11" t="s">
        <v>21</v>
      </c>
      <c r="M732" s="11" t="s">
        <v>27</v>
      </c>
      <c r="N732" s="11" t="s">
        <v>23</v>
      </c>
      <c r="O732" s="16" t="s">
        <v>29</v>
      </c>
      <c r="P732" s="11">
        <v>215</v>
      </c>
      <c r="Q732" s="10"/>
      <c r="R732">
        <v>13.06</v>
      </c>
      <c r="S732">
        <v>2228.58</v>
      </c>
      <c r="T732">
        <v>4.49</v>
      </c>
      <c r="U732">
        <v>9.3800000000000008</v>
      </c>
      <c r="V732">
        <v>130.62</v>
      </c>
      <c r="W732" s="317">
        <v>3.9</v>
      </c>
      <c r="X732" s="190">
        <f t="shared" si="27"/>
        <v>39</v>
      </c>
      <c r="Y732" s="8"/>
      <c r="Z732" s="8"/>
    </row>
    <row r="733" spans="1:26" ht="12.75" customHeight="1" x14ac:dyDescent="0.2">
      <c r="A733" s="15">
        <v>11</v>
      </c>
      <c r="B733" s="15">
        <v>2011</v>
      </c>
      <c r="C733" s="15">
        <v>3</v>
      </c>
      <c r="D733" s="15">
        <v>8</v>
      </c>
      <c r="E733" s="11" t="s">
        <v>29</v>
      </c>
      <c r="F733" s="11" t="s">
        <v>51</v>
      </c>
      <c r="G733" s="11">
        <v>147</v>
      </c>
      <c r="H733" s="15" t="s">
        <v>29</v>
      </c>
      <c r="I733" s="11">
        <v>11.5</v>
      </c>
      <c r="J733" s="11" t="s">
        <v>19</v>
      </c>
      <c r="K733" s="11" t="s">
        <v>20</v>
      </c>
      <c r="L733" s="11" t="s">
        <v>21</v>
      </c>
      <c r="M733" s="11" t="s">
        <v>46</v>
      </c>
      <c r="N733" s="11" t="s">
        <v>24</v>
      </c>
      <c r="O733" s="16" t="s">
        <v>29</v>
      </c>
      <c r="P733" s="11">
        <v>215</v>
      </c>
      <c r="Q733" s="10"/>
      <c r="R733">
        <v>13.72</v>
      </c>
      <c r="S733">
        <v>2579.86</v>
      </c>
      <c r="T733">
        <v>4.46</v>
      </c>
      <c r="U733">
        <v>9.85</v>
      </c>
      <c r="V733">
        <v>137.15</v>
      </c>
      <c r="W733" s="317">
        <v>3.9</v>
      </c>
      <c r="X733" s="190">
        <f t="shared" si="27"/>
        <v>44.85</v>
      </c>
      <c r="Y733" s="8"/>
      <c r="Z733" s="8"/>
    </row>
    <row r="734" spans="1:26" ht="12.75" customHeight="1" x14ac:dyDescent="0.2">
      <c r="A734" s="15">
        <v>12</v>
      </c>
      <c r="B734" s="15">
        <v>2011</v>
      </c>
      <c r="C734" s="15">
        <v>3</v>
      </c>
      <c r="D734" s="15">
        <v>8</v>
      </c>
      <c r="E734" s="11" t="s">
        <v>29</v>
      </c>
      <c r="F734" s="11" t="s">
        <v>51</v>
      </c>
      <c r="G734" s="11">
        <v>152</v>
      </c>
      <c r="H734" s="15" t="s">
        <v>29</v>
      </c>
      <c r="I734" s="11">
        <v>10.5</v>
      </c>
      <c r="J734" s="11" t="s">
        <v>19</v>
      </c>
      <c r="K734" s="11" t="s">
        <v>20</v>
      </c>
      <c r="L734" s="11" t="s">
        <v>21</v>
      </c>
      <c r="M734" s="11" t="s">
        <v>46</v>
      </c>
      <c r="N734" s="11" t="s">
        <v>24</v>
      </c>
      <c r="O734" s="16" t="s">
        <v>29</v>
      </c>
      <c r="P734" s="11">
        <v>215</v>
      </c>
      <c r="Q734" s="10"/>
      <c r="R734">
        <v>14.18</v>
      </c>
      <c r="S734">
        <v>2852.17</v>
      </c>
      <c r="T734">
        <v>3.68</v>
      </c>
      <c r="U734">
        <v>10.18</v>
      </c>
      <c r="V734">
        <v>141.82</v>
      </c>
      <c r="W734" s="317">
        <v>3.9</v>
      </c>
      <c r="X734" s="190">
        <f t="shared" si="27"/>
        <v>40.949999999999996</v>
      </c>
      <c r="Y734" s="8"/>
      <c r="Z734" s="8"/>
    </row>
    <row r="735" spans="1:26" ht="12.75" customHeight="1" x14ac:dyDescent="0.2">
      <c r="A735" s="15">
        <v>13</v>
      </c>
      <c r="B735" s="15">
        <v>2011</v>
      </c>
      <c r="C735" s="15">
        <v>3</v>
      </c>
      <c r="D735" s="15">
        <v>8</v>
      </c>
      <c r="E735" s="11" t="s">
        <v>29</v>
      </c>
      <c r="F735" s="11" t="s">
        <v>51</v>
      </c>
      <c r="G735" s="11">
        <v>146</v>
      </c>
      <c r="H735" s="15" t="s">
        <v>29</v>
      </c>
      <c r="I735" s="11">
        <v>11.5</v>
      </c>
      <c r="J735" s="11" t="s">
        <v>19</v>
      </c>
      <c r="K735" s="11" t="s">
        <v>20</v>
      </c>
      <c r="L735" s="11" t="s">
        <v>21</v>
      </c>
      <c r="M735" s="11" t="s">
        <v>45</v>
      </c>
      <c r="N735" s="11" t="s">
        <v>24</v>
      </c>
      <c r="O735" s="16" t="s">
        <v>29</v>
      </c>
      <c r="P735" s="11">
        <v>215</v>
      </c>
      <c r="Q735" s="10"/>
      <c r="R735">
        <v>13.62</v>
      </c>
      <c r="S735">
        <v>2527.5700000000002</v>
      </c>
      <c r="T735">
        <v>4.55</v>
      </c>
      <c r="U735">
        <v>9.7799999999999994</v>
      </c>
      <c r="V735">
        <v>136.22</v>
      </c>
      <c r="W735" s="317">
        <v>3.9</v>
      </c>
      <c r="X735" s="190">
        <f t="shared" si="27"/>
        <v>44.85</v>
      </c>
      <c r="Y735" s="8"/>
      <c r="Z735" s="8"/>
    </row>
    <row r="736" spans="1:26" ht="12.75" customHeight="1" x14ac:dyDescent="0.2">
      <c r="A736" s="15">
        <v>14</v>
      </c>
      <c r="B736" s="15">
        <v>2011</v>
      </c>
      <c r="C736" s="15">
        <v>3</v>
      </c>
      <c r="D736" s="15">
        <v>8</v>
      </c>
      <c r="E736" s="11" t="s">
        <v>29</v>
      </c>
      <c r="F736" s="11" t="s">
        <v>51</v>
      </c>
      <c r="G736" s="11">
        <v>138</v>
      </c>
      <c r="H736" s="15" t="s">
        <v>29</v>
      </c>
      <c r="I736" s="11">
        <v>12.5</v>
      </c>
      <c r="J736" s="11" t="s">
        <v>19</v>
      </c>
      <c r="K736" s="337" t="s">
        <v>34</v>
      </c>
      <c r="L736" s="17" t="s">
        <v>52</v>
      </c>
      <c r="M736" s="11" t="s">
        <v>27</v>
      </c>
      <c r="N736" s="11" t="s">
        <v>23</v>
      </c>
      <c r="O736" s="16" t="s">
        <v>29</v>
      </c>
      <c r="P736" s="11">
        <v>215</v>
      </c>
      <c r="Q736" s="10"/>
      <c r="R736">
        <v>12.88</v>
      </c>
      <c r="S736">
        <v>2134.4299999999998</v>
      </c>
      <c r="T736">
        <v>5.86</v>
      </c>
      <c r="U736">
        <v>9.25</v>
      </c>
      <c r="V736">
        <v>128.75</v>
      </c>
      <c r="W736" s="317">
        <v>4.5999999999999996</v>
      </c>
      <c r="X736" s="190">
        <f t="shared" si="27"/>
        <v>57.499999999999993</v>
      </c>
      <c r="Y736" s="8"/>
      <c r="Z736" s="8"/>
    </row>
    <row r="737" spans="1:26" ht="12.75" customHeight="1" x14ac:dyDescent="0.2">
      <c r="A737" s="15">
        <v>15</v>
      </c>
      <c r="B737" s="15">
        <v>2011</v>
      </c>
      <c r="C737" s="15">
        <v>3</v>
      </c>
      <c r="D737" s="15">
        <v>8</v>
      </c>
      <c r="E737" s="11" t="s">
        <v>29</v>
      </c>
      <c r="F737" s="11" t="s">
        <v>28</v>
      </c>
      <c r="G737" s="11" t="s">
        <v>29</v>
      </c>
      <c r="H737" s="15" t="s">
        <v>29</v>
      </c>
      <c r="I737" s="11">
        <v>5.7</v>
      </c>
      <c r="J737" s="11" t="s">
        <v>19</v>
      </c>
      <c r="K737" s="337" t="s">
        <v>34</v>
      </c>
      <c r="L737" s="17" t="s">
        <v>52</v>
      </c>
      <c r="M737" s="11" t="s">
        <v>46</v>
      </c>
      <c r="N737" s="11" t="s">
        <v>29</v>
      </c>
      <c r="O737" s="16" t="s">
        <v>29</v>
      </c>
      <c r="P737" s="11">
        <v>215</v>
      </c>
      <c r="Q737" s="10"/>
      <c r="W737" s="317">
        <v>4.5999999999999996</v>
      </c>
      <c r="X737" s="190">
        <f t="shared" si="27"/>
        <v>26.22</v>
      </c>
      <c r="Y737" s="8"/>
      <c r="Z737" s="8"/>
    </row>
    <row r="738" spans="1:26" ht="12.75" customHeight="1" x14ac:dyDescent="0.2">
      <c r="A738" s="15">
        <v>16</v>
      </c>
      <c r="B738" s="15">
        <v>2011</v>
      </c>
      <c r="C738" s="15">
        <v>3</v>
      </c>
      <c r="D738" s="15">
        <v>8</v>
      </c>
      <c r="E738" s="11" t="s">
        <v>29</v>
      </c>
      <c r="F738" s="11" t="s">
        <v>51</v>
      </c>
      <c r="G738" s="11">
        <v>133</v>
      </c>
      <c r="H738" s="15" t="s">
        <v>29</v>
      </c>
      <c r="I738" s="11">
        <v>10</v>
      </c>
      <c r="J738" s="11" t="s">
        <v>19</v>
      </c>
      <c r="K738" s="337" t="s">
        <v>34</v>
      </c>
      <c r="L738" s="17" t="s">
        <v>52</v>
      </c>
      <c r="M738" s="11" t="s">
        <v>29</v>
      </c>
      <c r="N738" s="11" t="s">
        <v>23</v>
      </c>
      <c r="O738" s="16" t="s">
        <v>29</v>
      </c>
      <c r="P738" s="11">
        <v>215</v>
      </c>
      <c r="Q738" s="10"/>
      <c r="R738">
        <v>12.41</v>
      </c>
      <c r="S738">
        <v>1910.73</v>
      </c>
      <c r="T738">
        <v>5.23</v>
      </c>
      <c r="U738">
        <v>8.91</v>
      </c>
      <c r="V738">
        <v>124.09</v>
      </c>
      <c r="W738" s="317">
        <v>4.5999999999999996</v>
      </c>
      <c r="X738" s="190">
        <f t="shared" si="27"/>
        <v>46</v>
      </c>
      <c r="Y738" s="8"/>
      <c r="Z738" s="8"/>
    </row>
    <row r="739" spans="1:26" ht="12.75" customHeight="1" x14ac:dyDescent="0.2">
      <c r="A739" s="15">
        <v>17</v>
      </c>
      <c r="B739" s="15">
        <v>2011</v>
      </c>
      <c r="C739" s="15">
        <v>3</v>
      </c>
      <c r="D739" s="15">
        <v>8</v>
      </c>
      <c r="E739" s="11" t="s">
        <v>29</v>
      </c>
      <c r="F739" s="11" t="s">
        <v>51</v>
      </c>
      <c r="G739" s="11">
        <v>142</v>
      </c>
      <c r="H739" s="15" t="s">
        <v>29</v>
      </c>
      <c r="I739" s="11">
        <v>7.5</v>
      </c>
      <c r="J739" s="11" t="s">
        <v>19</v>
      </c>
      <c r="K739" s="11" t="s">
        <v>20</v>
      </c>
      <c r="L739" s="11" t="s">
        <v>21</v>
      </c>
      <c r="M739" s="11" t="s">
        <v>27</v>
      </c>
      <c r="N739" s="11" t="s">
        <v>33</v>
      </c>
      <c r="O739" s="16" t="s">
        <v>29</v>
      </c>
      <c r="P739" s="11">
        <v>215</v>
      </c>
      <c r="Q739" s="10"/>
      <c r="R739">
        <v>13.25</v>
      </c>
      <c r="S739">
        <v>2325.4699999999998</v>
      </c>
      <c r="T739">
        <v>3.23</v>
      </c>
      <c r="U739">
        <v>9.51</v>
      </c>
      <c r="V739">
        <v>132.49</v>
      </c>
      <c r="W739" s="317">
        <v>3.9</v>
      </c>
      <c r="X739" s="190">
        <f t="shared" si="27"/>
        <v>29.25</v>
      </c>
      <c r="Y739" s="8"/>
      <c r="Z739" s="8"/>
    </row>
    <row r="740" spans="1:26" ht="12.75" customHeight="1" x14ac:dyDescent="0.2">
      <c r="A740" s="15">
        <v>18</v>
      </c>
      <c r="B740" s="15">
        <v>2011</v>
      </c>
      <c r="C740" s="15">
        <v>3</v>
      </c>
      <c r="D740" s="15">
        <v>8</v>
      </c>
      <c r="E740" s="11" t="s">
        <v>29</v>
      </c>
      <c r="F740" s="11" t="s">
        <v>51</v>
      </c>
      <c r="G740" s="11">
        <v>130</v>
      </c>
      <c r="H740" s="15" t="s">
        <v>29</v>
      </c>
      <c r="I740" s="11">
        <v>13.5</v>
      </c>
      <c r="J740" s="11" t="s">
        <v>19</v>
      </c>
      <c r="K740" s="11" t="s">
        <v>20</v>
      </c>
      <c r="L740" s="11" t="s">
        <v>52</v>
      </c>
      <c r="M740" s="11" t="s">
        <v>27</v>
      </c>
      <c r="N740" s="11" t="s">
        <v>25</v>
      </c>
      <c r="O740" s="16" t="s">
        <v>29</v>
      </c>
      <c r="P740" s="11">
        <v>215</v>
      </c>
      <c r="Q740" s="10"/>
      <c r="R740">
        <v>12.13</v>
      </c>
      <c r="S740">
        <v>1784.33</v>
      </c>
      <c r="T740">
        <v>7.57</v>
      </c>
      <c r="U740">
        <v>8.7100000000000009</v>
      </c>
      <c r="V740">
        <v>121.29</v>
      </c>
      <c r="W740" s="317">
        <v>4.5999999999999996</v>
      </c>
      <c r="X740" s="190">
        <f t="shared" si="27"/>
        <v>62.099999999999994</v>
      </c>
      <c r="Y740" s="8"/>
      <c r="Z740" s="8"/>
    </row>
    <row r="741" spans="1:26" ht="12.75" customHeight="1" x14ac:dyDescent="0.2">
      <c r="A741" s="15">
        <v>19</v>
      </c>
      <c r="B741" s="15">
        <v>2011</v>
      </c>
      <c r="C741" s="15">
        <v>3</v>
      </c>
      <c r="D741" s="15">
        <v>8</v>
      </c>
      <c r="E741" s="11" t="s">
        <v>29</v>
      </c>
      <c r="F741" s="11" t="s">
        <v>51</v>
      </c>
      <c r="G741" s="11">
        <v>143</v>
      </c>
      <c r="H741" s="15" t="s">
        <v>29</v>
      </c>
      <c r="I741" s="11">
        <v>9</v>
      </c>
      <c r="J741" s="11" t="s">
        <v>19</v>
      </c>
      <c r="K741" s="11" t="s">
        <v>20</v>
      </c>
      <c r="L741" s="11" t="s">
        <v>21</v>
      </c>
      <c r="M741" s="11" t="s">
        <v>45</v>
      </c>
      <c r="N741" s="11" t="s">
        <v>25</v>
      </c>
      <c r="O741" s="16" t="s">
        <v>29</v>
      </c>
      <c r="P741" s="11">
        <v>215</v>
      </c>
      <c r="Q741" s="10"/>
      <c r="R741">
        <v>13.34</v>
      </c>
      <c r="S741">
        <v>2374.94</v>
      </c>
      <c r="T741">
        <v>3.79</v>
      </c>
      <c r="U741">
        <v>9.58</v>
      </c>
      <c r="V741">
        <v>133.41999999999999</v>
      </c>
      <c r="W741" s="317">
        <v>3.9</v>
      </c>
      <c r="X741" s="190">
        <f t="shared" si="27"/>
        <v>35.1</v>
      </c>
      <c r="Y741" s="8"/>
      <c r="Z741" s="8"/>
    </row>
    <row r="742" spans="1:26" ht="12.75" customHeight="1" x14ac:dyDescent="0.2">
      <c r="A742" s="15">
        <v>20</v>
      </c>
      <c r="B742" s="15">
        <v>2011</v>
      </c>
      <c r="C742" s="15">
        <v>3</v>
      </c>
      <c r="D742" s="15">
        <v>8</v>
      </c>
      <c r="E742" s="11" t="s">
        <v>29</v>
      </c>
      <c r="F742" s="11" t="s">
        <v>51</v>
      </c>
      <c r="G742" s="11">
        <v>153</v>
      </c>
      <c r="H742" s="15" t="s">
        <v>29</v>
      </c>
      <c r="I742" s="11">
        <v>14.5</v>
      </c>
      <c r="J742" s="11" t="s">
        <v>19</v>
      </c>
      <c r="K742" s="337" t="s">
        <v>34</v>
      </c>
      <c r="L742" s="17" t="s">
        <v>52</v>
      </c>
      <c r="M742" s="11" t="s">
        <v>27</v>
      </c>
      <c r="N742" s="11" t="s">
        <v>33</v>
      </c>
      <c r="O742" s="16" t="s">
        <v>29</v>
      </c>
      <c r="P742" s="11">
        <v>215</v>
      </c>
      <c r="Q742" s="10"/>
      <c r="R742">
        <v>14.27</v>
      </c>
      <c r="S742">
        <v>2908.84</v>
      </c>
      <c r="T742">
        <v>4.9800000000000004</v>
      </c>
      <c r="U742">
        <v>10.25</v>
      </c>
      <c r="V742">
        <v>142.75</v>
      </c>
      <c r="W742" s="317">
        <v>4.5999999999999996</v>
      </c>
      <c r="X742" s="190">
        <f t="shared" si="27"/>
        <v>66.699999999999989</v>
      </c>
      <c r="Y742" s="8"/>
      <c r="Z742" s="8"/>
    </row>
    <row r="743" spans="1:26" ht="12.75" customHeight="1" x14ac:dyDescent="0.2">
      <c r="A743" s="15">
        <v>21</v>
      </c>
      <c r="B743" s="15">
        <v>2011</v>
      </c>
      <c r="C743" s="15">
        <v>3</v>
      </c>
      <c r="D743" s="15">
        <v>8</v>
      </c>
      <c r="E743" s="11" t="s">
        <v>29</v>
      </c>
      <c r="F743" s="11" t="s">
        <v>28</v>
      </c>
      <c r="G743" s="11" t="s">
        <v>29</v>
      </c>
      <c r="H743" s="15" t="s">
        <v>29</v>
      </c>
      <c r="I743" s="11" t="s">
        <v>29</v>
      </c>
      <c r="J743" s="11" t="s">
        <v>19</v>
      </c>
      <c r="K743" s="337" t="s">
        <v>34</v>
      </c>
      <c r="L743" s="17" t="s">
        <v>52</v>
      </c>
      <c r="M743" s="11" t="s">
        <v>46</v>
      </c>
      <c r="N743" s="11" t="s">
        <v>29</v>
      </c>
      <c r="O743" s="16" t="s">
        <v>29</v>
      </c>
      <c r="P743" s="11">
        <v>215</v>
      </c>
      <c r="Q743" s="10"/>
      <c r="W743" s="317">
        <v>4.5999999999999996</v>
      </c>
      <c r="X743" s="190"/>
      <c r="Y743" s="8"/>
      <c r="Z743" s="8"/>
    </row>
    <row r="744" spans="1:26" ht="12.75" customHeight="1" x14ac:dyDescent="0.2">
      <c r="A744" s="15">
        <v>22</v>
      </c>
      <c r="B744" s="15">
        <v>2011</v>
      </c>
      <c r="C744" s="15">
        <v>3</v>
      </c>
      <c r="D744" s="15">
        <v>8</v>
      </c>
      <c r="E744" s="11" t="s">
        <v>29</v>
      </c>
      <c r="F744" s="11" t="s">
        <v>51</v>
      </c>
      <c r="G744" s="11">
        <v>122</v>
      </c>
      <c r="H744" s="15" t="s">
        <v>29</v>
      </c>
      <c r="I744" s="11">
        <v>8</v>
      </c>
      <c r="J744" s="11" t="s">
        <v>19</v>
      </c>
      <c r="K744" s="11" t="s">
        <v>20</v>
      </c>
      <c r="L744" s="11" t="s">
        <v>21</v>
      </c>
      <c r="M744" s="11" t="s">
        <v>46</v>
      </c>
      <c r="N744" s="11" t="s">
        <v>25</v>
      </c>
      <c r="O744" s="16" t="s">
        <v>29</v>
      </c>
      <c r="P744" s="11">
        <v>215</v>
      </c>
      <c r="Q744" s="10"/>
      <c r="R744">
        <v>11.38</v>
      </c>
      <c r="S744">
        <v>1474.77</v>
      </c>
      <c r="T744">
        <v>5.42</v>
      </c>
      <c r="U744">
        <v>8.17</v>
      </c>
      <c r="V744">
        <v>113.83</v>
      </c>
      <c r="W744" s="317">
        <v>3.9</v>
      </c>
      <c r="X744" s="190">
        <f t="shared" si="27"/>
        <v>31.2</v>
      </c>
      <c r="Y744" s="8"/>
      <c r="Z744" s="8"/>
    </row>
    <row r="745" spans="1:26" ht="12.75" customHeight="1" x14ac:dyDescent="0.2">
      <c r="A745" s="15">
        <v>23</v>
      </c>
      <c r="B745" s="15">
        <v>2011</v>
      </c>
      <c r="C745" s="15">
        <v>3</v>
      </c>
      <c r="D745" s="15">
        <v>8</v>
      </c>
      <c r="E745" s="11" t="s">
        <v>29</v>
      </c>
      <c r="F745" s="11" t="s">
        <v>51</v>
      </c>
      <c r="G745" s="11">
        <v>164</v>
      </c>
      <c r="H745" s="15" t="s">
        <v>29</v>
      </c>
      <c r="I745" s="11">
        <v>13.5</v>
      </c>
      <c r="J745" s="11" t="s">
        <v>19</v>
      </c>
      <c r="K745" s="11" t="s">
        <v>20</v>
      </c>
      <c r="L745" s="11" t="s">
        <v>21</v>
      </c>
      <c r="M745" s="11" t="s">
        <v>27</v>
      </c>
      <c r="N745" s="11" t="s">
        <v>24</v>
      </c>
      <c r="O745" s="16" t="s">
        <v>29</v>
      </c>
      <c r="P745" s="11">
        <v>215</v>
      </c>
      <c r="Q745" s="10"/>
      <c r="R745">
        <v>15.3</v>
      </c>
      <c r="S745">
        <v>3582.42</v>
      </c>
      <c r="T745">
        <v>3.77</v>
      </c>
      <c r="U745">
        <v>10.99</v>
      </c>
      <c r="V745">
        <v>153.01</v>
      </c>
      <c r="W745" s="317">
        <v>3.9</v>
      </c>
      <c r="X745" s="190">
        <f t="shared" si="27"/>
        <v>52.65</v>
      </c>
      <c r="Y745" s="8"/>
      <c r="Z745" s="8"/>
    </row>
    <row r="746" spans="1:26" ht="12.75" customHeight="1" x14ac:dyDescent="0.2">
      <c r="A746" s="15">
        <v>118</v>
      </c>
      <c r="B746" s="15">
        <v>2011</v>
      </c>
      <c r="C746" s="15">
        <v>2</v>
      </c>
      <c r="D746" s="4">
        <v>8</v>
      </c>
      <c r="E746" s="11" t="s">
        <v>29</v>
      </c>
      <c r="F746" s="11" t="s">
        <v>51</v>
      </c>
      <c r="G746" s="11">
        <v>170</v>
      </c>
      <c r="H746" s="15" t="s">
        <v>29</v>
      </c>
      <c r="I746" s="11">
        <v>14.7</v>
      </c>
      <c r="J746" s="11" t="s">
        <v>19</v>
      </c>
      <c r="K746" s="11" t="s">
        <v>20</v>
      </c>
      <c r="L746" s="11" t="s">
        <v>52</v>
      </c>
      <c r="M746" s="11" t="s">
        <v>46</v>
      </c>
      <c r="N746" s="11" t="s">
        <v>24</v>
      </c>
      <c r="O746" s="16" t="s">
        <v>29</v>
      </c>
      <c r="P746" s="11">
        <v>214</v>
      </c>
      <c r="Q746" s="10"/>
      <c r="R746">
        <v>15.86</v>
      </c>
      <c r="S746">
        <v>3990.17</v>
      </c>
      <c r="T746">
        <v>3.68</v>
      </c>
      <c r="U746">
        <v>11.39</v>
      </c>
      <c r="V746">
        <v>158.61000000000001</v>
      </c>
      <c r="W746" s="317">
        <v>4.5999999999999996</v>
      </c>
      <c r="X746" s="190">
        <f t="shared" si="27"/>
        <v>67.61999999999999</v>
      </c>
      <c r="Y746" s="8"/>
      <c r="Z746" s="8"/>
    </row>
    <row r="747" spans="1:26" ht="12.75" customHeight="1" x14ac:dyDescent="0.2">
      <c r="A747" s="15">
        <v>119</v>
      </c>
      <c r="B747" s="15">
        <v>2011</v>
      </c>
      <c r="C747" s="15">
        <v>2</v>
      </c>
      <c r="D747" s="4">
        <v>8</v>
      </c>
      <c r="E747" s="11" t="s">
        <v>29</v>
      </c>
      <c r="F747" s="11" t="s">
        <v>51</v>
      </c>
      <c r="G747" s="11" t="s">
        <v>29</v>
      </c>
      <c r="H747" s="15" t="s">
        <v>29</v>
      </c>
      <c r="I747" s="11" t="s">
        <v>29</v>
      </c>
      <c r="J747" s="11" t="s">
        <v>19</v>
      </c>
      <c r="K747" s="11" t="s">
        <v>20</v>
      </c>
      <c r="L747" s="11" t="s">
        <v>30</v>
      </c>
      <c r="M747" s="11" t="s">
        <v>46</v>
      </c>
      <c r="N747" s="11" t="s">
        <v>23</v>
      </c>
      <c r="O747" s="16" t="s">
        <v>29</v>
      </c>
      <c r="P747" s="11">
        <v>214</v>
      </c>
      <c r="Q747" s="10"/>
      <c r="W747" s="317">
        <v>4.5999999999999996</v>
      </c>
      <c r="X747" s="190"/>
      <c r="Y747" s="8"/>
      <c r="Z747" s="8"/>
    </row>
    <row r="748" spans="1:26" ht="12.75" customHeight="1" x14ac:dyDescent="0.2">
      <c r="A748" s="15">
        <v>120</v>
      </c>
      <c r="B748" s="15">
        <v>2011</v>
      </c>
      <c r="C748" s="15">
        <v>2</v>
      </c>
      <c r="D748" s="4">
        <v>8</v>
      </c>
      <c r="E748" s="11" t="s">
        <v>29</v>
      </c>
      <c r="F748" s="11" t="s">
        <v>51</v>
      </c>
      <c r="G748" s="11" t="s">
        <v>29</v>
      </c>
      <c r="H748" s="15" t="s">
        <v>29</v>
      </c>
      <c r="I748" s="11" t="s">
        <v>29</v>
      </c>
      <c r="J748" s="11" t="s">
        <v>19</v>
      </c>
      <c r="K748" s="11" t="s">
        <v>20</v>
      </c>
      <c r="L748" s="11" t="s">
        <v>21</v>
      </c>
      <c r="M748" s="11" t="s">
        <v>45</v>
      </c>
      <c r="N748" s="11" t="s">
        <v>54</v>
      </c>
      <c r="O748" s="16" t="s">
        <v>29</v>
      </c>
      <c r="P748" s="11">
        <v>214</v>
      </c>
      <c r="Q748" s="10"/>
      <c r="W748" s="317">
        <v>3.9</v>
      </c>
      <c r="X748" s="190"/>
      <c r="Y748" s="8"/>
      <c r="Z748" s="8"/>
    </row>
    <row r="749" spans="1:26" ht="12.75" customHeight="1" x14ac:dyDescent="0.2">
      <c r="A749" s="15">
        <v>121</v>
      </c>
      <c r="B749" s="15">
        <v>2011</v>
      </c>
      <c r="C749" s="15">
        <v>2</v>
      </c>
      <c r="D749" s="4">
        <v>8</v>
      </c>
      <c r="E749" s="11" t="s">
        <v>29</v>
      </c>
      <c r="F749" s="11" t="s">
        <v>51</v>
      </c>
      <c r="G749" s="11" t="s">
        <v>29</v>
      </c>
      <c r="H749" s="15" t="s">
        <v>29</v>
      </c>
      <c r="I749" s="11" t="s">
        <v>29</v>
      </c>
      <c r="J749" s="11" t="s">
        <v>19</v>
      </c>
      <c r="K749" s="11" t="s">
        <v>34</v>
      </c>
      <c r="L749" s="11" t="s">
        <v>41</v>
      </c>
      <c r="M749" s="11" t="s">
        <v>46</v>
      </c>
      <c r="N749" s="11" t="s">
        <v>25</v>
      </c>
      <c r="O749" s="16" t="s">
        <v>29</v>
      </c>
      <c r="P749" s="11">
        <v>214</v>
      </c>
      <c r="Q749" s="10"/>
      <c r="W749" s="317">
        <v>3.8</v>
      </c>
      <c r="X749" s="190"/>
      <c r="Y749" s="8"/>
      <c r="Z749" s="8"/>
    </row>
    <row r="750" spans="1:26" ht="12.75" customHeight="1" x14ac:dyDescent="0.2">
      <c r="A750" s="15">
        <v>122</v>
      </c>
      <c r="B750" s="15">
        <v>2011</v>
      </c>
      <c r="C750" s="15">
        <v>2</v>
      </c>
      <c r="D750" s="4">
        <v>8</v>
      </c>
      <c r="E750" s="11" t="s">
        <v>29</v>
      </c>
      <c r="F750" s="11" t="s">
        <v>28</v>
      </c>
      <c r="G750" s="11" t="s">
        <v>29</v>
      </c>
      <c r="H750" s="15" t="s">
        <v>29</v>
      </c>
      <c r="I750" s="11" t="s">
        <v>29</v>
      </c>
      <c r="J750" s="11" t="s">
        <v>19</v>
      </c>
      <c r="K750" s="11" t="s">
        <v>20</v>
      </c>
      <c r="L750" s="11" t="s">
        <v>21</v>
      </c>
      <c r="M750" s="11" t="s">
        <v>29</v>
      </c>
      <c r="N750" s="11" t="s">
        <v>29</v>
      </c>
      <c r="O750" s="16" t="s">
        <v>29</v>
      </c>
      <c r="P750" s="11">
        <v>214</v>
      </c>
      <c r="Q750" s="10"/>
      <c r="W750" s="317">
        <v>3.9</v>
      </c>
      <c r="X750" s="190"/>
      <c r="Y750" s="8"/>
      <c r="Z750" s="8"/>
    </row>
    <row r="751" spans="1:26" ht="12.75" customHeight="1" x14ac:dyDescent="0.2">
      <c r="A751" s="15">
        <v>123</v>
      </c>
      <c r="B751" s="15">
        <v>2011</v>
      </c>
      <c r="C751" s="15">
        <v>2</v>
      </c>
      <c r="D751" s="4">
        <v>8</v>
      </c>
      <c r="E751" s="11" t="s">
        <v>29</v>
      </c>
      <c r="F751" s="11" t="s">
        <v>51</v>
      </c>
      <c r="G751" s="11" t="s">
        <v>29</v>
      </c>
      <c r="H751" s="15" t="s">
        <v>29</v>
      </c>
      <c r="I751" s="11" t="s">
        <v>29</v>
      </c>
      <c r="J751" s="11" t="s">
        <v>19</v>
      </c>
      <c r="K751" s="11" t="s">
        <v>20</v>
      </c>
      <c r="L751" s="11" t="s">
        <v>21</v>
      </c>
      <c r="M751" s="11" t="s">
        <v>46</v>
      </c>
      <c r="N751" s="11" t="s">
        <v>24</v>
      </c>
      <c r="O751" s="16" t="s">
        <v>29</v>
      </c>
      <c r="P751" s="11">
        <v>214</v>
      </c>
      <c r="Q751" s="10"/>
      <c r="W751" s="317">
        <v>3.9</v>
      </c>
      <c r="X751" s="190"/>
      <c r="Y751" s="8"/>
      <c r="Z751" s="8"/>
    </row>
    <row r="752" spans="1:26" ht="12.75" customHeight="1" x14ac:dyDescent="0.2">
      <c r="A752" s="15">
        <v>29</v>
      </c>
      <c r="B752" s="15">
        <v>2010</v>
      </c>
      <c r="C752" s="15">
        <v>5</v>
      </c>
      <c r="D752" s="15">
        <v>8</v>
      </c>
      <c r="E752" s="11" t="s">
        <v>29</v>
      </c>
      <c r="F752" s="11" t="s">
        <v>51</v>
      </c>
      <c r="G752" s="11" t="s">
        <v>29</v>
      </c>
      <c r="H752" s="15" t="s">
        <v>29</v>
      </c>
      <c r="I752" s="11">
        <v>16.5</v>
      </c>
      <c r="J752" s="11" t="s">
        <v>19</v>
      </c>
      <c r="K752" s="11" t="s">
        <v>20</v>
      </c>
      <c r="L752" s="11" t="s">
        <v>30</v>
      </c>
      <c r="M752" s="11" t="s">
        <v>46</v>
      </c>
      <c r="N752" s="11" t="s">
        <v>57</v>
      </c>
      <c r="O752" s="16" t="s">
        <v>58</v>
      </c>
      <c r="P752" s="11">
        <v>217</v>
      </c>
      <c r="Q752" s="8"/>
      <c r="W752" s="317">
        <v>4.5999999999999996</v>
      </c>
      <c r="X752" s="190">
        <f t="shared" ref="X752:X755" si="28">I752*W752</f>
        <v>75.899999999999991</v>
      </c>
      <c r="Y752" s="8"/>
      <c r="Z752" s="8"/>
    </row>
    <row r="753" spans="1:26" ht="12.75" customHeight="1" x14ac:dyDescent="0.2">
      <c r="A753" s="15">
        <v>30</v>
      </c>
      <c r="B753" s="15">
        <v>2010</v>
      </c>
      <c r="C753" s="15">
        <v>5</v>
      </c>
      <c r="D753" s="15">
        <v>8</v>
      </c>
      <c r="E753" s="11" t="s">
        <v>29</v>
      </c>
      <c r="F753" s="11" t="s">
        <v>51</v>
      </c>
      <c r="G753" s="11">
        <v>164</v>
      </c>
      <c r="H753" s="15" t="s">
        <v>29</v>
      </c>
      <c r="I753" s="11">
        <v>15</v>
      </c>
      <c r="J753" s="11" t="s">
        <v>19</v>
      </c>
      <c r="K753" s="11" t="s">
        <v>20</v>
      </c>
      <c r="L753" s="11" t="s">
        <v>30</v>
      </c>
      <c r="M753" s="11" t="s">
        <v>46</v>
      </c>
      <c r="N753" s="11" t="s">
        <v>23</v>
      </c>
      <c r="O753" s="16" t="s">
        <v>59</v>
      </c>
      <c r="P753" s="11">
        <v>217</v>
      </c>
      <c r="Q753" s="8"/>
      <c r="R753">
        <v>15.3</v>
      </c>
      <c r="S753">
        <v>3582.42</v>
      </c>
      <c r="T753">
        <v>4.1900000000000004</v>
      </c>
      <c r="U753">
        <v>10.99</v>
      </c>
      <c r="V753">
        <v>153.01</v>
      </c>
      <c r="W753" s="317">
        <v>4.5999999999999996</v>
      </c>
      <c r="X753" s="190">
        <f t="shared" si="28"/>
        <v>69</v>
      </c>
      <c r="Y753" s="8"/>
      <c r="Z753" s="8"/>
    </row>
    <row r="754" spans="1:26" ht="12.75" customHeight="1" x14ac:dyDescent="0.2">
      <c r="A754" s="15">
        <v>31</v>
      </c>
      <c r="B754" s="15">
        <v>2010</v>
      </c>
      <c r="C754" s="15">
        <v>5</v>
      </c>
      <c r="D754" s="15">
        <v>8</v>
      </c>
      <c r="E754" s="11" t="s">
        <v>29</v>
      </c>
      <c r="F754" s="11" t="s">
        <v>51</v>
      </c>
      <c r="G754" s="11">
        <v>184</v>
      </c>
      <c r="H754" s="15" t="s">
        <v>29</v>
      </c>
      <c r="I754" s="11">
        <v>24.5</v>
      </c>
      <c r="J754" s="11" t="s">
        <v>19</v>
      </c>
      <c r="K754" s="11" t="s">
        <v>34</v>
      </c>
      <c r="L754" s="11" t="s">
        <v>41</v>
      </c>
      <c r="M754" s="11" t="s">
        <v>46</v>
      </c>
      <c r="N754" s="11" t="s">
        <v>23</v>
      </c>
      <c r="O754" s="16" t="s">
        <v>29</v>
      </c>
      <c r="P754" s="11">
        <v>217</v>
      </c>
      <c r="Q754" s="8"/>
      <c r="R754">
        <v>17.170000000000002</v>
      </c>
      <c r="S754">
        <v>5059.3900000000003</v>
      </c>
      <c r="T754">
        <v>4.84</v>
      </c>
      <c r="U754">
        <v>12.33</v>
      </c>
      <c r="V754">
        <v>171.67</v>
      </c>
      <c r="W754" s="317">
        <v>3.8</v>
      </c>
      <c r="X754" s="190">
        <f t="shared" si="28"/>
        <v>93.1</v>
      </c>
      <c r="Y754" s="8"/>
      <c r="Z754" s="8"/>
    </row>
    <row r="755" spans="1:26" ht="12.75" customHeight="1" x14ac:dyDescent="0.2">
      <c r="A755" s="15">
        <v>32</v>
      </c>
      <c r="B755" s="15">
        <v>2010</v>
      </c>
      <c r="C755" s="15">
        <v>5</v>
      </c>
      <c r="D755" s="15">
        <v>8</v>
      </c>
      <c r="E755" s="11" t="s">
        <v>29</v>
      </c>
      <c r="F755" s="11" t="s">
        <v>51</v>
      </c>
      <c r="G755" s="11">
        <v>160</v>
      </c>
      <c r="H755" s="15" t="s">
        <v>29</v>
      </c>
      <c r="I755" s="11">
        <v>13.5</v>
      </c>
      <c r="J755" s="11" t="s">
        <v>19</v>
      </c>
      <c r="K755" s="11" t="s">
        <v>34</v>
      </c>
      <c r="L755" s="11" t="s">
        <v>41</v>
      </c>
      <c r="M755" s="11" t="s">
        <v>46</v>
      </c>
      <c r="N755" s="11" t="s">
        <v>25</v>
      </c>
      <c r="O755" s="16" t="s">
        <v>60</v>
      </c>
      <c r="P755" s="11">
        <v>217</v>
      </c>
      <c r="Q755" s="8"/>
      <c r="R755">
        <v>14.93</v>
      </c>
      <c r="S755">
        <v>3326.63</v>
      </c>
      <c r="T755">
        <v>4.0599999999999996</v>
      </c>
      <c r="U755">
        <v>10.72</v>
      </c>
      <c r="V755">
        <v>149.28</v>
      </c>
      <c r="W755" s="317">
        <v>3.8</v>
      </c>
      <c r="X755" s="190">
        <f t="shared" si="28"/>
        <v>51.3</v>
      </c>
      <c r="Y755" s="8"/>
      <c r="Z755" s="8"/>
    </row>
    <row r="756" spans="1:26" ht="12.75" customHeight="1" x14ac:dyDescent="0.2">
      <c r="A756" s="15">
        <v>33</v>
      </c>
      <c r="B756" s="15">
        <v>2010</v>
      </c>
      <c r="C756" s="15">
        <v>5</v>
      </c>
      <c r="D756" s="15">
        <v>8</v>
      </c>
      <c r="E756" s="11" t="s">
        <v>29</v>
      </c>
      <c r="F756" s="11" t="s">
        <v>51</v>
      </c>
      <c r="G756" s="11">
        <v>150</v>
      </c>
      <c r="H756" s="15" t="s">
        <v>29</v>
      </c>
      <c r="I756" s="11">
        <v>9.1999999999999993</v>
      </c>
      <c r="J756" s="11" t="s">
        <v>19</v>
      </c>
      <c r="K756" s="11" t="s">
        <v>20</v>
      </c>
      <c r="L756" s="11" t="s">
        <v>30</v>
      </c>
      <c r="M756" s="11" t="s">
        <v>46</v>
      </c>
      <c r="N756" s="11" t="s">
        <v>24</v>
      </c>
      <c r="O756" s="16" t="s">
        <v>61</v>
      </c>
      <c r="P756" s="11">
        <v>217</v>
      </c>
      <c r="Q756" s="8"/>
      <c r="R756">
        <v>14</v>
      </c>
      <c r="S756">
        <v>2741.06</v>
      </c>
      <c r="T756">
        <v>3.36</v>
      </c>
      <c r="U756">
        <v>10.050000000000001</v>
      </c>
      <c r="V756">
        <v>139.94999999999999</v>
      </c>
      <c r="W756" s="317">
        <v>4.5999999999999996</v>
      </c>
      <c r="X756" s="190">
        <f t="shared" ref="X756:X764" si="29">I756*W756</f>
        <v>42.319999999999993</v>
      </c>
      <c r="Y756" s="8"/>
      <c r="Z756" s="8"/>
    </row>
    <row r="757" spans="1:26" ht="12.75" customHeight="1" x14ac:dyDescent="0.2">
      <c r="A757" s="15">
        <v>34</v>
      </c>
      <c r="B757" s="15">
        <v>2010</v>
      </c>
      <c r="C757" s="15">
        <v>5</v>
      </c>
      <c r="D757" s="15">
        <v>8</v>
      </c>
      <c r="E757" s="11" t="s">
        <v>29</v>
      </c>
      <c r="F757" s="11" t="s">
        <v>51</v>
      </c>
      <c r="G757" s="11">
        <v>146</v>
      </c>
      <c r="H757" s="15" t="s">
        <v>29</v>
      </c>
      <c r="I757" s="11">
        <v>10</v>
      </c>
      <c r="J757" s="11" t="s">
        <v>19</v>
      </c>
      <c r="K757" s="11" t="s">
        <v>20</v>
      </c>
      <c r="L757" s="11" t="s">
        <v>30</v>
      </c>
      <c r="M757" s="11" t="s">
        <v>46</v>
      </c>
      <c r="N757" s="11" t="s">
        <v>24</v>
      </c>
      <c r="O757" s="16" t="s">
        <v>62</v>
      </c>
      <c r="P757" s="11">
        <v>217</v>
      </c>
      <c r="Q757" s="8"/>
      <c r="R757">
        <v>13.62</v>
      </c>
      <c r="S757">
        <v>2527.5700000000002</v>
      </c>
      <c r="T757">
        <v>3.96</v>
      </c>
      <c r="U757">
        <v>9.7799999999999994</v>
      </c>
      <c r="V757">
        <v>136.22</v>
      </c>
      <c r="W757" s="317">
        <v>4.5999999999999996</v>
      </c>
      <c r="X757" s="190">
        <f t="shared" si="29"/>
        <v>46</v>
      </c>
      <c r="Y757" s="8"/>
      <c r="Z757" s="8"/>
    </row>
    <row r="758" spans="1:26" ht="12.75" customHeight="1" x14ac:dyDescent="0.2">
      <c r="A758" s="15">
        <v>6</v>
      </c>
      <c r="B758" s="15">
        <v>2010</v>
      </c>
      <c r="C758" s="15">
        <v>4</v>
      </c>
      <c r="D758" s="15">
        <v>8</v>
      </c>
      <c r="E758" s="11" t="s">
        <v>29</v>
      </c>
      <c r="F758" s="11" t="s">
        <v>51</v>
      </c>
      <c r="G758" s="11">
        <v>146</v>
      </c>
      <c r="H758" s="15" t="s">
        <v>29</v>
      </c>
      <c r="I758" s="11">
        <v>11.5</v>
      </c>
      <c r="J758" s="11" t="s">
        <v>19</v>
      </c>
      <c r="K758" s="11" t="s">
        <v>20</v>
      </c>
      <c r="L758" s="11" t="s">
        <v>30</v>
      </c>
      <c r="M758" s="11" t="s">
        <v>46</v>
      </c>
      <c r="N758" s="11" t="s">
        <v>25</v>
      </c>
      <c r="O758" s="16" t="s">
        <v>53</v>
      </c>
      <c r="P758" s="11">
        <v>216</v>
      </c>
      <c r="Q758" s="8"/>
      <c r="R758">
        <v>13.62</v>
      </c>
      <c r="S758">
        <v>2527.5700000000002</v>
      </c>
      <c r="T758">
        <v>4.55</v>
      </c>
      <c r="U758">
        <v>9.7799999999999994</v>
      </c>
      <c r="V758">
        <v>136.22</v>
      </c>
      <c r="W758" s="317">
        <v>4.5999999999999996</v>
      </c>
      <c r="X758" s="190">
        <f t="shared" si="29"/>
        <v>52.9</v>
      </c>
      <c r="Y758" s="8"/>
      <c r="Z758" s="8"/>
    </row>
    <row r="759" spans="1:26" ht="12.75" customHeight="1" x14ac:dyDescent="0.2">
      <c r="A759" s="15">
        <v>7</v>
      </c>
      <c r="B759" s="15">
        <v>2010</v>
      </c>
      <c r="C759" s="15">
        <v>4</v>
      </c>
      <c r="D759" s="15">
        <v>8</v>
      </c>
      <c r="E759" s="11" t="s">
        <v>29</v>
      </c>
      <c r="F759" s="11" t="s">
        <v>51</v>
      </c>
      <c r="G759" s="11">
        <v>162</v>
      </c>
      <c r="H759" s="15" t="s">
        <v>29</v>
      </c>
      <c r="I759" s="11">
        <v>11</v>
      </c>
      <c r="J759" s="11" t="s">
        <v>19</v>
      </c>
      <c r="K759" s="11" t="s">
        <v>20</v>
      </c>
      <c r="L759" s="11" t="s">
        <v>30</v>
      </c>
      <c r="M759" s="11" t="s">
        <v>45</v>
      </c>
      <c r="N759" s="11" t="s">
        <v>54</v>
      </c>
      <c r="O759" s="16" t="s">
        <v>55</v>
      </c>
      <c r="P759" s="11">
        <v>216</v>
      </c>
      <c r="Q759" s="8"/>
      <c r="R759">
        <v>15.11</v>
      </c>
      <c r="S759">
        <v>3452.95</v>
      </c>
      <c r="T759">
        <v>3.19</v>
      </c>
      <c r="U759">
        <v>10.85</v>
      </c>
      <c r="V759">
        <v>151.15</v>
      </c>
      <c r="W759" s="317">
        <v>4.5999999999999996</v>
      </c>
      <c r="X759" s="190">
        <f t="shared" si="29"/>
        <v>50.599999999999994</v>
      </c>
      <c r="Y759" s="8"/>
      <c r="Z759" s="8"/>
    </row>
    <row r="760" spans="1:26" ht="12.75" customHeight="1" x14ac:dyDescent="0.2">
      <c r="A760" s="15">
        <v>8</v>
      </c>
      <c r="B760" s="15">
        <v>2010</v>
      </c>
      <c r="C760" s="15">
        <v>4</v>
      </c>
      <c r="D760" s="15">
        <v>8</v>
      </c>
      <c r="E760" s="11" t="s">
        <v>29</v>
      </c>
      <c r="F760" s="11" t="s">
        <v>51</v>
      </c>
      <c r="G760" s="11">
        <v>163</v>
      </c>
      <c r="H760" s="15" t="s">
        <v>29</v>
      </c>
      <c r="I760" s="11">
        <v>13.5</v>
      </c>
      <c r="J760" s="11" t="s">
        <v>19</v>
      </c>
      <c r="K760" s="11" t="s">
        <v>20</v>
      </c>
      <c r="L760" s="11" t="s">
        <v>30</v>
      </c>
      <c r="M760" s="11" t="s">
        <v>46</v>
      </c>
      <c r="N760" s="11" t="s">
        <v>23</v>
      </c>
      <c r="O760" s="16" t="s">
        <v>29</v>
      </c>
      <c r="P760" s="11">
        <v>216</v>
      </c>
      <c r="Q760" s="8"/>
      <c r="R760">
        <v>15.21</v>
      </c>
      <c r="S760">
        <v>3517.29</v>
      </c>
      <c r="T760">
        <v>3.84</v>
      </c>
      <c r="U760">
        <v>10.92</v>
      </c>
      <c r="V760">
        <v>152.08000000000001</v>
      </c>
      <c r="W760" s="317">
        <v>4.5999999999999996</v>
      </c>
      <c r="X760" s="190">
        <f t="shared" si="29"/>
        <v>62.099999999999994</v>
      </c>
      <c r="Y760" s="8"/>
      <c r="Z760" s="8"/>
    </row>
    <row r="761" spans="1:26" ht="12.75" customHeight="1" x14ac:dyDescent="0.2">
      <c r="A761" s="15">
        <v>9</v>
      </c>
      <c r="B761" s="15">
        <v>2010</v>
      </c>
      <c r="C761" s="15">
        <v>4</v>
      </c>
      <c r="D761" s="15">
        <v>8</v>
      </c>
      <c r="E761" s="11" t="s">
        <v>29</v>
      </c>
      <c r="F761" s="11" t="s">
        <v>51</v>
      </c>
      <c r="G761" s="11">
        <v>160</v>
      </c>
      <c r="H761" s="15" t="s">
        <v>29</v>
      </c>
      <c r="I761" s="11">
        <v>16.5</v>
      </c>
      <c r="J761" s="11" t="s">
        <v>19</v>
      </c>
      <c r="K761" s="11" t="s">
        <v>20</v>
      </c>
      <c r="L761" s="11" t="s">
        <v>30</v>
      </c>
      <c r="M761" s="11" t="s">
        <v>27</v>
      </c>
      <c r="N761" s="11" t="s">
        <v>23</v>
      </c>
      <c r="O761" s="16" t="s">
        <v>56</v>
      </c>
      <c r="P761" s="11">
        <v>216</v>
      </c>
      <c r="Q761" s="8"/>
      <c r="R761">
        <v>14.93</v>
      </c>
      <c r="S761">
        <v>3326.63</v>
      </c>
      <c r="T761">
        <v>4.96</v>
      </c>
      <c r="U761">
        <v>10.72</v>
      </c>
      <c r="V761">
        <v>149.28</v>
      </c>
      <c r="W761" s="317">
        <v>4.5999999999999996</v>
      </c>
      <c r="X761" s="190">
        <f t="shared" si="29"/>
        <v>75.899999999999991</v>
      </c>
      <c r="Y761" s="8"/>
      <c r="Z761" s="8"/>
    </row>
    <row r="762" spans="1:26" ht="12.75" customHeight="1" x14ac:dyDescent="0.2">
      <c r="A762" s="15">
        <v>10</v>
      </c>
      <c r="B762" s="15">
        <v>2010</v>
      </c>
      <c r="C762" s="15">
        <v>4</v>
      </c>
      <c r="D762" s="15">
        <v>8</v>
      </c>
      <c r="E762" s="11" t="s">
        <v>29</v>
      </c>
      <c r="F762" s="11" t="s">
        <v>51</v>
      </c>
      <c r="G762" s="11">
        <v>164</v>
      </c>
      <c r="H762" s="15" t="s">
        <v>29</v>
      </c>
      <c r="I762" s="11">
        <v>15</v>
      </c>
      <c r="J762" s="11" t="s">
        <v>19</v>
      </c>
      <c r="K762" s="11" t="s">
        <v>20</v>
      </c>
      <c r="L762" s="11" t="s">
        <v>30</v>
      </c>
      <c r="M762" s="11" t="s">
        <v>45</v>
      </c>
      <c r="N762" s="11" t="s">
        <v>24</v>
      </c>
      <c r="O762" s="16" t="s">
        <v>29</v>
      </c>
      <c r="P762" s="11">
        <v>216</v>
      </c>
      <c r="Q762" s="8"/>
      <c r="R762">
        <v>15.3</v>
      </c>
      <c r="S762">
        <v>3582.42</v>
      </c>
      <c r="T762">
        <v>4.1900000000000004</v>
      </c>
      <c r="U762">
        <v>10.99</v>
      </c>
      <c r="V762">
        <v>153.01</v>
      </c>
      <c r="W762" s="317">
        <v>4.5999999999999996</v>
      </c>
      <c r="X762" s="190">
        <f t="shared" si="29"/>
        <v>69</v>
      </c>
      <c r="Y762" s="8"/>
      <c r="Z762" s="8"/>
    </row>
    <row r="763" spans="1:26" ht="12.75" customHeight="1" x14ac:dyDescent="0.2">
      <c r="A763" s="15">
        <v>11</v>
      </c>
      <c r="B763" s="15">
        <v>2010</v>
      </c>
      <c r="C763" s="15">
        <v>4</v>
      </c>
      <c r="D763" s="15">
        <v>8</v>
      </c>
      <c r="E763" s="11" t="s">
        <v>29</v>
      </c>
      <c r="F763" s="11" t="s">
        <v>28</v>
      </c>
      <c r="G763" s="11" t="s">
        <v>29</v>
      </c>
      <c r="H763" s="15" t="s">
        <v>29</v>
      </c>
      <c r="I763" s="11" t="s">
        <v>29</v>
      </c>
      <c r="J763" s="11" t="s">
        <v>19</v>
      </c>
      <c r="K763" s="11" t="s">
        <v>34</v>
      </c>
      <c r="L763" s="11" t="s">
        <v>41</v>
      </c>
      <c r="M763" s="11" t="s">
        <v>29</v>
      </c>
      <c r="N763" s="11" t="s">
        <v>29</v>
      </c>
      <c r="O763" s="16" t="s">
        <v>29</v>
      </c>
      <c r="P763" s="11">
        <v>216</v>
      </c>
      <c r="Q763" s="8"/>
      <c r="W763" s="317">
        <v>3.8</v>
      </c>
      <c r="X763" s="190"/>
      <c r="Y763" s="8"/>
      <c r="Z763" s="8"/>
    </row>
    <row r="764" spans="1:26" ht="12.75" customHeight="1" x14ac:dyDescent="0.2">
      <c r="A764" s="15">
        <v>12</v>
      </c>
      <c r="B764" s="15">
        <v>2010</v>
      </c>
      <c r="C764" s="15">
        <v>4</v>
      </c>
      <c r="D764" s="15">
        <v>8</v>
      </c>
      <c r="E764" s="11" t="s">
        <v>29</v>
      </c>
      <c r="F764" s="11" t="s">
        <v>51</v>
      </c>
      <c r="G764" s="11">
        <v>178</v>
      </c>
      <c r="H764" s="15" t="s">
        <v>29</v>
      </c>
      <c r="I764" s="11">
        <v>21.5</v>
      </c>
      <c r="J764" s="11" t="s">
        <v>19</v>
      </c>
      <c r="K764" s="11" t="s">
        <v>34</v>
      </c>
      <c r="L764" s="11" t="s">
        <v>41</v>
      </c>
      <c r="M764" s="11" t="s">
        <v>29</v>
      </c>
      <c r="N764" s="11" t="s">
        <v>23</v>
      </c>
      <c r="O764" s="16" t="s">
        <v>29</v>
      </c>
      <c r="P764" s="11">
        <v>216</v>
      </c>
      <c r="Q764" s="8"/>
      <c r="R764">
        <v>16.61</v>
      </c>
      <c r="S764">
        <v>4580.42</v>
      </c>
      <c r="T764">
        <v>4.6900000000000004</v>
      </c>
      <c r="U764">
        <v>11.93</v>
      </c>
      <c r="V764">
        <v>166.07</v>
      </c>
      <c r="W764" s="317">
        <v>3.8</v>
      </c>
      <c r="X764" s="190">
        <f t="shared" si="29"/>
        <v>81.7</v>
      </c>
      <c r="Y764" s="8"/>
      <c r="Z764" s="8"/>
    </row>
    <row r="765" spans="1:26" ht="12.75" customHeight="1" x14ac:dyDescent="0.2">
      <c r="A765" s="15">
        <v>13</v>
      </c>
      <c r="B765" s="15">
        <v>2010</v>
      </c>
      <c r="C765" s="15">
        <v>4</v>
      </c>
      <c r="D765" s="15">
        <v>8</v>
      </c>
      <c r="E765" s="11" t="s">
        <v>29</v>
      </c>
      <c r="F765" s="11" t="s">
        <v>51</v>
      </c>
      <c r="G765" s="11">
        <v>148</v>
      </c>
      <c r="H765" s="15" t="s">
        <v>29</v>
      </c>
      <c r="I765" s="11">
        <v>11</v>
      </c>
      <c r="J765" s="11" t="s">
        <v>19</v>
      </c>
      <c r="K765" s="11" t="s">
        <v>20</v>
      </c>
      <c r="L765" s="11" t="s">
        <v>30</v>
      </c>
      <c r="M765" s="11" t="s">
        <v>46</v>
      </c>
      <c r="N765" s="11" t="s">
        <v>24</v>
      </c>
      <c r="O765" s="16" t="s">
        <v>29</v>
      </c>
      <c r="P765" s="11">
        <v>216</v>
      </c>
      <c r="Q765" s="8"/>
      <c r="R765">
        <v>13.81</v>
      </c>
      <c r="S765">
        <v>2632.87</v>
      </c>
      <c r="T765">
        <v>4.18</v>
      </c>
      <c r="U765">
        <v>9.92</v>
      </c>
      <c r="V765">
        <v>138.08000000000001</v>
      </c>
      <c r="W765" s="317">
        <v>4.5999999999999996</v>
      </c>
      <c r="X765" s="190">
        <f t="shared" ref="X765:X772" si="30">I765*W765</f>
        <v>50.599999999999994</v>
      </c>
      <c r="Y765" s="8"/>
      <c r="Z765" s="8"/>
    </row>
    <row r="766" spans="1:26" ht="12.75" customHeight="1" x14ac:dyDescent="0.2">
      <c r="A766" s="15">
        <v>14</v>
      </c>
      <c r="B766" s="15">
        <v>2010</v>
      </c>
      <c r="C766" s="15">
        <v>4</v>
      </c>
      <c r="D766" s="15">
        <v>8</v>
      </c>
      <c r="E766" s="11" t="s">
        <v>29</v>
      </c>
      <c r="F766" s="11" t="s">
        <v>51</v>
      </c>
      <c r="G766" s="11">
        <v>147</v>
      </c>
      <c r="H766" s="15" t="s">
        <v>29</v>
      </c>
      <c r="I766" s="11">
        <v>9.5</v>
      </c>
      <c r="J766" s="11" t="s">
        <v>19</v>
      </c>
      <c r="K766" s="11" t="s">
        <v>20</v>
      </c>
      <c r="L766" s="11" t="s">
        <v>30</v>
      </c>
      <c r="M766" s="11" t="s">
        <v>45</v>
      </c>
      <c r="N766" s="11" t="s">
        <v>25</v>
      </c>
      <c r="O766" s="16" t="s">
        <v>29</v>
      </c>
      <c r="P766" s="11">
        <v>216</v>
      </c>
      <c r="Q766" s="8"/>
      <c r="R766">
        <v>13.72</v>
      </c>
      <c r="S766">
        <v>2579.86</v>
      </c>
      <c r="T766">
        <v>3.68</v>
      </c>
      <c r="U766">
        <v>9.85</v>
      </c>
      <c r="V766">
        <v>137.15</v>
      </c>
      <c r="W766" s="317">
        <v>4.5999999999999996</v>
      </c>
      <c r="X766" s="190">
        <f t="shared" si="30"/>
        <v>43.699999999999996</v>
      </c>
      <c r="Y766" s="8"/>
      <c r="Z766" s="8"/>
    </row>
    <row r="767" spans="1:26" ht="12.75" customHeight="1" x14ac:dyDescent="0.2">
      <c r="A767" s="15">
        <v>15</v>
      </c>
      <c r="B767" s="15">
        <v>2010</v>
      </c>
      <c r="C767" s="15">
        <v>4</v>
      </c>
      <c r="D767" s="15">
        <v>8</v>
      </c>
      <c r="E767" s="11" t="s">
        <v>29</v>
      </c>
      <c r="F767" s="11" t="s">
        <v>51</v>
      </c>
      <c r="G767" s="11">
        <v>163</v>
      </c>
      <c r="H767" s="15" t="s">
        <v>29</v>
      </c>
      <c r="I767" s="11">
        <v>15</v>
      </c>
      <c r="J767" s="11" t="s">
        <v>19</v>
      </c>
      <c r="K767" s="11" t="s">
        <v>20</v>
      </c>
      <c r="L767" s="11" t="s">
        <v>30</v>
      </c>
      <c r="M767" s="11" t="s">
        <v>46</v>
      </c>
      <c r="N767" s="11" t="s">
        <v>63</v>
      </c>
      <c r="O767" s="16" t="s">
        <v>64</v>
      </c>
      <c r="P767" s="11">
        <v>216</v>
      </c>
      <c r="Q767" s="8"/>
      <c r="R767">
        <v>15.21</v>
      </c>
      <c r="S767">
        <v>3517.29</v>
      </c>
      <c r="T767">
        <v>4.26</v>
      </c>
      <c r="U767">
        <v>10.92</v>
      </c>
      <c r="V767">
        <v>152.08000000000001</v>
      </c>
      <c r="W767" s="317">
        <v>4.5999999999999996</v>
      </c>
      <c r="X767" s="190">
        <f t="shared" si="30"/>
        <v>69</v>
      </c>
      <c r="Y767" s="8"/>
      <c r="Z767" s="8"/>
    </row>
    <row r="768" spans="1:26" ht="12.75" customHeight="1" x14ac:dyDescent="0.2">
      <c r="A768" s="15">
        <v>16</v>
      </c>
      <c r="B768" s="15">
        <v>2010</v>
      </c>
      <c r="C768" s="15">
        <v>4</v>
      </c>
      <c r="D768" s="15">
        <v>8</v>
      </c>
      <c r="E768" s="11" t="s">
        <v>29</v>
      </c>
      <c r="F768" s="11" t="s">
        <v>51</v>
      </c>
      <c r="G768" s="11">
        <v>149</v>
      </c>
      <c r="H768" s="15" t="s">
        <v>29</v>
      </c>
      <c r="I768" s="11">
        <v>11</v>
      </c>
      <c r="J768" s="11" t="s">
        <v>19</v>
      </c>
      <c r="K768" s="11" t="s">
        <v>20</v>
      </c>
      <c r="L768" s="11" t="s">
        <v>30</v>
      </c>
      <c r="M768" s="11" t="s">
        <v>46</v>
      </c>
      <c r="N768" s="11" t="s">
        <v>65</v>
      </c>
      <c r="O768" s="16" t="s">
        <v>66</v>
      </c>
      <c r="P768" s="11">
        <v>216</v>
      </c>
      <c r="Q768" s="8"/>
      <c r="R768">
        <v>13.9</v>
      </c>
      <c r="S768">
        <v>2686.6</v>
      </c>
      <c r="T768">
        <v>4.09</v>
      </c>
      <c r="U768">
        <v>9.98</v>
      </c>
      <c r="V768">
        <v>139.02000000000001</v>
      </c>
      <c r="W768" s="317">
        <v>4.5999999999999996</v>
      </c>
      <c r="X768" s="190">
        <f t="shared" si="30"/>
        <v>50.599999999999994</v>
      </c>
      <c r="Y768" s="8"/>
      <c r="Z768" s="8"/>
    </row>
    <row r="769" spans="1:26" ht="12.75" customHeight="1" x14ac:dyDescent="0.2">
      <c r="A769" s="15">
        <v>17</v>
      </c>
      <c r="B769" s="15">
        <v>2010</v>
      </c>
      <c r="C769" s="15">
        <v>4</v>
      </c>
      <c r="D769" s="15">
        <v>8</v>
      </c>
      <c r="E769" s="11" t="s">
        <v>29</v>
      </c>
      <c r="F769" s="11" t="s">
        <v>28</v>
      </c>
      <c r="G769" s="11" t="s">
        <v>29</v>
      </c>
      <c r="H769" s="15" t="s">
        <v>29</v>
      </c>
      <c r="I769" s="11" t="s">
        <v>29</v>
      </c>
      <c r="J769" s="11" t="s">
        <v>19</v>
      </c>
      <c r="K769" s="11" t="s">
        <v>20</v>
      </c>
      <c r="L769" s="11" t="s">
        <v>30</v>
      </c>
      <c r="M769" s="11" t="s">
        <v>29</v>
      </c>
      <c r="N769" s="11" t="s">
        <v>29</v>
      </c>
      <c r="O769" s="16" t="s">
        <v>67</v>
      </c>
      <c r="P769" s="11">
        <v>216</v>
      </c>
      <c r="Q769" s="8"/>
      <c r="W769" s="317">
        <v>4.5999999999999996</v>
      </c>
      <c r="X769" s="190"/>
      <c r="Y769" s="8"/>
      <c r="Z769" s="8"/>
    </row>
    <row r="770" spans="1:26" ht="12.75" customHeight="1" x14ac:dyDescent="0.2">
      <c r="A770" s="15">
        <v>18</v>
      </c>
      <c r="B770" s="15">
        <v>2010</v>
      </c>
      <c r="C770" s="15">
        <v>4</v>
      </c>
      <c r="D770" s="15">
        <v>8</v>
      </c>
      <c r="E770" s="11" t="s">
        <v>29</v>
      </c>
      <c r="F770" s="11" t="s">
        <v>51</v>
      </c>
      <c r="G770" s="11">
        <v>163</v>
      </c>
      <c r="H770" s="15" t="s">
        <v>29</v>
      </c>
      <c r="I770" s="11">
        <v>11.5</v>
      </c>
      <c r="J770" s="11" t="s">
        <v>19</v>
      </c>
      <c r="K770" s="11" t="s">
        <v>20</v>
      </c>
      <c r="L770" s="11" t="s">
        <v>30</v>
      </c>
      <c r="M770" s="11" t="s">
        <v>45</v>
      </c>
      <c r="N770" s="11" t="s">
        <v>23</v>
      </c>
      <c r="O770" s="16" t="s">
        <v>68</v>
      </c>
      <c r="P770" s="11">
        <v>216</v>
      </c>
      <c r="Q770" s="8"/>
      <c r="R770">
        <v>15.21</v>
      </c>
      <c r="S770">
        <v>3517.29</v>
      </c>
      <c r="T770">
        <v>3.27</v>
      </c>
      <c r="U770">
        <v>10.92</v>
      </c>
      <c r="V770">
        <v>152.08000000000001</v>
      </c>
      <c r="W770" s="317">
        <v>4.5999999999999996</v>
      </c>
      <c r="X770" s="190">
        <f t="shared" si="30"/>
        <v>52.9</v>
      </c>
      <c r="Y770" s="8"/>
      <c r="Z770" s="8"/>
    </row>
    <row r="771" spans="1:26" ht="12.75" customHeight="1" x14ac:dyDescent="0.2">
      <c r="A771" s="15">
        <v>19</v>
      </c>
      <c r="B771" s="15">
        <v>2010</v>
      </c>
      <c r="C771" s="15">
        <v>4</v>
      </c>
      <c r="D771" s="15">
        <v>8</v>
      </c>
      <c r="E771" s="11" t="s">
        <v>29</v>
      </c>
      <c r="F771" s="11" t="s">
        <v>51</v>
      </c>
      <c r="G771" s="11">
        <v>161</v>
      </c>
      <c r="H771" s="15" t="s">
        <v>29</v>
      </c>
      <c r="I771" s="11">
        <v>15.5</v>
      </c>
      <c r="J771" s="11" t="s">
        <v>19</v>
      </c>
      <c r="K771" s="11" t="s">
        <v>20</v>
      </c>
      <c r="L771" s="11" t="s">
        <v>30</v>
      </c>
      <c r="M771" s="11" t="s">
        <v>46</v>
      </c>
      <c r="N771" s="11" t="s">
        <v>25</v>
      </c>
      <c r="O771" s="16" t="s">
        <v>69</v>
      </c>
      <c r="P771" s="11">
        <v>216</v>
      </c>
      <c r="Q771" s="8"/>
      <c r="R771">
        <v>15.02</v>
      </c>
      <c r="S771">
        <v>3389.4</v>
      </c>
      <c r="T771">
        <v>4.57</v>
      </c>
      <c r="U771">
        <v>10.79</v>
      </c>
      <c r="V771">
        <v>150.21</v>
      </c>
      <c r="W771" s="317">
        <v>4.5999999999999996</v>
      </c>
      <c r="X771" s="190">
        <f t="shared" si="30"/>
        <v>71.3</v>
      </c>
      <c r="Y771" s="8"/>
      <c r="Z771" s="8"/>
    </row>
    <row r="772" spans="1:26" ht="12.75" customHeight="1" x14ac:dyDescent="0.2">
      <c r="A772" s="15">
        <v>20</v>
      </c>
      <c r="B772" s="15">
        <v>2010</v>
      </c>
      <c r="C772" s="15">
        <v>4</v>
      </c>
      <c r="D772" s="15">
        <v>8</v>
      </c>
      <c r="E772" s="11" t="s">
        <v>29</v>
      </c>
      <c r="F772" s="11" t="s">
        <v>51</v>
      </c>
      <c r="G772" s="11">
        <v>173</v>
      </c>
      <c r="H772" s="15" t="s">
        <v>29</v>
      </c>
      <c r="I772" s="11">
        <v>14</v>
      </c>
      <c r="J772" s="11" t="s">
        <v>19</v>
      </c>
      <c r="K772" s="11" t="s">
        <v>34</v>
      </c>
      <c r="L772" s="11" t="s">
        <v>41</v>
      </c>
      <c r="M772" s="11" t="s">
        <v>46</v>
      </c>
      <c r="N772" s="11" t="s">
        <v>25</v>
      </c>
      <c r="O772" s="16" t="s">
        <v>70</v>
      </c>
      <c r="P772" s="11">
        <v>216</v>
      </c>
      <c r="Q772" s="8"/>
      <c r="R772">
        <v>16.14</v>
      </c>
      <c r="S772">
        <v>4205.17</v>
      </c>
      <c r="T772">
        <v>3.33</v>
      </c>
      <c r="U772">
        <v>11.59</v>
      </c>
      <c r="V772">
        <v>161.41</v>
      </c>
      <c r="W772" s="317">
        <v>3.8</v>
      </c>
      <c r="X772" s="190">
        <f t="shared" si="30"/>
        <v>53.199999999999996</v>
      </c>
      <c r="Y772" s="8"/>
      <c r="Z772" s="8"/>
    </row>
    <row r="773" spans="1:26" ht="12.75" customHeight="1" x14ac:dyDescent="0.2">
      <c r="A773" s="15">
        <v>21</v>
      </c>
      <c r="B773" s="15">
        <v>2010</v>
      </c>
      <c r="C773" s="15">
        <v>4</v>
      </c>
      <c r="D773" s="15">
        <v>8</v>
      </c>
      <c r="E773" s="11" t="s">
        <v>29</v>
      </c>
      <c r="F773" s="11" t="s">
        <v>51</v>
      </c>
      <c r="G773" s="11">
        <v>156</v>
      </c>
      <c r="H773" s="15" t="s">
        <v>29</v>
      </c>
      <c r="I773" s="11">
        <v>12.5</v>
      </c>
      <c r="J773" s="11" t="s">
        <v>19</v>
      </c>
      <c r="K773" s="11" t="s">
        <v>20</v>
      </c>
      <c r="L773" s="11" t="s">
        <v>30</v>
      </c>
      <c r="M773" s="11" t="s">
        <v>46</v>
      </c>
      <c r="N773" s="11" t="s">
        <v>23</v>
      </c>
      <c r="O773" s="16" t="s">
        <v>71</v>
      </c>
      <c r="P773" s="11">
        <v>216</v>
      </c>
      <c r="Q773" s="8"/>
      <c r="R773">
        <v>14.55</v>
      </c>
      <c r="S773">
        <v>3083.32</v>
      </c>
      <c r="T773">
        <v>4.05</v>
      </c>
      <c r="U773">
        <v>10.45</v>
      </c>
      <c r="V773">
        <v>145.55000000000001</v>
      </c>
      <c r="W773" s="317">
        <v>4.5999999999999996</v>
      </c>
      <c r="X773" s="190">
        <f>I773*W773</f>
        <v>57.499999999999993</v>
      </c>
      <c r="Y773" s="8"/>
      <c r="Z773" s="8"/>
    </row>
    <row r="774" spans="1:26" ht="12.75" customHeight="1" x14ac:dyDescent="0.2">
      <c r="A774" s="15">
        <v>22</v>
      </c>
      <c r="B774" s="15">
        <v>2010</v>
      </c>
      <c r="C774" s="15">
        <v>4</v>
      </c>
      <c r="D774" s="15">
        <v>8</v>
      </c>
      <c r="E774" s="11" t="s">
        <v>29</v>
      </c>
      <c r="F774" s="11" t="s">
        <v>51</v>
      </c>
      <c r="G774" s="11">
        <v>148</v>
      </c>
      <c r="H774" s="15" t="s">
        <v>29</v>
      </c>
      <c r="I774" s="11">
        <v>11.5</v>
      </c>
      <c r="J774" s="11" t="s">
        <v>19</v>
      </c>
      <c r="K774" s="11" t="s">
        <v>20</v>
      </c>
      <c r="L774" s="11" t="s">
        <v>30</v>
      </c>
      <c r="M774" s="11" t="s">
        <v>46</v>
      </c>
      <c r="N774" s="11" t="s">
        <v>24</v>
      </c>
      <c r="O774" s="16" t="s">
        <v>29</v>
      </c>
      <c r="P774" s="11">
        <v>216</v>
      </c>
      <c r="Q774" s="8"/>
      <c r="R774">
        <v>13.81</v>
      </c>
      <c r="S774">
        <v>2632.87</v>
      </c>
      <c r="T774">
        <v>4.37</v>
      </c>
      <c r="U774">
        <v>9.92</v>
      </c>
      <c r="V774">
        <v>138.08000000000001</v>
      </c>
      <c r="W774" s="317">
        <v>4.5999999999999996</v>
      </c>
      <c r="X774" s="190">
        <f>I774*W774</f>
        <v>52.9</v>
      </c>
      <c r="Y774" s="8"/>
      <c r="Z774" s="8"/>
    </row>
    <row r="775" spans="1:26" ht="12.75" customHeight="1" x14ac:dyDescent="0.2">
      <c r="A775" s="15">
        <v>23</v>
      </c>
      <c r="B775" s="15">
        <v>2010</v>
      </c>
      <c r="C775" s="15">
        <v>4</v>
      </c>
      <c r="D775" s="15">
        <v>8</v>
      </c>
      <c r="E775" s="11" t="s">
        <v>29</v>
      </c>
      <c r="F775" s="11" t="s">
        <v>51</v>
      </c>
      <c r="G775" s="11">
        <v>167</v>
      </c>
      <c r="H775" s="15" t="s">
        <v>29</v>
      </c>
      <c r="I775" s="11">
        <v>15.5</v>
      </c>
      <c r="J775" s="11" t="s">
        <v>19</v>
      </c>
      <c r="K775" s="11" t="s">
        <v>20</v>
      </c>
      <c r="L775" s="11" t="s">
        <v>30</v>
      </c>
      <c r="M775" s="11" t="s">
        <v>46</v>
      </c>
      <c r="N775" s="11" t="s">
        <v>23</v>
      </c>
      <c r="O775" s="16" t="s">
        <v>72</v>
      </c>
      <c r="P775" s="11">
        <v>216</v>
      </c>
      <c r="Q775" s="8"/>
      <c r="R775">
        <v>15.58</v>
      </c>
      <c r="S775">
        <v>3782.63</v>
      </c>
      <c r="T775">
        <v>4.0999999999999996</v>
      </c>
      <c r="U775">
        <v>11.19</v>
      </c>
      <c r="V775">
        <v>155.81</v>
      </c>
      <c r="W775" s="317">
        <v>4.5999999999999996</v>
      </c>
      <c r="X775" s="190">
        <f>I775*W775</f>
        <v>71.3</v>
      </c>
      <c r="Y775" s="8"/>
      <c r="Z775" s="8"/>
    </row>
    <row r="776" spans="1:26" ht="12.75" customHeight="1" x14ac:dyDescent="0.2">
      <c r="A776" s="15">
        <v>24</v>
      </c>
      <c r="B776" s="15">
        <v>2010</v>
      </c>
      <c r="C776" s="15">
        <v>4</v>
      </c>
      <c r="D776" s="15">
        <v>8</v>
      </c>
      <c r="E776" s="11" t="s">
        <v>29</v>
      </c>
      <c r="F776" s="11" t="s">
        <v>51</v>
      </c>
      <c r="G776" s="11">
        <v>156</v>
      </c>
      <c r="H776" s="15" t="s">
        <v>29</v>
      </c>
      <c r="I776" s="11">
        <v>10</v>
      </c>
      <c r="J776" s="11" t="s">
        <v>19</v>
      </c>
      <c r="K776" s="11" t="s">
        <v>20</v>
      </c>
      <c r="L776" s="11" t="s">
        <v>30</v>
      </c>
      <c r="M776" s="11" t="s">
        <v>45</v>
      </c>
      <c r="N776" s="11" t="s">
        <v>25</v>
      </c>
      <c r="O776" s="16" t="s">
        <v>73</v>
      </c>
      <c r="P776" s="11">
        <v>216</v>
      </c>
      <c r="Q776" s="8"/>
      <c r="R776">
        <v>14.55</v>
      </c>
      <c r="S776">
        <v>3083.32</v>
      </c>
      <c r="T776">
        <v>3.24</v>
      </c>
      <c r="U776">
        <v>10.45</v>
      </c>
      <c r="V776">
        <v>145.55000000000001</v>
      </c>
      <c r="W776" s="317">
        <v>4.5999999999999996</v>
      </c>
      <c r="X776" s="190">
        <f>I776*W776</f>
        <v>46</v>
      </c>
      <c r="Y776" s="8"/>
      <c r="Z776" s="8"/>
    </row>
    <row r="777" spans="1:26" ht="12.75" customHeight="1" x14ac:dyDescent="0.2">
      <c r="A777" s="15">
        <v>25</v>
      </c>
      <c r="B777" s="15">
        <v>2010</v>
      </c>
      <c r="C777" s="15">
        <v>4</v>
      </c>
      <c r="D777" s="15">
        <v>8</v>
      </c>
      <c r="E777" s="11" t="s">
        <v>29</v>
      </c>
      <c r="F777" s="11" t="s">
        <v>51</v>
      </c>
      <c r="G777" s="11">
        <v>171</v>
      </c>
      <c r="H777" s="15" t="s">
        <v>29</v>
      </c>
      <c r="I777" s="11">
        <v>21.5</v>
      </c>
      <c r="J777" s="11" t="s">
        <v>19</v>
      </c>
      <c r="K777" s="11" t="s">
        <v>34</v>
      </c>
      <c r="L777" s="11" t="s">
        <v>41</v>
      </c>
      <c r="M777" s="11" t="s">
        <v>46</v>
      </c>
      <c r="N777" s="11" t="s">
        <v>24</v>
      </c>
      <c r="O777" s="16" t="s">
        <v>29</v>
      </c>
      <c r="P777" s="11">
        <v>216</v>
      </c>
      <c r="Q777" s="8"/>
      <c r="R777">
        <v>15.95</v>
      </c>
      <c r="S777">
        <v>4061</v>
      </c>
      <c r="T777">
        <v>5.29</v>
      </c>
      <c r="U777">
        <v>11.46</v>
      </c>
      <c r="V777">
        <v>159.54</v>
      </c>
      <c r="W777" s="317">
        <v>3.8</v>
      </c>
      <c r="X777" s="190">
        <f>I777*W777</f>
        <v>81.7</v>
      </c>
      <c r="Y777" s="8"/>
      <c r="Z777" s="8"/>
    </row>
    <row r="778" spans="1:26" ht="12.75" customHeight="1" x14ac:dyDescent="0.2">
      <c r="A778" s="15">
        <v>26</v>
      </c>
      <c r="B778" s="15">
        <v>2010</v>
      </c>
      <c r="C778" s="15">
        <v>4</v>
      </c>
      <c r="D778" s="15">
        <v>8</v>
      </c>
      <c r="E778" s="11" t="s">
        <v>29</v>
      </c>
      <c r="F778" s="11" t="s">
        <v>51</v>
      </c>
      <c r="G778" s="11">
        <v>151</v>
      </c>
      <c r="H778" s="15" t="s">
        <v>29</v>
      </c>
      <c r="I778" s="11">
        <v>11</v>
      </c>
      <c r="J778" s="11" t="s">
        <v>19</v>
      </c>
      <c r="K778" s="11" t="s">
        <v>20</v>
      </c>
      <c r="L778" s="11" t="s">
        <v>30</v>
      </c>
      <c r="M778" s="11" t="s">
        <v>46</v>
      </c>
      <c r="N778" s="11" t="s">
        <v>24</v>
      </c>
      <c r="O778" s="16" t="s">
        <v>74</v>
      </c>
      <c r="P778" s="11">
        <v>216</v>
      </c>
      <c r="Q778" s="8"/>
      <c r="R778">
        <v>14.09</v>
      </c>
      <c r="S778">
        <v>2796.25</v>
      </c>
      <c r="T778">
        <v>3.93</v>
      </c>
      <c r="U778">
        <v>10.119999999999999</v>
      </c>
      <c r="V778">
        <v>140.88</v>
      </c>
      <c r="W778" s="317">
        <v>4.5999999999999996</v>
      </c>
      <c r="X778" s="190">
        <f t="shared" ref="X778:X783" si="31">I778*W778</f>
        <v>50.599999999999994</v>
      </c>
      <c r="Y778" s="8"/>
      <c r="Z778" s="8"/>
    </row>
    <row r="779" spans="1:26" ht="12.75" customHeight="1" x14ac:dyDescent="0.2">
      <c r="A779" s="15">
        <v>27</v>
      </c>
      <c r="B779" s="15">
        <v>2010</v>
      </c>
      <c r="C779" s="15">
        <v>4</v>
      </c>
      <c r="D779" s="15">
        <v>8</v>
      </c>
      <c r="E779" s="11" t="s">
        <v>29</v>
      </c>
      <c r="F779" s="11" t="s">
        <v>51</v>
      </c>
      <c r="G779" s="11">
        <v>144</v>
      </c>
      <c r="H779" s="15" t="s">
        <v>29</v>
      </c>
      <c r="I779" s="11">
        <v>10.5</v>
      </c>
      <c r="J779" s="11" t="s">
        <v>19</v>
      </c>
      <c r="K779" s="11" t="s">
        <v>20</v>
      </c>
      <c r="L779" s="11" t="s">
        <v>30</v>
      </c>
      <c r="M779" s="11" t="s">
        <v>46</v>
      </c>
      <c r="N779" s="11" t="s">
        <v>24</v>
      </c>
      <c r="O779" s="16" t="s">
        <v>29</v>
      </c>
      <c r="P779" s="11">
        <v>216</v>
      </c>
      <c r="Q779" s="8"/>
      <c r="R779">
        <v>13.44</v>
      </c>
      <c r="S779">
        <v>2425.12</v>
      </c>
      <c r="T779">
        <v>4.33</v>
      </c>
      <c r="U779">
        <v>9.65</v>
      </c>
      <c r="V779">
        <v>134.35</v>
      </c>
      <c r="W779" s="317">
        <v>4.5999999999999996</v>
      </c>
      <c r="X779" s="190">
        <f t="shared" si="31"/>
        <v>48.3</v>
      </c>
      <c r="Y779" s="8"/>
      <c r="Z779" s="8"/>
    </row>
    <row r="780" spans="1:26" ht="12.75" customHeight="1" x14ac:dyDescent="0.2">
      <c r="A780" s="15">
        <v>28</v>
      </c>
      <c r="B780" s="15">
        <v>2010</v>
      </c>
      <c r="C780" s="15">
        <v>4</v>
      </c>
      <c r="D780" s="15">
        <v>8</v>
      </c>
      <c r="E780" s="11" t="s">
        <v>29</v>
      </c>
      <c r="F780" s="11" t="s">
        <v>51</v>
      </c>
      <c r="G780" s="11">
        <v>167</v>
      </c>
      <c r="H780" s="15" t="s">
        <v>29</v>
      </c>
      <c r="I780" s="11">
        <v>16</v>
      </c>
      <c r="J780" s="11" t="s">
        <v>19</v>
      </c>
      <c r="K780" s="11" t="s">
        <v>20</v>
      </c>
      <c r="L780" s="11" t="s">
        <v>30</v>
      </c>
      <c r="M780" s="11" t="s">
        <v>46</v>
      </c>
      <c r="N780" s="11" t="s">
        <v>25</v>
      </c>
      <c r="O780" s="16" t="s">
        <v>29</v>
      </c>
      <c r="P780" s="11">
        <v>216</v>
      </c>
      <c r="Q780" s="8"/>
      <c r="R780">
        <v>15.58</v>
      </c>
      <c r="S780">
        <v>3782.63</v>
      </c>
      <c r="T780">
        <v>4.2300000000000004</v>
      </c>
      <c r="U780">
        <v>11.19</v>
      </c>
      <c r="V780">
        <v>155.81</v>
      </c>
      <c r="W780" s="317">
        <v>4.5999999999999996</v>
      </c>
      <c r="X780" s="190">
        <f t="shared" si="31"/>
        <v>73.599999999999994</v>
      </c>
      <c r="Y780" s="8"/>
      <c r="Z780" s="8"/>
    </row>
    <row r="781" spans="1:26" ht="12.75" customHeight="1" x14ac:dyDescent="0.2">
      <c r="A781" s="15">
        <v>1</v>
      </c>
      <c r="B781" s="15">
        <v>2010</v>
      </c>
      <c r="C781" s="15">
        <v>2</v>
      </c>
      <c r="D781" s="15">
        <v>8</v>
      </c>
      <c r="E781" s="11" t="s">
        <v>29</v>
      </c>
      <c r="F781" s="11" t="s">
        <v>51</v>
      </c>
      <c r="G781" s="11">
        <v>161</v>
      </c>
      <c r="H781" s="15" t="s">
        <v>29</v>
      </c>
      <c r="I781" s="11">
        <v>12.5</v>
      </c>
      <c r="J781" s="11" t="s">
        <v>19</v>
      </c>
      <c r="K781" s="11" t="s">
        <v>20</v>
      </c>
      <c r="L781" s="11" t="s">
        <v>30</v>
      </c>
      <c r="M781" s="11" t="s">
        <v>46</v>
      </c>
      <c r="N781" s="11" t="s">
        <v>23</v>
      </c>
      <c r="O781" s="16" t="s">
        <v>29</v>
      </c>
      <c r="P781" s="11">
        <v>214</v>
      </c>
      <c r="Q781" s="8"/>
      <c r="R781">
        <v>15.02</v>
      </c>
      <c r="S781">
        <v>3389.4</v>
      </c>
      <c r="T781">
        <v>3.69</v>
      </c>
      <c r="U781">
        <v>10.79</v>
      </c>
      <c r="V781">
        <v>150.21</v>
      </c>
      <c r="W781" s="317">
        <v>4.5999999999999996</v>
      </c>
      <c r="X781" s="190">
        <f t="shared" si="31"/>
        <v>57.499999999999993</v>
      </c>
      <c r="Y781" s="8"/>
      <c r="Z781" s="8"/>
    </row>
    <row r="782" spans="1:26" ht="12.75" customHeight="1" x14ac:dyDescent="0.2">
      <c r="A782" s="15">
        <v>2</v>
      </c>
      <c r="B782" s="15">
        <v>2010</v>
      </c>
      <c r="C782" s="15">
        <v>2</v>
      </c>
      <c r="D782" s="15">
        <v>8</v>
      </c>
      <c r="E782" s="11" t="s">
        <v>29</v>
      </c>
      <c r="F782" s="11" t="s">
        <v>51</v>
      </c>
      <c r="G782" s="11">
        <v>163</v>
      </c>
      <c r="H782" s="15" t="s">
        <v>29</v>
      </c>
      <c r="I782" s="11">
        <v>9.5</v>
      </c>
      <c r="J782" s="11" t="s">
        <v>19</v>
      </c>
      <c r="K782" s="11" t="s">
        <v>20</v>
      </c>
      <c r="L782" s="11" t="s">
        <v>21</v>
      </c>
      <c r="M782" s="11" t="s">
        <v>45</v>
      </c>
      <c r="N782" s="11" t="s">
        <v>54</v>
      </c>
      <c r="O782" s="16" t="s">
        <v>29</v>
      </c>
      <c r="P782" s="11">
        <v>214</v>
      </c>
      <c r="Q782" s="8"/>
      <c r="R782">
        <v>15.21</v>
      </c>
      <c r="S782">
        <v>3517.29</v>
      </c>
      <c r="T782">
        <v>2.7</v>
      </c>
      <c r="U782">
        <v>10.92</v>
      </c>
      <c r="V782">
        <v>152.08000000000001</v>
      </c>
      <c r="W782" s="317">
        <v>3.9</v>
      </c>
      <c r="X782" s="190">
        <f t="shared" si="31"/>
        <v>37.049999999999997</v>
      </c>
      <c r="Y782" s="8"/>
      <c r="Z782" s="8"/>
    </row>
    <row r="783" spans="1:26" ht="12.75" customHeight="1" x14ac:dyDescent="0.2">
      <c r="A783" s="15">
        <v>3</v>
      </c>
      <c r="B783" s="15">
        <v>2010</v>
      </c>
      <c r="C783" s="15">
        <v>2</v>
      </c>
      <c r="D783" s="15">
        <v>8</v>
      </c>
      <c r="E783" s="11" t="s">
        <v>29</v>
      </c>
      <c r="F783" s="11" t="s">
        <v>51</v>
      </c>
      <c r="G783" s="11">
        <v>170</v>
      </c>
      <c r="H783" s="15" t="s">
        <v>29</v>
      </c>
      <c r="I783" s="11">
        <v>18.5</v>
      </c>
      <c r="J783" s="11" t="s">
        <v>19</v>
      </c>
      <c r="K783" s="11" t="s">
        <v>34</v>
      </c>
      <c r="L783" s="11" t="s">
        <v>41</v>
      </c>
      <c r="M783" s="11" t="s">
        <v>46</v>
      </c>
      <c r="N783" s="11" t="s">
        <v>25</v>
      </c>
      <c r="O783" s="16" t="s">
        <v>29</v>
      </c>
      <c r="P783" s="11">
        <v>214</v>
      </c>
      <c r="Q783" s="8"/>
      <c r="R783">
        <v>15.86</v>
      </c>
      <c r="S783">
        <v>3990.17</v>
      </c>
      <c r="T783">
        <v>4.6399999999999997</v>
      </c>
      <c r="U783">
        <v>11.39</v>
      </c>
      <c r="V783">
        <v>158.61000000000001</v>
      </c>
      <c r="W783" s="317">
        <v>3.8</v>
      </c>
      <c r="X783" s="190">
        <f t="shared" si="31"/>
        <v>70.3</v>
      </c>
      <c r="Y783" s="8"/>
      <c r="Z783" s="8"/>
    </row>
    <row r="784" spans="1:26" ht="12.75" customHeight="1" x14ac:dyDescent="0.2">
      <c r="A784" s="15">
        <v>4</v>
      </c>
      <c r="B784" s="15">
        <v>2010</v>
      </c>
      <c r="C784" s="15">
        <v>2</v>
      </c>
      <c r="D784" s="15">
        <v>8</v>
      </c>
      <c r="E784" s="11" t="s">
        <v>29</v>
      </c>
      <c r="F784" s="11" t="s">
        <v>28</v>
      </c>
      <c r="G784" s="11" t="s">
        <v>29</v>
      </c>
      <c r="H784" s="15" t="s">
        <v>29</v>
      </c>
      <c r="I784" s="11" t="s">
        <v>29</v>
      </c>
      <c r="J784" s="11" t="s">
        <v>19</v>
      </c>
      <c r="K784" s="11" t="s">
        <v>20</v>
      </c>
      <c r="L784" s="11" t="s">
        <v>21</v>
      </c>
      <c r="M784" s="11" t="s">
        <v>29</v>
      </c>
      <c r="N784" s="11" t="s">
        <v>29</v>
      </c>
      <c r="O784" s="16" t="s">
        <v>29</v>
      </c>
      <c r="P784" s="11">
        <v>214</v>
      </c>
      <c r="Q784" s="8"/>
      <c r="W784" s="317">
        <v>3.9</v>
      </c>
      <c r="X784" s="190"/>
      <c r="Y784" s="8"/>
      <c r="Z784" s="8"/>
    </row>
    <row r="785" spans="1:26" ht="12.75" customHeight="1" x14ac:dyDescent="0.2">
      <c r="A785" s="15">
        <v>5</v>
      </c>
      <c r="B785" s="15">
        <v>2010</v>
      </c>
      <c r="C785" s="15">
        <v>2</v>
      </c>
      <c r="D785" s="15">
        <v>8</v>
      </c>
      <c r="E785" s="11" t="s">
        <v>29</v>
      </c>
      <c r="F785" s="11" t="s">
        <v>51</v>
      </c>
      <c r="G785" s="11">
        <v>167</v>
      </c>
      <c r="H785" s="15" t="s">
        <v>29</v>
      </c>
      <c r="I785" s="11">
        <v>11.5</v>
      </c>
      <c r="J785" s="11" t="s">
        <v>19</v>
      </c>
      <c r="K785" s="11" t="s">
        <v>20</v>
      </c>
      <c r="L785" s="11" t="s">
        <v>21</v>
      </c>
      <c r="M785" s="11" t="s">
        <v>46</v>
      </c>
      <c r="N785" s="11" t="s">
        <v>24</v>
      </c>
      <c r="O785" s="16" t="s">
        <v>29</v>
      </c>
      <c r="P785" s="11">
        <v>214</v>
      </c>
      <c r="Q785" s="8"/>
      <c r="R785">
        <v>15.58</v>
      </c>
      <c r="S785">
        <v>3782.63</v>
      </c>
      <c r="T785">
        <v>3.04</v>
      </c>
      <c r="U785">
        <v>11.19</v>
      </c>
      <c r="V785">
        <v>155.81</v>
      </c>
      <c r="W785" s="317">
        <v>3.9</v>
      </c>
      <c r="X785" s="190">
        <f>I785*W785</f>
        <v>44.85</v>
      </c>
      <c r="Y785" s="8"/>
      <c r="Z785" s="8"/>
    </row>
    <row r="786" spans="1:26" ht="12.75" customHeight="1" x14ac:dyDescent="0.2">
      <c r="A786" s="15">
        <v>104</v>
      </c>
      <c r="B786" s="15">
        <v>2009</v>
      </c>
      <c r="C786" s="15">
        <v>6</v>
      </c>
      <c r="D786" s="15">
        <v>8</v>
      </c>
      <c r="E786" s="14">
        <v>0.3125</v>
      </c>
      <c r="F786" s="11" t="s">
        <v>51</v>
      </c>
      <c r="G786" s="11">
        <v>130</v>
      </c>
      <c r="H786" s="15" t="s">
        <v>29</v>
      </c>
      <c r="I786" s="11">
        <v>2.7</v>
      </c>
      <c r="J786" s="11" t="s">
        <v>32</v>
      </c>
      <c r="K786" s="11" t="s">
        <v>29</v>
      </c>
      <c r="L786" s="11" t="s">
        <v>29</v>
      </c>
      <c r="M786" s="11" t="s">
        <v>46</v>
      </c>
      <c r="N786" s="11" t="s">
        <v>24</v>
      </c>
      <c r="O786" s="16" t="s">
        <v>75</v>
      </c>
      <c r="P786" s="45">
        <v>218</v>
      </c>
      <c r="Q786" s="11"/>
      <c r="R786">
        <v>12.13</v>
      </c>
      <c r="S786">
        <v>1784.33</v>
      </c>
      <c r="T786">
        <v>1.51</v>
      </c>
      <c r="U786">
        <v>8.7100000000000009</v>
      </c>
      <c r="V786">
        <v>121.29</v>
      </c>
      <c r="W786" s="9"/>
      <c r="X786" s="8"/>
      <c r="Y786" s="8"/>
      <c r="Z786" s="8"/>
    </row>
    <row r="787" spans="1:26" ht="12.75" customHeight="1" x14ac:dyDescent="0.2">
      <c r="A787" s="15">
        <v>105</v>
      </c>
      <c r="B787" s="15">
        <v>2009</v>
      </c>
      <c r="C787" s="15">
        <v>6</v>
      </c>
      <c r="D787" s="15">
        <v>8</v>
      </c>
      <c r="E787" s="14">
        <v>0.3125</v>
      </c>
      <c r="F787" s="11" t="s">
        <v>51</v>
      </c>
      <c r="G787" s="11">
        <v>131</v>
      </c>
      <c r="H787" s="15" t="s">
        <v>29</v>
      </c>
      <c r="I787" s="11">
        <v>3</v>
      </c>
      <c r="J787" s="11" t="s">
        <v>32</v>
      </c>
      <c r="K787" s="11" t="s">
        <v>29</v>
      </c>
      <c r="L787" s="11" t="s">
        <v>29</v>
      </c>
      <c r="M787" s="11" t="s">
        <v>46</v>
      </c>
      <c r="N787" s="11" t="s">
        <v>24</v>
      </c>
      <c r="O787" s="16" t="s">
        <v>76</v>
      </c>
      <c r="P787" s="45">
        <v>218</v>
      </c>
      <c r="Q787" s="11"/>
      <c r="R787">
        <v>12.22</v>
      </c>
      <c r="S787">
        <v>1825.82</v>
      </c>
      <c r="T787">
        <v>1.64</v>
      </c>
      <c r="U787">
        <v>8.7799999999999994</v>
      </c>
      <c r="V787">
        <v>122.22</v>
      </c>
      <c r="W787" s="9"/>
      <c r="X787" s="8"/>
      <c r="Y787" s="8"/>
      <c r="Z787" s="8"/>
    </row>
    <row r="788" spans="1:26" ht="12.75" customHeight="1" x14ac:dyDescent="0.2">
      <c r="A788" s="15">
        <v>106</v>
      </c>
      <c r="B788" s="15">
        <v>2009</v>
      </c>
      <c r="C788" s="15">
        <v>6</v>
      </c>
      <c r="D788" s="15">
        <v>8</v>
      </c>
      <c r="E788" s="14">
        <v>0.3125</v>
      </c>
      <c r="F788" s="11" t="s">
        <v>51</v>
      </c>
      <c r="G788" s="11">
        <v>149</v>
      </c>
      <c r="H788" s="15" t="s">
        <v>29</v>
      </c>
      <c r="I788" s="11">
        <v>12</v>
      </c>
      <c r="J788" s="11" t="s">
        <v>19</v>
      </c>
      <c r="K788" s="11" t="s">
        <v>20</v>
      </c>
      <c r="L788" s="11" t="s">
        <v>30</v>
      </c>
      <c r="M788" s="11" t="s">
        <v>46</v>
      </c>
      <c r="N788" s="11" t="s">
        <v>23</v>
      </c>
      <c r="O788" s="16" t="s">
        <v>77</v>
      </c>
      <c r="P788" s="45">
        <v>218</v>
      </c>
      <c r="Q788" s="11"/>
      <c r="R788">
        <v>13.9</v>
      </c>
      <c r="S788">
        <v>2686.6</v>
      </c>
      <c r="T788">
        <v>4.47</v>
      </c>
      <c r="U788">
        <v>9.98</v>
      </c>
      <c r="V788">
        <v>139.02000000000001</v>
      </c>
      <c r="W788" s="317">
        <v>4.5999999999999996</v>
      </c>
      <c r="X788" s="190">
        <f>I788*W788</f>
        <v>55.199999999999996</v>
      </c>
      <c r="Y788" s="8"/>
      <c r="Z788" s="8"/>
    </row>
    <row r="789" spans="1:26" ht="12.75" customHeight="1" x14ac:dyDescent="0.2">
      <c r="A789" s="15">
        <v>107</v>
      </c>
      <c r="B789" s="15">
        <v>2009</v>
      </c>
      <c r="C789" s="15">
        <v>6</v>
      </c>
      <c r="D789" s="15">
        <v>8</v>
      </c>
      <c r="E789" s="14">
        <v>0.3125</v>
      </c>
      <c r="F789" s="11" t="s">
        <v>51</v>
      </c>
      <c r="G789" s="11">
        <v>133</v>
      </c>
      <c r="H789" s="15" t="s">
        <v>29</v>
      </c>
      <c r="I789" s="11">
        <v>3.5</v>
      </c>
      <c r="J789" s="11" t="s">
        <v>32</v>
      </c>
      <c r="K789" s="11" t="s">
        <v>29</v>
      </c>
      <c r="L789" s="11" t="s">
        <v>29</v>
      </c>
      <c r="M789" s="11" t="s">
        <v>46</v>
      </c>
      <c r="N789" s="11" t="s">
        <v>24</v>
      </c>
      <c r="O789" s="16" t="s">
        <v>78</v>
      </c>
      <c r="P789" s="45">
        <v>218</v>
      </c>
      <c r="Q789" s="11"/>
      <c r="R789">
        <v>12.41</v>
      </c>
      <c r="S789">
        <v>1910.73</v>
      </c>
      <c r="T789">
        <v>1.83</v>
      </c>
      <c r="U789">
        <v>8.91</v>
      </c>
      <c r="V789">
        <v>124.09</v>
      </c>
      <c r="W789" s="9"/>
      <c r="X789" s="8"/>
      <c r="Y789" s="8"/>
      <c r="Z789" s="8"/>
    </row>
    <row r="790" spans="1:26" ht="12.75" customHeight="1" x14ac:dyDescent="0.2">
      <c r="A790" s="15">
        <v>108</v>
      </c>
      <c r="B790" s="15">
        <v>2009</v>
      </c>
      <c r="C790" s="15">
        <v>6</v>
      </c>
      <c r="D790" s="15">
        <v>8</v>
      </c>
      <c r="E790" s="14">
        <v>0.3125</v>
      </c>
      <c r="F790" s="11" t="s">
        <v>51</v>
      </c>
      <c r="G790" s="11">
        <v>129</v>
      </c>
      <c r="H790" s="15" t="s">
        <v>29</v>
      </c>
      <c r="I790" s="11">
        <v>3.1</v>
      </c>
      <c r="J790" s="11" t="s">
        <v>32</v>
      </c>
      <c r="K790" s="11" t="s">
        <v>29</v>
      </c>
      <c r="L790" s="11" t="s">
        <v>29</v>
      </c>
      <c r="M790" s="11" t="s">
        <v>46</v>
      </c>
      <c r="N790" s="11" t="s">
        <v>24</v>
      </c>
      <c r="O790" s="16" t="s">
        <v>29</v>
      </c>
      <c r="P790" s="45">
        <v>218</v>
      </c>
      <c r="Q790" s="11"/>
      <c r="R790">
        <v>12.04</v>
      </c>
      <c r="S790">
        <v>1743.47</v>
      </c>
      <c r="T790">
        <v>1.78</v>
      </c>
      <c r="U790">
        <v>8.64</v>
      </c>
      <c r="V790">
        <v>120.36</v>
      </c>
      <c r="W790" s="9"/>
      <c r="X790" s="8"/>
      <c r="Y790" s="8"/>
      <c r="Z790" s="8"/>
    </row>
    <row r="791" spans="1:26" ht="12.75" customHeight="1" x14ac:dyDescent="0.2">
      <c r="A791" s="15">
        <v>109</v>
      </c>
      <c r="B791" s="15">
        <v>2009</v>
      </c>
      <c r="C791" s="15">
        <v>6</v>
      </c>
      <c r="D791" s="15">
        <v>8</v>
      </c>
      <c r="E791" s="14">
        <v>0.3125</v>
      </c>
      <c r="F791" s="11" t="s">
        <v>51</v>
      </c>
      <c r="G791" s="11">
        <v>134</v>
      </c>
      <c r="H791" s="15" t="s">
        <v>29</v>
      </c>
      <c r="I791" s="11">
        <v>3.1</v>
      </c>
      <c r="J791" s="11" t="s">
        <v>32</v>
      </c>
      <c r="K791" s="11" t="s">
        <v>29</v>
      </c>
      <c r="L791" s="11" t="s">
        <v>29</v>
      </c>
      <c r="M791" s="11" t="s">
        <v>46</v>
      </c>
      <c r="N791" s="11" t="s">
        <v>24</v>
      </c>
      <c r="O791" s="16" t="s">
        <v>29</v>
      </c>
      <c r="P791" s="45">
        <v>218</v>
      </c>
      <c r="Q791" s="11"/>
      <c r="R791">
        <v>12.5</v>
      </c>
      <c r="S791">
        <v>1954.16</v>
      </c>
      <c r="T791">
        <v>1.59</v>
      </c>
      <c r="U791">
        <v>8.98</v>
      </c>
      <c r="V791">
        <v>125.02</v>
      </c>
      <c r="W791" s="9"/>
      <c r="X791" s="8"/>
      <c r="Y791" s="8"/>
      <c r="Z791" s="8"/>
    </row>
    <row r="792" spans="1:26" ht="12.75" customHeight="1" x14ac:dyDescent="0.2">
      <c r="A792" s="15">
        <v>110</v>
      </c>
      <c r="B792" s="15">
        <v>2009</v>
      </c>
      <c r="C792" s="15">
        <v>6</v>
      </c>
      <c r="D792" s="15">
        <v>8</v>
      </c>
      <c r="E792" s="14">
        <v>0.41666666666666669</v>
      </c>
      <c r="F792" s="11" t="s">
        <v>28</v>
      </c>
      <c r="G792" s="11" t="s">
        <v>29</v>
      </c>
      <c r="H792" s="15" t="s">
        <v>29</v>
      </c>
      <c r="I792" s="11" t="s">
        <v>29</v>
      </c>
      <c r="J792" s="11" t="s">
        <v>32</v>
      </c>
      <c r="K792" s="11" t="s">
        <v>29</v>
      </c>
      <c r="L792" s="11" t="s">
        <v>29</v>
      </c>
      <c r="M792" s="11" t="s">
        <v>29</v>
      </c>
      <c r="N792" s="11" t="s">
        <v>29</v>
      </c>
      <c r="O792" s="16" t="s">
        <v>79</v>
      </c>
      <c r="P792" s="45">
        <v>218</v>
      </c>
      <c r="Q792" s="11"/>
      <c r="W792" s="9"/>
      <c r="X792" s="8"/>
      <c r="Y792" s="8"/>
      <c r="Z792" s="8"/>
    </row>
    <row r="793" spans="1:26" ht="12.75" customHeight="1" x14ac:dyDescent="0.2">
      <c r="A793" s="15">
        <v>111</v>
      </c>
      <c r="B793" s="15">
        <v>2009</v>
      </c>
      <c r="C793" s="15">
        <v>6</v>
      </c>
      <c r="D793" s="15">
        <v>8</v>
      </c>
      <c r="E793" s="14">
        <v>0.41666666666666669</v>
      </c>
      <c r="F793" s="11" t="s">
        <v>51</v>
      </c>
      <c r="G793" s="11">
        <v>121</v>
      </c>
      <c r="H793" s="15" t="s">
        <v>29</v>
      </c>
      <c r="I793" s="11">
        <v>2.6</v>
      </c>
      <c r="J793" s="11" t="s">
        <v>32</v>
      </c>
      <c r="K793" s="11" t="s">
        <v>29</v>
      </c>
      <c r="L793" s="11" t="s">
        <v>29</v>
      </c>
      <c r="M793" s="11" t="s">
        <v>46</v>
      </c>
      <c r="N793" s="11" t="s">
        <v>24</v>
      </c>
      <c r="O793" s="16" t="s">
        <v>80</v>
      </c>
      <c r="P793" s="45">
        <v>218</v>
      </c>
      <c r="Q793" s="11"/>
      <c r="R793">
        <v>11.29</v>
      </c>
      <c r="S793">
        <v>1438.8</v>
      </c>
      <c r="T793">
        <v>1.81</v>
      </c>
      <c r="U793">
        <v>8.11</v>
      </c>
      <c r="V793">
        <v>112.89</v>
      </c>
      <c r="W793" s="9"/>
      <c r="X793" s="8"/>
      <c r="Y793" s="8"/>
      <c r="Z793" s="8"/>
    </row>
    <row r="794" spans="1:26" ht="12.75" customHeight="1" x14ac:dyDescent="0.2">
      <c r="A794" s="15">
        <v>112</v>
      </c>
      <c r="B794" s="15">
        <v>2009</v>
      </c>
      <c r="C794" s="15">
        <v>6</v>
      </c>
      <c r="D794" s="15">
        <v>8</v>
      </c>
      <c r="E794" s="14">
        <v>0.41666666666666669</v>
      </c>
      <c r="F794" s="11" t="s">
        <v>51</v>
      </c>
      <c r="G794" s="11">
        <v>153</v>
      </c>
      <c r="H794" s="15" t="s">
        <v>29</v>
      </c>
      <c r="I794" s="11">
        <v>10</v>
      </c>
      <c r="J794" s="11" t="s">
        <v>19</v>
      </c>
      <c r="K794" s="11" t="s">
        <v>20</v>
      </c>
      <c r="L794" s="11" t="s">
        <v>30</v>
      </c>
      <c r="M794" s="11" t="s">
        <v>46</v>
      </c>
      <c r="N794" s="11" t="s">
        <v>25</v>
      </c>
      <c r="O794" s="16" t="s">
        <v>29</v>
      </c>
      <c r="P794" s="45">
        <v>218</v>
      </c>
      <c r="Q794" s="11"/>
      <c r="R794">
        <v>14.27</v>
      </c>
      <c r="S794">
        <v>2908.84</v>
      </c>
      <c r="T794">
        <v>3.44</v>
      </c>
      <c r="U794">
        <v>10.25</v>
      </c>
      <c r="V794">
        <v>142.75</v>
      </c>
      <c r="W794" s="317">
        <v>4.5999999999999996</v>
      </c>
      <c r="X794" s="190">
        <f>I794*W794</f>
        <v>46</v>
      </c>
      <c r="Y794" s="8"/>
      <c r="Z794" s="8"/>
    </row>
    <row r="795" spans="1:26" ht="12.75" customHeight="1" x14ac:dyDescent="0.2">
      <c r="A795" s="15">
        <v>113</v>
      </c>
      <c r="B795" s="15">
        <v>2009</v>
      </c>
      <c r="C795" s="15">
        <v>6</v>
      </c>
      <c r="D795" s="15">
        <v>8</v>
      </c>
      <c r="E795" s="14">
        <v>0.41666666666666669</v>
      </c>
      <c r="F795" s="11" t="s">
        <v>51</v>
      </c>
      <c r="G795" s="11">
        <v>168</v>
      </c>
      <c r="H795" s="15" t="s">
        <v>29</v>
      </c>
      <c r="I795" s="11">
        <v>17</v>
      </c>
      <c r="J795" s="11" t="s">
        <v>19</v>
      </c>
      <c r="K795" s="11" t="s">
        <v>41</v>
      </c>
      <c r="L795" s="11" t="s">
        <v>41</v>
      </c>
      <c r="M795" s="11" t="s">
        <v>46</v>
      </c>
      <c r="N795" s="11" t="s">
        <v>24</v>
      </c>
      <c r="O795" s="16" t="s">
        <v>81</v>
      </c>
      <c r="P795" s="45">
        <v>218</v>
      </c>
      <c r="Q795" s="11"/>
      <c r="R795">
        <v>15.67</v>
      </c>
      <c r="S795">
        <v>3850.99</v>
      </c>
      <c r="T795">
        <v>4.41</v>
      </c>
      <c r="U795">
        <v>11.26</v>
      </c>
      <c r="V795">
        <v>156.74</v>
      </c>
      <c r="W795" s="9"/>
      <c r="X795" s="8"/>
      <c r="Y795" s="8"/>
      <c r="Z795" s="8"/>
    </row>
    <row r="796" spans="1:26" ht="12.75" customHeight="1" x14ac:dyDescent="0.2">
      <c r="A796" s="15">
        <v>114</v>
      </c>
      <c r="B796" s="15">
        <v>2009</v>
      </c>
      <c r="C796" s="15">
        <v>6</v>
      </c>
      <c r="D796" s="15">
        <v>8</v>
      </c>
      <c r="E796" s="14">
        <v>0.41666666666666669</v>
      </c>
      <c r="F796" s="11" t="s">
        <v>51</v>
      </c>
      <c r="G796" s="11">
        <v>123</v>
      </c>
      <c r="H796" s="15" t="s">
        <v>29</v>
      </c>
      <c r="I796" s="11">
        <v>3</v>
      </c>
      <c r="J796" s="11" t="s">
        <v>32</v>
      </c>
      <c r="K796" s="11" t="s">
        <v>29</v>
      </c>
      <c r="L796" s="11" t="s">
        <v>29</v>
      </c>
      <c r="M796" s="11" t="s">
        <v>46</v>
      </c>
      <c r="N796" s="11" t="s">
        <v>24</v>
      </c>
      <c r="O796" s="16" t="s">
        <v>82</v>
      </c>
      <c r="P796" s="45">
        <v>218</v>
      </c>
      <c r="Q796" s="11"/>
      <c r="R796">
        <v>11.48</v>
      </c>
      <c r="S796">
        <v>1511.33</v>
      </c>
      <c r="T796">
        <v>1.99</v>
      </c>
      <c r="U796">
        <v>8.24</v>
      </c>
      <c r="V796">
        <v>114.76</v>
      </c>
      <c r="W796" s="9"/>
      <c r="X796" s="8"/>
      <c r="Y796" s="8"/>
      <c r="Z796" s="8"/>
    </row>
    <row r="797" spans="1:26" ht="12.75" customHeight="1" x14ac:dyDescent="0.2">
      <c r="A797" s="15">
        <v>115</v>
      </c>
      <c r="B797" s="15">
        <v>2009</v>
      </c>
      <c r="C797" s="15">
        <v>6</v>
      </c>
      <c r="D797" s="15">
        <v>8</v>
      </c>
      <c r="E797" s="14">
        <v>0.41666666666666669</v>
      </c>
      <c r="F797" s="11" t="s">
        <v>28</v>
      </c>
      <c r="G797" s="11" t="s">
        <v>29</v>
      </c>
      <c r="H797" s="15" t="s">
        <v>29</v>
      </c>
      <c r="I797" s="11" t="s">
        <v>29</v>
      </c>
      <c r="J797" s="11" t="s">
        <v>32</v>
      </c>
      <c r="K797" s="11" t="s">
        <v>29</v>
      </c>
      <c r="L797" s="11" t="s">
        <v>29</v>
      </c>
      <c r="M797" s="11" t="s">
        <v>46</v>
      </c>
      <c r="N797" s="11" t="s">
        <v>24</v>
      </c>
      <c r="O797" s="16" t="s">
        <v>83</v>
      </c>
      <c r="P797" s="45">
        <v>218</v>
      </c>
      <c r="Q797" s="11"/>
      <c r="W797" s="9"/>
      <c r="X797" s="8"/>
      <c r="Y797" s="8"/>
      <c r="Z797" s="8"/>
    </row>
    <row r="798" spans="1:26" ht="12.75" customHeight="1" x14ac:dyDescent="0.2">
      <c r="A798" s="15">
        <v>116</v>
      </c>
      <c r="B798" s="15">
        <v>2009</v>
      </c>
      <c r="C798" s="15">
        <v>6</v>
      </c>
      <c r="D798" s="15">
        <v>8</v>
      </c>
      <c r="E798" s="14">
        <v>0.41666666666666669</v>
      </c>
      <c r="F798" s="11" t="s">
        <v>51</v>
      </c>
      <c r="G798" s="11">
        <v>145</v>
      </c>
      <c r="H798" s="15" t="s">
        <v>29</v>
      </c>
      <c r="I798" s="11">
        <v>9</v>
      </c>
      <c r="J798" s="11" t="s">
        <v>19</v>
      </c>
      <c r="K798" s="11" t="s">
        <v>20</v>
      </c>
      <c r="L798" s="11" t="s">
        <v>30</v>
      </c>
      <c r="M798" s="11" t="s">
        <v>46</v>
      </c>
      <c r="N798" s="11" t="s">
        <v>25</v>
      </c>
      <c r="O798" s="16" t="s">
        <v>84</v>
      </c>
      <c r="P798" s="45">
        <v>218</v>
      </c>
      <c r="Q798" s="11"/>
      <c r="R798">
        <v>13.53</v>
      </c>
      <c r="S798">
        <v>2475.9899999999998</v>
      </c>
      <c r="T798">
        <v>3.63</v>
      </c>
      <c r="U798">
        <v>9.7200000000000006</v>
      </c>
      <c r="V798">
        <v>135.29</v>
      </c>
      <c r="W798" s="317">
        <v>4.5999999999999996</v>
      </c>
      <c r="X798" s="190">
        <f>I798*W798</f>
        <v>41.4</v>
      </c>
      <c r="Y798" s="8"/>
      <c r="Z798" s="8"/>
    </row>
    <row r="799" spans="1:26" ht="12.75" customHeight="1" x14ac:dyDescent="0.2">
      <c r="A799" s="15">
        <v>117</v>
      </c>
      <c r="B799" s="15">
        <v>2009</v>
      </c>
      <c r="C799" s="15">
        <v>6</v>
      </c>
      <c r="D799" s="15">
        <v>8</v>
      </c>
      <c r="E799" s="14">
        <v>0.56944444444444442</v>
      </c>
      <c r="F799" s="11" t="s">
        <v>51</v>
      </c>
      <c r="G799" s="11">
        <v>134</v>
      </c>
      <c r="H799" s="15" t="s">
        <v>29</v>
      </c>
      <c r="I799" s="11">
        <v>2.4</v>
      </c>
      <c r="J799" s="11" t="s">
        <v>32</v>
      </c>
      <c r="K799" s="11" t="s">
        <v>29</v>
      </c>
      <c r="L799" s="11" t="s">
        <v>29</v>
      </c>
      <c r="M799" s="11" t="s">
        <v>29</v>
      </c>
      <c r="N799" s="11" t="s">
        <v>24</v>
      </c>
      <c r="O799" s="16" t="s">
        <v>85</v>
      </c>
      <c r="P799" s="45">
        <v>218</v>
      </c>
      <c r="Q799" s="11"/>
      <c r="R799">
        <v>12.5</v>
      </c>
      <c r="S799">
        <v>1954.16</v>
      </c>
      <c r="T799">
        <v>1.23</v>
      </c>
      <c r="U799">
        <v>8.98</v>
      </c>
      <c r="V799">
        <v>125.02</v>
      </c>
      <c r="W799" s="9"/>
      <c r="X799" s="8"/>
      <c r="Y799" s="8"/>
      <c r="Z799" s="8"/>
    </row>
    <row r="800" spans="1:26" ht="12.75" customHeight="1" x14ac:dyDescent="0.2">
      <c r="A800" s="15">
        <v>118</v>
      </c>
      <c r="B800" s="15">
        <v>2009</v>
      </c>
      <c r="C800" s="15">
        <v>6</v>
      </c>
      <c r="D800" s="15">
        <v>8</v>
      </c>
      <c r="E800" s="14">
        <v>0.56944444444444442</v>
      </c>
      <c r="F800" s="11" t="s">
        <v>28</v>
      </c>
      <c r="G800" s="11" t="s">
        <v>29</v>
      </c>
      <c r="H800" s="15" t="s">
        <v>29</v>
      </c>
      <c r="I800" s="11" t="s">
        <v>29</v>
      </c>
      <c r="J800" s="11" t="s">
        <v>19</v>
      </c>
      <c r="K800" s="11" t="s">
        <v>20</v>
      </c>
      <c r="L800" s="11" t="s">
        <v>30</v>
      </c>
      <c r="M800" s="11" t="s">
        <v>29</v>
      </c>
      <c r="N800" s="11" t="s">
        <v>24</v>
      </c>
      <c r="O800" s="16" t="s">
        <v>86</v>
      </c>
      <c r="P800" s="45">
        <v>218</v>
      </c>
      <c r="Q800" s="11"/>
      <c r="W800" s="317">
        <v>4.5999999999999996</v>
      </c>
      <c r="X800" s="190"/>
      <c r="Y800" s="8"/>
      <c r="Z800" s="8"/>
    </row>
    <row r="801" spans="1:26" ht="12.75" customHeight="1" x14ac:dyDescent="0.2">
      <c r="A801" s="15">
        <v>119</v>
      </c>
      <c r="B801" s="15">
        <v>2009</v>
      </c>
      <c r="C801" s="15">
        <v>6</v>
      </c>
      <c r="D801" s="15">
        <v>8</v>
      </c>
      <c r="E801" s="14">
        <v>0.56944444444444442</v>
      </c>
      <c r="F801" s="11" t="s">
        <v>51</v>
      </c>
      <c r="G801" s="11">
        <v>149</v>
      </c>
      <c r="H801" s="15" t="s">
        <v>29</v>
      </c>
      <c r="I801" s="11">
        <v>8.5</v>
      </c>
      <c r="J801" s="11" t="s">
        <v>19</v>
      </c>
      <c r="K801" s="11" t="s">
        <v>20</v>
      </c>
      <c r="L801" s="11" t="s">
        <v>30</v>
      </c>
      <c r="M801" s="11" t="s">
        <v>46</v>
      </c>
      <c r="N801" s="11" t="s">
        <v>25</v>
      </c>
      <c r="O801" s="16" t="s">
        <v>87</v>
      </c>
      <c r="P801" s="45">
        <v>218</v>
      </c>
      <c r="Q801" s="11"/>
      <c r="R801">
        <v>13.9</v>
      </c>
      <c r="S801">
        <v>2686.6</v>
      </c>
      <c r="T801">
        <v>3.16</v>
      </c>
      <c r="U801">
        <v>9.98</v>
      </c>
      <c r="V801">
        <v>139.02000000000001</v>
      </c>
      <c r="W801" s="317">
        <v>4.5999999999999996</v>
      </c>
      <c r="X801" s="190">
        <f>I801*W801</f>
        <v>39.099999999999994</v>
      </c>
      <c r="Y801" s="8"/>
      <c r="Z801" s="8"/>
    </row>
    <row r="802" spans="1:26" ht="12.75" customHeight="1" x14ac:dyDescent="0.2">
      <c r="A802" s="15">
        <v>120</v>
      </c>
      <c r="B802" s="15">
        <v>2009</v>
      </c>
      <c r="C802" s="15">
        <v>6</v>
      </c>
      <c r="D802" s="15">
        <v>8</v>
      </c>
      <c r="E802" s="14">
        <v>0.56944444444444442</v>
      </c>
      <c r="F802" s="11" t="s">
        <v>51</v>
      </c>
      <c r="G802" s="11">
        <v>140</v>
      </c>
      <c r="H802" s="15" t="s">
        <v>29</v>
      </c>
      <c r="I802" s="11">
        <v>4.2</v>
      </c>
      <c r="J802" s="11" t="s">
        <v>32</v>
      </c>
      <c r="K802" s="11" t="s">
        <v>29</v>
      </c>
      <c r="L802" s="11" t="s">
        <v>29</v>
      </c>
      <c r="M802" s="11" t="s">
        <v>46</v>
      </c>
      <c r="N802" s="11" t="s">
        <v>29</v>
      </c>
      <c r="O802" s="16" t="s">
        <v>29</v>
      </c>
      <c r="P802" s="45">
        <v>218</v>
      </c>
      <c r="Q802" s="11"/>
      <c r="R802">
        <v>13.06</v>
      </c>
      <c r="S802">
        <v>2228.58</v>
      </c>
      <c r="T802">
        <v>1.88</v>
      </c>
      <c r="U802">
        <v>9.3800000000000008</v>
      </c>
      <c r="V802">
        <v>130.62</v>
      </c>
      <c r="W802" s="9"/>
      <c r="X802" s="8"/>
      <c r="Y802" s="8"/>
      <c r="Z802" s="8"/>
    </row>
    <row r="803" spans="1:26" ht="12.75" customHeight="1" x14ac:dyDescent="0.2">
      <c r="A803" s="15">
        <v>121</v>
      </c>
      <c r="B803" s="15">
        <v>2009</v>
      </c>
      <c r="C803" s="15">
        <v>6</v>
      </c>
      <c r="D803" s="15">
        <v>8</v>
      </c>
      <c r="E803" s="14">
        <v>0.56944444444444442</v>
      </c>
      <c r="F803" s="11" t="s">
        <v>51</v>
      </c>
      <c r="G803" s="11">
        <v>123</v>
      </c>
      <c r="H803" s="15" t="s">
        <v>29</v>
      </c>
      <c r="I803" s="11">
        <v>2.8</v>
      </c>
      <c r="J803" s="11" t="s">
        <v>32</v>
      </c>
      <c r="K803" s="11" t="s">
        <v>29</v>
      </c>
      <c r="L803" s="11" t="s">
        <v>29</v>
      </c>
      <c r="M803" s="11" t="s">
        <v>46</v>
      </c>
      <c r="N803" s="11" t="s">
        <v>24</v>
      </c>
      <c r="O803" s="16" t="s">
        <v>88</v>
      </c>
      <c r="P803" s="45">
        <v>218</v>
      </c>
      <c r="Q803" s="11"/>
      <c r="R803">
        <v>11.48</v>
      </c>
      <c r="S803">
        <v>1511.33</v>
      </c>
      <c r="T803">
        <v>1.85</v>
      </c>
      <c r="U803">
        <v>8.24</v>
      </c>
      <c r="V803">
        <v>114.76</v>
      </c>
      <c r="W803" s="9"/>
      <c r="X803" s="8"/>
      <c r="Y803" s="8"/>
      <c r="Z803" s="8"/>
    </row>
    <row r="804" spans="1:26" ht="12.75" customHeight="1" x14ac:dyDescent="0.2">
      <c r="A804" s="15">
        <v>122</v>
      </c>
      <c r="B804" s="15">
        <v>2009</v>
      </c>
      <c r="C804" s="15">
        <v>6</v>
      </c>
      <c r="D804" s="15">
        <v>8</v>
      </c>
      <c r="E804" s="14">
        <v>0.56944444444444442</v>
      </c>
      <c r="F804" s="11" t="s">
        <v>28</v>
      </c>
      <c r="G804" s="11" t="s">
        <v>29</v>
      </c>
      <c r="H804" s="15" t="s">
        <v>29</v>
      </c>
      <c r="I804" s="11" t="s">
        <v>29</v>
      </c>
      <c r="J804" s="11" t="s">
        <v>19</v>
      </c>
      <c r="K804" s="11" t="s">
        <v>20</v>
      </c>
      <c r="L804" s="11" t="s">
        <v>30</v>
      </c>
      <c r="M804" s="11" t="s">
        <v>29</v>
      </c>
      <c r="N804" s="11" t="s">
        <v>25</v>
      </c>
      <c r="O804" s="16" t="s">
        <v>89</v>
      </c>
      <c r="P804" s="45">
        <v>218</v>
      </c>
      <c r="Q804" s="11"/>
      <c r="W804" s="317">
        <v>4.5999999999999996</v>
      </c>
      <c r="X804" s="190"/>
      <c r="Y804" s="8"/>
      <c r="Z804" s="8"/>
    </row>
    <row r="805" spans="1:26" ht="12.75" customHeight="1" x14ac:dyDescent="0.2">
      <c r="A805" s="15">
        <v>123</v>
      </c>
      <c r="B805" s="15">
        <v>2009</v>
      </c>
      <c r="C805" s="15">
        <v>6</v>
      </c>
      <c r="D805" s="15">
        <v>8</v>
      </c>
      <c r="E805" s="14">
        <v>0.65277777777777779</v>
      </c>
      <c r="F805" s="11" t="s">
        <v>51</v>
      </c>
      <c r="G805" s="11">
        <v>114</v>
      </c>
      <c r="H805" s="15" t="s">
        <v>29</v>
      </c>
      <c r="I805" s="11">
        <v>2</v>
      </c>
      <c r="J805" s="11" t="s">
        <v>32</v>
      </c>
      <c r="K805" s="11" t="s">
        <v>29</v>
      </c>
      <c r="L805" s="11" t="s">
        <v>29</v>
      </c>
      <c r="M805" s="11" t="s">
        <v>46</v>
      </c>
      <c r="N805" s="11" t="s">
        <v>25</v>
      </c>
      <c r="O805" s="16" t="s">
        <v>90</v>
      </c>
      <c r="P805" s="45">
        <v>218</v>
      </c>
      <c r="Q805" s="11"/>
      <c r="R805">
        <v>10.64</v>
      </c>
      <c r="S805">
        <v>1203.26</v>
      </c>
      <c r="T805">
        <v>1.66</v>
      </c>
      <c r="U805">
        <v>7.64</v>
      </c>
      <c r="V805">
        <v>106.36</v>
      </c>
      <c r="W805" s="9"/>
      <c r="X805" s="8"/>
      <c r="Y805" s="8"/>
      <c r="Z805" s="8"/>
    </row>
    <row r="806" spans="1:26" ht="12.75" customHeight="1" x14ac:dyDescent="0.2">
      <c r="A806" s="15">
        <v>124</v>
      </c>
      <c r="B806" s="15">
        <v>2009</v>
      </c>
      <c r="C806" s="15">
        <v>6</v>
      </c>
      <c r="D806" s="15">
        <v>8</v>
      </c>
      <c r="E806" s="14">
        <v>0.65277777777777779</v>
      </c>
      <c r="F806" s="11" t="s">
        <v>51</v>
      </c>
      <c r="G806" s="11">
        <v>163</v>
      </c>
      <c r="H806" s="15" t="s">
        <v>29</v>
      </c>
      <c r="I806" s="11">
        <v>13.5</v>
      </c>
      <c r="J806" s="11" t="s">
        <v>19</v>
      </c>
      <c r="K806" s="11" t="s">
        <v>20</v>
      </c>
      <c r="L806" s="11" t="s">
        <v>30</v>
      </c>
      <c r="M806" s="11" t="s">
        <v>46</v>
      </c>
      <c r="N806" s="11" t="s">
        <v>25</v>
      </c>
      <c r="O806" s="16" t="s">
        <v>91</v>
      </c>
      <c r="P806" s="45">
        <v>218</v>
      </c>
      <c r="Q806" s="11"/>
      <c r="R806">
        <v>15.21</v>
      </c>
      <c r="S806">
        <v>3517.29</v>
      </c>
      <c r="T806">
        <v>3.84</v>
      </c>
      <c r="U806">
        <v>10.92</v>
      </c>
      <c r="V806">
        <v>152.08000000000001</v>
      </c>
      <c r="W806" s="317">
        <v>4.5999999999999996</v>
      </c>
      <c r="X806" s="190">
        <f>I806*W806</f>
        <v>62.099999999999994</v>
      </c>
      <c r="Y806" s="8"/>
      <c r="Z806" s="8"/>
    </row>
    <row r="807" spans="1:26" ht="12.75" customHeight="1" x14ac:dyDescent="0.2">
      <c r="A807" s="15">
        <v>87</v>
      </c>
      <c r="B807" s="15">
        <v>2009</v>
      </c>
      <c r="C807" s="15">
        <v>5</v>
      </c>
      <c r="D807" s="15">
        <v>8</v>
      </c>
      <c r="E807" s="14">
        <v>0.31944444444444448</v>
      </c>
      <c r="F807" s="11" t="s">
        <v>28</v>
      </c>
      <c r="G807" s="11" t="s">
        <v>29</v>
      </c>
      <c r="H807" s="15" t="s">
        <v>29</v>
      </c>
      <c r="I807" s="11" t="s">
        <v>29</v>
      </c>
      <c r="J807" s="11" t="s">
        <v>32</v>
      </c>
      <c r="K807" s="11" t="s">
        <v>29</v>
      </c>
      <c r="L807" s="11" t="s">
        <v>29</v>
      </c>
      <c r="M807" s="11" t="s">
        <v>29</v>
      </c>
      <c r="N807" s="11" t="s">
        <v>29</v>
      </c>
      <c r="O807" s="16" t="s">
        <v>92</v>
      </c>
      <c r="P807" s="45">
        <v>217</v>
      </c>
      <c r="Q807" s="11"/>
      <c r="W807" s="9"/>
      <c r="X807" s="8"/>
      <c r="Y807" s="8"/>
      <c r="Z807" s="8"/>
    </row>
    <row r="808" spans="1:26" ht="12.75" customHeight="1" x14ac:dyDescent="0.2">
      <c r="A808" s="15">
        <v>88</v>
      </c>
      <c r="B808" s="15">
        <v>2009</v>
      </c>
      <c r="C808" s="15">
        <v>5</v>
      </c>
      <c r="D808" s="15">
        <v>8</v>
      </c>
      <c r="E808" s="14">
        <v>0.31944444444444448</v>
      </c>
      <c r="F808" s="11" t="s">
        <v>51</v>
      </c>
      <c r="G808" s="11">
        <v>127</v>
      </c>
      <c r="H808" s="15" t="s">
        <v>29</v>
      </c>
      <c r="I808" s="11">
        <v>2</v>
      </c>
      <c r="J808" s="11" t="s">
        <v>32</v>
      </c>
      <c r="K808" s="11" t="s">
        <v>29</v>
      </c>
      <c r="L808" s="11" t="s">
        <v>29</v>
      </c>
      <c r="M808" s="11" t="s">
        <v>46</v>
      </c>
      <c r="N808" s="11" t="s">
        <v>24</v>
      </c>
      <c r="O808" s="16" t="s">
        <v>93</v>
      </c>
      <c r="P808" s="45">
        <v>217</v>
      </c>
      <c r="Q808" s="11"/>
      <c r="R808">
        <v>11.85</v>
      </c>
      <c r="S808">
        <v>1663.63</v>
      </c>
      <c r="T808">
        <v>1.2</v>
      </c>
      <c r="U808">
        <v>8.51</v>
      </c>
      <c r="V808">
        <v>118.49</v>
      </c>
      <c r="W808" s="9"/>
      <c r="X808" s="8"/>
      <c r="Y808" s="8"/>
      <c r="Z808" s="8"/>
    </row>
    <row r="809" spans="1:26" ht="12.75" customHeight="1" x14ac:dyDescent="0.2">
      <c r="A809" s="15">
        <v>89</v>
      </c>
      <c r="B809" s="15">
        <v>2009</v>
      </c>
      <c r="C809" s="15">
        <v>5</v>
      </c>
      <c r="D809" s="15">
        <v>8</v>
      </c>
      <c r="E809" s="14">
        <v>0.31944444444444448</v>
      </c>
      <c r="F809" s="11" t="s">
        <v>51</v>
      </c>
      <c r="G809" s="11">
        <v>113</v>
      </c>
      <c r="H809" s="15" t="s">
        <v>29</v>
      </c>
      <c r="I809" s="11">
        <v>1.6</v>
      </c>
      <c r="J809" s="11" t="s">
        <v>32</v>
      </c>
      <c r="K809" s="11" t="s">
        <v>29</v>
      </c>
      <c r="L809" s="11" t="s">
        <v>29</v>
      </c>
      <c r="M809" s="11" t="s">
        <v>46</v>
      </c>
      <c r="N809" s="11" t="s">
        <v>24</v>
      </c>
      <c r="O809" s="16" t="s">
        <v>94</v>
      </c>
      <c r="P809" s="45">
        <v>217</v>
      </c>
      <c r="Q809" s="11"/>
      <c r="R809">
        <v>10.54</v>
      </c>
      <c r="S809">
        <v>1171.8699999999999</v>
      </c>
      <c r="T809">
        <v>1.37</v>
      </c>
      <c r="U809">
        <v>7.57</v>
      </c>
      <c r="V809">
        <v>105.43</v>
      </c>
      <c r="W809" s="9"/>
      <c r="X809" s="8"/>
      <c r="Y809" s="8"/>
      <c r="Z809" s="8"/>
    </row>
    <row r="810" spans="1:26" ht="12.75" customHeight="1" x14ac:dyDescent="0.2">
      <c r="A810" s="15">
        <v>90</v>
      </c>
      <c r="B810" s="15">
        <v>2009</v>
      </c>
      <c r="C810" s="15">
        <v>5</v>
      </c>
      <c r="D810" s="15">
        <v>8</v>
      </c>
      <c r="E810" s="14">
        <v>0.31944444444444448</v>
      </c>
      <c r="F810" s="11" t="s">
        <v>51</v>
      </c>
      <c r="G810" s="11">
        <v>173</v>
      </c>
      <c r="H810" s="15" t="s">
        <v>29</v>
      </c>
      <c r="I810" s="11">
        <v>19</v>
      </c>
      <c r="J810" s="11" t="s">
        <v>19</v>
      </c>
      <c r="K810" s="11" t="s">
        <v>41</v>
      </c>
      <c r="L810" s="11" t="s">
        <v>41</v>
      </c>
      <c r="M810" s="11" t="s">
        <v>46</v>
      </c>
      <c r="N810" s="11" t="s">
        <v>25</v>
      </c>
      <c r="O810" s="16" t="s">
        <v>95</v>
      </c>
      <c r="P810" s="45">
        <v>217</v>
      </c>
      <c r="Q810" s="11"/>
      <c r="R810">
        <v>16.14</v>
      </c>
      <c r="S810">
        <v>4205.17</v>
      </c>
      <c r="T810">
        <v>4.5199999999999996</v>
      </c>
      <c r="U810">
        <v>11.59</v>
      </c>
      <c r="V810">
        <v>161.41</v>
      </c>
      <c r="W810" s="9"/>
      <c r="X810" s="8"/>
      <c r="Y810" s="8"/>
      <c r="Z810" s="8"/>
    </row>
    <row r="811" spans="1:26" ht="12.75" customHeight="1" x14ac:dyDescent="0.2">
      <c r="A811" s="15">
        <v>91</v>
      </c>
      <c r="B811" s="15">
        <v>2009</v>
      </c>
      <c r="C811" s="15">
        <v>5</v>
      </c>
      <c r="D811" s="15">
        <v>8</v>
      </c>
      <c r="E811" s="14">
        <v>0.31944444444444448</v>
      </c>
      <c r="F811" s="11" t="s">
        <v>51</v>
      </c>
      <c r="G811" s="11">
        <v>123</v>
      </c>
      <c r="H811" s="15" t="s">
        <v>29</v>
      </c>
      <c r="I811" s="11">
        <v>2.4</v>
      </c>
      <c r="J811" s="11" t="s">
        <v>32</v>
      </c>
      <c r="K811" s="11" t="s">
        <v>29</v>
      </c>
      <c r="L811" s="11" t="s">
        <v>29</v>
      </c>
      <c r="M811" s="11" t="s">
        <v>46</v>
      </c>
      <c r="N811" s="11" t="s">
        <v>24</v>
      </c>
      <c r="O811" s="16" t="s">
        <v>96</v>
      </c>
      <c r="P811" s="45">
        <v>217</v>
      </c>
      <c r="Q811" s="11"/>
      <c r="R811">
        <v>11.48</v>
      </c>
      <c r="S811">
        <v>1511.33</v>
      </c>
      <c r="T811">
        <v>1.59</v>
      </c>
      <c r="U811">
        <v>8.24</v>
      </c>
      <c r="V811">
        <v>114.76</v>
      </c>
      <c r="W811" s="9"/>
      <c r="X811" s="8"/>
      <c r="Y811" s="8"/>
      <c r="Z811" s="8"/>
    </row>
    <row r="812" spans="1:26" ht="12.75" customHeight="1" x14ac:dyDescent="0.2">
      <c r="A812" s="15">
        <v>92</v>
      </c>
      <c r="B812" s="15">
        <v>2009</v>
      </c>
      <c r="C812" s="15">
        <v>5</v>
      </c>
      <c r="D812" s="15">
        <v>8</v>
      </c>
      <c r="E812" s="14">
        <v>0.31944444444444448</v>
      </c>
      <c r="F812" s="11" t="s">
        <v>51</v>
      </c>
      <c r="G812" s="11">
        <v>132</v>
      </c>
      <c r="H812" s="15" t="s">
        <v>29</v>
      </c>
      <c r="I812" s="11">
        <v>3.2</v>
      </c>
      <c r="J812" s="11" t="s">
        <v>32</v>
      </c>
      <c r="K812" s="11" t="s">
        <v>29</v>
      </c>
      <c r="L812" s="11" t="s">
        <v>29</v>
      </c>
      <c r="M812" s="11" t="s">
        <v>46</v>
      </c>
      <c r="N812" s="11" t="s">
        <v>24</v>
      </c>
      <c r="O812" s="16" t="s">
        <v>29</v>
      </c>
      <c r="P812" s="45">
        <v>217</v>
      </c>
      <c r="Q812" s="11"/>
      <c r="R812">
        <v>12.32</v>
      </c>
      <c r="S812">
        <v>1867.96</v>
      </c>
      <c r="T812">
        <v>1.71</v>
      </c>
      <c r="U812">
        <v>8.84</v>
      </c>
      <c r="V812">
        <v>123.16</v>
      </c>
      <c r="W812" s="9"/>
      <c r="X812" s="8"/>
      <c r="Y812" s="8"/>
      <c r="Z812" s="8"/>
    </row>
    <row r="813" spans="1:26" ht="12.75" customHeight="1" x14ac:dyDescent="0.2">
      <c r="A813" s="15">
        <v>93</v>
      </c>
      <c r="B813" s="15">
        <v>2009</v>
      </c>
      <c r="C813" s="15">
        <v>5</v>
      </c>
      <c r="D813" s="15">
        <v>8</v>
      </c>
      <c r="E813" s="14">
        <v>0.31944444444444448</v>
      </c>
      <c r="F813" s="11" t="s">
        <v>51</v>
      </c>
      <c r="G813" s="11">
        <v>125</v>
      </c>
      <c r="H813" s="15" t="s">
        <v>29</v>
      </c>
      <c r="I813" s="11">
        <v>2.2999999999999998</v>
      </c>
      <c r="J813" s="11" t="s">
        <v>32</v>
      </c>
      <c r="K813" s="11" t="s">
        <v>29</v>
      </c>
      <c r="L813" s="11" t="s">
        <v>29</v>
      </c>
      <c r="M813" s="11" t="s">
        <v>46</v>
      </c>
      <c r="N813" s="11" t="s">
        <v>24</v>
      </c>
      <c r="O813" s="16" t="s">
        <v>29</v>
      </c>
      <c r="P813" s="45">
        <v>217</v>
      </c>
      <c r="Q813" s="11"/>
      <c r="R813">
        <v>11.66</v>
      </c>
      <c r="S813">
        <v>1586.26</v>
      </c>
      <c r="T813">
        <v>1.45</v>
      </c>
      <c r="U813">
        <v>8.3800000000000008</v>
      </c>
      <c r="V813">
        <v>116.63</v>
      </c>
      <c r="W813" s="9"/>
      <c r="X813" s="8"/>
      <c r="Y813" s="8"/>
      <c r="Z813" s="8"/>
    </row>
    <row r="814" spans="1:26" ht="12.75" customHeight="1" x14ac:dyDescent="0.2">
      <c r="A814" s="15">
        <v>94</v>
      </c>
      <c r="B814" s="15">
        <v>2009</v>
      </c>
      <c r="C814" s="15">
        <v>5</v>
      </c>
      <c r="D814" s="15">
        <v>8</v>
      </c>
      <c r="E814" s="14">
        <v>0.53472222222222221</v>
      </c>
      <c r="F814" s="11" t="s">
        <v>51</v>
      </c>
      <c r="G814" s="11">
        <v>124</v>
      </c>
      <c r="H814" s="15" t="s">
        <v>29</v>
      </c>
      <c r="I814" s="11">
        <v>2.2000000000000002</v>
      </c>
      <c r="J814" s="11" t="s">
        <v>32</v>
      </c>
      <c r="K814" s="11" t="s">
        <v>29</v>
      </c>
      <c r="L814" s="11" t="s">
        <v>29</v>
      </c>
      <c r="M814" s="11" t="s">
        <v>46</v>
      </c>
      <c r="N814" s="11" t="s">
        <v>24</v>
      </c>
      <c r="O814" s="16" t="s">
        <v>97</v>
      </c>
      <c r="P814" s="45">
        <v>217</v>
      </c>
      <c r="Q814" s="11"/>
      <c r="R814">
        <v>11.57</v>
      </c>
      <c r="S814">
        <v>1548.5</v>
      </c>
      <c r="T814">
        <v>1.42</v>
      </c>
      <c r="U814">
        <v>8.31</v>
      </c>
      <c r="V814">
        <v>115.69</v>
      </c>
      <c r="W814" s="9"/>
      <c r="X814" s="8"/>
      <c r="Y814" s="8"/>
      <c r="Z814" s="8"/>
    </row>
    <row r="815" spans="1:26" ht="12.75" customHeight="1" x14ac:dyDescent="0.2">
      <c r="A815" s="15">
        <v>95</v>
      </c>
      <c r="B815" s="15">
        <v>2009</v>
      </c>
      <c r="C815" s="15">
        <v>5</v>
      </c>
      <c r="D815" s="15">
        <v>8</v>
      </c>
      <c r="E815" s="14">
        <v>0.53472222222222221</v>
      </c>
      <c r="F815" s="11" t="s">
        <v>51</v>
      </c>
      <c r="G815" s="11">
        <v>164</v>
      </c>
      <c r="H815" s="15" t="s">
        <v>29</v>
      </c>
      <c r="I815" s="11">
        <v>7.5</v>
      </c>
      <c r="J815" s="11" t="s">
        <v>19</v>
      </c>
      <c r="K815" s="11" t="s">
        <v>20</v>
      </c>
      <c r="L815" s="11" t="s">
        <v>21</v>
      </c>
      <c r="M815" s="11" t="s">
        <v>46</v>
      </c>
      <c r="N815" s="11" t="s">
        <v>23</v>
      </c>
      <c r="O815" s="16" t="s">
        <v>98</v>
      </c>
      <c r="P815" s="45">
        <v>217</v>
      </c>
      <c r="Q815" s="11"/>
      <c r="R815">
        <v>15.3</v>
      </c>
      <c r="S815">
        <v>3582.42</v>
      </c>
      <c r="T815">
        <v>2.09</v>
      </c>
      <c r="U815">
        <v>10.99</v>
      </c>
      <c r="V815">
        <v>153.01</v>
      </c>
      <c r="W815" s="317">
        <v>3.9</v>
      </c>
      <c r="X815" s="190">
        <f>I815*W815</f>
        <v>29.25</v>
      </c>
      <c r="Y815" s="8"/>
      <c r="Z815" s="8"/>
    </row>
    <row r="816" spans="1:26" ht="12.75" customHeight="1" x14ac:dyDescent="0.2">
      <c r="A816" s="15">
        <v>96</v>
      </c>
      <c r="B816" s="15">
        <v>2009</v>
      </c>
      <c r="C816" s="15">
        <v>5</v>
      </c>
      <c r="D816" s="15">
        <v>8</v>
      </c>
      <c r="E816" s="14">
        <v>0.53472222222222221</v>
      </c>
      <c r="F816" s="11" t="s">
        <v>51</v>
      </c>
      <c r="G816" s="11">
        <v>130</v>
      </c>
      <c r="H816" s="15" t="s">
        <v>29</v>
      </c>
      <c r="I816" s="11">
        <v>2.8</v>
      </c>
      <c r="J816" s="11" t="s">
        <v>32</v>
      </c>
      <c r="K816" s="11" t="s">
        <v>29</v>
      </c>
      <c r="L816" s="11" t="s">
        <v>29</v>
      </c>
      <c r="M816" s="11" t="s">
        <v>46</v>
      </c>
      <c r="N816" s="11" t="s">
        <v>24</v>
      </c>
      <c r="O816" s="16" t="s">
        <v>99</v>
      </c>
      <c r="P816" s="45">
        <v>217</v>
      </c>
      <c r="Q816" s="11"/>
      <c r="R816">
        <v>12.13</v>
      </c>
      <c r="S816">
        <v>1784.33</v>
      </c>
      <c r="T816">
        <v>1.57</v>
      </c>
      <c r="U816">
        <v>8.7100000000000009</v>
      </c>
      <c r="V816">
        <v>121.29</v>
      </c>
      <c r="W816" s="9"/>
      <c r="X816" s="8"/>
      <c r="Y816" s="8"/>
      <c r="Z816" s="8"/>
    </row>
    <row r="817" spans="1:26" ht="12.75" customHeight="1" x14ac:dyDescent="0.2">
      <c r="A817" s="15">
        <v>97</v>
      </c>
      <c r="B817" s="15">
        <v>2009</v>
      </c>
      <c r="C817" s="15">
        <v>5</v>
      </c>
      <c r="D817" s="15">
        <v>8</v>
      </c>
      <c r="E817" s="14">
        <v>0.53472222222222221</v>
      </c>
      <c r="F817" s="11" t="s">
        <v>51</v>
      </c>
      <c r="G817" s="11">
        <v>135</v>
      </c>
      <c r="H817" s="15" t="s">
        <v>29</v>
      </c>
      <c r="I817" s="11">
        <v>3</v>
      </c>
      <c r="J817" s="11" t="s">
        <v>32</v>
      </c>
      <c r="K817" s="11" t="s">
        <v>29</v>
      </c>
      <c r="L817" s="11" t="s">
        <v>29</v>
      </c>
      <c r="M817" s="11" t="s">
        <v>46</v>
      </c>
      <c r="N817" s="11" t="s">
        <v>24</v>
      </c>
      <c r="O817" s="16" t="s">
        <v>100</v>
      </c>
      <c r="P817" s="45">
        <v>217</v>
      </c>
      <c r="Q817" s="11"/>
      <c r="R817">
        <v>12.6</v>
      </c>
      <c r="S817">
        <v>1998.23</v>
      </c>
      <c r="T817">
        <v>1.5</v>
      </c>
      <c r="U817">
        <v>9.0500000000000007</v>
      </c>
      <c r="V817">
        <v>125.96</v>
      </c>
      <c r="W817" s="9"/>
      <c r="X817" s="8"/>
      <c r="Y817" s="8"/>
      <c r="Z817" s="8"/>
    </row>
    <row r="818" spans="1:26" ht="12.75" customHeight="1" x14ac:dyDescent="0.2">
      <c r="A818" s="15">
        <v>98</v>
      </c>
      <c r="B818" s="15">
        <v>2009</v>
      </c>
      <c r="C818" s="15">
        <v>5</v>
      </c>
      <c r="D818" s="15">
        <v>8</v>
      </c>
      <c r="E818" s="14">
        <v>0.53472222222222221</v>
      </c>
      <c r="F818" s="11" t="s">
        <v>51</v>
      </c>
      <c r="G818" s="11">
        <v>123</v>
      </c>
      <c r="H818" s="15" t="s">
        <v>29</v>
      </c>
      <c r="I818" s="11">
        <v>2.9</v>
      </c>
      <c r="J818" s="11" t="s">
        <v>32</v>
      </c>
      <c r="K818" s="11" t="s">
        <v>29</v>
      </c>
      <c r="L818" s="11" t="s">
        <v>29</v>
      </c>
      <c r="M818" s="11" t="s">
        <v>46</v>
      </c>
      <c r="N818" s="11" t="s">
        <v>24</v>
      </c>
      <c r="O818" s="16" t="s">
        <v>101</v>
      </c>
      <c r="P818" s="45">
        <v>217</v>
      </c>
      <c r="Q818" s="11"/>
      <c r="R818">
        <v>11.48</v>
      </c>
      <c r="S818">
        <v>1511.33</v>
      </c>
      <c r="T818">
        <v>1.92</v>
      </c>
      <c r="U818">
        <v>8.24</v>
      </c>
      <c r="V818">
        <v>114.76</v>
      </c>
      <c r="W818" s="9"/>
      <c r="X818" s="8"/>
      <c r="Y818" s="8"/>
      <c r="Z818" s="8"/>
    </row>
    <row r="819" spans="1:26" ht="12.75" customHeight="1" x14ac:dyDescent="0.2">
      <c r="A819" s="15">
        <v>99</v>
      </c>
      <c r="B819" s="15">
        <v>2009</v>
      </c>
      <c r="C819" s="15">
        <v>5</v>
      </c>
      <c r="D819" s="15">
        <v>8</v>
      </c>
      <c r="E819" s="14">
        <v>0.53472222222222221</v>
      </c>
      <c r="F819" s="11" t="s">
        <v>51</v>
      </c>
      <c r="G819" s="11">
        <v>145</v>
      </c>
      <c r="H819" s="15" t="s">
        <v>29</v>
      </c>
      <c r="I819" s="11">
        <v>7</v>
      </c>
      <c r="J819" s="11" t="s">
        <v>19</v>
      </c>
      <c r="K819" s="11" t="s">
        <v>20</v>
      </c>
      <c r="L819" s="11" t="s">
        <v>21</v>
      </c>
      <c r="M819" s="11" t="s">
        <v>45</v>
      </c>
      <c r="N819" s="11" t="s">
        <v>24</v>
      </c>
      <c r="O819" s="16" t="s">
        <v>102</v>
      </c>
      <c r="P819" s="45">
        <v>217</v>
      </c>
      <c r="Q819" s="11"/>
      <c r="R819">
        <v>13.53</v>
      </c>
      <c r="S819">
        <v>2475.9899999999998</v>
      </c>
      <c r="T819">
        <v>2.83</v>
      </c>
      <c r="U819">
        <v>9.7200000000000006</v>
      </c>
      <c r="V819">
        <v>135.29</v>
      </c>
      <c r="W819" s="317">
        <v>3.9</v>
      </c>
      <c r="X819" s="190">
        <f>I819*W819</f>
        <v>27.3</v>
      </c>
      <c r="Y819" s="8"/>
      <c r="Z819" s="8"/>
    </row>
    <row r="820" spans="1:26" ht="12.75" customHeight="1" x14ac:dyDescent="0.2">
      <c r="A820" s="15">
        <v>100</v>
      </c>
      <c r="B820" s="15">
        <v>2009</v>
      </c>
      <c r="C820" s="15">
        <v>5</v>
      </c>
      <c r="D820" s="15">
        <v>8</v>
      </c>
      <c r="E820" s="14">
        <v>0.53472222222222221</v>
      </c>
      <c r="F820" s="11" t="s">
        <v>51</v>
      </c>
      <c r="G820" s="11">
        <v>126</v>
      </c>
      <c r="H820" s="15" t="s">
        <v>29</v>
      </c>
      <c r="I820" s="11">
        <v>2.7</v>
      </c>
      <c r="J820" s="11" t="s">
        <v>32</v>
      </c>
      <c r="K820" s="11" t="s">
        <v>29</v>
      </c>
      <c r="L820" s="11" t="s">
        <v>29</v>
      </c>
      <c r="M820" s="11" t="s">
        <v>29</v>
      </c>
      <c r="N820" s="11" t="s">
        <v>24</v>
      </c>
      <c r="O820" s="16" t="s">
        <v>103</v>
      </c>
      <c r="P820" s="45">
        <v>217</v>
      </c>
      <c r="Q820" s="11"/>
      <c r="R820">
        <v>11.76</v>
      </c>
      <c r="S820">
        <v>1624.64</v>
      </c>
      <c r="T820">
        <v>1.66</v>
      </c>
      <c r="U820">
        <v>8.44</v>
      </c>
      <c r="V820">
        <v>117.56</v>
      </c>
      <c r="W820" s="8"/>
      <c r="X820" s="8"/>
      <c r="Y820" s="8"/>
      <c r="Z820" s="8"/>
    </row>
    <row r="821" spans="1:26" ht="12.75" customHeight="1" x14ac:dyDescent="0.2">
      <c r="A821" s="15">
        <v>101</v>
      </c>
      <c r="B821" s="15">
        <v>2009</v>
      </c>
      <c r="C821" s="15">
        <v>5</v>
      </c>
      <c r="D821" s="15">
        <v>8</v>
      </c>
      <c r="E821" s="14">
        <v>0.53472222222222221</v>
      </c>
      <c r="F821" s="11" t="s">
        <v>51</v>
      </c>
      <c r="G821" s="11">
        <v>115</v>
      </c>
      <c r="H821" s="15" t="s">
        <v>29</v>
      </c>
      <c r="I821" s="11" t="s">
        <v>29</v>
      </c>
      <c r="J821" s="11" t="s">
        <v>32</v>
      </c>
      <c r="K821" s="11" t="s">
        <v>29</v>
      </c>
      <c r="L821" s="11" t="s">
        <v>29</v>
      </c>
      <c r="M821" s="11" t="s">
        <v>46</v>
      </c>
      <c r="N821" s="11" t="s">
        <v>24</v>
      </c>
      <c r="O821" s="16" t="s">
        <v>104</v>
      </c>
      <c r="P821" s="45">
        <v>217</v>
      </c>
      <c r="Q821" s="11"/>
      <c r="R821">
        <v>10.73</v>
      </c>
      <c r="S821">
        <v>1235.2</v>
      </c>
      <c r="U821">
        <v>7.71</v>
      </c>
      <c r="V821">
        <v>107.3</v>
      </c>
      <c r="W821" s="8"/>
      <c r="X821" s="8"/>
      <c r="Y821" s="8"/>
      <c r="Z821" s="8"/>
    </row>
    <row r="822" spans="1:26" ht="12.75" customHeight="1" x14ac:dyDescent="0.2">
      <c r="A822" s="15">
        <v>102</v>
      </c>
      <c r="B822" s="15">
        <v>2009</v>
      </c>
      <c r="C822" s="15">
        <v>5</v>
      </c>
      <c r="D822" s="15">
        <v>8</v>
      </c>
      <c r="E822" s="14">
        <v>0.53472222222222221</v>
      </c>
      <c r="F822" s="11" t="s">
        <v>51</v>
      </c>
      <c r="G822" s="11">
        <v>133</v>
      </c>
      <c r="H822" s="15" t="s">
        <v>29</v>
      </c>
      <c r="I822" s="11">
        <v>2.8</v>
      </c>
      <c r="J822" s="11" t="s">
        <v>32</v>
      </c>
      <c r="K822" s="11" t="s">
        <v>29</v>
      </c>
      <c r="L822" s="11" t="s">
        <v>29</v>
      </c>
      <c r="M822" s="11" t="s">
        <v>46</v>
      </c>
      <c r="N822" s="11" t="s">
        <v>24</v>
      </c>
      <c r="O822" s="16" t="s">
        <v>29</v>
      </c>
      <c r="P822" s="45">
        <v>217</v>
      </c>
      <c r="Q822" s="11"/>
      <c r="R822">
        <v>12.41</v>
      </c>
      <c r="S822">
        <v>1910.73</v>
      </c>
      <c r="T822">
        <v>1.47</v>
      </c>
      <c r="U822">
        <v>8.91</v>
      </c>
      <c r="V822">
        <v>124.09</v>
      </c>
      <c r="W822" s="8"/>
      <c r="X822" s="8"/>
      <c r="Y822" s="8"/>
      <c r="Z822" s="8"/>
    </row>
    <row r="823" spans="1:26" ht="12.75" customHeight="1" x14ac:dyDescent="0.2">
      <c r="A823" s="15">
        <v>103</v>
      </c>
      <c r="B823" s="15">
        <v>2009</v>
      </c>
      <c r="C823" s="15">
        <v>5</v>
      </c>
      <c r="D823" s="15">
        <v>8</v>
      </c>
      <c r="E823" s="14">
        <v>0.53472222222222221</v>
      </c>
      <c r="F823" s="11" t="s">
        <v>51</v>
      </c>
      <c r="G823" s="11" t="s">
        <v>29</v>
      </c>
      <c r="H823" s="15" t="s">
        <v>29</v>
      </c>
      <c r="I823" s="11" t="s">
        <v>29</v>
      </c>
      <c r="J823" s="11" t="s">
        <v>32</v>
      </c>
      <c r="K823" s="11" t="s">
        <v>29</v>
      </c>
      <c r="L823" s="11" t="s">
        <v>29</v>
      </c>
      <c r="M823" s="11" t="s">
        <v>46</v>
      </c>
      <c r="N823" s="11" t="s">
        <v>24</v>
      </c>
      <c r="O823" s="16" t="s">
        <v>105</v>
      </c>
      <c r="P823" s="45">
        <v>217</v>
      </c>
      <c r="Q823" s="11"/>
      <c r="W823" s="8"/>
      <c r="X823" s="8"/>
      <c r="Y823" s="8"/>
      <c r="Z823" s="8"/>
    </row>
    <row r="824" spans="1:26" ht="12.75" customHeight="1" x14ac:dyDescent="0.2">
      <c r="A824" s="15">
        <v>79</v>
      </c>
      <c r="B824" s="15">
        <v>2009</v>
      </c>
      <c r="C824" s="15">
        <v>4</v>
      </c>
      <c r="D824" s="15">
        <v>8</v>
      </c>
      <c r="E824" s="14">
        <v>0.47916666666666669</v>
      </c>
      <c r="F824" s="11" t="s">
        <v>51</v>
      </c>
      <c r="G824" s="11">
        <v>108</v>
      </c>
      <c r="H824" s="15" t="s">
        <v>29</v>
      </c>
      <c r="I824" s="11">
        <v>1.5</v>
      </c>
      <c r="J824" s="11" t="s">
        <v>32</v>
      </c>
      <c r="K824" s="11" t="s">
        <v>29</v>
      </c>
      <c r="L824" s="11" t="s">
        <v>29</v>
      </c>
      <c r="M824" s="11" t="s">
        <v>46</v>
      </c>
      <c r="N824" s="11" t="s">
        <v>25</v>
      </c>
      <c r="O824" s="16" t="s">
        <v>106</v>
      </c>
      <c r="P824" s="45">
        <v>216</v>
      </c>
      <c r="Q824" s="11"/>
      <c r="R824">
        <v>10.08</v>
      </c>
      <c r="S824">
        <v>1023.1</v>
      </c>
      <c r="T824">
        <v>1.47</v>
      </c>
      <c r="U824">
        <v>7.24</v>
      </c>
      <c r="V824">
        <v>100.76</v>
      </c>
      <c r="W824" s="8"/>
      <c r="X824" s="8"/>
      <c r="Y824" s="8"/>
      <c r="Z824" s="8"/>
    </row>
    <row r="825" spans="1:26" ht="12.75" customHeight="1" x14ac:dyDescent="0.2">
      <c r="A825" s="15">
        <v>80</v>
      </c>
      <c r="B825" s="15">
        <v>2009</v>
      </c>
      <c r="C825" s="15">
        <v>4</v>
      </c>
      <c r="D825" s="15">
        <v>8</v>
      </c>
      <c r="E825" s="14">
        <v>0.47916666666666669</v>
      </c>
      <c r="F825" s="11" t="s">
        <v>51</v>
      </c>
      <c r="G825" s="11">
        <v>126</v>
      </c>
      <c r="H825" s="15" t="s">
        <v>29</v>
      </c>
      <c r="I825" s="11">
        <v>2</v>
      </c>
      <c r="J825" s="11" t="s">
        <v>32</v>
      </c>
      <c r="K825" s="11" t="s">
        <v>29</v>
      </c>
      <c r="L825" s="11" t="s">
        <v>29</v>
      </c>
      <c r="M825" s="11" t="s">
        <v>45</v>
      </c>
      <c r="N825" s="11" t="s">
        <v>24</v>
      </c>
      <c r="O825" s="16" t="s">
        <v>29</v>
      </c>
      <c r="P825" s="45">
        <v>216</v>
      </c>
      <c r="Q825" s="11"/>
      <c r="R825">
        <v>11.76</v>
      </c>
      <c r="S825">
        <v>1624.64</v>
      </c>
      <c r="T825">
        <v>1.23</v>
      </c>
      <c r="U825">
        <v>8.44</v>
      </c>
      <c r="V825">
        <v>117.56</v>
      </c>
      <c r="W825" s="8"/>
      <c r="X825" s="8"/>
      <c r="Y825" s="8"/>
      <c r="Z825" s="8"/>
    </row>
    <row r="826" spans="1:26" ht="12.75" customHeight="1" x14ac:dyDescent="0.2">
      <c r="A826" s="15">
        <v>81</v>
      </c>
      <c r="B826" s="15">
        <v>2009</v>
      </c>
      <c r="C826" s="15">
        <v>4</v>
      </c>
      <c r="D826" s="15">
        <v>8</v>
      </c>
      <c r="E826" s="14">
        <v>0.47916666666666669</v>
      </c>
      <c r="F826" s="11" t="s">
        <v>51</v>
      </c>
      <c r="G826" s="11">
        <v>156</v>
      </c>
      <c r="H826" s="15" t="s">
        <v>29</v>
      </c>
      <c r="I826" s="11">
        <v>13.5</v>
      </c>
      <c r="J826" s="11" t="s">
        <v>19</v>
      </c>
      <c r="K826" s="11" t="s">
        <v>20</v>
      </c>
      <c r="L826" s="11" t="s">
        <v>30</v>
      </c>
      <c r="M826" s="11" t="s">
        <v>46</v>
      </c>
      <c r="N826" s="11" t="s">
        <v>24</v>
      </c>
      <c r="O826" s="16" t="s">
        <v>29</v>
      </c>
      <c r="P826" s="45">
        <v>216</v>
      </c>
      <c r="Q826" s="11"/>
      <c r="R826">
        <v>14.55</v>
      </c>
      <c r="S826">
        <v>3083.32</v>
      </c>
      <c r="T826">
        <v>4.38</v>
      </c>
      <c r="U826">
        <v>10.45</v>
      </c>
      <c r="V826">
        <v>145.55000000000001</v>
      </c>
      <c r="W826" s="317">
        <v>4.5999999999999996</v>
      </c>
      <c r="X826" s="190">
        <f>I826*W826</f>
        <v>62.099999999999994</v>
      </c>
      <c r="Y826" s="8"/>
      <c r="Z826" s="8"/>
    </row>
    <row r="827" spans="1:26" ht="12.75" customHeight="1" x14ac:dyDescent="0.2">
      <c r="A827" s="15">
        <v>82</v>
      </c>
      <c r="B827" s="15">
        <v>2009</v>
      </c>
      <c r="C827" s="15">
        <v>4</v>
      </c>
      <c r="D827" s="15">
        <v>8</v>
      </c>
      <c r="E827" s="14">
        <v>0.47916666666666669</v>
      </c>
      <c r="F827" s="11" t="s">
        <v>51</v>
      </c>
      <c r="G827" s="11">
        <v>117</v>
      </c>
      <c r="H827" s="15" t="s">
        <v>29</v>
      </c>
      <c r="I827" s="11">
        <v>2</v>
      </c>
      <c r="J827" s="11" t="s">
        <v>32</v>
      </c>
      <c r="K827" s="11" t="s">
        <v>29</v>
      </c>
      <c r="L827" s="11" t="s">
        <v>29</v>
      </c>
      <c r="M827" s="11" t="s">
        <v>45</v>
      </c>
      <c r="N827" s="11" t="s">
        <v>25</v>
      </c>
      <c r="O827" s="16" t="s">
        <v>107</v>
      </c>
      <c r="P827" s="45">
        <v>216</v>
      </c>
      <c r="Q827" s="11"/>
      <c r="R827">
        <v>10.92</v>
      </c>
      <c r="S827">
        <v>1300.78</v>
      </c>
      <c r="T827">
        <v>1.54</v>
      </c>
      <c r="U827">
        <v>7.84</v>
      </c>
      <c r="V827">
        <v>109.16</v>
      </c>
      <c r="W827" s="8"/>
      <c r="X827" s="8"/>
      <c r="Y827" s="8"/>
      <c r="Z827" s="8"/>
    </row>
    <row r="828" spans="1:26" ht="12.75" customHeight="1" x14ac:dyDescent="0.2">
      <c r="A828" s="15">
        <v>83</v>
      </c>
      <c r="B828" s="15">
        <v>2009</v>
      </c>
      <c r="C828" s="15">
        <v>4</v>
      </c>
      <c r="D828" s="15">
        <v>8</v>
      </c>
      <c r="E828" s="14">
        <v>0.47916666666666669</v>
      </c>
      <c r="F828" s="11" t="s">
        <v>51</v>
      </c>
      <c r="G828" s="11">
        <v>180</v>
      </c>
      <c r="H828" s="15" t="s">
        <v>29</v>
      </c>
      <c r="I828" s="11">
        <v>17.5</v>
      </c>
      <c r="J828" s="11" t="s">
        <v>19</v>
      </c>
      <c r="K828" s="11" t="s">
        <v>20</v>
      </c>
      <c r="L828" s="11" t="s">
        <v>30</v>
      </c>
      <c r="M828" s="11" t="s">
        <v>46</v>
      </c>
      <c r="N828" s="11" t="s">
        <v>108</v>
      </c>
      <c r="O828" s="16" t="s">
        <v>109</v>
      </c>
      <c r="P828" s="45">
        <v>216</v>
      </c>
      <c r="Q828" s="11"/>
      <c r="R828">
        <v>16.79</v>
      </c>
      <c r="S828">
        <v>4736.55</v>
      </c>
      <c r="T828">
        <v>3.69</v>
      </c>
      <c r="U828">
        <v>12.06</v>
      </c>
      <c r="V828">
        <v>167.94</v>
      </c>
      <c r="W828" s="317">
        <v>4.5999999999999996</v>
      </c>
      <c r="X828" s="190">
        <f>I828*W828</f>
        <v>80.5</v>
      </c>
      <c r="Y828" s="8"/>
      <c r="Z828" s="8"/>
    </row>
    <row r="829" spans="1:26" ht="12.75" customHeight="1" x14ac:dyDescent="0.2">
      <c r="A829" s="15">
        <v>84</v>
      </c>
      <c r="B829" s="15">
        <v>2009</v>
      </c>
      <c r="C829" s="15">
        <v>4</v>
      </c>
      <c r="D829" s="15">
        <v>8</v>
      </c>
      <c r="E829" s="14">
        <v>0.47916666666666669</v>
      </c>
      <c r="F829" s="11" t="s">
        <v>28</v>
      </c>
      <c r="G829" s="11" t="s">
        <v>29</v>
      </c>
      <c r="H829" s="15" t="s">
        <v>29</v>
      </c>
      <c r="I829" s="11" t="s">
        <v>29</v>
      </c>
      <c r="J829" s="11" t="s">
        <v>19</v>
      </c>
      <c r="K829" s="11" t="s">
        <v>20</v>
      </c>
      <c r="L829" s="11" t="s">
        <v>30</v>
      </c>
      <c r="M829" s="11" t="s">
        <v>29</v>
      </c>
      <c r="N829" s="11" t="s">
        <v>29</v>
      </c>
      <c r="O829" s="16" t="s">
        <v>110</v>
      </c>
      <c r="P829" s="45">
        <v>216</v>
      </c>
      <c r="Q829" s="11"/>
      <c r="W829" s="317">
        <v>4.5999999999999996</v>
      </c>
      <c r="X829" s="190"/>
      <c r="Y829" s="8"/>
      <c r="Z829" s="8"/>
    </row>
    <row r="830" spans="1:26" ht="12.75" customHeight="1" x14ac:dyDescent="0.2">
      <c r="A830" s="15">
        <v>85</v>
      </c>
      <c r="B830" s="15">
        <v>2009</v>
      </c>
      <c r="C830" s="15">
        <v>4</v>
      </c>
      <c r="D830" s="15">
        <v>8</v>
      </c>
      <c r="E830" s="14">
        <v>0.47916666666666669</v>
      </c>
      <c r="F830" s="11" t="s">
        <v>51</v>
      </c>
      <c r="G830" s="11">
        <v>173</v>
      </c>
      <c r="H830" s="15" t="s">
        <v>29</v>
      </c>
      <c r="I830" s="11">
        <v>19.5</v>
      </c>
      <c r="J830" s="11" t="s">
        <v>19</v>
      </c>
      <c r="K830" s="11" t="s">
        <v>41</v>
      </c>
      <c r="L830" s="11" t="s">
        <v>41</v>
      </c>
      <c r="M830" s="11" t="s">
        <v>46</v>
      </c>
      <c r="N830" s="11" t="s">
        <v>25</v>
      </c>
      <c r="O830" s="16" t="s">
        <v>29</v>
      </c>
      <c r="P830" s="45">
        <v>216</v>
      </c>
      <c r="Q830" s="11"/>
      <c r="R830">
        <v>16.14</v>
      </c>
      <c r="S830">
        <v>4205.17</v>
      </c>
      <c r="T830">
        <v>4.6399999999999997</v>
      </c>
      <c r="U830">
        <v>11.59</v>
      </c>
      <c r="V830">
        <v>161.41</v>
      </c>
      <c r="W830" s="8"/>
      <c r="X830" s="8"/>
      <c r="Y830" s="8"/>
      <c r="Z830" s="8"/>
    </row>
    <row r="831" spans="1:26" ht="12.75" customHeight="1" x14ac:dyDescent="0.2">
      <c r="A831" s="15">
        <v>86</v>
      </c>
      <c r="B831" s="15">
        <v>2009</v>
      </c>
      <c r="C831" s="15">
        <v>4</v>
      </c>
      <c r="D831" s="15">
        <v>8</v>
      </c>
      <c r="E831" s="14">
        <v>0.53125</v>
      </c>
      <c r="F831" s="11" t="s">
        <v>51</v>
      </c>
      <c r="G831" s="11">
        <v>125</v>
      </c>
      <c r="H831" s="15" t="s">
        <v>29</v>
      </c>
      <c r="I831" s="11">
        <v>3</v>
      </c>
      <c r="J831" s="11" t="s">
        <v>32</v>
      </c>
      <c r="K831" s="11" t="s">
        <v>29</v>
      </c>
      <c r="L831" s="11" t="s">
        <v>29</v>
      </c>
      <c r="M831" s="11" t="s">
        <v>46</v>
      </c>
      <c r="N831" s="11" t="s">
        <v>25</v>
      </c>
      <c r="O831" s="16" t="s">
        <v>111</v>
      </c>
      <c r="P831" s="45">
        <v>216</v>
      </c>
      <c r="Q831" s="11"/>
      <c r="R831">
        <v>11.66</v>
      </c>
      <c r="S831">
        <v>1586.26</v>
      </c>
      <c r="T831">
        <v>1.89</v>
      </c>
      <c r="U831">
        <v>8.3800000000000008</v>
      </c>
      <c r="V831">
        <v>116.63</v>
      </c>
      <c r="W831" s="8"/>
      <c r="X831" s="8"/>
      <c r="Y831" s="8"/>
      <c r="Z831" s="8"/>
    </row>
    <row r="832" spans="1:26" ht="12.75" customHeight="1" x14ac:dyDescent="0.2">
      <c r="A832" s="15">
        <v>54</v>
      </c>
      <c r="B832" s="15">
        <v>2009</v>
      </c>
      <c r="C832" s="15">
        <v>3</v>
      </c>
      <c r="D832" s="15">
        <v>8</v>
      </c>
      <c r="E832" s="14">
        <v>0.40277777777777773</v>
      </c>
      <c r="F832" s="11" t="s">
        <v>51</v>
      </c>
      <c r="G832" s="11">
        <v>120</v>
      </c>
      <c r="H832" s="15" t="s">
        <v>29</v>
      </c>
      <c r="I832" s="11">
        <v>2.2000000000000002</v>
      </c>
      <c r="J832" s="11" t="s">
        <v>32</v>
      </c>
      <c r="K832" s="11" t="s">
        <v>29</v>
      </c>
      <c r="L832" s="11" t="s">
        <v>29</v>
      </c>
      <c r="M832" s="11" t="s">
        <v>46</v>
      </c>
      <c r="N832" s="11" t="s">
        <v>24</v>
      </c>
      <c r="O832" s="16" t="s">
        <v>29</v>
      </c>
      <c r="P832" s="45">
        <v>215</v>
      </c>
      <c r="Q832" s="11"/>
      <c r="R832">
        <v>11.2</v>
      </c>
      <c r="S832">
        <v>1403.42</v>
      </c>
      <c r="T832">
        <v>1.57</v>
      </c>
      <c r="U832">
        <v>8.0399999999999991</v>
      </c>
      <c r="V832">
        <v>111.96</v>
      </c>
      <c r="W832" s="8"/>
      <c r="X832" s="8"/>
      <c r="Y832" s="8"/>
      <c r="Z832" s="8"/>
    </row>
    <row r="833" spans="1:26" ht="12.75" customHeight="1" x14ac:dyDescent="0.2">
      <c r="A833" s="15">
        <v>55</v>
      </c>
      <c r="B833" s="15">
        <v>2009</v>
      </c>
      <c r="C833" s="15">
        <v>3</v>
      </c>
      <c r="D833" s="15">
        <v>8</v>
      </c>
      <c r="E833" s="14">
        <v>0.40277777777777773</v>
      </c>
      <c r="F833" s="11" t="s">
        <v>51</v>
      </c>
      <c r="G833" s="11">
        <v>164</v>
      </c>
      <c r="H833" s="15" t="s">
        <v>29</v>
      </c>
      <c r="I833" s="11">
        <v>16.5</v>
      </c>
      <c r="J833" s="11" t="s">
        <v>19</v>
      </c>
      <c r="K833" s="11" t="s">
        <v>20</v>
      </c>
      <c r="L833" s="11" t="s">
        <v>30</v>
      </c>
      <c r="M833" s="11" t="s">
        <v>46</v>
      </c>
      <c r="N833" s="11" t="s">
        <v>23</v>
      </c>
      <c r="O833" s="16" t="s">
        <v>112</v>
      </c>
      <c r="P833" s="45">
        <v>215</v>
      </c>
      <c r="Q833" s="11"/>
      <c r="R833">
        <v>15.3</v>
      </c>
      <c r="S833">
        <v>3582.42</v>
      </c>
      <c r="T833">
        <v>4.6100000000000003</v>
      </c>
      <c r="U833">
        <v>10.99</v>
      </c>
      <c r="V833">
        <v>153.01</v>
      </c>
      <c r="W833" s="317">
        <v>4.5999999999999996</v>
      </c>
      <c r="X833" s="190">
        <f>I833*W833</f>
        <v>75.899999999999991</v>
      </c>
      <c r="Y833" s="8"/>
      <c r="Z833" s="8"/>
    </row>
    <row r="834" spans="1:26" ht="12.75" customHeight="1" x14ac:dyDescent="0.2">
      <c r="A834" s="15">
        <v>56</v>
      </c>
      <c r="B834" s="15">
        <v>2009</v>
      </c>
      <c r="C834" s="15">
        <v>3</v>
      </c>
      <c r="D834" s="15">
        <v>8</v>
      </c>
      <c r="E834" s="14">
        <v>0.40277777777777773</v>
      </c>
      <c r="F834" s="11" t="s">
        <v>51</v>
      </c>
      <c r="G834" s="11">
        <v>123</v>
      </c>
      <c r="H834" s="15" t="s">
        <v>29</v>
      </c>
      <c r="I834" s="11">
        <v>2.5</v>
      </c>
      <c r="J834" s="11" t="s">
        <v>32</v>
      </c>
      <c r="K834" s="11" t="s">
        <v>29</v>
      </c>
      <c r="L834" s="11" t="s">
        <v>29</v>
      </c>
      <c r="M834" s="11" t="s">
        <v>46</v>
      </c>
      <c r="N834" s="11" t="s">
        <v>24</v>
      </c>
      <c r="O834" s="16" t="s">
        <v>29</v>
      </c>
      <c r="P834" s="45">
        <v>215</v>
      </c>
      <c r="Q834" s="11"/>
      <c r="R834">
        <v>11.48</v>
      </c>
      <c r="S834">
        <v>1511.33</v>
      </c>
      <c r="T834">
        <v>1.65</v>
      </c>
      <c r="U834">
        <v>8.24</v>
      </c>
      <c r="V834">
        <v>114.76</v>
      </c>
      <c r="W834" s="8"/>
      <c r="X834" s="8"/>
      <c r="Y834" s="8"/>
      <c r="Z834" s="8"/>
    </row>
    <row r="835" spans="1:26" ht="12.75" customHeight="1" x14ac:dyDescent="0.2">
      <c r="A835" s="15">
        <v>57</v>
      </c>
      <c r="B835" s="15">
        <v>2009</v>
      </c>
      <c r="C835" s="15">
        <v>3</v>
      </c>
      <c r="D835" s="15">
        <v>8</v>
      </c>
      <c r="E835" s="14">
        <v>0.40277777777777773</v>
      </c>
      <c r="F835" s="11" t="s">
        <v>51</v>
      </c>
      <c r="G835" s="11">
        <v>126</v>
      </c>
      <c r="H835" s="15" t="s">
        <v>29</v>
      </c>
      <c r="I835" s="11">
        <v>2.5</v>
      </c>
      <c r="J835" s="11" t="s">
        <v>32</v>
      </c>
      <c r="K835" s="11" t="s">
        <v>29</v>
      </c>
      <c r="L835" s="11" t="s">
        <v>29</v>
      </c>
      <c r="M835" s="11" t="s">
        <v>46</v>
      </c>
      <c r="N835" s="11" t="s">
        <v>24</v>
      </c>
      <c r="O835" s="16" t="s">
        <v>29</v>
      </c>
      <c r="P835" s="45">
        <v>215</v>
      </c>
      <c r="Q835" s="11"/>
      <c r="R835">
        <v>11.76</v>
      </c>
      <c r="S835">
        <v>1624.64</v>
      </c>
      <c r="T835">
        <v>1.54</v>
      </c>
      <c r="U835">
        <v>8.44</v>
      </c>
      <c r="V835">
        <v>117.56</v>
      </c>
      <c r="W835" s="8"/>
      <c r="X835" s="8"/>
      <c r="Y835" s="8"/>
      <c r="Z835" s="8"/>
    </row>
    <row r="836" spans="1:26" ht="12.75" customHeight="1" x14ac:dyDescent="0.2">
      <c r="A836" s="15">
        <v>58</v>
      </c>
      <c r="B836" s="15">
        <v>2009</v>
      </c>
      <c r="C836" s="15">
        <v>3</v>
      </c>
      <c r="D836" s="15">
        <v>8</v>
      </c>
      <c r="E836" s="14">
        <v>0.40277777777777773</v>
      </c>
      <c r="F836" s="11" t="s">
        <v>51</v>
      </c>
      <c r="G836" s="11">
        <v>162</v>
      </c>
      <c r="H836" s="15" t="s">
        <v>29</v>
      </c>
      <c r="I836" s="11">
        <v>12.5</v>
      </c>
      <c r="J836" s="11" t="s">
        <v>19</v>
      </c>
      <c r="K836" s="11" t="s">
        <v>20</v>
      </c>
      <c r="L836" s="11" t="s">
        <v>30</v>
      </c>
      <c r="M836" s="11" t="s">
        <v>46</v>
      </c>
      <c r="N836" s="11" t="s">
        <v>23</v>
      </c>
      <c r="O836" s="16" t="s">
        <v>113</v>
      </c>
      <c r="P836" s="45">
        <v>215</v>
      </c>
      <c r="Q836" s="11"/>
      <c r="R836">
        <v>15.11</v>
      </c>
      <c r="S836">
        <v>3452.95</v>
      </c>
      <c r="T836">
        <v>3.62</v>
      </c>
      <c r="U836">
        <v>10.85</v>
      </c>
      <c r="V836">
        <v>151.15</v>
      </c>
      <c r="W836" s="317">
        <v>4.5999999999999996</v>
      </c>
      <c r="X836" s="190">
        <f>I836*W836</f>
        <v>57.499999999999993</v>
      </c>
      <c r="Y836" s="8"/>
      <c r="Z836" s="8"/>
    </row>
    <row r="837" spans="1:26" ht="12.75" customHeight="1" x14ac:dyDescent="0.2">
      <c r="A837" s="15">
        <v>59</v>
      </c>
      <c r="B837" s="15">
        <v>2009</v>
      </c>
      <c r="C837" s="15">
        <v>3</v>
      </c>
      <c r="D837" s="15">
        <v>8</v>
      </c>
      <c r="E837" s="14">
        <v>0.40277777777777773</v>
      </c>
      <c r="F837" s="11" t="s">
        <v>51</v>
      </c>
      <c r="G837" s="11">
        <v>175</v>
      </c>
      <c r="H837" s="15" t="s">
        <v>29</v>
      </c>
      <c r="I837" s="11">
        <v>17.5</v>
      </c>
      <c r="J837" s="11" t="s">
        <v>19</v>
      </c>
      <c r="K837" s="11" t="s">
        <v>20</v>
      </c>
      <c r="L837" s="11" t="s">
        <v>30</v>
      </c>
      <c r="M837" s="11" t="s">
        <v>46</v>
      </c>
      <c r="N837" s="11" t="s">
        <v>24</v>
      </c>
      <c r="O837" s="16" t="s">
        <v>114</v>
      </c>
      <c r="P837" s="45">
        <v>215</v>
      </c>
      <c r="Q837" s="11"/>
      <c r="R837">
        <v>16.329999999999998</v>
      </c>
      <c r="S837">
        <v>4352.7</v>
      </c>
      <c r="T837">
        <v>4.0199999999999996</v>
      </c>
      <c r="U837">
        <v>11.73</v>
      </c>
      <c r="V837">
        <v>163.28</v>
      </c>
      <c r="W837" s="317">
        <v>4.5999999999999996</v>
      </c>
      <c r="X837" s="190">
        <f>I837*W837</f>
        <v>80.5</v>
      </c>
      <c r="Y837" s="8"/>
      <c r="Z837" s="8"/>
    </row>
    <row r="838" spans="1:26" ht="12.75" customHeight="1" x14ac:dyDescent="0.2">
      <c r="A838" s="15">
        <v>60</v>
      </c>
      <c r="B838" s="15">
        <v>2009</v>
      </c>
      <c r="C838" s="15">
        <v>3</v>
      </c>
      <c r="D838" s="15">
        <v>8</v>
      </c>
      <c r="E838" s="14">
        <v>0.40277777777777773</v>
      </c>
      <c r="F838" s="11" t="s">
        <v>51</v>
      </c>
      <c r="G838" s="11">
        <v>126</v>
      </c>
      <c r="H838" s="15" t="s">
        <v>29</v>
      </c>
      <c r="I838" s="11">
        <v>2</v>
      </c>
      <c r="J838" s="11" t="s">
        <v>32</v>
      </c>
      <c r="K838" s="11" t="s">
        <v>29</v>
      </c>
      <c r="L838" s="11" t="s">
        <v>29</v>
      </c>
      <c r="M838" s="11" t="s">
        <v>46</v>
      </c>
      <c r="N838" s="11" t="s">
        <v>24</v>
      </c>
      <c r="O838" s="16" t="s">
        <v>115</v>
      </c>
      <c r="P838" s="45">
        <v>215</v>
      </c>
      <c r="Q838" s="8"/>
      <c r="R838">
        <v>11.76</v>
      </c>
      <c r="S838">
        <v>1624.64</v>
      </c>
      <c r="T838">
        <v>1.23</v>
      </c>
      <c r="U838">
        <v>8.44</v>
      </c>
      <c r="V838">
        <v>117.56</v>
      </c>
      <c r="W838" s="8"/>
      <c r="X838" s="8"/>
      <c r="Y838" s="8"/>
      <c r="Z838" s="8"/>
    </row>
    <row r="839" spans="1:26" ht="12.75" customHeight="1" x14ac:dyDescent="0.2">
      <c r="A839" s="15">
        <v>61</v>
      </c>
      <c r="B839" s="15">
        <v>2009</v>
      </c>
      <c r="C839" s="15">
        <v>3</v>
      </c>
      <c r="D839" s="15">
        <v>8</v>
      </c>
      <c r="E839" s="14">
        <v>0.40277777777777773</v>
      </c>
      <c r="F839" s="11" t="s">
        <v>28</v>
      </c>
      <c r="G839" s="11" t="s">
        <v>29</v>
      </c>
      <c r="H839" s="15" t="s">
        <v>29</v>
      </c>
      <c r="I839" s="11" t="s">
        <v>29</v>
      </c>
      <c r="J839" s="11" t="s">
        <v>19</v>
      </c>
      <c r="K839" s="11" t="s">
        <v>20</v>
      </c>
      <c r="L839" s="11" t="s">
        <v>30</v>
      </c>
      <c r="M839" s="11" t="s">
        <v>29</v>
      </c>
      <c r="N839" s="11" t="s">
        <v>29</v>
      </c>
      <c r="O839" s="16" t="s">
        <v>29</v>
      </c>
      <c r="P839" s="45">
        <v>215</v>
      </c>
      <c r="Q839" s="11"/>
      <c r="W839" s="317">
        <v>4.5999999999999996</v>
      </c>
      <c r="X839" s="190"/>
      <c r="Y839" s="8"/>
      <c r="Z839" s="8"/>
    </row>
    <row r="840" spans="1:26" ht="12.75" customHeight="1" x14ac:dyDescent="0.2">
      <c r="A840" s="15">
        <v>62</v>
      </c>
      <c r="B840" s="15">
        <v>2009</v>
      </c>
      <c r="C840" s="15">
        <v>3</v>
      </c>
      <c r="D840" s="15">
        <v>8</v>
      </c>
      <c r="E840" s="14">
        <v>0.40277777777777773</v>
      </c>
      <c r="F840" s="11" t="s">
        <v>51</v>
      </c>
      <c r="G840" s="11">
        <v>127</v>
      </c>
      <c r="H840" s="15" t="s">
        <v>29</v>
      </c>
      <c r="I840" s="11">
        <v>6.5</v>
      </c>
      <c r="J840" s="11" t="s">
        <v>19</v>
      </c>
      <c r="K840" s="11" t="s">
        <v>20</v>
      </c>
      <c r="L840" s="11" t="s">
        <v>21</v>
      </c>
      <c r="M840" s="11" t="s">
        <v>46</v>
      </c>
      <c r="N840" s="11" t="s">
        <v>24</v>
      </c>
      <c r="O840" s="16" t="s">
        <v>116</v>
      </c>
      <c r="P840" s="45">
        <v>215</v>
      </c>
      <c r="Q840" s="11"/>
      <c r="R840">
        <v>11.85</v>
      </c>
      <c r="S840">
        <v>1663.63</v>
      </c>
      <c r="T840">
        <v>3.91</v>
      </c>
      <c r="U840">
        <v>8.51</v>
      </c>
      <c r="V840">
        <v>118.49</v>
      </c>
      <c r="W840" s="317">
        <v>3.9</v>
      </c>
      <c r="X840" s="190">
        <f t="shared" ref="X840:X845" si="32">I840*W840</f>
        <v>25.349999999999998</v>
      </c>
      <c r="Y840" s="8"/>
      <c r="Z840" s="8"/>
    </row>
    <row r="841" spans="1:26" ht="12.75" customHeight="1" x14ac:dyDescent="0.2">
      <c r="A841" s="15">
        <v>63</v>
      </c>
      <c r="B841" s="15">
        <v>2009</v>
      </c>
      <c r="C841" s="15">
        <v>3</v>
      </c>
      <c r="D841" s="15">
        <v>8</v>
      </c>
      <c r="E841" s="14">
        <v>0.40277777777777773</v>
      </c>
      <c r="F841" s="11" t="s">
        <v>51</v>
      </c>
      <c r="G841" s="11">
        <v>160</v>
      </c>
      <c r="H841" s="15" t="s">
        <v>29</v>
      </c>
      <c r="I841" s="11">
        <v>14.5</v>
      </c>
      <c r="J841" s="11" t="s">
        <v>19</v>
      </c>
      <c r="K841" s="11" t="s">
        <v>20</v>
      </c>
      <c r="L841" s="11" t="s">
        <v>30</v>
      </c>
      <c r="M841" s="11" t="s">
        <v>46</v>
      </c>
      <c r="N841" s="11" t="s">
        <v>24</v>
      </c>
      <c r="O841" s="16" t="s">
        <v>117</v>
      </c>
      <c r="P841" s="45">
        <v>215</v>
      </c>
      <c r="Q841" s="11"/>
      <c r="R841">
        <v>14.93</v>
      </c>
      <c r="S841">
        <v>3326.63</v>
      </c>
      <c r="T841">
        <v>4.3600000000000003</v>
      </c>
      <c r="U841">
        <v>10.72</v>
      </c>
      <c r="V841">
        <v>149.28</v>
      </c>
      <c r="W841" s="317">
        <v>4.5999999999999996</v>
      </c>
      <c r="X841" s="190">
        <f t="shared" si="32"/>
        <v>66.699999999999989</v>
      </c>
      <c r="Y841" s="8"/>
      <c r="Z841" s="8"/>
    </row>
    <row r="842" spans="1:26" ht="12.75" customHeight="1" x14ac:dyDescent="0.2">
      <c r="A842" s="15">
        <v>64</v>
      </c>
      <c r="B842" s="15">
        <v>2009</v>
      </c>
      <c r="C842" s="15">
        <v>3</v>
      </c>
      <c r="D842" s="15">
        <v>8</v>
      </c>
      <c r="E842" s="14">
        <v>0.40277777777777773</v>
      </c>
      <c r="F842" s="11" t="s">
        <v>51</v>
      </c>
      <c r="G842" s="11">
        <v>170</v>
      </c>
      <c r="H842" s="15" t="s">
        <v>29</v>
      </c>
      <c r="I842" s="11">
        <v>13</v>
      </c>
      <c r="J842" s="11" t="s">
        <v>19</v>
      </c>
      <c r="K842" s="11" t="s">
        <v>20</v>
      </c>
      <c r="L842" s="11" t="s">
        <v>21</v>
      </c>
      <c r="M842" s="11" t="s">
        <v>47</v>
      </c>
      <c r="N842" s="11" t="s">
        <v>24</v>
      </c>
      <c r="O842" s="16" t="s">
        <v>29</v>
      </c>
      <c r="P842" s="45">
        <v>215</v>
      </c>
      <c r="Q842" s="11"/>
      <c r="R842">
        <v>15.86</v>
      </c>
      <c r="S842">
        <v>3990.17</v>
      </c>
      <c r="T842">
        <v>3.26</v>
      </c>
      <c r="U842">
        <v>11.39</v>
      </c>
      <c r="V842">
        <v>158.61000000000001</v>
      </c>
      <c r="W842" s="317">
        <v>3.9</v>
      </c>
      <c r="X842" s="190">
        <f t="shared" si="32"/>
        <v>50.699999999999996</v>
      </c>
      <c r="Y842" s="8"/>
      <c r="Z842" s="8"/>
    </row>
    <row r="843" spans="1:26" ht="12.75" customHeight="1" x14ac:dyDescent="0.2">
      <c r="A843" s="15">
        <v>65</v>
      </c>
      <c r="B843" s="15">
        <v>2009</v>
      </c>
      <c r="C843" s="15">
        <v>3</v>
      </c>
      <c r="D843" s="15">
        <v>8</v>
      </c>
      <c r="E843" s="14">
        <v>0.40277777777777773</v>
      </c>
      <c r="F843" s="11" t="s">
        <v>51</v>
      </c>
      <c r="G843" s="11">
        <v>176</v>
      </c>
      <c r="H843" s="15" t="s">
        <v>29</v>
      </c>
      <c r="I843" s="11">
        <v>14.5</v>
      </c>
      <c r="J843" s="11" t="s">
        <v>19</v>
      </c>
      <c r="K843" s="11" t="s">
        <v>20</v>
      </c>
      <c r="L843" s="11" t="s">
        <v>21</v>
      </c>
      <c r="M843" s="11" t="s">
        <v>29</v>
      </c>
      <c r="N843" s="11" t="s">
        <v>25</v>
      </c>
      <c r="O843" s="16" t="s">
        <v>118</v>
      </c>
      <c r="P843" s="45">
        <v>215</v>
      </c>
      <c r="Q843" s="11"/>
      <c r="R843">
        <v>16.420000000000002</v>
      </c>
      <c r="S843">
        <v>4427.75</v>
      </c>
      <c r="T843">
        <v>3.27</v>
      </c>
      <c r="U843">
        <v>11.79</v>
      </c>
      <c r="V843">
        <v>164.21</v>
      </c>
      <c r="W843" s="317">
        <v>3.9</v>
      </c>
      <c r="X843" s="190">
        <f t="shared" si="32"/>
        <v>56.55</v>
      </c>
      <c r="Y843" s="8"/>
      <c r="Z843" s="8"/>
    </row>
    <row r="844" spans="1:26" ht="12.75" customHeight="1" x14ac:dyDescent="0.2">
      <c r="A844" s="15">
        <v>66</v>
      </c>
      <c r="B844" s="15">
        <v>2009</v>
      </c>
      <c r="C844" s="15">
        <v>3</v>
      </c>
      <c r="D844" s="15">
        <v>8</v>
      </c>
      <c r="E844" s="14">
        <v>0.40277777777777773</v>
      </c>
      <c r="F844" s="11" t="s">
        <v>51</v>
      </c>
      <c r="G844" s="11">
        <v>180</v>
      </c>
      <c r="H844" s="15" t="s">
        <v>29</v>
      </c>
      <c r="I844" s="11">
        <v>19.5</v>
      </c>
      <c r="J844" s="11" t="s">
        <v>19</v>
      </c>
      <c r="K844" s="11" t="s">
        <v>20</v>
      </c>
      <c r="L844" s="11" t="s">
        <v>30</v>
      </c>
      <c r="M844" s="11" t="s">
        <v>46</v>
      </c>
      <c r="N844" s="11" t="s">
        <v>23</v>
      </c>
      <c r="O844" s="16" t="s">
        <v>119</v>
      </c>
      <c r="P844" s="45">
        <v>215</v>
      </c>
      <c r="Q844" s="11"/>
      <c r="R844">
        <v>16.79</v>
      </c>
      <c r="S844">
        <v>4736.55</v>
      </c>
      <c r="T844">
        <v>4.12</v>
      </c>
      <c r="U844">
        <v>12.06</v>
      </c>
      <c r="V844">
        <v>167.94</v>
      </c>
      <c r="W844" s="317">
        <v>4.5999999999999996</v>
      </c>
      <c r="X844" s="190">
        <f t="shared" si="32"/>
        <v>89.699999999999989</v>
      </c>
      <c r="Y844" s="8"/>
      <c r="Z844" s="8"/>
    </row>
    <row r="845" spans="1:26" ht="12.75" customHeight="1" x14ac:dyDescent="0.2">
      <c r="A845" s="15">
        <v>67</v>
      </c>
      <c r="B845" s="15">
        <v>2009</v>
      </c>
      <c r="C845" s="15">
        <v>3</v>
      </c>
      <c r="D845" s="15">
        <v>8</v>
      </c>
      <c r="E845" s="14">
        <v>0.41666666666666669</v>
      </c>
      <c r="F845" s="11" t="s">
        <v>51</v>
      </c>
      <c r="G845" s="11">
        <v>174</v>
      </c>
      <c r="H845" s="15" t="s">
        <v>29</v>
      </c>
      <c r="I845" s="11">
        <v>17.2</v>
      </c>
      <c r="J845" s="11" t="s">
        <v>19</v>
      </c>
      <c r="K845" s="11" t="s">
        <v>20</v>
      </c>
      <c r="L845" s="11" t="s">
        <v>30</v>
      </c>
      <c r="M845" s="11" t="s">
        <v>120</v>
      </c>
      <c r="N845" s="11" t="s">
        <v>24</v>
      </c>
      <c r="O845" s="16" t="s">
        <v>121</v>
      </c>
      <c r="P845" s="45">
        <v>215</v>
      </c>
      <c r="Q845" s="11"/>
      <c r="R845">
        <v>16.23</v>
      </c>
      <c r="S845">
        <v>4278.51</v>
      </c>
      <c r="T845">
        <v>4.0199999999999996</v>
      </c>
      <c r="U845">
        <v>11.66</v>
      </c>
      <c r="V845">
        <v>162.34</v>
      </c>
      <c r="W845" s="317">
        <v>4.5999999999999996</v>
      </c>
      <c r="X845" s="190">
        <f t="shared" si="32"/>
        <v>79.11999999999999</v>
      </c>
      <c r="Y845" s="8"/>
      <c r="Z845" s="8"/>
    </row>
    <row r="846" spans="1:26" ht="12.75" customHeight="1" x14ac:dyDescent="0.2">
      <c r="A846" s="15">
        <v>68</v>
      </c>
      <c r="B846" s="15">
        <v>2009</v>
      </c>
      <c r="C846" s="15">
        <v>3</v>
      </c>
      <c r="D846" s="15">
        <v>8</v>
      </c>
      <c r="E846" s="14">
        <v>0.41666666666666669</v>
      </c>
      <c r="F846" s="11" t="s">
        <v>51</v>
      </c>
      <c r="G846" s="11">
        <v>123</v>
      </c>
      <c r="H846" s="15" t="s">
        <v>29</v>
      </c>
      <c r="I846" s="11">
        <v>2.2999999999999998</v>
      </c>
      <c r="J846" s="11" t="s">
        <v>32</v>
      </c>
      <c r="K846" s="11" t="s">
        <v>29</v>
      </c>
      <c r="L846" s="11" t="s">
        <v>29</v>
      </c>
      <c r="M846" s="11" t="s">
        <v>29</v>
      </c>
      <c r="N846" s="11" t="s">
        <v>25</v>
      </c>
      <c r="O846" s="16" t="s">
        <v>29</v>
      </c>
      <c r="P846" s="45">
        <v>215</v>
      </c>
      <c r="Q846" s="11"/>
      <c r="R846">
        <v>11.48</v>
      </c>
      <c r="S846">
        <v>1511.33</v>
      </c>
      <c r="T846">
        <v>1.52</v>
      </c>
      <c r="U846">
        <v>8.24</v>
      </c>
      <c r="V846">
        <v>114.76</v>
      </c>
      <c r="W846" s="8"/>
      <c r="X846" s="8"/>
      <c r="Y846" s="8"/>
      <c r="Z846" s="8"/>
    </row>
    <row r="847" spans="1:26" ht="12.75" customHeight="1" x14ac:dyDescent="0.2">
      <c r="A847" s="15">
        <v>69</v>
      </c>
      <c r="B847" s="15">
        <v>2009</v>
      </c>
      <c r="C847" s="15">
        <v>3</v>
      </c>
      <c r="D847" s="15">
        <v>8</v>
      </c>
      <c r="E847" s="14">
        <v>0.41666666666666669</v>
      </c>
      <c r="F847" s="11" t="s">
        <v>51</v>
      </c>
      <c r="G847" s="11">
        <v>117</v>
      </c>
      <c r="H847" s="15" t="s">
        <v>29</v>
      </c>
      <c r="I847" s="11">
        <v>1.5</v>
      </c>
      <c r="J847" s="11" t="s">
        <v>32</v>
      </c>
      <c r="K847" s="11" t="s">
        <v>29</v>
      </c>
      <c r="L847" s="11" t="s">
        <v>29</v>
      </c>
      <c r="M847" s="11" t="s">
        <v>29</v>
      </c>
      <c r="N847" s="11" t="s">
        <v>29</v>
      </c>
      <c r="O847" s="16" t="s">
        <v>29</v>
      </c>
      <c r="P847" s="45">
        <v>215</v>
      </c>
      <c r="Q847" s="11"/>
      <c r="R847">
        <v>10.92</v>
      </c>
      <c r="S847">
        <v>1300.78</v>
      </c>
      <c r="T847">
        <v>1.1499999999999999</v>
      </c>
      <c r="U847">
        <v>7.84</v>
      </c>
      <c r="V847">
        <v>109.16</v>
      </c>
      <c r="W847" s="8"/>
      <c r="X847" s="8"/>
      <c r="Y847" s="8"/>
      <c r="Z847" s="8"/>
    </row>
    <row r="848" spans="1:26" ht="12.75" customHeight="1" x14ac:dyDescent="0.2">
      <c r="A848" s="15">
        <v>70</v>
      </c>
      <c r="B848" s="15">
        <v>2009</v>
      </c>
      <c r="C848" s="15">
        <v>3</v>
      </c>
      <c r="D848" s="15">
        <v>8</v>
      </c>
      <c r="E848" s="14">
        <v>0.41666666666666669</v>
      </c>
      <c r="F848" s="11" t="s">
        <v>51</v>
      </c>
      <c r="G848" s="11">
        <v>167</v>
      </c>
      <c r="H848" s="15" t="s">
        <v>29</v>
      </c>
      <c r="I848" s="11">
        <v>15.5</v>
      </c>
      <c r="J848" s="11" t="s">
        <v>19</v>
      </c>
      <c r="K848" s="11" t="s">
        <v>20</v>
      </c>
      <c r="L848" s="11" t="s">
        <v>30</v>
      </c>
      <c r="M848" s="11" t="s">
        <v>47</v>
      </c>
      <c r="N848" s="11" t="s">
        <v>29</v>
      </c>
      <c r="O848" s="16" t="s">
        <v>122</v>
      </c>
      <c r="P848" s="45">
        <v>215</v>
      </c>
      <c r="Q848" s="11"/>
      <c r="R848">
        <v>15.58</v>
      </c>
      <c r="S848">
        <v>3782.63</v>
      </c>
      <c r="T848">
        <v>4.0999999999999996</v>
      </c>
      <c r="U848">
        <v>11.19</v>
      </c>
      <c r="V848">
        <v>155.81</v>
      </c>
      <c r="W848" s="317">
        <v>4.5999999999999996</v>
      </c>
      <c r="X848" s="190">
        <f>I848*W848</f>
        <v>71.3</v>
      </c>
      <c r="Y848" s="8"/>
      <c r="Z848" s="8"/>
    </row>
    <row r="849" spans="1:26" ht="12.75" customHeight="1" x14ac:dyDescent="0.2">
      <c r="A849" s="15">
        <v>71</v>
      </c>
      <c r="B849" s="15">
        <v>2009</v>
      </c>
      <c r="C849" s="15">
        <v>3</v>
      </c>
      <c r="D849" s="15">
        <v>8</v>
      </c>
      <c r="E849" s="14">
        <v>0.41666666666666669</v>
      </c>
      <c r="F849" s="11" t="s">
        <v>51</v>
      </c>
      <c r="G849" s="11">
        <v>149</v>
      </c>
      <c r="H849" s="15" t="s">
        <v>29</v>
      </c>
      <c r="I849" s="11">
        <v>10</v>
      </c>
      <c r="J849" s="11" t="s">
        <v>19</v>
      </c>
      <c r="K849" s="11" t="s">
        <v>20</v>
      </c>
      <c r="L849" s="11" t="s">
        <v>30</v>
      </c>
      <c r="M849" s="11" t="s">
        <v>120</v>
      </c>
      <c r="N849" s="11" t="s">
        <v>24</v>
      </c>
      <c r="O849" s="16" t="s">
        <v>123</v>
      </c>
      <c r="P849" s="45">
        <v>215</v>
      </c>
      <c r="Q849" s="11"/>
      <c r="R849">
        <v>13.9</v>
      </c>
      <c r="S849">
        <v>2686.6</v>
      </c>
      <c r="T849">
        <v>3.72</v>
      </c>
      <c r="U849">
        <v>9.98</v>
      </c>
      <c r="V849">
        <v>139.02000000000001</v>
      </c>
      <c r="W849" s="317">
        <v>4.5999999999999996</v>
      </c>
      <c r="X849" s="190">
        <f>I849*W849</f>
        <v>46</v>
      </c>
      <c r="Y849" s="8"/>
      <c r="Z849" s="8"/>
    </row>
    <row r="850" spans="1:26" ht="12.75" customHeight="1" x14ac:dyDescent="0.2">
      <c r="A850" s="15">
        <v>72</v>
      </c>
      <c r="B850" s="15">
        <v>2009</v>
      </c>
      <c r="C850" s="15">
        <v>3</v>
      </c>
      <c r="D850" s="15">
        <v>8</v>
      </c>
      <c r="E850" s="14">
        <v>0.41666666666666669</v>
      </c>
      <c r="F850" s="11" t="s">
        <v>51</v>
      </c>
      <c r="G850" s="11">
        <v>177</v>
      </c>
      <c r="H850" s="15" t="s">
        <v>29</v>
      </c>
      <c r="I850" s="11">
        <v>20.5</v>
      </c>
      <c r="J850" s="11" t="s">
        <v>19</v>
      </c>
      <c r="K850" s="11" t="s">
        <v>20</v>
      </c>
      <c r="L850" s="11" t="s">
        <v>30</v>
      </c>
      <c r="M850" s="11" t="s">
        <v>27</v>
      </c>
      <c r="N850" s="11" t="s">
        <v>24</v>
      </c>
      <c r="O850" s="16" t="s">
        <v>124</v>
      </c>
      <c r="P850" s="45">
        <v>215</v>
      </c>
      <c r="Q850" s="11"/>
      <c r="R850">
        <v>16.510000000000002</v>
      </c>
      <c r="S850">
        <v>4503.6499999999996</v>
      </c>
      <c r="T850">
        <v>4.55</v>
      </c>
      <c r="U850">
        <v>11.86</v>
      </c>
      <c r="V850">
        <v>165.14</v>
      </c>
      <c r="W850" s="317">
        <v>4.5999999999999996</v>
      </c>
      <c r="X850" s="190">
        <f>I850*W850</f>
        <v>94.3</v>
      </c>
      <c r="Y850" s="8"/>
      <c r="Z850" s="8"/>
    </row>
    <row r="851" spans="1:26" ht="12.75" customHeight="1" x14ac:dyDescent="0.2">
      <c r="A851" s="15">
        <v>73</v>
      </c>
      <c r="B851" s="15">
        <v>2009</v>
      </c>
      <c r="C851" s="15">
        <v>3</v>
      </c>
      <c r="D851" s="15">
        <v>8</v>
      </c>
      <c r="E851" s="14">
        <v>0.41666666666666669</v>
      </c>
      <c r="F851" s="11" t="s">
        <v>51</v>
      </c>
      <c r="G851" s="11">
        <v>163</v>
      </c>
      <c r="H851" s="15" t="s">
        <v>29</v>
      </c>
      <c r="I851" s="11">
        <v>10</v>
      </c>
      <c r="J851" s="11" t="s">
        <v>19</v>
      </c>
      <c r="K851" s="11" t="s">
        <v>20</v>
      </c>
      <c r="L851" s="11" t="s">
        <v>21</v>
      </c>
      <c r="M851" s="11" t="s">
        <v>27</v>
      </c>
      <c r="N851" s="11" t="s">
        <v>24</v>
      </c>
      <c r="O851" s="16" t="s">
        <v>125</v>
      </c>
      <c r="P851" s="45">
        <v>215</v>
      </c>
      <c r="Q851" s="11"/>
      <c r="R851">
        <v>15.21</v>
      </c>
      <c r="S851">
        <v>3517.29</v>
      </c>
      <c r="T851">
        <v>2.84</v>
      </c>
      <c r="U851">
        <v>10.92</v>
      </c>
      <c r="V851">
        <v>152.08000000000001</v>
      </c>
      <c r="W851" s="317">
        <v>3.9</v>
      </c>
      <c r="X851" s="190">
        <f>I851*W851</f>
        <v>39</v>
      </c>
      <c r="Y851" s="8"/>
      <c r="Z851" s="8"/>
    </row>
    <row r="852" spans="1:26" ht="12.75" customHeight="1" x14ac:dyDescent="0.2">
      <c r="A852" s="15">
        <v>74</v>
      </c>
      <c r="B852" s="15">
        <v>2009</v>
      </c>
      <c r="C852" s="15">
        <v>3</v>
      </c>
      <c r="D852" s="15">
        <v>8</v>
      </c>
      <c r="E852" s="14">
        <v>0.66666666666666663</v>
      </c>
      <c r="F852" s="11" t="s">
        <v>51</v>
      </c>
      <c r="G852" s="11">
        <v>117</v>
      </c>
      <c r="H852" s="15" t="s">
        <v>29</v>
      </c>
      <c r="I852" s="11">
        <v>2.2999999999999998</v>
      </c>
      <c r="J852" s="11" t="s">
        <v>32</v>
      </c>
      <c r="K852" s="11" t="s">
        <v>29</v>
      </c>
      <c r="L852" s="11" t="s">
        <v>29</v>
      </c>
      <c r="M852" s="11" t="s">
        <v>46</v>
      </c>
      <c r="N852" s="11" t="s">
        <v>24</v>
      </c>
      <c r="O852" s="16" t="s">
        <v>126</v>
      </c>
      <c r="P852" s="45">
        <v>215</v>
      </c>
      <c r="Q852" s="11"/>
      <c r="R852">
        <v>10.92</v>
      </c>
      <c r="S852">
        <v>1300.78</v>
      </c>
      <c r="T852">
        <v>1.77</v>
      </c>
      <c r="U852">
        <v>7.84</v>
      </c>
      <c r="V852">
        <v>109.16</v>
      </c>
      <c r="W852" s="8"/>
      <c r="X852" s="8"/>
      <c r="Y852" s="8"/>
      <c r="Z852" s="8"/>
    </row>
    <row r="853" spans="1:26" ht="12.75" customHeight="1" x14ac:dyDescent="0.2">
      <c r="A853" s="15">
        <v>75</v>
      </c>
      <c r="B853" s="15">
        <v>2009</v>
      </c>
      <c r="C853" s="15">
        <v>3</v>
      </c>
      <c r="D853" s="15">
        <v>8</v>
      </c>
      <c r="E853" s="14">
        <v>0.66666666666666663</v>
      </c>
      <c r="F853" s="11" t="s">
        <v>51</v>
      </c>
      <c r="G853" s="11">
        <v>123</v>
      </c>
      <c r="H853" s="15" t="s">
        <v>29</v>
      </c>
      <c r="I853" s="11">
        <v>2.2999999999999998</v>
      </c>
      <c r="J853" s="11" t="s">
        <v>32</v>
      </c>
      <c r="K853" s="11" t="s">
        <v>29</v>
      </c>
      <c r="L853" s="11" t="s">
        <v>29</v>
      </c>
      <c r="M853" s="11" t="s">
        <v>46</v>
      </c>
      <c r="N853" s="11" t="s">
        <v>24</v>
      </c>
      <c r="O853" s="16" t="s">
        <v>127</v>
      </c>
      <c r="P853" s="45">
        <v>215</v>
      </c>
      <c r="Q853" s="11"/>
      <c r="R853">
        <v>11.48</v>
      </c>
      <c r="S853">
        <v>1511.33</v>
      </c>
      <c r="T853">
        <v>1.52</v>
      </c>
      <c r="U853">
        <v>8.24</v>
      </c>
      <c r="V853">
        <v>114.76</v>
      </c>
      <c r="W853" s="8"/>
      <c r="X853" s="8"/>
      <c r="Y853" s="8"/>
      <c r="Z853" s="8"/>
    </row>
    <row r="854" spans="1:26" ht="12.75" customHeight="1" x14ac:dyDescent="0.2">
      <c r="A854" s="15">
        <v>76</v>
      </c>
      <c r="B854" s="15">
        <v>2009</v>
      </c>
      <c r="C854" s="15">
        <v>3</v>
      </c>
      <c r="D854" s="15">
        <v>8</v>
      </c>
      <c r="E854" s="14">
        <v>0.66666666666666663</v>
      </c>
      <c r="F854" s="11" t="s">
        <v>51</v>
      </c>
      <c r="G854" s="11">
        <v>127</v>
      </c>
      <c r="H854" s="15" t="s">
        <v>29</v>
      </c>
      <c r="I854" s="11">
        <v>3</v>
      </c>
      <c r="J854" s="11" t="s">
        <v>32</v>
      </c>
      <c r="K854" s="11" t="s">
        <v>29</v>
      </c>
      <c r="L854" s="11" t="s">
        <v>29</v>
      </c>
      <c r="M854" s="11" t="s">
        <v>46</v>
      </c>
      <c r="N854" s="11" t="s">
        <v>24</v>
      </c>
      <c r="O854" s="16" t="s">
        <v>128</v>
      </c>
      <c r="P854" s="45">
        <v>215</v>
      </c>
      <c r="Q854" s="11"/>
      <c r="R854">
        <v>11.85</v>
      </c>
      <c r="S854">
        <v>1663.63</v>
      </c>
      <c r="T854">
        <v>1.8</v>
      </c>
      <c r="U854">
        <v>8.51</v>
      </c>
      <c r="V854">
        <v>118.49</v>
      </c>
      <c r="W854" s="8"/>
      <c r="X854" s="8"/>
      <c r="Y854" s="8"/>
      <c r="Z854" s="8"/>
    </row>
    <row r="855" spans="1:26" ht="12.75" customHeight="1" x14ac:dyDescent="0.2">
      <c r="A855" s="15">
        <v>77</v>
      </c>
      <c r="B855" s="15">
        <v>2009</v>
      </c>
      <c r="C855" s="15">
        <v>3</v>
      </c>
      <c r="D855" s="15">
        <v>8</v>
      </c>
      <c r="E855" s="14">
        <v>0.72916666666666663</v>
      </c>
      <c r="F855" s="11" t="s">
        <v>51</v>
      </c>
      <c r="G855" s="11">
        <v>125</v>
      </c>
      <c r="H855" s="15" t="s">
        <v>29</v>
      </c>
      <c r="I855" s="11">
        <v>2.4</v>
      </c>
      <c r="J855" s="11" t="s">
        <v>32</v>
      </c>
      <c r="K855" s="11" t="s">
        <v>29</v>
      </c>
      <c r="L855" s="11" t="s">
        <v>29</v>
      </c>
      <c r="M855" s="11" t="s">
        <v>46</v>
      </c>
      <c r="N855" s="11" t="s">
        <v>24</v>
      </c>
      <c r="O855" s="16" t="s">
        <v>29</v>
      </c>
      <c r="P855" s="45">
        <v>215</v>
      </c>
      <c r="Q855" s="11"/>
      <c r="R855">
        <v>11.66</v>
      </c>
      <c r="S855">
        <v>1586.26</v>
      </c>
      <c r="T855">
        <v>1.51</v>
      </c>
      <c r="U855">
        <v>8.3800000000000008</v>
      </c>
      <c r="V855">
        <v>116.63</v>
      </c>
      <c r="W855" s="8"/>
      <c r="X855" s="8"/>
      <c r="Y855" s="8"/>
      <c r="Z855" s="8"/>
    </row>
    <row r="856" spans="1:26" ht="12.75" customHeight="1" x14ac:dyDescent="0.2">
      <c r="A856" s="15">
        <v>78</v>
      </c>
      <c r="B856" s="15">
        <v>2009</v>
      </c>
      <c r="C856" s="15">
        <v>3</v>
      </c>
      <c r="D856" s="15">
        <v>8</v>
      </c>
      <c r="E856" s="14">
        <v>0.72916666666666663</v>
      </c>
      <c r="F856" s="11" t="s">
        <v>51</v>
      </c>
      <c r="G856" s="11">
        <v>168</v>
      </c>
      <c r="H856" s="15" t="s">
        <v>29</v>
      </c>
      <c r="I856" s="11">
        <v>11.5</v>
      </c>
      <c r="J856" s="11" t="s">
        <v>19</v>
      </c>
      <c r="K856" s="11" t="s">
        <v>20</v>
      </c>
      <c r="L856" s="11" t="s">
        <v>21</v>
      </c>
      <c r="M856" s="11" t="s">
        <v>27</v>
      </c>
      <c r="N856" s="11" t="s">
        <v>24</v>
      </c>
      <c r="O856" s="16" t="s">
        <v>129</v>
      </c>
      <c r="P856" s="45">
        <v>215</v>
      </c>
      <c r="Q856" s="11"/>
      <c r="R856">
        <v>15.67</v>
      </c>
      <c r="S856">
        <v>3850.99</v>
      </c>
      <c r="T856">
        <v>2.99</v>
      </c>
      <c r="U856">
        <v>11.26</v>
      </c>
      <c r="V856">
        <v>156.74</v>
      </c>
      <c r="W856" s="317">
        <v>3.9</v>
      </c>
      <c r="X856" s="190">
        <f>I856*W856</f>
        <v>44.85</v>
      </c>
      <c r="Y856" s="8"/>
      <c r="Z856" s="8"/>
    </row>
    <row r="857" spans="1:26" ht="12.75" customHeight="1" x14ac:dyDescent="0.2">
      <c r="A857" s="15">
        <v>52</v>
      </c>
      <c r="B857" s="15">
        <v>2009</v>
      </c>
      <c r="C857" s="15">
        <v>2</v>
      </c>
      <c r="D857" s="15">
        <v>8</v>
      </c>
      <c r="E857" s="14">
        <v>0.75</v>
      </c>
      <c r="F857" s="11" t="s">
        <v>51</v>
      </c>
      <c r="G857" s="11">
        <v>125</v>
      </c>
      <c r="H857" s="15" t="s">
        <v>29</v>
      </c>
      <c r="I857" s="11">
        <v>2.5</v>
      </c>
      <c r="J857" s="11" t="s">
        <v>32</v>
      </c>
      <c r="K857" s="11" t="s">
        <v>29</v>
      </c>
      <c r="L857" s="11" t="s">
        <v>29</v>
      </c>
      <c r="M857" s="11" t="s">
        <v>46</v>
      </c>
      <c r="N857" s="11" t="s">
        <v>24</v>
      </c>
      <c r="O857" s="16" t="s">
        <v>130</v>
      </c>
      <c r="P857" s="45">
        <v>214</v>
      </c>
      <c r="Q857" s="11"/>
      <c r="R857">
        <v>11.66</v>
      </c>
      <c r="S857">
        <v>1586.26</v>
      </c>
      <c r="T857">
        <v>1.58</v>
      </c>
      <c r="U857">
        <v>8.3800000000000008</v>
      </c>
      <c r="V857">
        <v>116.63</v>
      </c>
      <c r="W857" s="8"/>
      <c r="X857" s="8"/>
      <c r="Y857" s="8"/>
      <c r="Z857" s="8"/>
    </row>
    <row r="858" spans="1:26" ht="12.75" customHeight="1" x14ac:dyDescent="0.2">
      <c r="A858" s="15">
        <v>53</v>
      </c>
      <c r="B858" s="15">
        <v>2009</v>
      </c>
      <c r="C858" s="15">
        <v>2</v>
      </c>
      <c r="D858" s="15">
        <v>8</v>
      </c>
      <c r="E858" s="14">
        <v>0.75</v>
      </c>
      <c r="F858" s="11" t="s">
        <v>28</v>
      </c>
      <c r="G858" s="11" t="s">
        <v>29</v>
      </c>
      <c r="H858" s="15" t="s">
        <v>29</v>
      </c>
      <c r="I858" s="11" t="s">
        <v>29</v>
      </c>
      <c r="J858" s="11" t="s">
        <v>19</v>
      </c>
      <c r="K858" s="11" t="s">
        <v>41</v>
      </c>
      <c r="L858" s="11" t="s">
        <v>41</v>
      </c>
      <c r="M858" s="11" t="s">
        <v>29</v>
      </c>
      <c r="N858" s="11" t="s">
        <v>29</v>
      </c>
      <c r="O858" s="16" t="s">
        <v>131</v>
      </c>
      <c r="P858" s="45">
        <v>214</v>
      </c>
      <c r="Q858" s="11"/>
      <c r="W858" s="8"/>
      <c r="X858" s="8"/>
      <c r="Y858" s="8"/>
      <c r="Z858" s="8"/>
    </row>
    <row r="859" spans="1:26" ht="12.75" customHeight="1" x14ac:dyDescent="0.2">
      <c r="A859" s="15">
        <v>37</v>
      </c>
      <c r="B859" s="15">
        <v>2009</v>
      </c>
      <c r="C859" s="15">
        <v>1</v>
      </c>
      <c r="D859" s="15">
        <v>8</v>
      </c>
      <c r="E859" s="14">
        <v>0.54166666666666663</v>
      </c>
      <c r="F859" s="11" t="s">
        <v>51</v>
      </c>
      <c r="G859" s="11">
        <v>164</v>
      </c>
      <c r="H859" s="15" t="s">
        <v>29</v>
      </c>
      <c r="I859" s="11">
        <v>13.5</v>
      </c>
      <c r="J859" s="11" t="s">
        <v>19</v>
      </c>
      <c r="K859" s="11" t="s">
        <v>20</v>
      </c>
      <c r="L859" s="11" t="s">
        <v>30</v>
      </c>
      <c r="M859" s="11" t="s">
        <v>46</v>
      </c>
      <c r="N859" s="11" t="s">
        <v>24</v>
      </c>
      <c r="O859" s="16" t="s">
        <v>29</v>
      </c>
      <c r="P859" s="45">
        <v>213</v>
      </c>
      <c r="Q859" s="11"/>
      <c r="R859">
        <v>15.3</v>
      </c>
      <c r="S859">
        <v>3582.42</v>
      </c>
      <c r="T859">
        <v>3.77</v>
      </c>
      <c r="U859">
        <v>10.99</v>
      </c>
      <c r="V859">
        <v>153.01</v>
      </c>
      <c r="W859" s="317">
        <v>4.5999999999999996</v>
      </c>
      <c r="X859" s="190">
        <f>I859*W859</f>
        <v>62.099999999999994</v>
      </c>
      <c r="Y859" s="8"/>
      <c r="Z859" s="8"/>
    </row>
    <row r="860" spans="1:26" ht="12.75" customHeight="1" x14ac:dyDescent="0.2">
      <c r="A860" s="15">
        <v>38</v>
      </c>
      <c r="B860" s="15">
        <v>2009</v>
      </c>
      <c r="C860" s="15">
        <v>1</v>
      </c>
      <c r="D860" s="15">
        <v>8</v>
      </c>
      <c r="E860" s="14">
        <v>0.54166666666666663</v>
      </c>
      <c r="F860" s="11" t="s">
        <v>51</v>
      </c>
      <c r="G860" s="11">
        <v>160</v>
      </c>
      <c r="H860" s="15" t="s">
        <v>29</v>
      </c>
      <c r="I860" s="11">
        <v>15.5</v>
      </c>
      <c r="J860" s="11" t="s">
        <v>19</v>
      </c>
      <c r="K860" s="11" t="s">
        <v>20</v>
      </c>
      <c r="L860" s="11" t="s">
        <v>30</v>
      </c>
      <c r="M860" s="11" t="s">
        <v>46</v>
      </c>
      <c r="N860" s="11" t="s">
        <v>24</v>
      </c>
      <c r="O860" s="16" t="s">
        <v>29</v>
      </c>
      <c r="P860" s="45">
        <v>213</v>
      </c>
      <c r="Q860" s="11"/>
      <c r="R860">
        <v>14.93</v>
      </c>
      <c r="S860">
        <v>3326.63</v>
      </c>
      <c r="T860">
        <v>4.66</v>
      </c>
      <c r="U860">
        <v>10.72</v>
      </c>
      <c r="V860">
        <v>149.28</v>
      </c>
      <c r="W860" s="317">
        <v>4.5999999999999996</v>
      </c>
      <c r="X860" s="190">
        <f>I860*W860</f>
        <v>71.3</v>
      </c>
      <c r="Y860" s="8"/>
      <c r="Z860" s="8"/>
    </row>
    <row r="861" spans="1:26" ht="12.75" customHeight="1" x14ac:dyDescent="0.2">
      <c r="A861" s="15">
        <v>39</v>
      </c>
      <c r="B861" s="15">
        <v>2009</v>
      </c>
      <c r="C861" s="15">
        <v>1</v>
      </c>
      <c r="D861" s="15">
        <v>8</v>
      </c>
      <c r="E861" s="14">
        <v>0.54166666666666663</v>
      </c>
      <c r="F861" s="11" t="s">
        <v>51</v>
      </c>
      <c r="G861" s="11">
        <v>117</v>
      </c>
      <c r="H861" s="15" t="s">
        <v>29</v>
      </c>
      <c r="I861" s="11">
        <v>1.5</v>
      </c>
      <c r="J861" s="11" t="s">
        <v>32</v>
      </c>
      <c r="K861" s="11" t="s">
        <v>29</v>
      </c>
      <c r="L861" s="11" t="s">
        <v>29</v>
      </c>
      <c r="M861" s="11" t="s">
        <v>46</v>
      </c>
      <c r="N861" s="11" t="s">
        <v>24</v>
      </c>
      <c r="O861" s="16" t="s">
        <v>132</v>
      </c>
      <c r="P861" s="45">
        <v>213</v>
      </c>
      <c r="Q861" s="11"/>
      <c r="R861">
        <v>10.92</v>
      </c>
      <c r="S861">
        <v>1300.78</v>
      </c>
      <c r="T861">
        <v>1.1499999999999999</v>
      </c>
      <c r="U861">
        <v>7.84</v>
      </c>
      <c r="V861">
        <v>109.16</v>
      </c>
      <c r="W861" s="8"/>
      <c r="X861" s="8"/>
      <c r="Y861" s="8"/>
      <c r="Z861" s="8"/>
    </row>
    <row r="862" spans="1:26" ht="12.75" customHeight="1" x14ac:dyDescent="0.2">
      <c r="A862" s="15">
        <v>40</v>
      </c>
      <c r="B862" s="15">
        <v>2009</v>
      </c>
      <c r="C862" s="15">
        <v>1</v>
      </c>
      <c r="D862" s="15">
        <v>8</v>
      </c>
      <c r="E862" s="14">
        <v>0.54166666666666663</v>
      </c>
      <c r="F862" s="11" t="s">
        <v>51</v>
      </c>
      <c r="G862" s="11">
        <v>105</v>
      </c>
      <c r="H862" s="15" t="s">
        <v>29</v>
      </c>
      <c r="I862" s="11">
        <v>1</v>
      </c>
      <c r="J862" s="11" t="s">
        <v>32</v>
      </c>
      <c r="K862" s="11" t="s">
        <v>29</v>
      </c>
      <c r="L862" s="11" t="s">
        <v>29</v>
      </c>
      <c r="M862" s="11" t="s">
        <v>46</v>
      </c>
      <c r="N862" s="11" t="s">
        <v>24</v>
      </c>
      <c r="O862" s="16" t="s">
        <v>29</v>
      </c>
      <c r="P862" s="45">
        <v>213</v>
      </c>
      <c r="Q862" s="11"/>
      <c r="R862">
        <v>9.8000000000000007</v>
      </c>
      <c r="S862">
        <v>940.18</v>
      </c>
      <c r="T862">
        <v>1.06</v>
      </c>
      <c r="U862">
        <v>7.04</v>
      </c>
      <c r="V862">
        <v>97.97</v>
      </c>
      <c r="W862" s="8"/>
      <c r="X862" s="8"/>
      <c r="Y862" s="8"/>
      <c r="Z862" s="8"/>
    </row>
    <row r="863" spans="1:26" ht="12.75" customHeight="1" x14ac:dyDescent="0.2">
      <c r="A863" s="15">
        <v>41</v>
      </c>
      <c r="B863" s="15">
        <v>2009</v>
      </c>
      <c r="C863" s="15">
        <v>1</v>
      </c>
      <c r="D863" s="15">
        <v>8</v>
      </c>
      <c r="E863" s="14">
        <v>0.54166666666666663</v>
      </c>
      <c r="F863" s="11" t="s">
        <v>51</v>
      </c>
      <c r="G863" s="11">
        <v>155</v>
      </c>
      <c r="H863" s="15" t="s">
        <v>29</v>
      </c>
      <c r="I863" s="11">
        <v>11.5</v>
      </c>
      <c r="J863" s="11" t="s">
        <v>19</v>
      </c>
      <c r="K863" s="11" t="s">
        <v>20</v>
      </c>
      <c r="L863" s="11" t="s">
        <v>30</v>
      </c>
      <c r="M863" s="11" t="s">
        <v>46</v>
      </c>
      <c r="N863" s="11" t="s">
        <v>24</v>
      </c>
      <c r="O863" s="16" t="s">
        <v>29</v>
      </c>
      <c r="P863" s="45">
        <v>213</v>
      </c>
      <c r="Q863" s="11"/>
      <c r="R863">
        <v>14.46</v>
      </c>
      <c r="S863">
        <v>3024.41</v>
      </c>
      <c r="T863">
        <v>3.8</v>
      </c>
      <c r="U863">
        <v>10.39</v>
      </c>
      <c r="V863">
        <v>144.62</v>
      </c>
      <c r="W863" s="317">
        <v>4.5999999999999996</v>
      </c>
      <c r="X863" s="190">
        <f>I863*W863</f>
        <v>52.9</v>
      </c>
      <c r="Y863" s="8"/>
      <c r="Z863" s="8"/>
    </row>
    <row r="864" spans="1:26" ht="12.75" customHeight="1" x14ac:dyDescent="0.2">
      <c r="A864" s="15">
        <v>42</v>
      </c>
      <c r="B864" s="15">
        <v>2009</v>
      </c>
      <c r="C864" s="15">
        <v>1</v>
      </c>
      <c r="D864" s="15">
        <v>8</v>
      </c>
      <c r="E864" s="14">
        <v>0.54166666666666663</v>
      </c>
      <c r="F864" s="11" t="s">
        <v>28</v>
      </c>
      <c r="G864" s="11" t="s">
        <v>29</v>
      </c>
      <c r="H864" s="15" t="s">
        <v>29</v>
      </c>
      <c r="I864" s="11" t="s">
        <v>29</v>
      </c>
      <c r="J864" s="11" t="s">
        <v>32</v>
      </c>
      <c r="K864" s="11" t="s">
        <v>29</v>
      </c>
      <c r="L864" s="11" t="s">
        <v>29</v>
      </c>
      <c r="M864" s="11" t="s">
        <v>29</v>
      </c>
      <c r="N864" s="11" t="s">
        <v>24</v>
      </c>
      <c r="O864" s="16" t="s">
        <v>133</v>
      </c>
      <c r="P864" s="45">
        <v>213</v>
      </c>
      <c r="Q864" s="11"/>
      <c r="W864" s="8"/>
      <c r="X864" s="8"/>
      <c r="Y864" s="8"/>
      <c r="Z864" s="8"/>
    </row>
    <row r="865" spans="1:26" ht="12.75" customHeight="1" x14ac:dyDescent="0.2">
      <c r="A865" s="15">
        <v>43</v>
      </c>
      <c r="B865" s="15">
        <v>2009</v>
      </c>
      <c r="C865" s="15">
        <v>1</v>
      </c>
      <c r="D865" s="15">
        <v>8</v>
      </c>
      <c r="E865" s="14">
        <v>0.54166666666666663</v>
      </c>
      <c r="F865" s="11" t="s">
        <v>28</v>
      </c>
      <c r="G865" s="11" t="s">
        <v>29</v>
      </c>
      <c r="H865" s="15" t="s">
        <v>29</v>
      </c>
      <c r="I865" s="11" t="s">
        <v>29</v>
      </c>
      <c r="J865" s="11" t="s">
        <v>19</v>
      </c>
      <c r="K865" s="11" t="s">
        <v>20</v>
      </c>
      <c r="L865" s="11" t="s">
        <v>21</v>
      </c>
      <c r="M865" s="11" t="s">
        <v>29</v>
      </c>
      <c r="N865" s="11" t="s">
        <v>134</v>
      </c>
      <c r="O865" s="16" t="s">
        <v>135</v>
      </c>
      <c r="P865" s="45">
        <v>213</v>
      </c>
      <c r="Q865" s="11"/>
      <c r="W865" s="317">
        <v>3.9</v>
      </c>
      <c r="X865" s="190"/>
      <c r="Y865" s="8"/>
      <c r="Z865" s="8"/>
    </row>
    <row r="866" spans="1:26" ht="12.75" customHeight="1" x14ac:dyDescent="0.2">
      <c r="A866" s="15">
        <v>44</v>
      </c>
      <c r="B866" s="15">
        <v>2009</v>
      </c>
      <c r="C866" s="15">
        <v>1</v>
      </c>
      <c r="D866" s="15">
        <v>8</v>
      </c>
      <c r="E866" s="14">
        <v>0.54166666666666663</v>
      </c>
      <c r="F866" s="11" t="s">
        <v>51</v>
      </c>
      <c r="G866" s="11" t="s">
        <v>29</v>
      </c>
      <c r="H866" s="15" t="s">
        <v>29</v>
      </c>
      <c r="I866" s="11" t="s">
        <v>29</v>
      </c>
      <c r="J866" s="11" t="s">
        <v>19</v>
      </c>
      <c r="K866" s="11" t="s">
        <v>20</v>
      </c>
      <c r="L866" s="11" t="s">
        <v>21</v>
      </c>
      <c r="M866" s="11" t="s">
        <v>45</v>
      </c>
      <c r="N866" s="11" t="s">
        <v>25</v>
      </c>
      <c r="O866" s="16" t="s">
        <v>29</v>
      </c>
      <c r="P866" s="45">
        <v>213</v>
      </c>
      <c r="Q866" s="11"/>
      <c r="W866" s="317">
        <v>3.9</v>
      </c>
      <c r="X866" s="190"/>
      <c r="Y866" s="8"/>
      <c r="Z866" s="8"/>
    </row>
    <row r="867" spans="1:26" ht="12.75" customHeight="1" x14ac:dyDescent="0.2">
      <c r="A867" s="15">
        <v>45</v>
      </c>
      <c r="B867" s="15">
        <v>2009</v>
      </c>
      <c r="C867" s="15">
        <v>1</v>
      </c>
      <c r="D867" s="15">
        <v>8</v>
      </c>
      <c r="E867" s="14">
        <v>0.54166666666666663</v>
      </c>
      <c r="F867" s="11" t="s">
        <v>28</v>
      </c>
      <c r="G867" s="11" t="s">
        <v>29</v>
      </c>
      <c r="H867" s="15" t="s">
        <v>29</v>
      </c>
      <c r="I867" s="11" t="s">
        <v>29</v>
      </c>
      <c r="J867" s="11" t="s">
        <v>19</v>
      </c>
      <c r="K867" s="11" t="s">
        <v>20</v>
      </c>
      <c r="L867" s="11" t="s">
        <v>30</v>
      </c>
      <c r="M867" s="11" t="s">
        <v>29</v>
      </c>
      <c r="N867" s="11" t="s">
        <v>134</v>
      </c>
      <c r="O867" s="16" t="s">
        <v>29</v>
      </c>
      <c r="P867" s="45">
        <v>213</v>
      </c>
      <c r="Q867" s="11"/>
      <c r="W867" s="317">
        <v>4.5999999999999996</v>
      </c>
      <c r="X867" s="190"/>
      <c r="Y867" s="8"/>
      <c r="Z867" s="8"/>
    </row>
    <row r="868" spans="1:26" ht="12.75" customHeight="1" x14ac:dyDescent="0.2">
      <c r="A868" s="15">
        <v>46</v>
      </c>
      <c r="B868" s="15">
        <v>2009</v>
      </c>
      <c r="C868" s="15">
        <v>1</v>
      </c>
      <c r="D868" s="15">
        <v>8</v>
      </c>
      <c r="E868" s="14">
        <v>0.54166666666666663</v>
      </c>
      <c r="F868" s="11" t="s">
        <v>51</v>
      </c>
      <c r="G868" s="11" t="s">
        <v>136</v>
      </c>
      <c r="H868" s="15" t="s">
        <v>29</v>
      </c>
      <c r="I868" s="11" t="s">
        <v>29</v>
      </c>
      <c r="J868" s="11" t="s">
        <v>32</v>
      </c>
      <c r="K868" s="11" t="s">
        <v>29</v>
      </c>
      <c r="L868" s="11" t="s">
        <v>29</v>
      </c>
      <c r="M868" s="11" t="s">
        <v>46</v>
      </c>
      <c r="N868" s="11" t="s">
        <v>25</v>
      </c>
      <c r="O868" s="16" t="s">
        <v>29</v>
      </c>
      <c r="P868" s="45">
        <v>213</v>
      </c>
      <c r="Q868" s="11"/>
      <c r="W868" s="8"/>
      <c r="X868" s="8"/>
      <c r="Y868" s="8"/>
      <c r="Z868" s="8"/>
    </row>
    <row r="869" spans="1:26" ht="12.75" customHeight="1" x14ac:dyDescent="0.2">
      <c r="A869" s="15">
        <v>47</v>
      </c>
      <c r="B869" s="15">
        <v>2009</v>
      </c>
      <c r="C869" s="15">
        <v>1</v>
      </c>
      <c r="D869" s="15">
        <v>8</v>
      </c>
      <c r="E869" s="14">
        <v>0.76041666666666663</v>
      </c>
      <c r="F869" s="11" t="s">
        <v>51</v>
      </c>
      <c r="G869" s="11">
        <v>118</v>
      </c>
      <c r="H869" s="15" t="s">
        <v>29</v>
      </c>
      <c r="I869" s="11" t="s">
        <v>29</v>
      </c>
      <c r="J869" s="11" t="s">
        <v>32</v>
      </c>
      <c r="K869" s="11" t="s">
        <v>29</v>
      </c>
      <c r="L869" s="11" t="s">
        <v>29</v>
      </c>
      <c r="M869" s="11" t="s">
        <v>46</v>
      </c>
      <c r="N869" s="11" t="s">
        <v>25</v>
      </c>
      <c r="O869" s="16" t="s">
        <v>137</v>
      </c>
      <c r="P869" s="45">
        <v>213</v>
      </c>
      <c r="Q869" s="11"/>
      <c r="R869">
        <v>11.01</v>
      </c>
      <c r="S869">
        <v>1334.42</v>
      </c>
      <c r="U869">
        <v>7.91</v>
      </c>
      <c r="V869">
        <v>110.09</v>
      </c>
      <c r="W869" s="8"/>
      <c r="X869" s="8"/>
      <c r="Y869" s="8"/>
      <c r="Z869" s="8"/>
    </row>
    <row r="870" spans="1:26" ht="12.75" customHeight="1" x14ac:dyDescent="0.2">
      <c r="A870" s="15">
        <v>48</v>
      </c>
      <c r="B870" s="15">
        <v>2009</v>
      </c>
      <c r="C870" s="15">
        <v>1</v>
      </c>
      <c r="D870" s="15">
        <v>8</v>
      </c>
      <c r="E870" s="14">
        <v>0.76041666666666663</v>
      </c>
      <c r="F870" s="11" t="s">
        <v>51</v>
      </c>
      <c r="G870" s="11">
        <v>105</v>
      </c>
      <c r="H870" s="15" t="s">
        <v>29</v>
      </c>
      <c r="I870" s="11">
        <v>4.0999999999999996</v>
      </c>
      <c r="J870" s="11" t="s">
        <v>19</v>
      </c>
      <c r="K870" s="11" t="s">
        <v>41</v>
      </c>
      <c r="L870" s="11" t="s">
        <v>35</v>
      </c>
      <c r="M870" s="11" t="s">
        <v>29</v>
      </c>
      <c r="N870" s="11" t="s">
        <v>138</v>
      </c>
      <c r="O870" s="16" t="s">
        <v>99</v>
      </c>
      <c r="P870" s="45">
        <v>213</v>
      </c>
      <c r="Q870" s="11"/>
      <c r="R870">
        <v>9.8000000000000007</v>
      </c>
      <c r="S870">
        <v>940.18</v>
      </c>
      <c r="T870">
        <v>4.3600000000000003</v>
      </c>
      <c r="U870">
        <v>7.04</v>
      </c>
      <c r="V870">
        <v>97.97</v>
      </c>
      <c r="W870" s="317"/>
      <c r="X870" s="8"/>
      <c r="Y870" s="8"/>
      <c r="Z870" s="8"/>
    </row>
    <row r="871" spans="1:26" ht="12.75" customHeight="1" x14ac:dyDescent="0.2">
      <c r="A871" s="15">
        <v>49</v>
      </c>
      <c r="B871" s="15">
        <v>2009</v>
      </c>
      <c r="C871" s="15">
        <v>1</v>
      </c>
      <c r="D871" s="15">
        <v>8</v>
      </c>
      <c r="E871" s="14">
        <v>0.76041666666666663</v>
      </c>
      <c r="F871" s="11" t="s">
        <v>51</v>
      </c>
      <c r="G871" s="11">
        <v>133</v>
      </c>
      <c r="H871" s="15" t="s">
        <v>29</v>
      </c>
      <c r="I871" s="11">
        <v>6.7</v>
      </c>
      <c r="J871" s="11" t="s">
        <v>19</v>
      </c>
      <c r="K871" s="11" t="s">
        <v>41</v>
      </c>
      <c r="L871" s="11" t="s">
        <v>35</v>
      </c>
      <c r="M871" s="11" t="s">
        <v>29</v>
      </c>
      <c r="N871" s="11" t="s">
        <v>138</v>
      </c>
      <c r="O871" s="16" t="s">
        <v>29</v>
      </c>
      <c r="P871" s="45">
        <v>213</v>
      </c>
      <c r="Q871" s="11"/>
      <c r="R871">
        <v>12.41</v>
      </c>
      <c r="S871">
        <v>1910.73</v>
      </c>
      <c r="T871">
        <v>3.51</v>
      </c>
      <c r="U871">
        <v>8.91</v>
      </c>
      <c r="V871">
        <v>124.09</v>
      </c>
      <c r="W871" s="317"/>
      <c r="X871" s="8"/>
      <c r="Y871" s="8"/>
      <c r="Z871" s="8"/>
    </row>
    <row r="872" spans="1:26" ht="12.75" customHeight="1" x14ac:dyDescent="0.2">
      <c r="A872" s="15">
        <v>50</v>
      </c>
      <c r="B872" s="15">
        <v>2009</v>
      </c>
      <c r="C872" s="15">
        <v>1</v>
      </c>
      <c r="D872" s="15">
        <v>8</v>
      </c>
      <c r="E872" s="14">
        <v>0.76041666666666663</v>
      </c>
      <c r="F872" s="11" t="s">
        <v>51</v>
      </c>
      <c r="G872" s="11">
        <v>164</v>
      </c>
      <c r="H872" s="15" t="s">
        <v>29</v>
      </c>
      <c r="I872" s="11" t="s">
        <v>29</v>
      </c>
      <c r="J872" s="11" t="s">
        <v>19</v>
      </c>
      <c r="K872" s="11" t="s">
        <v>20</v>
      </c>
      <c r="L872" s="11" t="s">
        <v>30</v>
      </c>
      <c r="M872" s="11" t="s">
        <v>46</v>
      </c>
      <c r="N872" s="11" t="s">
        <v>29</v>
      </c>
      <c r="O872" s="16" t="s">
        <v>29</v>
      </c>
      <c r="P872" s="45">
        <v>213</v>
      </c>
      <c r="Q872" s="11"/>
      <c r="R872">
        <v>15.3</v>
      </c>
      <c r="S872">
        <v>3582.42</v>
      </c>
      <c r="U872">
        <v>10.99</v>
      </c>
      <c r="V872">
        <v>153.01</v>
      </c>
      <c r="W872" s="317">
        <v>4.5999999999999996</v>
      </c>
      <c r="X872" s="190"/>
      <c r="Y872" s="8"/>
      <c r="Z872" s="8"/>
    </row>
    <row r="873" spans="1:26" ht="12.75" customHeight="1" x14ac:dyDescent="0.2">
      <c r="A873" s="15">
        <v>51</v>
      </c>
      <c r="B873" s="15">
        <v>2009</v>
      </c>
      <c r="C873" s="15">
        <v>1</v>
      </c>
      <c r="D873" s="15">
        <v>8</v>
      </c>
      <c r="E873" s="14">
        <v>0.76041666666666663</v>
      </c>
      <c r="F873" s="11" t="s">
        <v>51</v>
      </c>
      <c r="G873" s="11">
        <v>154</v>
      </c>
      <c r="H873" s="15" t="s">
        <v>29</v>
      </c>
      <c r="I873" s="11" t="s">
        <v>29</v>
      </c>
      <c r="J873" s="11" t="s">
        <v>19</v>
      </c>
      <c r="K873" s="11" t="s">
        <v>20</v>
      </c>
      <c r="L873" s="11" t="s">
        <v>21</v>
      </c>
      <c r="M873" s="11" t="s">
        <v>33</v>
      </c>
      <c r="N873" s="8"/>
      <c r="O873" s="16" t="s">
        <v>29</v>
      </c>
      <c r="P873" s="45">
        <v>213</v>
      </c>
      <c r="Q873" s="11"/>
      <c r="R873">
        <v>14.37</v>
      </c>
      <c r="S873">
        <v>2966.25</v>
      </c>
      <c r="U873">
        <v>10.32</v>
      </c>
      <c r="V873">
        <v>143.68</v>
      </c>
      <c r="W873" s="317">
        <v>3.9</v>
      </c>
      <c r="X873" s="190"/>
      <c r="Y873" s="8"/>
      <c r="Z873" s="8"/>
    </row>
    <row r="874" spans="1:26" ht="12.75" customHeight="1" x14ac:dyDescent="0.2">
      <c r="A874" s="15">
        <v>31</v>
      </c>
      <c r="B874" s="15">
        <v>2009</v>
      </c>
      <c r="C874" s="15">
        <v>31</v>
      </c>
      <c r="D874" s="15">
        <v>7</v>
      </c>
      <c r="E874" s="14">
        <v>0.4375</v>
      </c>
      <c r="F874" s="11" t="s">
        <v>51</v>
      </c>
      <c r="G874" s="11">
        <v>110</v>
      </c>
      <c r="H874" s="15" t="s">
        <v>29</v>
      </c>
      <c r="I874" s="11">
        <v>2</v>
      </c>
      <c r="J874" s="11" t="s">
        <v>32</v>
      </c>
      <c r="K874" s="11" t="s">
        <v>29</v>
      </c>
      <c r="L874" s="11" t="s">
        <v>29</v>
      </c>
      <c r="M874" s="11" t="s">
        <v>29</v>
      </c>
      <c r="N874" s="8"/>
      <c r="O874" s="16" t="s">
        <v>139</v>
      </c>
      <c r="P874" s="45">
        <v>212</v>
      </c>
      <c r="Q874" s="11"/>
      <c r="R874">
        <v>10.26</v>
      </c>
      <c r="S874">
        <v>1080.99</v>
      </c>
      <c r="T874">
        <v>1.85</v>
      </c>
      <c r="U874">
        <v>7.37</v>
      </c>
      <c r="V874">
        <v>102.63</v>
      </c>
      <c r="W874" s="8"/>
      <c r="X874" s="8"/>
      <c r="Y874" s="8"/>
      <c r="Z874" s="8"/>
    </row>
    <row r="875" spans="1:26" ht="12.75" customHeight="1" x14ac:dyDescent="0.2">
      <c r="A875" s="15">
        <v>32</v>
      </c>
      <c r="B875" s="15">
        <v>2009</v>
      </c>
      <c r="C875" s="15">
        <v>31</v>
      </c>
      <c r="D875" s="15">
        <v>7</v>
      </c>
      <c r="E875" s="14">
        <v>0.4375</v>
      </c>
      <c r="F875" s="11" t="s">
        <v>51</v>
      </c>
      <c r="G875" s="11">
        <v>183</v>
      </c>
      <c r="H875" s="15" t="s">
        <v>29</v>
      </c>
      <c r="I875" s="11">
        <v>17</v>
      </c>
      <c r="J875" s="11" t="s">
        <v>19</v>
      </c>
      <c r="K875" s="11" t="s">
        <v>20</v>
      </c>
      <c r="L875" s="11" t="s">
        <v>30</v>
      </c>
      <c r="M875" s="11" t="s">
        <v>25</v>
      </c>
      <c r="N875" s="8"/>
      <c r="O875" s="16" t="s">
        <v>140</v>
      </c>
      <c r="P875" s="45">
        <v>212</v>
      </c>
      <c r="Q875" s="11"/>
      <c r="R875">
        <v>17.07</v>
      </c>
      <c r="S875">
        <v>4977.3500000000004</v>
      </c>
      <c r="T875">
        <v>3.42</v>
      </c>
      <c r="U875">
        <v>12.26</v>
      </c>
      <c r="V875">
        <v>170.74</v>
      </c>
      <c r="W875" s="317">
        <v>4.5999999999999996</v>
      </c>
      <c r="X875" s="190">
        <f>I875*W875</f>
        <v>78.199999999999989</v>
      </c>
      <c r="Y875" s="8"/>
      <c r="Z875" s="8"/>
    </row>
    <row r="876" spans="1:26" ht="12.75" customHeight="1" x14ac:dyDescent="0.2">
      <c r="A876" s="15">
        <v>33</v>
      </c>
      <c r="B876" s="15">
        <v>2009</v>
      </c>
      <c r="C876" s="15">
        <v>31</v>
      </c>
      <c r="D876" s="15">
        <v>7</v>
      </c>
      <c r="E876" s="14">
        <v>0.4375</v>
      </c>
      <c r="F876" s="11" t="s">
        <v>51</v>
      </c>
      <c r="G876" s="11">
        <v>183</v>
      </c>
      <c r="H876" s="15" t="s">
        <v>29</v>
      </c>
      <c r="I876" s="11">
        <v>17.5</v>
      </c>
      <c r="J876" s="11" t="s">
        <v>19</v>
      </c>
      <c r="K876" s="11" t="s">
        <v>20</v>
      </c>
      <c r="L876" s="11" t="s">
        <v>30</v>
      </c>
      <c r="M876" s="11" t="s">
        <v>25</v>
      </c>
      <c r="N876" s="8"/>
      <c r="O876" s="16" t="s">
        <v>141</v>
      </c>
      <c r="P876" s="45">
        <v>212</v>
      </c>
      <c r="Q876" s="11"/>
      <c r="R876">
        <v>17.07</v>
      </c>
      <c r="S876">
        <v>4977.3500000000004</v>
      </c>
      <c r="T876">
        <v>3.52</v>
      </c>
      <c r="U876">
        <v>12.26</v>
      </c>
      <c r="V876">
        <v>170.74</v>
      </c>
      <c r="W876" s="317">
        <v>4.5999999999999996</v>
      </c>
      <c r="X876" s="190">
        <f>I876*W876</f>
        <v>80.5</v>
      </c>
      <c r="Y876" s="8"/>
      <c r="Z876" s="8"/>
    </row>
    <row r="877" spans="1:26" ht="12.75" customHeight="1" x14ac:dyDescent="0.2">
      <c r="A877" s="15">
        <v>34</v>
      </c>
      <c r="B877" s="15">
        <v>2009</v>
      </c>
      <c r="C877" s="15">
        <v>31</v>
      </c>
      <c r="D877" s="15">
        <v>7</v>
      </c>
      <c r="E877" s="14">
        <v>0.4375</v>
      </c>
      <c r="F877" s="11" t="s">
        <v>51</v>
      </c>
      <c r="G877" s="11">
        <v>112</v>
      </c>
      <c r="H877" s="15" t="s">
        <v>29</v>
      </c>
      <c r="I877" s="11">
        <v>2</v>
      </c>
      <c r="J877" s="11" t="s">
        <v>32</v>
      </c>
      <c r="K877" s="11" t="s">
        <v>29</v>
      </c>
      <c r="L877" s="11" t="s">
        <v>29</v>
      </c>
      <c r="M877" s="11" t="s">
        <v>23</v>
      </c>
      <c r="N877" s="8"/>
      <c r="O877" s="16" t="s">
        <v>29</v>
      </c>
      <c r="P877" s="45">
        <v>212</v>
      </c>
      <c r="Q877" s="11"/>
      <c r="R877">
        <v>10.45</v>
      </c>
      <c r="S877">
        <v>1141.04</v>
      </c>
      <c r="T877">
        <v>1.75</v>
      </c>
      <c r="U877">
        <v>7.5</v>
      </c>
      <c r="V877">
        <v>104.5</v>
      </c>
      <c r="W877" s="8"/>
      <c r="X877" s="8"/>
      <c r="Y877" s="8"/>
      <c r="Z877" s="8"/>
    </row>
    <row r="878" spans="1:26" ht="12.75" customHeight="1" x14ac:dyDescent="0.2">
      <c r="A878" s="15">
        <v>35</v>
      </c>
      <c r="B878" s="15">
        <v>2009</v>
      </c>
      <c r="C878" s="15">
        <v>31</v>
      </c>
      <c r="D878" s="15">
        <v>7</v>
      </c>
      <c r="E878" s="14">
        <v>0.4375</v>
      </c>
      <c r="F878" s="11" t="s">
        <v>51</v>
      </c>
      <c r="G878" s="11" t="s">
        <v>29</v>
      </c>
      <c r="H878" s="15" t="s">
        <v>29</v>
      </c>
      <c r="I878" s="11" t="s">
        <v>29</v>
      </c>
      <c r="J878" s="11" t="s">
        <v>19</v>
      </c>
      <c r="K878" s="11" t="s">
        <v>20</v>
      </c>
      <c r="L878" s="11" t="s">
        <v>21</v>
      </c>
      <c r="M878" s="11" t="s">
        <v>25</v>
      </c>
      <c r="N878" s="8"/>
      <c r="O878" s="16" t="s">
        <v>142</v>
      </c>
      <c r="P878" s="45">
        <v>212</v>
      </c>
      <c r="Q878" s="11"/>
      <c r="W878" s="317">
        <v>3.9</v>
      </c>
      <c r="X878" s="190"/>
      <c r="Y878" s="8"/>
      <c r="Z878" s="8"/>
    </row>
    <row r="879" spans="1:26" ht="12.75" customHeight="1" x14ac:dyDescent="0.2">
      <c r="A879" s="15">
        <v>36</v>
      </c>
      <c r="B879" s="15">
        <v>2009</v>
      </c>
      <c r="C879" s="15">
        <v>31</v>
      </c>
      <c r="D879" s="15">
        <v>7</v>
      </c>
      <c r="E879" s="14">
        <v>0.4375</v>
      </c>
      <c r="F879" s="11" t="s">
        <v>51</v>
      </c>
      <c r="G879" s="11">
        <v>161</v>
      </c>
      <c r="H879" s="15" t="s">
        <v>29</v>
      </c>
      <c r="I879" s="11">
        <v>13.5</v>
      </c>
      <c r="J879" s="11" t="s">
        <v>19</v>
      </c>
      <c r="K879" s="11" t="s">
        <v>20</v>
      </c>
      <c r="L879" s="11" t="s">
        <v>21</v>
      </c>
      <c r="M879" s="11" t="s">
        <v>24</v>
      </c>
      <c r="N879" s="8"/>
      <c r="O879" s="16" t="s">
        <v>29</v>
      </c>
      <c r="P879" s="45">
        <v>212</v>
      </c>
      <c r="Q879" s="11"/>
      <c r="R879">
        <v>15.02</v>
      </c>
      <c r="S879">
        <v>3389.4</v>
      </c>
      <c r="T879">
        <v>3.98</v>
      </c>
      <c r="U879">
        <v>10.79</v>
      </c>
      <c r="V879">
        <v>150.21</v>
      </c>
      <c r="W879" s="317">
        <v>3.9</v>
      </c>
      <c r="X879" s="190">
        <f>I879*W879</f>
        <v>52.65</v>
      </c>
      <c r="Y879" s="8"/>
      <c r="Z879" s="8"/>
    </row>
    <row r="880" spans="1:26" ht="12.75" customHeight="1" x14ac:dyDescent="0.2">
      <c r="A880" s="15">
        <v>1</v>
      </c>
      <c r="B880" s="15">
        <v>2009</v>
      </c>
      <c r="C880" s="15">
        <v>30</v>
      </c>
      <c r="D880" s="15">
        <v>7</v>
      </c>
      <c r="E880" s="11" t="s">
        <v>143</v>
      </c>
      <c r="F880" s="11" t="s">
        <v>51</v>
      </c>
      <c r="G880" s="11">
        <v>125</v>
      </c>
      <c r="H880" s="15" t="s">
        <v>29</v>
      </c>
      <c r="I880" s="11">
        <v>6</v>
      </c>
      <c r="J880" s="11" t="s">
        <v>144</v>
      </c>
      <c r="K880" s="11" t="s">
        <v>29</v>
      </c>
      <c r="L880" s="11" t="s">
        <v>29</v>
      </c>
      <c r="M880" s="11" t="s">
        <v>138</v>
      </c>
      <c r="N880" s="8"/>
      <c r="O880" s="16" t="s">
        <v>145</v>
      </c>
      <c r="P880" s="45">
        <v>211</v>
      </c>
      <c r="Q880" s="11"/>
      <c r="R880">
        <v>11.66</v>
      </c>
      <c r="S880">
        <v>1586.26</v>
      </c>
      <c r="T880">
        <v>3.78</v>
      </c>
      <c r="U880">
        <v>8.3800000000000008</v>
      </c>
      <c r="V880">
        <v>116.63</v>
      </c>
      <c r="W880" s="8"/>
      <c r="X880" s="8"/>
      <c r="Y880" s="8"/>
      <c r="Z880" s="8"/>
    </row>
    <row r="881" spans="1:26" ht="12.75" customHeight="1" x14ac:dyDescent="0.2">
      <c r="A881" s="15">
        <v>2</v>
      </c>
      <c r="B881" s="15">
        <v>2009</v>
      </c>
      <c r="C881" s="15">
        <v>30</v>
      </c>
      <c r="D881" s="15">
        <v>7</v>
      </c>
      <c r="E881" s="11" t="s">
        <v>143</v>
      </c>
      <c r="F881" s="11" t="s">
        <v>51</v>
      </c>
      <c r="G881" s="11">
        <v>125</v>
      </c>
      <c r="H881" s="15" t="s">
        <v>29</v>
      </c>
      <c r="I881" s="11">
        <v>4</v>
      </c>
      <c r="J881" s="11" t="s">
        <v>32</v>
      </c>
      <c r="K881" s="11" t="s">
        <v>29</v>
      </c>
      <c r="L881" s="11" t="s">
        <v>29</v>
      </c>
      <c r="M881" s="11" t="s">
        <v>24</v>
      </c>
      <c r="N881" s="8"/>
      <c r="O881" s="16" t="s">
        <v>146</v>
      </c>
      <c r="P881" s="45">
        <v>211</v>
      </c>
      <c r="Q881" s="11"/>
      <c r="R881">
        <v>11.66</v>
      </c>
      <c r="S881">
        <v>1586.26</v>
      </c>
      <c r="T881">
        <v>2.52</v>
      </c>
      <c r="U881">
        <v>8.3800000000000008</v>
      </c>
      <c r="V881">
        <v>116.63</v>
      </c>
      <c r="W881" s="8"/>
      <c r="X881" s="8"/>
      <c r="Y881" s="8"/>
      <c r="Z881" s="8"/>
    </row>
    <row r="882" spans="1:26" ht="12.75" customHeight="1" x14ac:dyDescent="0.2">
      <c r="A882" s="15">
        <v>3</v>
      </c>
      <c r="B882" s="15">
        <v>2009</v>
      </c>
      <c r="C882" s="15">
        <v>30</v>
      </c>
      <c r="D882" s="15">
        <v>7</v>
      </c>
      <c r="E882" s="11" t="s">
        <v>143</v>
      </c>
      <c r="F882" s="11" t="s">
        <v>51</v>
      </c>
      <c r="G882" s="11">
        <v>157</v>
      </c>
      <c r="H882" s="15" t="s">
        <v>29</v>
      </c>
      <c r="I882" s="11">
        <v>11.5</v>
      </c>
      <c r="J882" s="11" t="s">
        <v>19</v>
      </c>
      <c r="K882" s="11" t="s">
        <v>20</v>
      </c>
      <c r="L882" s="11" t="s">
        <v>21</v>
      </c>
      <c r="M882" s="11" t="s">
        <v>24</v>
      </c>
      <c r="N882" s="8"/>
      <c r="O882" s="16" t="s">
        <v>29</v>
      </c>
      <c r="P882" s="45">
        <v>211</v>
      </c>
      <c r="Q882" s="11"/>
      <c r="R882">
        <v>14.65</v>
      </c>
      <c r="S882">
        <v>3143</v>
      </c>
      <c r="T882">
        <v>3.66</v>
      </c>
      <c r="U882">
        <v>10.52</v>
      </c>
      <c r="V882">
        <v>146.47999999999999</v>
      </c>
      <c r="W882" s="317">
        <v>3.9</v>
      </c>
      <c r="X882" s="190">
        <f>I882*W882</f>
        <v>44.85</v>
      </c>
      <c r="Y882" s="8"/>
      <c r="Z882" s="8"/>
    </row>
    <row r="883" spans="1:26" ht="12.75" customHeight="1" x14ac:dyDescent="0.2">
      <c r="A883" s="15">
        <v>4</v>
      </c>
      <c r="B883" s="15">
        <v>2009</v>
      </c>
      <c r="C883" s="15">
        <v>30</v>
      </c>
      <c r="D883" s="15">
        <v>7</v>
      </c>
      <c r="E883" s="11" t="s">
        <v>143</v>
      </c>
      <c r="F883" s="11" t="s">
        <v>51</v>
      </c>
      <c r="G883" s="11">
        <v>152</v>
      </c>
      <c r="H883" s="15" t="s">
        <v>29</v>
      </c>
      <c r="I883" s="11">
        <v>8.1999999999999993</v>
      </c>
      <c r="J883" s="11" t="s">
        <v>19</v>
      </c>
      <c r="K883" s="11" t="s">
        <v>20</v>
      </c>
      <c r="L883" s="11" t="s">
        <v>21</v>
      </c>
      <c r="M883" s="11" t="s">
        <v>147</v>
      </c>
      <c r="N883" s="8"/>
      <c r="O883" s="16" t="s">
        <v>29</v>
      </c>
      <c r="P883" s="45">
        <v>211</v>
      </c>
      <c r="Q883" s="11"/>
      <c r="R883">
        <v>14.18</v>
      </c>
      <c r="S883">
        <v>2852.17</v>
      </c>
      <c r="T883">
        <v>2.88</v>
      </c>
      <c r="U883">
        <v>10.18</v>
      </c>
      <c r="V883">
        <v>141.82</v>
      </c>
      <c r="W883" s="317">
        <v>3.9</v>
      </c>
      <c r="X883" s="190">
        <f>I883*W883</f>
        <v>31.979999999999997</v>
      </c>
      <c r="Y883" s="8"/>
      <c r="Z883" s="8"/>
    </row>
    <row r="884" spans="1:26" ht="12.75" customHeight="1" x14ac:dyDescent="0.2">
      <c r="A884" s="15">
        <v>5</v>
      </c>
      <c r="B884" s="15">
        <v>2009</v>
      </c>
      <c r="C884" s="15">
        <v>30</v>
      </c>
      <c r="D884" s="15">
        <v>7</v>
      </c>
      <c r="E884" s="11" t="s">
        <v>143</v>
      </c>
      <c r="F884" s="11" t="s">
        <v>51</v>
      </c>
      <c r="G884" s="11">
        <v>118</v>
      </c>
      <c r="H884" s="15" t="s">
        <v>29</v>
      </c>
      <c r="I884" s="11">
        <v>2.5</v>
      </c>
      <c r="J884" s="11" t="s">
        <v>32</v>
      </c>
      <c r="K884" s="11" t="s">
        <v>29</v>
      </c>
      <c r="L884" s="11" t="s">
        <v>29</v>
      </c>
      <c r="M884" s="11" t="s">
        <v>29</v>
      </c>
      <c r="N884" s="8"/>
      <c r="O884" s="16" t="s">
        <v>148</v>
      </c>
      <c r="P884" s="45">
        <v>211</v>
      </c>
      <c r="Q884" s="11"/>
      <c r="R884">
        <v>11.01</v>
      </c>
      <c r="S884">
        <v>1334.42</v>
      </c>
      <c r="T884">
        <v>1.87</v>
      </c>
      <c r="U884">
        <v>7.91</v>
      </c>
      <c r="V884">
        <v>110.09</v>
      </c>
      <c r="W884" s="8"/>
      <c r="X884" s="8"/>
      <c r="Y884" s="8"/>
      <c r="Z884" s="8"/>
    </row>
    <row r="885" spans="1:26" ht="12.75" customHeight="1" x14ac:dyDescent="0.2">
      <c r="A885" s="15">
        <v>6</v>
      </c>
      <c r="B885" s="15">
        <v>2009</v>
      </c>
      <c r="C885" s="15">
        <v>30</v>
      </c>
      <c r="D885" s="15">
        <v>7</v>
      </c>
      <c r="E885" s="11" t="s">
        <v>143</v>
      </c>
      <c r="F885" s="11" t="s">
        <v>51</v>
      </c>
      <c r="G885" s="11">
        <v>146</v>
      </c>
      <c r="H885" s="15" t="s">
        <v>29</v>
      </c>
      <c r="I885" s="11">
        <v>7.5</v>
      </c>
      <c r="J885" s="11" t="s">
        <v>19</v>
      </c>
      <c r="K885" s="11" t="s">
        <v>41</v>
      </c>
      <c r="L885" s="11" t="s">
        <v>41</v>
      </c>
      <c r="M885" s="11" t="s">
        <v>147</v>
      </c>
      <c r="N885" s="8"/>
      <c r="O885" s="16" t="s">
        <v>29</v>
      </c>
      <c r="P885" s="45">
        <v>211</v>
      </c>
      <c r="Q885" s="11"/>
      <c r="R885">
        <v>13.62</v>
      </c>
      <c r="S885">
        <v>2527.5700000000002</v>
      </c>
      <c r="T885">
        <v>2.97</v>
      </c>
      <c r="U885">
        <v>9.7799999999999994</v>
      </c>
      <c r="V885">
        <v>136.22</v>
      </c>
      <c r="W885" s="8"/>
      <c r="X885" s="8"/>
      <c r="Y885" s="8"/>
      <c r="Z885" s="8"/>
    </row>
    <row r="886" spans="1:26" ht="12.75" customHeight="1" x14ac:dyDescent="0.2">
      <c r="A886" s="15">
        <v>7</v>
      </c>
      <c r="B886" s="15">
        <v>2009</v>
      </c>
      <c r="C886" s="15">
        <v>30</v>
      </c>
      <c r="D886" s="15">
        <v>7</v>
      </c>
      <c r="E886" s="11" t="s">
        <v>143</v>
      </c>
      <c r="F886" s="11" t="s">
        <v>28</v>
      </c>
      <c r="G886" s="11" t="s">
        <v>29</v>
      </c>
      <c r="H886" s="15" t="s">
        <v>29</v>
      </c>
      <c r="I886" s="11" t="s">
        <v>29</v>
      </c>
      <c r="J886" s="11" t="s">
        <v>19</v>
      </c>
      <c r="K886" s="11" t="s">
        <v>41</v>
      </c>
      <c r="L886" s="11" t="s">
        <v>35</v>
      </c>
      <c r="M886" s="11" t="s">
        <v>29</v>
      </c>
      <c r="N886" s="8"/>
      <c r="O886" s="16" t="s">
        <v>149</v>
      </c>
      <c r="P886" s="45">
        <v>211</v>
      </c>
      <c r="Q886" s="11"/>
      <c r="W886" s="317"/>
      <c r="X886" s="8"/>
      <c r="Y886" s="8"/>
      <c r="Z886" s="8"/>
    </row>
    <row r="887" spans="1:26" ht="12.75" customHeight="1" x14ac:dyDescent="0.2">
      <c r="A887" s="15">
        <v>8</v>
      </c>
      <c r="B887" s="15">
        <v>2009</v>
      </c>
      <c r="C887" s="15">
        <v>30</v>
      </c>
      <c r="D887" s="15">
        <v>7</v>
      </c>
      <c r="E887" s="11" t="s">
        <v>143</v>
      </c>
      <c r="F887" s="11" t="s">
        <v>51</v>
      </c>
      <c r="G887" s="11">
        <v>142</v>
      </c>
      <c r="H887" s="15" t="s">
        <v>29</v>
      </c>
      <c r="I887" s="11">
        <v>9</v>
      </c>
      <c r="J887" s="11" t="s">
        <v>19</v>
      </c>
      <c r="K887" s="11" t="s">
        <v>41</v>
      </c>
      <c r="L887" s="11" t="s">
        <v>35</v>
      </c>
      <c r="M887" s="11" t="s">
        <v>29</v>
      </c>
      <c r="N887" s="8"/>
      <c r="O887" s="16" t="s">
        <v>29</v>
      </c>
      <c r="P887" s="45">
        <v>211</v>
      </c>
      <c r="Q887" s="11"/>
      <c r="R887">
        <v>13.25</v>
      </c>
      <c r="S887">
        <v>2325.4699999999998</v>
      </c>
      <c r="T887">
        <v>3.87</v>
      </c>
      <c r="U887">
        <v>9.51</v>
      </c>
      <c r="V887">
        <v>132.49</v>
      </c>
      <c r="W887" s="317"/>
      <c r="X887" s="8"/>
      <c r="Y887" s="8"/>
      <c r="Z887" s="8"/>
    </row>
    <row r="888" spans="1:26" ht="12.75" customHeight="1" x14ac:dyDescent="0.2">
      <c r="A888" s="15">
        <v>9</v>
      </c>
      <c r="B888" s="15">
        <v>2009</v>
      </c>
      <c r="C888" s="15">
        <v>30</v>
      </c>
      <c r="D888" s="15">
        <v>7</v>
      </c>
      <c r="E888" s="11" t="s">
        <v>143</v>
      </c>
      <c r="F888" s="11" t="s">
        <v>51</v>
      </c>
      <c r="G888" s="11">
        <v>130</v>
      </c>
      <c r="H888" s="15" t="s">
        <v>29</v>
      </c>
      <c r="I888" s="11">
        <v>6.5</v>
      </c>
      <c r="J888" s="11" t="s">
        <v>32</v>
      </c>
      <c r="K888" s="11" t="s">
        <v>29</v>
      </c>
      <c r="L888" s="11" t="s">
        <v>29</v>
      </c>
      <c r="M888" s="11" t="s">
        <v>46</v>
      </c>
      <c r="N888" s="11" t="s">
        <v>29</v>
      </c>
      <c r="O888" s="16" t="s">
        <v>29</v>
      </c>
      <c r="P888" s="45">
        <v>211</v>
      </c>
      <c r="Q888" s="11"/>
      <c r="R888">
        <v>12.13</v>
      </c>
      <c r="S888">
        <v>1784.33</v>
      </c>
      <c r="T888">
        <v>3.64</v>
      </c>
      <c r="U888">
        <v>8.7100000000000009</v>
      </c>
      <c r="V888">
        <v>121.29</v>
      </c>
      <c r="W888" s="8"/>
      <c r="X888" s="8"/>
      <c r="Y888" s="8"/>
      <c r="Z888" s="8"/>
    </row>
    <row r="889" spans="1:26" ht="12.75" customHeight="1" x14ac:dyDescent="0.2">
      <c r="A889" s="15">
        <v>10</v>
      </c>
      <c r="B889" s="15">
        <v>2009</v>
      </c>
      <c r="C889" s="15">
        <v>30</v>
      </c>
      <c r="D889" s="15">
        <v>7</v>
      </c>
      <c r="E889" s="11" t="s">
        <v>143</v>
      </c>
      <c r="F889" s="11" t="s">
        <v>51</v>
      </c>
      <c r="G889" s="11">
        <v>142</v>
      </c>
      <c r="H889" s="15" t="s">
        <v>29</v>
      </c>
      <c r="I889" s="11">
        <v>8.5</v>
      </c>
      <c r="J889" s="11" t="s">
        <v>19</v>
      </c>
      <c r="K889" s="11" t="s">
        <v>20</v>
      </c>
      <c r="L889" s="11" t="s">
        <v>30</v>
      </c>
      <c r="M889" s="11" t="s">
        <v>46</v>
      </c>
      <c r="N889" s="11" t="s">
        <v>24</v>
      </c>
      <c r="O889" s="16" t="s">
        <v>150</v>
      </c>
      <c r="P889" s="45">
        <v>211</v>
      </c>
      <c r="Q889" s="11"/>
      <c r="R889">
        <v>13.25</v>
      </c>
      <c r="S889">
        <v>2325.4699999999998</v>
      </c>
      <c r="T889">
        <v>3.66</v>
      </c>
      <c r="U889">
        <v>9.51</v>
      </c>
      <c r="V889">
        <v>132.49</v>
      </c>
      <c r="W889" s="317">
        <v>4.5999999999999996</v>
      </c>
      <c r="X889" s="190">
        <f>I889*W889</f>
        <v>39.099999999999994</v>
      </c>
      <c r="Y889" s="8"/>
      <c r="Z889" s="8"/>
    </row>
    <row r="890" spans="1:26" ht="12.75" customHeight="1" x14ac:dyDescent="0.2">
      <c r="A890" s="15">
        <v>11</v>
      </c>
      <c r="B890" s="15">
        <v>2009</v>
      </c>
      <c r="C890" s="15">
        <v>30</v>
      </c>
      <c r="D890" s="15">
        <v>7</v>
      </c>
      <c r="E890" s="11" t="s">
        <v>143</v>
      </c>
      <c r="F890" s="11" t="s">
        <v>51</v>
      </c>
      <c r="G890" s="11">
        <v>150</v>
      </c>
      <c r="H890" s="15" t="s">
        <v>29</v>
      </c>
      <c r="I890" s="11">
        <v>12</v>
      </c>
      <c r="J890" s="11" t="s">
        <v>19</v>
      </c>
      <c r="K890" s="11" t="s">
        <v>20</v>
      </c>
      <c r="L890" s="11" t="s">
        <v>30</v>
      </c>
      <c r="M890" s="11" t="s">
        <v>46</v>
      </c>
      <c r="N890" s="11" t="s">
        <v>24</v>
      </c>
      <c r="O890" s="16" t="s">
        <v>151</v>
      </c>
      <c r="P890" s="45">
        <v>211</v>
      </c>
      <c r="Q890" s="11"/>
      <c r="R890">
        <v>14</v>
      </c>
      <c r="S890">
        <v>2741.06</v>
      </c>
      <c r="T890">
        <v>4.38</v>
      </c>
      <c r="U890">
        <v>10.050000000000001</v>
      </c>
      <c r="V890">
        <v>139.94999999999999</v>
      </c>
      <c r="W890" s="317">
        <v>4.5999999999999996</v>
      </c>
      <c r="X890" s="190">
        <f>I890*W890</f>
        <v>55.199999999999996</v>
      </c>
      <c r="Y890" s="8"/>
      <c r="Z890" s="8"/>
    </row>
    <row r="891" spans="1:26" ht="12.75" customHeight="1" x14ac:dyDescent="0.2">
      <c r="A891" s="15">
        <v>12</v>
      </c>
      <c r="B891" s="15">
        <v>2009</v>
      </c>
      <c r="C891" s="15">
        <v>30</v>
      </c>
      <c r="D891" s="15">
        <v>7</v>
      </c>
      <c r="E891" s="11" t="s">
        <v>143</v>
      </c>
      <c r="F891" s="11" t="s">
        <v>51</v>
      </c>
      <c r="G891" s="11">
        <v>172</v>
      </c>
      <c r="H891" s="15" t="s">
        <v>29</v>
      </c>
      <c r="I891" s="11">
        <v>17</v>
      </c>
      <c r="J891" s="11" t="s">
        <v>19</v>
      </c>
      <c r="K891" s="11" t="s">
        <v>20</v>
      </c>
      <c r="L891" s="11" t="s">
        <v>30</v>
      </c>
      <c r="M891" s="11" t="s">
        <v>46</v>
      </c>
      <c r="N891" s="11" t="s">
        <v>24</v>
      </c>
      <c r="O891" s="16" t="s">
        <v>152</v>
      </c>
      <c r="P891" s="45">
        <v>211</v>
      </c>
      <c r="Q891" s="11"/>
      <c r="R891">
        <v>16.05</v>
      </c>
      <c r="S891">
        <v>4132.67</v>
      </c>
      <c r="T891">
        <v>4.1100000000000003</v>
      </c>
      <c r="U891">
        <v>11.52</v>
      </c>
      <c r="V891">
        <v>160.47999999999999</v>
      </c>
      <c r="W891" s="317">
        <v>4.5999999999999996</v>
      </c>
      <c r="X891" s="190">
        <f>I891*W891</f>
        <v>78.199999999999989</v>
      </c>
      <c r="Y891" s="8"/>
      <c r="Z891" s="8"/>
    </row>
    <row r="892" spans="1:26" ht="12.75" customHeight="1" x14ac:dyDescent="0.2">
      <c r="A892" s="15">
        <v>13</v>
      </c>
      <c r="B892" s="15">
        <v>2009</v>
      </c>
      <c r="C892" s="15">
        <v>30</v>
      </c>
      <c r="D892" s="15">
        <v>7</v>
      </c>
      <c r="E892" s="11" t="s">
        <v>143</v>
      </c>
      <c r="F892" s="11" t="s">
        <v>51</v>
      </c>
      <c r="G892" s="11">
        <v>170</v>
      </c>
      <c r="H892" s="15" t="s">
        <v>29</v>
      </c>
      <c r="I892" s="11">
        <v>16.5</v>
      </c>
      <c r="J892" s="11" t="s">
        <v>19</v>
      </c>
      <c r="K892" s="11" t="s">
        <v>20</v>
      </c>
      <c r="L892" s="11" t="s">
        <v>30</v>
      </c>
      <c r="M892" s="11" t="s">
        <v>46</v>
      </c>
      <c r="N892" s="11" t="s">
        <v>24</v>
      </c>
      <c r="O892" s="16" t="s">
        <v>29</v>
      </c>
      <c r="P892" s="45">
        <v>211</v>
      </c>
      <c r="Q892" s="11"/>
      <c r="R892">
        <v>15.86</v>
      </c>
      <c r="S892">
        <v>3990.17</v>
      </c>
      <c r="T892">
        <v>4.1399999999999997</v>
      </c>
      <c r="U892">
        <v>11.39</v>
      </c>
      <c r="V892">
        <v>158.61000000000001</v>
      </c>
      <c r="W892" s="317">
        <v>4.5999999999999996</v>
      </c>
      <c r="X892" s="190">
        <f>I892*W892</f>
        <v>75.899999999999991</v>
      </c>
      <c r="Y892" s="8"/>
      <c r="Z892" s="8"/>
    </row>
    <row r="893" spans="1:26" ht="12.75" customHeight="1" x14ac:dyDescent="0.2">
      <c r="A893" s="15">
        <v>14</v>
      </c>
      <c r="B893" s="15">
        <v>2009</v>
      </c>
      <c r="C893" s="15">
        <v>30</v>
      </c>
      <c r="D893" s="15">
        <v>7</v>
      </c>
      <c r="E893" s="11" t="s">
        <v>143</v>
      </c>
      <c r="F893" s="11" t="s">
        <v>51</v>
      </c>
      <c r="G893" s="11">
        <v>142</v>
      </c>
      <c r="H893" s="15" t="s">
        <v>29</v>
      </c>
      <c r="I893" s="11">
        <v>11</v>
      </c>
      <c r="J893" s="11" t="s">
        <v>19</v>
      </c>
      <c r="K893" s="11" t="s">
        <v>20</v>
      </c>
      <c r="L893" s="11" t="s">
        <v>30</v>
      </c>
      <c r="M893" s="11" t="s">
        <v>46</v>
      </c>
      <c r="N893" s="11" t="s">
        <v>24</v>
      </c>
      <c r="O893" s="16" t="s">
        <v>153</v>
      </c>
      <c r="P893" s="45">
        <v>211</v>
      </c>
      <c r="Q893" s="11"/>
      <c r="R893">
        <v>13.25</v>
      </c>
      <c r="S893">
        <v>2325.4699999999998</v>
      </c>
      <c r="T893">
        <v>4.7300000000000004</v>
      </c>
      <c r="U893">
        <v>9.51</v>
      </c>
      <c r="V893">
        <v>132.49</v>
      </c>
      <c r="W893" s="317">
        <v>4.5999999999999996</v>
      </c>
      <c r="X893" s="190">
        <f>I893*W893</f>
        <v>50.599999999999994</v>
      </c>
      <c r="Y893" s="8"/>
      <c r="Z893" s="8"/>
    </row>
    <row r="894" spans="1:26" ht="12.75" customHeight="1" x14ac:dyDescent="0.2">
      <c r="A894" s="15">
        <v>15</v>
      </c>
      <c r="B894" s="15">
        <v>2009</v>
      </c>
      <c r="C894" s="15">
        <v>30</v>
      </c>
      <c r="D894" s="15">
        <v>7</v>
      </c>
      <c r="E894" s="11" t="s">
        <v>143</v>
      </c>
      <c r="F894" s="11" t="s">
        <v>51</v>
      </c>
      <c r="G894" s="11">
        <v>126</v>
      </c>
      <c r="H894" s="15" t="s">
        <v>29</v>
      </c>
      <c r="I894" s="11" t="s">
        <v>29</v>
      </c>
      <c r="J894" s="11" t="s">
        <v>32</v>
      </c>
      <c r="K894" s="11" t="s">
        <v>29</v>
      </c>
      <c r="L894" s="11" t="s">
        <v>29</v>
      </c>
      <c r="M894" s="11" t="s">
        <v>46</v>
      </c>
      <c r="N894" s="11" t="s">
        <v>24</v>
      </c>
      <c r="O894" s="16" t="s">
        <v>29</v>
      </c>
      <c r="P894" s="45">
        <v>211</v>
      </c>
      <c r="Q894" s="11"/>
      <c r="R894">
        <v>11.76</v>
      </c>
      <c r="S894">
        <v>1624.64</v>
      </c>
      <c r="U894">
        <v>8.44</v>
      </c>
      <c r="V894">
        <v>117.56</v>
      </c>
      <c r="W894" s="8"/>
      <c r="X894" s="8"/>
      <c r="Y894" s="8"/>
      <c r="Z894" s="8"/>
    </row>
    <row r="895" spans="1:26" ht="12.75" customHeight="1" x14ac:dyDescent="0.2">
      <c r="A895" s="15">
        <v>16</v>
      </c>
      <c r="B895" s="15">
        <v>2009</v>
      </c>
      <c r="C895" s="15">
        <v>30</v>
      </c>
      <c r="D895" s="15">
        <v>7</v>
      </c>
      <c r="E895" s="11" t="s">
        <v>143</v>
      </c>
      <c r="F895" s="11" t="s">
        <v>51</v>
      </c>
      <c r="G895" s="11">
        <v>145</v>
      </c>
      <c r="H895" s="15" t="s">
        <v>29</v>
      </c>
      <c r="I895" s="11">
        <v>8.5</v>
      </c>
      <c r="J895" s="11" t="s">
        <v>19</v>
      </c>
      <c r="K895" s="11" t="s">
        <v>20</v>
      </c>
      <c r="L895" s="11" t="s">
        <v>30</v>
      </c>
      <c r="M895" s="11" t="s">
        <v>27</v>
      </c>
      <c r="N895" s="11" t="s">
        <v>24</v>
      </c>
      <c r="O895" s="16" t="s">
        <v>29</v>
      </c>
      <c r="P895" s="45">
        <v>211</v>
      </c>
      <c r="Q895" s="11"/>
      <c r="R895">
        <v>13.53</v>
      </c>
      <c r="S895">
        <v>2475.9899999999998</v>
      </c>
      <c r="T895">
        <v>3.43</v>
      </c>
      <c r="U895">
        <v>9.7200000000000006</v>
      </c>
      <c r="V895">
        <v>135.29</v>
      </c>
      <c r="W895" s="317">
        <v>4.5999999999999996</v>
      </c>
      <c r="X895" s="190">
        <f>I895*W895</f>
        <v>39.099999999999994</v>
      </c>
      <c r="Y895" s="8"/>
      <c r="Z895" s="8"/>
    </row>
    <row r="896" spans="1:26" ht="12.75" customHeight="1" x14ac:dyDescent="0.2">
      <c r="A896" s="15">
        <v>17</v>
      </c>
      <c r="B896" s="15">
        <v>2009</v>
      </c>
      <c r="C896" s="15">
        <v>30</v>
      </c>
      <c r="D896" s="15">
        <v>7</v>
      </c>
      <c r="E896" s="11" t="s">
        <v>143</v>
      </c>
      <c r="F896" s="11" t="s">
        <v>51</v>
      </c>
      <c r="G896" s="11">
        <v>150</v>
      </c>
      <c r="H896" s="15" t="s">
        <v>29</v>
      </c>
      <c r="I896" s="11">
        <v>10.5</v>
      </c>
      <c r="J896" s="11" t="s">
        <v>19</v>
      </c>
      <c r="K896" s="11" t="s">
        <v>20</v>
      </c>
      <c r="L896" s="11" t="s">
        <v>30</v>
      </c>
      <c r="M896" s="11" t="s">
        <v>29</v>
      </c>
      <c r="N896" s="11" t="s">
        <v>138</v>
      </c>
      <c r="O896" s="16" t="s">
        <v>154</v>
      </c>
      <c r="P896" s="45">
        <v>211</v>
      </c>
      <c r="Q896" s="11"/>
      <c r="R896">
        <v>14</v>
      </c>
      <c r="S896">
        <v>2741.06</v>
      </c>
      <c r="T896">
        <v>3.83</v>
      </c>
      <c r="U896">
        <v>10.050000000000001</v>
      </c>
      <c r="V896">
        <v>139.94999999999999</v>
      </c>
      <c r="W896" s="317">
        <v>4.5999999999999996</v>
      </c>
      <c r="X896" s="190">
        <f>I896*W896</f>
        <v>48.3</v>
      </c>
      <c r="Y896" s="8"/>
      <c r="Z896" s="8"/>
    </row>
    <row r="897" spans="1:26" ht="12.75" customHeight="1" x14ac:dyDescent="0.2">
      <c r="A897" s="15">
        <v>18</v>
      </c>
      <c r="B897" s="15">
        <v>2009</v>
      </c>
      <c r="C897" s="15">
        <v>30</v>
      </c>
      <c r="D897" s="15">
        <v>7</v>
      </c>
      <c r="E897" s="11" t="s">
        <v>143</v>
      </c>
      <c r="F897" s="11" t="s">
        <v>51</v>
      </c>
      <c r="G897" s="11">
        <v>175</v>
      </c>
      <c r="H897" s="15" t="s">
        <v>29</v>
      </c>
      <c r="I897" s="11">
        <v>15.8</v>
      </c>
      <c r="J897" s="11" t="s">
        <v>19</v>
      </c>
      <c r="K897" s="11" t="s">
        <v>20</v>
      </c>
      <c r="L897" s="11" t="s">
        <v>30</v>
      </c>
      <c r="M897" s="11" t="s">
        <v>29</v>
      </c>
      <c r="N897" s="11" t="s">
        <v>155</v>
      </c>
      <c r="O897" s="16" t="s">
        <v>156</v>
      </c>
      <c r="P897" s="45">
        <v>211</v>
      </c>
      <c r="Q897" s="11"/>
      <c r="R897">
        <v>16.329999999999998</v>
      </c>
      <c r="S897">
        <v>4352.7</v>
      </c>
      <c r="T897">
        <v>3.63</v>
      </c>
      <c r="U897">
        <v>11.73</v>
      </c>
      <c r="V897">
        <v>163.28</v>
      </c>
      <c r="W897" s="317">
        <v>4.5999999999999996</v>
      </c>
      <c r="X897" s="190">
        <f>I897*W897</f>
        <v>72.679999999999993</v>
      </c>
      <c r="Y897" s="8"/>
      <c r="Z897" s="8"/>
    </row>
    <row r="898" spans="1:26" ht="12.75" customHeight="1" x14ac:dyDescent="0.2">
      <c r="A898" s="15">
        <v>19</v>
      </c>
      <c r="B898" s="15">
        <v>2009</v>
      </c>
      <c r="C898" s="15">
        <v>30</v>
      </c>
      <c r="D898" s="15">
        <v>7</v>
      </c>
      <c r="E898" s="11" t="s">
        <v>143</v>
      </c>
      <c r="F898" s="11" t="s">
        <v>28</v>
      </c>
      <c r="G898" s="11" t="s">
        <v>29</v>
      </c>
      <c r="H898" s="15" t="s">
        <v>29</v>
      </c>
      <c r="I898" s="11" t="s">
        <v>29</v>
      </c>
      <c r="J898" s="11" t="s">
        <v>19</v>
      </c>
      <c r="K898" s="11" t="s">
        <v>41</v>
      </c>
      <c r="L898" s="11" t="s">
        <v>41</v>
      </c>
      <c r="M898" s="11" t="s">
        <v>29</v>
      </c>
      <c r="N898" s="11" t="s">
        <v>29</v>
      </c>
      <c r="O898" s="16" t="s">
        <v>157</v>
      </c>
      <c r="P898" s="45">
        <v>211</v>
      </c>
      <c r="Q898" s="11"/>
      <c r="W898" s="8"/>
      <c r="X898" s="8"/>
      <c r="Y898" s="8"/>
      <c r="Z898" s="8"/>
    </row>
    <row r="899" spans="1:26" ht="12.75" customHeight="1" x14ac:dyDescent="0.2">
      <c r="A899" s="15">
        <v>20</v>
      </c>
      <c r="B899" s="15">
        <v>2009</v>
      </c>
      <c r="C899" s="15">
        <v>30</v>
      </c>
      <c r="D899" s="15">
        <v>7</v>
      </c>
      <c r="E899" s="11" t="s">
        <v>143</v>
      </c>
      <c r="F899" s="11" t="s">
        <v>51</v>
      </c>
      <c r="G899" s="11">
        <v>148</v>
      </c>
      <c r="H899" s="15" t="s">
        <v>29</v>
      </c>
      <c r="I899" s="11">
        <v>11.5</v>
      </c>
      <c r="J899" s="11" t="s">
        <v>19</v>
      </c>
      <c r="K899" s="11" t="s">
        <v>20</v>
      </c>
      <c r="L899" s="11" t="s">
        <v>30</v>
      </c>
      <c r="M899" s="11" t="s">
        <v>46</v>
      </c>
      <c r="N899" s="11" t="s">
        <v>24</v>
      </c>
      <c r="O899" s="16" t="s">
        <v>158</v>
      </c>
      <c r="P899" s="45">
        <v>211</v>
      </c>
      <c r="Q899" s="11"/>
      <c r="R899">
        <v>13.81</v>
      </c>
      <c r="S899">
        <v>2632.87</v>
      </c>
      <c r="T899">
        <v>4.37</v>
      </c>
      <c r="U899">
        <v>9.92</v>
      </c>
      <c r="V899">
        <v>138.08000000000001</v>
      </c>
      <c r="W899" s="317">
        <v>4.5999999999999996</v>
      </c>
      <c r="X899" s="190">
        <f>I899*W899</f>
        <v>52.9</v>
      </c>
      <c r="Y899" s="8"/>
      <c r="Z899" s="8"/>
    </row>
    <row r="900" spans="1:26" ht="12.75" customHeight="1" x14ac:dyDescent="0.2">
      <c r="A900" s="15">
        <v>21</v>
      </c>
      <c r="B900" s="15">
        <v>2009</v>
      </c>
      <c r="C900" s="15">
        <v>30</v>
      </c>
      <c r="D900" s="15">
        <v>7</v>
      </c>
      <c r="E900" s="11" t="s">
        <v>143</v>
      </c>
      <c r="F900" s="11" t="s">
        <v>51</v>
      </c>
      <c r="G900" s="11">
        <v>164</v>
      </c>
      <c r="H900" s="15" t="s">
        <v>29</v>
      </c>
      <c r="I900" s="11">
        <v>14</v>
      </c>
      <c r="J900" s="11" t="s">
        <v>19</v>
      </c>
      <c r="K900" s="11" t="s">
        <v>20</v>
      </c>
      <c r="L900" s="11" t="s">
        <v>30</v>
      </c>
      <c r="M900" s="11" t="s">
        <v>46</v>
      </c>
      <c r="N900" s="11" t="s">
        <v>24</v>
      </c>
      <c r="O900" s="16" t="s">
        <v>29</v>
      </c>
      <c r="P900" s="45">
        <v>211</v>
      </c>
      <c r="Q900" s="11"/>
      <c r="R900">
        <v>15.3</v>
      </c>
      <c r="S900">
        <v>3582.42</v>
      </c>
      <c r="T900">
        <v>3.91</v>
      </c>
      <c r="U900">
        <v>10.99</v>
      </c>
      <c r="V900">
        <v>153.01</v>
      </c>
      <c r="W900" s="317">
        <v>4.5999999999999996</v>
      </c>
      <c r="X900" s="190">
        <f>I900*W900</f>
        <v>64.399999999999991</v>
      </c>
      <c r="Y900" s="8"/>
      <c r="Z900" s="8"/>
    </row>
    <row r="901" spans="1:26" ht="12.75" customHeight="1" x14ac:dyDescent="0.2">
      <c r="A901" s="15">
        <v>22</v>
      </c>
      <c r="B901" s="15">
        <v>2009</v>
      </c>
      <c r="C901" s="15">
        <v>30</v>
      </c>
      <c r="D901" s="15">
        <v>7</v>
      </c>
      <c r="E901" s="11" t="s">
        <v>159</v>
      </c>
      <c r="F901" s="11" t="s">
        <v>28</v>
      </c>
      <c r="G901" s="11" t="s">
        <v>29</v>
      </c>
      <c r="H901" s="15" t="s">
        <v>29</v>
      </c>
      <c r="I901" s="11" t="s">
        <v>29</v>
      </c>
      <c r="J901" s="11" t="s">
        <v>19</v>
      </c>
      <c r="K901" s="11" t="s">
        <v>20</v>
      </c>
      <c r="L901" s="11" t="s">
        <v>30</v>
      </c>
      <c r="M901" s="11" t="s">
        <v>45</v>
      </c>
      <c r="N901" s="11" t="s">
        <v>33</v>
      </c>
      <c r="O901" s="16" t="s">
        <v>29</v>
      </c>
      <c r="P901" s="45">
        <v>211</v>
      </c>
      <c r="Q901" s="11"/>
      <c r="W901" s="317">
        <v>4.5999999999999996</v>
      </c>
      <c r="X901" s="190"/>
      <c r="Y901" s="8"/>
      <c r="Z901" s="8"/>
    </row>
    <row r="902" spans="1:26" ht="12.75" customHeight="1" x14ac:dyDescent="0.2">
      <c r="A902" s="15">
        <v>23</v>
      </c>
      <c r="B902" s="15">
        <v>2009</v>
      </c>
      <c r="C902" s="15">
        <v>30</v>
      </c>
      <c r="D902" s="15">
        <v>7</v>
      </c>
      <c r="E902" s="11" t="s">
        <v>159</v>
      </c>
      <c r="F902" s="11" t="s">
        <v>51</v>
      </c>
      <c r="G902" s="11">
        <v>155</v>
      </c>
      <c r="H902" s="15" t="s">
        <v>29</v>
      </c>
      <c r="I902" s="11">
        <v>8.4</v>
      </c>
      <c r="J902" s="11" t="s">
        <v>19</v>
      </c>
      <c r="K902" s="11" t="s">
        <v>41</v>
      </c>
      <c r="L902" s="11" t="s">
        <v>35</v>
      </c>
      <c r="M902" s="11" t="s">
        <v>46</v>
      </c>
      <c r="N902" s="11" t="s">
        <v>24</v>
      </c>
      <c r="O902" s="16" t="s">
        <v>29</v>
      </c>
      <c r="P902" s="45">
        <v>211</v>
      </c>
      <c r="Q902" s="11"/>
      <c r="R902">
        <v>14.46</v>
      </c>
      <c r="S902">
        <v>3024.41</v>
      </c>
      <c r="T902">
        <v>2.78</v>
      </c>
      <c r="U902">
        <v>10.39</v>
      </c>
      <c r="V902">
        <v>144.62</v>
      </c>
      <c r="W902" s="317"/>
      <c r="X902" s="8"/>
      <c r="Y902" s="8"/>
      <c r="Z902" s="8"/>
    </row>
    <row r="903" spans="1:26" ht="12.75" customHeight="1" x14ac:dyDescent="0.2">
      <c r="A903" s="15">
        <v>24</v>
      </c>
      <c r="B903" s="15">
        <v>2009</v>
      </c>
      <c r="C903" s="15">
        <v>30</v>
      </c>
      <c r="D903" s="15">
        <v>7</v>
      </c>
      <c r="E903" s="11" t="s">
        <v>159</v>
      </c>
      <c r="F903" s="11" t="s">
        <v>51</v>
      </c>
      <c r="G903" s="11">
        <v>140</v>
      </c>
      <c r="H903" s="15" t="s">
        <v>29</v>
      </c>
      <c r="I903" s="11" t="s">
        <v>29</v>
      </c>
      <c r="J903" s="11" t="s">
        <v>19</v>
      </c>
      <c r="K903" s="11" t="s">
        <v>20</v>
      </c>
      <c r="L903" s="11" t="s">
        <v>30</v>
      </c>
      <c r="M903" s="11" t="s">
        <v>29</v>
      </c>
      <c r="N903" s="11" t="s">
        <v>29</v>
      </c>
      <c r="O903" s="16" t="s">
        <v>160</v>
      </c>
      <c r="P903" s="45">
        <v>211</v>
      </c>
      <c r="Q903" s="11"/>
      <c r="R903">
        <v>13.06</v>
      </c>
      <c r="S903">
        <v>2228.58</v>
      </c>
      <c r="U903">
        <v>9.3800000000000008</v>
      </c>
      <c r="V903">
        <v>130.62</v>
      </c>
      <c r="W903" s="317">
        <v>4.5999999999999996</v>
      </c>
      <c r="X903" s="190"/>
      <c r="Y903" s="8"/>
      <c r="Z903" s="8"/>
    </row>
    <row r="904" spans="1:26" ht="12.75" customHeight="1" x14ac:dyDescent="0.2">
      <c r="A904" s="15">
        <v>25</v>
      </c>
      <c r="B904" s="15">
        <v>2009</v>
      </c>
      <c r="C904" s="15">
        <v>30</v>
      </c>
      <c r="D904" s="15">
        <v>7</v>
      </c>
      <c r="E904" s="11" t="s">
        <v>159</v>
      </c>
      <c r="F904" s="11" t="s">
        <v>51</v>
      </c>
      <c r="G904" s="11">
        <v>156</v>
      </c>
      <c r="H904" s="15" t="s">
        <v>29</v>
      </c>
      <c r="I904" s="11">
        <v>9.5</v>
      </c>
      <c r="J904" s="11" t="s">
        <v>19</v>
      </c>
      <c r="K904" s="11" t="s">
        <v>20</v>
      </c>
      <c r="L904" s="11" t="s">
        <v>30</v>
      </c>
      <c r="M904" s="11" t="s">
        <v>29</v>
      </c>
      <c r="N904" s="11" t="s">
        <v>23</v>
      </c>
      <c r="O904" s="16" t="s">
        <v>29</v>
      </c>
      <c r="P904" s="45">
        <v>211</v>
      </c>
      <c r="Q904" s="11"/>
      <c r="R904">
        <v>14.55</v>
      </c>
      <c r="S904">
        <v>3083.32</v>
      </c>
      <c r="T904">
        <v>3.08</v>
      </c>
      <c r="U904">
        <v>10.45</v>
      </c>
      <c r="V904">
        <v>145.55000000000001</v>
      </c>
      <c r="W904" s="317">
        <v>4.5999999999999996</v>
      </c>
      <c r="X904" s="190">
        <f>I904*W904</f>
        <v>43.699999999999996</v>
      </c>
      <c r="Y904" s="8"/>
      <c r="Z904" s="8"/>
    </row>
    <row r="905" spans="1:26" ht="12.75" customHeight="1" x14ac:dyDescent="0.2">
      <c r="A905" s="15">
        <v>26</v>
      </c>
      <c r="B905" s="15">
        <v>2009</v>
      </c>
      <c r="C905" s="15">
        <v>30</v>
      </c>
      <c r="D905" s="15">
        <v>7</v>
      </c>
      <c r="E905" s="11" t="s">
        <v>159</v>
      </c>
      <c r="F905" s="11" t="s">
        <v>28</v>
      </c>
      <c r="G905" s="11" t="s">
        <v>29</v>
      </c>
      <c r="H905" s="15" t="s">
        <v>29</v>
      </c>
      <c r="I905" s="11" t="s">
        <v>29</v>
      </c>
      <c r="J905" s="11" t="s">
        <v>19</v>
      </c>
      <c r="K905" s="11" t="s">
        <v>20</v>
      </c>
      <c r="L905" s="11" t="s">
        <v>30</v>
      </c>
      <c r="M905" s="11" t="s">
        <v>29</v>
      </c>
      <c r="N905" s="11" t="s">
        <v>29</v>
      </c>
      <c r="O905" s="16" t="s">
        <v>29</v>
      </c>
      <c r="P905" s="45">
        <v>211</v>
      </c>
      <c r="Q905" s="11"/>
      <c r="W905" s="317">
        <v>4.5999999999999996</v>
      </c>
      <c r="X905" s="190"/>
      <c r="Y905" s="8"/>
      <c r="Z905" s="8"/>
    </row>
    <row r="906" spans="1:26" ht="12.75" customHeight="1" x14ac:dyDescent="0.2">
      <c r="A906" s="15">
        <v>27</v>
      </c>
      <c r="B906" s="15">
        <v>2009</v>
      </c>
      <c r="C906" s="15">
        <v>30</v>
      </c>
      <c r="D906" s="15">
        <v>7</v>
      </c>
      <c r="E906" s="14">
        <v>0.77083333333333337</v>
      </c>
      <c r="F906" s="11" t="s">
        <v>51</v>
      </c>
      <c r="G906" s="11">
        <v>146</v>
      </c>
      <c r="H906" s="15" t="s">
        <v>29</v>
      </c>
      <c r="I906" s="11">
        <v>10</v>
      </c>
      <c r="J906" s="11" t="s">
        <v>19</v>
      </c>
      <c r="K906" s="11" t="s">
        <v>20</v>
      </c>
      <c r="L906" s="11" t="s">
        <v>21</v>
      </c>
      <c r="M906" s="11" t="s">
        <v>46</v>
      </c>
      <c r="N906" s="11" t="s">
        <v>24</v>
      </c>
      <c r="O906" s="16" t="s">
        <v>29</v>
      </c>
      <c r="P906" s="45">
        <v>211</v>
      </c>
      <c r="Q906" s="11"/>
      <c r="R906">
        <v>13.62</v>
      </c>
      <c r="S906">
        <v>2527.5700000000002</v>
      </c>
      <c r="T906">
        <v>3.96</v>
      </c>
      <c r="U906">
        <v>9.7799999999999994</v>
      </c>
      <c r="V906">
        <v>136.22</v>
      </c>
      <c r="W906" s="317">
        <v>3.9</v>
      </c>
      <c r="X906" s="190">
        <f t="shared" ref="X906:X962" si="33">I906*W906</f>
        <v>39</v>
      </c>
      <c r="Y906" s="8"/>
      <c r="Z906" s="8"/>
    </row>
    <row r="907" spans="1:26" ht="12.75" customHeight="1" x14ac:dyDescent="0.2">
      <c r="A907" s="15">
        <v>28</v>
      </c>
      <c r="B907" s="15">
        <v>2009</v>
      </c>
      <c r="C907" s="15">
        <v>30</v>
      </c>
      <c r="D907" s="15">
        <v>7</v>
      </c>
      <c r="E907" s="14">
        <v>0.77083333333333337</v>
      </c>
      <c r="F907" s="11" t="s">
        <v>51</v>
      </c>
      <c r="G907" s="11">
        <v>157</v>
      </c>
      <c r="H907" s="15" t="s">
        <v>29</v>
      </c>
      <c r="I907" s="11">
        <v>11</v>
      </c>
      <c r="J907" s="11" t="s">
        <v>19</v>
      </c>
      <c r="K907" s="11" t="s">
        <v>41</v>
      </c>
      <c r="L907" s="11" t="s">
        <v>35</v>
      </c>
      <c r="M907" s="11" t="s">
        <v>27</v>
      </c>
      <c r="N907" s="11" t="s">
        <v>161</v>
      </c>
      <c r="O907" s="16" t="s">
        <v>29</v>
      </c>
      <c r="P907" s="45">
        <v>211</v>
      </c>
      <c r="Q907" s="11"/>
      <c r="R907">
        <v>14.65</v>
      </c>
      <c r="S907">
        <v>3143</v>
      </c>
      <c r="T907">
        <v>3.5</v>
      </c>
      <c r="U907">
        <v>10.52</v>
      </c>
      <c r="V907">
        <v>146.47999999999999</v>
      </c>
      <c r="W907" s="317"/>
      <c r="X907" s="8"/>
      <c r="Y907" s="8"/>
      <c r="Z907" s="8"/>
    </row>
    <row r="908" spans="1:26" ht="12.75" customHeight="1" x14ac:dyDescent="0.2">
      <c r="A908" s="15">
        <v>29</v>
      </c>
      <c r="B908" s="15">
        <v>2009</v>
      </c>
      <c r="C908" s="15">
        <v>30</v>
      </c>
      <c r="D908" s="15">
        <v>7</v>
      </c>
      <c r="E908" s="14">
        <v>0.77083333333333337</v>
      </c>
      <c r="F908" s="11" t="s">
        <v>51</v>
      </c>
      <c r="G908" s="11">
        <v>144</v>
      </c>
      <c r="H908" s="15" t="s">
        <v>29</v>
      </c>
      <c r="I908" s="11">
        <v>6</v>
      </c>
      <c r="J908" s="11" t="s">
        <v>19</v>
      </c>
      <c r="K908" s="11" t="s">
        <v>20</v>
      </c>
      <c r="L908" s="11" t="s">
        <v>30</v>
      </c>
      <c r="M908" s="11" t="s">
        <v>46</v>
      </c>
      <c r="N908" s="11" t="s">
        <v>24</v>
      </c>
      <c r="O908" s="16" t="s">
        <v>29</v>
      </c>
      <c r="P908" s="45">
        <v>211</v>
      </c>
      <c r="Q908" s="11"/>
      <c r="R908">
        <v>13.44</v>
      </c>
      <c r="S908">
        <v>2425.12</v>
      </c>
      <c r="T908">
        <v>2.4700000000000002</v>
      </c>
      <c r="U908">
        <v>9.65</v>
      </c>
      <c r="V908">
        <v>134.35</v>
      </c>
      <c r="W908" s="317">
        <v>4.5999999999999996</v>
      </c>
      <c r="X908" s="190">
        <f t="shared" si="33"/>
        <v>27.599999999999998</v>
      </c>
      <c r="Y908" s="8"/>
      <c r="Z908" s="8"/>
    </row>
    <row r="909" spans="1:26" ht="12.75" customHeight="1" x14ac:dyDescent="0.2">
      <c r="A909" s="15">
        <v>30</v>
      </c>
      <c r="B909" s="15">
        <v>2009</v>
      </c>
      <c r="C909" s="15">
        <v>30</v>
      </c>
      <c r="D909" s="15">
        <v>7</v>
      </c>
      <c r="E909" s="14">
        <v>0.77083333333333337</v>
      </c>
      <c r="F909" s="11" t="s">
        <v>51</v>
      </c>
      <c r="G909" s="11">
        <v>150</v>
      </c>
      <c r="H909" s="15" t="s">
        <v>29</v>
      </c>
      <c r="I909" s="11">
        <v>10.5</v>
      </c>
      <c r="J909" s="11" t="s">
        <v>19</v>
      </c>
      <c r="K909" s="11" t="s">
        <v>20</v>
      </c>
      <c r="L909" s="11" t="s">
        <v>21</v>
      </c>
      <c r="M909" s="11" t="s">
        <v>46</v>
      </c>
      <c r="N909" s="11" t="s">
        <v>39</v>
      </c>
      <c r="O909" s="16" t="s">
        <v>162</v>
      </c>
      <c r="P909" s="45">
        <v>211</v>
      </c>
      <c r="Q909" s="11"/>
      <c r="R909">
        <v>14</v>
      </c>
      <c r="S909">
        <v>2741.06</v>
      </c>
      <c r="T909">
        <v>3.83</v>
      </c>
      <c r="U909">
        <v>10.050000000000001</v>
      </c>
      <c r="V909">
        <v>139.94999999999999</v>
      </c>
      <c r="W909" s="317">
        <v>3.9</v>
      </c>
      <c r="X909" s="190">
        <f t="shared" si="33"/>
        <v>40.949999999999996</v>
      </c>
      <c r="Y909" s="8"/>
      <c r="Z909" s="8"/>
    </row>
    <row r="910" spans="1:26" ht="12.75" customHeight="1" x14ac:dyDescent="0.2">
      <c r="A910" s="15">
        <v>87</v>
      </c>
      <c r="B910" s="15">
        <v>2008</v>
      </c>
      <c r="C910" s="15">
        <v>29</v>
      </c>
      <c r="D910" s="15">
        <v>7</v>
      </c>
      <c r="E910" s="14">
        <v>0.30555555555555552</v>
      </c>
      <c r="F910" s="11" t="s">
        <v>51</v>
      </c>
      <c r="G910" s="11">
        <v>135</v>
      </c>
      <c r="H910" s="15" t="s">
        <v>29</v>
      </c>
      <c r="I910" s="11">
        <v>10.5</v>
      </c>
      <c r="J910" s="11" t="s">
        <v>19</v>
      </c>
      <c r="K910" s="11" t="s">
        <v>20</v>
      </c>
      <c r="L910" s="11" t="s">
        <v>30</v>
      </c>
      <c r="M910" s="11" t="s">
        <v>46</v>
      </c>
      <c r="N910" s="11" t="s">
        <v>25</v>
      </c>
      <c r="O910" s="16" t="s">
        <v>163</v>
      </c>
      <c r="P910" s="15">
        <v>211</v>
      </c>
      <c r="Q910" s="8"/>
      <c r="R910">
        <v>12.6</v>
      </c>
      <c r="S910">
        <v>1998.23</v>
      </c>
      <c r="T910">
        <v>5.25</v>
      </c>
      <c r="U910">
        <v>9.0500000000000007</v>
      </c>
      <c r="V910">
        <v>125.96</v>
      </c>
      <c r="W910" s="317">
        <v>4.5999999999999996</v>
      </c>
      <c r="X910" s="190">
        <f t="shared" si="33"/>
        <v>48.3</v>
      </c>
      <c r="Y910" s="8"/>
      <c r="Z910" s="8"/>
    </row>
    <row r="911" spans="1:26" ht="12.75" customHeight="1" x14ac:dyDescent="0.2">
      <c r="A911" s="15">
        <v>88</v>
      </c>
      <c r="B911" s="15">
        <v>2008</v>
      </c>
      <c r="C911" s="15">
        <v>29</v>
      </c>
      <c r="D911" s="15">
        <v>7</v>
      </c>
      <c r="E911" s="14">
        <v>0.30555555555555552</v>
      </c>
      <c r="F911" s="11" t="s">
        <v>51</v>
      </c>
      <c r="G911" s="11">
        <v>136</v>
      </c>
      <c r="H911" s="15" t="s">
        <v>29</v>
      </c>
      <c r="I911" s="11">
        <v>11.5</v>
      </c>
      <c r="J911" s="11" t="s">
        <v>19</v>
      </c>
      <c r="K911" s="11" t="s">
        <v>20</v>
      </c>
      <c r="L911" s="11" t="s">
        <v>21</v>
      </c>
      <c r="M911" s="11" t="s">
        <v>46</v>
      </c>
      <c r="N911" s="11" t="s">
        <v>39</v>
      </c>
      <c r="O911" s="16" t="s">
        <v>164</v>
      </c>
      <c r="P911" s="15">
        <v>211</v>
      </c>
      <c r="Q911" s="8"/>
      <c r="R911">
        <v>12.69</v>
      </c>
      <c r="S911">
        <v>2042.97</v>
      </c>
      <c r="T911">
        <v>5.63</v>
      </c>
      <c r="U911">
        <v>9.11</v>
      </c>
      <c r="V911">
        <v>126.89</v>
      </c>
      <c r="W911" s="317">
        <v>3.9</v>
      </c>
      <c r="X911" s="190">
        <f t="shared" si="33"/>
        <v>44.85</v>
      </c>
      <c r="Y911" s="8"/>
      <c r="Z911" s="8"/>
    </row>
    <row r="912" spans="1:26" ht="12.75" customHeight="1" x14ac:dyDescent="0.2">
      <c r="A912" s="15">
        <v>89</v>
      </c>
      <c r="B912" s="15">
        <v>2008</v>
      </c>
      <c r="C912" s="15">
        <v>29</v>
      </c>
      <c r="D912" s="15">
        <v>7</v>
      </c>
      <c r="E912" s="14">
        <v>0.30555555555555552</v>
      </c>
      <c r="F912" s="11" t="s">
        <v>51</v>
      </c>
      <c r="G912" s="11">
        <v>156</v>
      </c>
      <c r="H912" s="15" t="s">
        <v>29</v>
      </c>
      <c r="I912" s="11">
        <v>11</v>
      </c>
      <c r="J912" s="11" t="s">
        <v>19</v>
      </c>
      <c r="K912" s="11" t="s">
        <v>20</v>
      </c>
      <c r="L912" s="11" t="s">
        <v>21</v>
      </c>
      <c r="M912" s="11" t="s">
        <v>46</v>
      </c>
      <c r="N912" s="11" t="s">
        <v>33</v>
      </c>
      <c r="O912" s="16" t="s">
        <v>29</v>
      </c>
      <c r="P912" s="15">
        <v>211</v>
      </c>
      <c r="Q912" s="8"/>
      <c r="R912">
        <v>14.55</v>
      </c>
      <c r="S912">
        <v>3083.32</v>
      </c>
      <c r="T912">
        <v>3.57</v>
      </c>
      <c r="U912">
        <v>10.45</v>
      </c>
      <c r="V912">
        <v>145.55000000000001</v>
      </c>
      <c r="W912" s="317">
        <v>3.9</v>
      </c>
      <c r="X912" s="190">
        <f t="shared" si="33"/>
        <v>42.9</v>
      </c>
      <c r="Y912" s="8"/>
      <c r="Z912" s="8"/>
    </row>
    <row r="913" spans="1:26" ht="12.75" customHeight="1" x14ac:dyDescent="0.2">
      <c r="A913" s="15">
        <v>90</v>
      </c>
      <c r="B913" s="15">
        <v>2008</v>
      </c>
      <c r="C913" s="15">
        <v>29</v>
      </c>
      <c r="D913" s="15">
        <v>7</v>
      </c>
      <c r="E913" s="14">
        <v>0.30555555555555552</v>
      </c>
      <c r="F913" s="11" t="s">
        <v>28</v>
      </c>
      <c r="G913" s="11" t="s">
        <v>29</v>
      </c>
      <c r="H913" s="15" t="s">
        <v>29</v>
      </c>
      <c r="I913" s="11" t="s">
        <v>29</v>
      </c>
      <c r="J913" s="11" t="s">
        <v>19</v>
      </c>
      <c r="K913" s="11" t="s">
        <v>20</v>
      </c>
      <c r="L913" s="11" t="s">
        <v>21</v>
      </c>
      <c r="M913" s="11" t="s">
        <v>46</v>
      </c>
      <c r="N913" s="11" t="s">
        <v>25</v>
      </c>
      <c r="O913" s="16" t="s">
        <v>164</v>
      </c>
      <c r="P913" s="15">
        <v>211</v>
      </c>
      <c r="Q913" s="8"/>
      <c r="W913" s="317">
        <v>3.9</v>
      </c>
      <c r="X913" s="190"/>
      <c r="Y913" s="8"/>
      <c r="Z913" s="8"/>
    </row>
    <row r="914" spans="1:26" ht="12.75" customHeight="1" x14ac:dyDescent="0.2">
      <c r="A914" s="15">
        <v>91</v>
      </c>
      <c r="B914" s="15">
        <v>2008</v>
      </c>
      <c r="C914" s="15">
        <v>29</v>
      </c>
      <c r="D914" s="15">
        <v>7</v>
      </c>
      <c r="E914" s="14">
        <v>0.30555555555555552</v>
      </c>
      <c r="F914" s="11" t="s">
        <v>51</v>
      </c>
      <c r="G914" s="11">
        <v>161</v>
      </c>
      <c r="H914" s="15" t="s">
        <v>29</v>
      </c>
      <c r="I914" s="11">
        <v>15.5</v>
      </c>
      <c r="J914" s="11" t="s">
        <v>19</v>
      </c>
      <c r="K914" s="11" t="s">
        <v>20</v>
      </c>
      <c r="L914" s="11" t="s">
        <v>30</v>
      </c>
      <c r="M914" s="11" t="s">
        <v>46</v>
      </c>
      <c r="N914" s="11" t="s">
        <v>25</v>
      </c>
      <c r="O914" s="16" t="s">
        <v>29</v>
      </c>
      <c r="P914" s="15">
        <v>211</v>
      </c>
      <c r="Q914" s="8"/>
      <c r="R914">
        <v>15.02</v>
      </c>
      <c r="S914">
        <v>3389.4</v>
      </c>
      <c r="T914">
        <v>4.57</v>
      </c>
      <c r="U914">
        <v>10.79</v>
      </c>
      <c r="V914">
        <v>150.21</v>
      </c>
      <c r="W914" s="317">
        <v>4.5999999999999996</v>
      </c>
      <c r="X914" s="190">
        <f t="shared" si="33"/>
        <v>71.3</v>
      </c>
      <c r="Y914" s="8"/>
      <c r="Z914" s="8"/>
    </row>
    <row r="915" spans="1:26" ht="12.75" customHeight="1" x14ac:dyDescent="0.2">
      <c r="A915" s="15">
        <v>92</v>
      </c>
      <c r="B915" s="15">
        <v>2008</v>
      </c>
      <c r="C915" s="15">
        <v>29</v>
      </c>
      <c r="D915" s="15">
        <v>7</v>
      </c>
      <c r="E915" s="14">
        <v>0.30555555555555552</v>
      </c>
      <c r="F915" s="11" t="s">
        <v>51</v>
      </c>
      <c r="G915" s="11">
        <v>143</v>
      </c>
      <c r="H915" s="15" t="s">
        <v>29</v>
      </c>
      <c r="I915" s="11">
        <v>11.5</v>
      </c>
      <c r="J915" s="11" t="s">
        <v>19</v>
      </c>
      <c r="K915" s="11" t="s">
        <v>20</v>
      </c>
      <c r="L915" s="11" t="s">
        <v>21</v>
      </c>
      <c r="M915" s="11" t="s">
        <v>46</v>
      </c>
      <c r="N915" s="11" t="s">
        <v>25</v>
      </c>
      <c r="O915" s="16" t="s">
        <v>165</v>
      </c>
      <c r="P915" s="15">
        <v>211</v>
      </c>
      <c r="Q915" s="8"/>
      <c r="R915">
        <v>13.34</v>
      </c>
      <c r="S915">
        <v>2374.94</v>
      </c>
      <c r="T915">
        <v>4.84</v>
      </c>
      <c r="U915">
        <v>9.58</v>
      </c>
      <c r="V915">
        <v>133.41999999999999</v>
      </c>
      <c r="W915" s="317">
        <v>3.9</v>
      </c>
      <c r="X915" s="190">
        <f t="shared" si="33"/>
        <v>44.85</v>
      </c>
      <c r="Y915" s="8"/>
      <c r="Z915" s="8"/>
    </row>
    <row r="916" spans="1:26" ht="12.75" customHeight="1" x14ac:dyDescent="0.2">
      <c r="A916" s="15">
        <v>93</v>
      </c>
      <c r="B916" s="15">
        <v>2008</v>
      </c>
      <c r="C916" s="15">
        <v>29</v>
      </c>
      <c r="D916" s="15">
        <v>7</v>
      </c>
      <c r="E916" s="14">
        <v>0.35416666666666669</v>
      </c>
      <c r="F916" s="11" t="s">
        <v>51</v>
      </c>
      <c r="G916" s="11">
        <v>142</v>
      </c>
      <c r="H916" s="15" t="s">
        <v>29</v>
      </c>
      <c r="I916" s="11">
        <v>11</v>
      </c>
      <c r="J916" s="11" t="s">
        <v>19</v>
      </c>
      <c r="K916" s="11" t="s">
        <v>20</v>
      </c>
      <c r="L916" s="11" t="s">
        <v>21</v>
      </c>
      <c r="M916" s="11" t="s">
        <v>46</v>
      </c>
      <c r="N916" s="11" t="s">
        <v>33</v>
      </c>
      <c r="O916" s="16" t="s">
        <v>29</v>
      </c>
      <c r="P916" s="15">
        <v>211</v>
      </c>
      <c r="Q916" s="8"/>
      <c r="R916">
        <v>13.25</v>
      </c>
      <c r="S916">
        <v>2325.4699999999998</v>
      </c>
      <c r="T916">
        <v>4.7300000000000004</v>
      </c>
      <c r="U916">
        <v>9.51</v>
      </c>
      <c r="V916">
        <v>132.49</v>
      </c>
      <c r="W916" s="317">
        <v>3.9</v>
      </c>
      <c r="X916" s="190">
        <f t="shared" si="33"/>
        <v>42.9</v>
      </c>
      <c r="Y916" s="8"/>
      <c r="Z916" s="8"/>
    </row>
    <row r="917" spans="1:26" ht="12.75" customHeight="1" x14ac:dyDescent="0.2">
      <c r="A917" s="15">
        <v>94</v>
      </c>
      <c r="B917" s="15">
        <v>2008</v>
      </c>
      <c r="C917" s="15">
        <v>29</v>
      </c>
      <c r="D917" s="15">
        <v>7</v>
      </c>
      <c r="E917" s="14">
        <v>0.35416666666666669</v>
      </c>
      <c r="F917" s="11" t="s">
        <v>51</v>
      </c>
      <c r="G917" s="11">
        <v>143</v>
      </c>
      <c r="H917" s="15" t="s">
        <v>29</v>
      </c>
      <c r="I917" s="11">
        <v>11.5</v>
      </c>
      <c r="J917" s="11" t="s">
        <v>19</v>
      </c>
      <c r="K917" s="11" t="s">
        <v>20</v>
      </c>
      <c r="L917" s="11" t="s">
        <v>21</v>
      </c>
      <c r="M917" s="11" t="s">
        <v>29</v>
      </c>
      <c r="N917" s="11" t="s">
        <v>25</v>
      </c>
      <c r="O917" s="16" t="s">
        <v>29</v>
      </c>
      <c r="P917" s="15">
        <v>211</v>
      </c>
      <c r="Q917" s="8"/>
      <c r="R917">
        <v>13.34</v>
      </c>
      <c r="S917">
        <v>2374.94</v>
      </c>
      <c r="T917">
        <v>4.84</v>
      </c>
      <c r="U917">
        <v>9.58</v>
      </c>
      <c r="V917">
        <v>133.41999999999999</v>
      </c>
      <c r="W917" s="317">
        <v>3.9</v>
      </c>
      <c r="X917" s="190">
        <f t="shared" si="33"/>
        <v>44.85</v>
      </c>
      <c r="Y917" s="8"/>
      <c r="Z917" s="8"/>
    </row>
    <row r="918" spans="1:26" ht="12.75" customHeight="1" x14ac:dyDescent="0.2">
      <c r="A918" s="15">
        <v>95</v>
      </c>
      <c r="B918" s="15">
        <v>2008</v>
      </c>
      <c r="C918" s="15">
        <v>29</v>
      </c>
      <c r="D918" s="15">
        <v>7</v>
      </c>
      <c r="E918" s="14">
        <v>0.35416666666666669</v>
      </c>
      <c r="F918" s="11" t="s">
        <v>28</v>
      </c>
      <c r="G918" s="11" t="s">
        <v>29</v>
      </c>
      <c r="H918" s="15" t="s">
        <v>29</v>
      </c>
      <c r="I918" s="11" t="s">
        <v>29</v>
      </c>
      <c r="J918" s="11" t="s">
        <v>19</v>
      </c>
      <c r="K918" s="11" t="s">
        <v>20</v>
      </c>
      <c r="L918" s="11" t="s">
        <v>30</v>
      </c>
      <c r="M918" s="11" t="s">
        <v>29</v>
      </c>
      <c r="N918" s="11" t="s">
        <v>29</v>
      </c>
      <c r="O918" s="16" t="s">
        <v>29</v>
      </c>
      <c r="P918" s="15">
        <v>211</v>
      </c>
      <c r="Q918" s="8"/>
      <c r="W918" s="317">
        <v>4.5999999999999996</v>
      </c>
      <c r="X918" s="190"/>
      <c r="Y918" s="8"/>
      <c r="Z918" s="8"/>
    </row>
    <row r="919" spans="1:26" ht="12.75" customHeight="1" x14ac:dyDescent="0.2">
      <c r="A919" s="15">
        <v>96</v>
      </c>
      <c r="B919" s="15">
        <v>2008</v>
      </c>
      <c r="C919" s="15">
        <v>29</v>
      </c>
      <c r="D919" s="15">
        <v>7</v>
      </c>
      <c r="E919" s="14">
        <v>0.35416666666666669</v>
      </c>
      <c r="F919" s="11" t="s">
        <v>51</v>
      </c>
      <c r="G919" s="11">
        <v>168</v>
      </c>
      <c r="H919" s="15" t="s">
        <v>29</v>
      </c>
      <c r="I919" s="11">
        <v>14</v>
      </c>
      <c r="J919" s="11" t="s">
        <v>19</v>
      </c>
      <c r="K919" s="11" t="s">
        <v>20</v>
      </c>
      <c r="L919" s="11" t="s">
        <v>21</v>
      </c>
      <c r="M919" s="11" t="s">
        <v>45</v>
      </c>
      <c r="N919" s="11" t="s">
        <v>24</v>
      </c>
      <c r="O919" s="16" t="s">
        <v>166</v>
      </c>
      <c r="P919" s="15">
        <v>211</v>
      </c>
      <c r="Q919" s="8"/>
      <c r="R919">
        <v>15.67</v>
      </c>
      <c r="S919">
        <v>3850.99</v>
      </c>
      <c r="T919">
        <v>3.64</v>
      </c>
      <c r="U919">
        <v>11.26</v>
      </c>
      <c r="V919">
        <v>156.74</v>
      </c>
      <c r="W919" s="317">
        <v>3.9</v>
      </c>
      <c r="X919" s="190">
        <f t="shared" si="33"/>
        <v>54.6</v>
      </c>
      <c r="Y919" s="8"/>
      <c r="Z919" s="8"/>
    </row>
    <row r="920" spans="1:26" ht="12.75" customHeight="1" x14ac:dyDescent="0.2">
      <c r="A920" s="15">
        <v>97</v>
      </c>
      <c r="B920" s="15">
        <v>2008</v>
      </c>
      <c r="C920" s="15">
        <v>29</v>
      </c>
      <c r="D920" s="15">
        <v>7</v>
      </c>
      <c r="E920" s="14">
        <v>0.35416666666666669</v>
      </c>
      <c r="F920" s="11" t="s">
        <v>51</v>
      </c>
      <c r="G920" s="11">
        <v>133</v>
      </c>
      <c r="H920" s="15" t="s">
        <v>29</v>
      </c>
      <c r="I920" s="11">
        <v>8</v>
      </c>
      <c r="J920" s="11" t="s">
        <v>19</v>
      </c>
      <c r="K920" s="11" t="s">
        <v>20</v>
      </c>
      <c r="L920" s="11" t="s">
        <v>21</v>
      </c>
      <c r="M920" s="11" t="s">
        <v>29</v>
      </c>
      <c r="N920" s="11" t="s">
        <v>33</v>
      </c>
      <c r="O920" s="16" t="s">
        <v>29</v>
      </c>
      <c r="P920" s="15">
        <v>211</v>
      </c>
      <c r="Q920" s="8"/>
      <c r="R920">
        <v>12.41</v>
      </c>
      <c r="S920">
        <v>1910.73</v>
      </c>
      <c r="T920">
        <v>4.1900000000000004</v>
      </c>
      <c r="U920">
        <v>8.91</v>
      </c>
      <c r="V920">
        <v>124.09</v>
      </c>
      <c r="W920" s="317">
        <v>3.9</v>
      </c>
      <c r="X920" s="190">
        <f t="shared" si="33"/>
        <v>31.2</v>
      </c>
      <c r="Y920" s="8"/>
      <c r="Z920" s="8"/>
    </row>
    <row r="921" spans="1:26" ht="12.75" customHeight="1" x14ac:dyDescent="0.2">
      <c r="A921" s="15">
        <v>98</v>
      </c>
      <c r="B921" s="15">
        <v>2008</v>
      </c>
      <c r="C921" s="15">
        <v>29</v>
      </c>
      <c r="D921" s="15">
        <v>7</v>
      </c>
      <c r="E921" s="14">
        <v>0.35416666666666669</v>
      </c>
      <c r="F921" s="11" t="s">
        <v>51</v>
      </c>
      <c r="G921" s="11">
        <v>143</v>
      </c>
      <c r="H921" s="15" t="s">
        <v>29</v>
      </c>
      <c r="I921" s="11">
        <v>9.5</v>
      </c>
      <c r="J921" s="11" t="s">
        <v>19</v>
      </c>
      <c r="K921" s="11" t="s">
        <v>20</v>
      </c>
      <c r="L921" s="11" t="s">
        <v>21</v>
      </c>
      <c r="M921" s="11" t="s">
        <v>46</v>
      </c>
      <c r="N921" s="11" t="s">
        <v>24</v>
      </c>
      <c r="O921" s="16" t="s">
        <v>167</v>
      </c>
      <c r="P921" s="15">
        <v>211</v>
      </c>
      <c r="Q921" s="8"/>
      <c r="R921">
        <v>13.34</v>
      </c>
      <c r="S921">
        <v>2374.94</v>
      </c>
      <c r="T921">
        <v>4</v>
      </c>
      <c r="U921">
        <v>9.58</v>
      </c>
      <c r="V921">
        <v>133.41999999999999</v>
      </c>
      <c r="W921" s="317">
        <v>3.9</v>
      </c>
      <c r="X921" s="190">
        <f t="shared" si="33"/>
        <v>37.049999999999997</v>
      </c>
      <c r="Y921" s="8"/>
      <c r="Z921" s="8"/>
    </row>
    <row r="922" spans="1:26" ht="12.75" customHeight="1" x14ac:dyDescent="0.2">
      <c r="A922" s="15">
        <v>99</v>
      </c>
      <c r="B922" s="15">
        <v>2008</v>
      </c>
      <c r="C922" s="15">
        <v>29</v>
      </c>
      <c r="D922" s="15">
        <v>7</v>
      </c>
      <c r="E922" s="14">
        <v>0.35416666666666669</v>
      </c>
      <c r="F922" s="11" t="s">
        <v>51</v>
      </c>
      <c r="G922" s="11">
        <v>158</v>
      </c>
      <c r="H922" s="15" t="s">
        <v>29</v>
      </c>
      <c r="I922" s="11">
        <v>13</v>
      </c>
      <c r="J922" s="11" t="s">
        <v>19</v>
      </c>
      <c r="K922" s="11" t="s">
        <v>20</v>
      </c>
      <c r="L922" s="11" t="s">
        <v>21</v>
      </c>
      <c r="M922" s="11" t="s">
        <v>46</v>
      </c>
      <c r="N922" s="11" t="s">
        <v>23</v>
      </c>
      <c r="O922" s="16" t="s">
        <v>29</v>
      </c>
      <c r="P922" s="15">
        <v>211</v>
      </c>
      <c r="Q922" s="8"/>
      <c r="R922">
        <v>14.74</v>
      </c>
      <c r="S922">
        <v>3203.44</v>
      </c>
      <c r="T922">
        <v>4.0599999999999996</v>
      </c>
      <c r="U922">
        <v>10.59</v>
      </c>
      <c r="V922">
        <v>147.41</v>
      </c>
      <c r="W922" s="317">
        <v>3.9</v>
      </c>
      <c r="X922" s="190">
        <f t="shared" si="33"/>
        <v>50.699999999999996</v>
      </c>
      <c r="Y922" s="8"/>
      <c r="Z922" s="8"/>
    </row>
    <row r="923" spans="1:26" ht="12.75" customHeight="1" x14ac:dyDescent="0.2">
      <c r="A923" s="15">
        <v>100</v>
      </c>
      <c r="B923" s="15">
        <v>2008</v>
      </c>
      <c r="C923" s="15">
        <v>29</v>
      </c>
      <c r="D923" s="15">
        <v>7</v>
      </c>
      <c r="E923" s="14">
        <v>0.35416666666666669</v>
      </c>
      <c r="F923" s="11" t="s">
        <v>28</v>
      </c>
      <c r="G923" s="11" t="s">
        <v>29</v>
      </c>
      <c r="H923" s="15" t="s">
        <v>29</v>
      </c>
      <c r="I923" s="11" t="s">
        <v>29</v>
      </c>
      <c r="J923" s="11" t="s">
        <v>19</v>
      </c>
      <c r="K923" s="11" t="s">
        <v>20</v>
      </c>
      <c r="L923" s="11" t="s">
        <v>21</v>
      </c>
      <c r="M923" s="11" t="s">
        <v>29</v>
      </c>
      <c r="N923" s="11" t="s">
        <v>29</v>
      </c>
      <c r="O923" s="16" t="s">
        <v>168</v>
      </c>
      <c r="P923" s="15">
        <v>211</v>
      </c>
      <c r="Q923" s="8"/>
      <c r="W923" s="317">
        <v>3.9</v>
      </c>
      <c r="X923" s="190"/>
      <c r="Y923" s="8"/>
      <c r="Z923" s="8"/>
    </row>
    <row r="924" spans="1:26" ht="12.75" customHeight="1" x14ac:dyDescent="0.2">
      <c r="A924" s="15">
        <v>101</v>
      </c>
      <c r="B924" s="15">
        <v>2008</v>
      </c>
      <c r="C924" s="15">
        <v>29</v>
      </c>
      <c r="D924" s="15">
        <v>7</v>
      </c>
      <c r="E924" s="14">
        <v>0.35416666666666669</v>
      </c>
      <c r="F924" s="11" t="s">
        <v>51</v>
      </c>
      <c r="G924" s="11">
        <v>138</v>
      </c>
      <c r="H924" s="15" t="s">
        <v>29</v>
      </c>
      <c r="I924" s="11">
        <v>7</v>
      </c>
      <c r="J924" s="11" t="s">
        <v>19</v>
      </c>
      <c r="K924" s="11" t="s">
        <v>20</v>
      </c>
      <c r="L924" s="11" t="s">
        <v>21</v>
      </c>
      <c r="M924" s="11" t="s">
        <v>46</v>
      </c>
      <c r="N924" s="11" t="s">
        <v>33</v>
      </c>
      <c r="O924" s="16" t="s">
        <v>29</v>
      </c>
      <c r="P924" s="15">
        <v>211</v>
      </c>
      <c r="Q924" s="8"/>
      <c r="R924">
        <v>12.88</v>
      </c>
      <c r="S924">
        <v>2134.4299999999998</v>
      </c>
      <c r="T924">
        <v>3.28</v>
      </c>
      <c r="U924">
        <v>9.25</v>
      </c>
      <c r="V924">
        <v>128.75</v>
      </c>
      <c r="W924" s="317">
        <v>3.9</v>
      </c>
      <c r="X924" s="190">
        <f t="shared" si="33"/>
        <v>27.3</v>
      </c>
      <c r="Y924" s="8"/>
      <c r="Z924" s="8"/>
    </row>
    <row r="925" spans="1:26" ht="12.75" customHeight="1" x14ac:dyDescent="0.2">
      <c r="A925" s="15">
        <v>63</v>
      </c>
      <c r="B925" s="15">
        <v>2008</v>
      </c>
      <c r="C925" s="15">
        <v>28</v>
      </c>
      <c r="D925" s="15">
        <v>7</v>
      </c>
      <c r="E925" s="14">
        <v>0.31944444444444448</v>
      </c>
      <c r="F925" s="11" t="s">
        <v>51</v>
      </c>
      <c r="G925" s="11">
        <v>140</v>
      </c>
      <c r="H925" s="15" t="s">
        <v>29</v>
      </c>
      <c r="I925" s="11">
        <v>13</v>
      </c>
      <c r="J925" s="11" t="s">
        <v>19</v>
      </c>
      <c r="K925" s="11" t="s">
        <v>20</v>
      </c>
      <c r="L925" s="11" t="s">
        <v>21</v>
      </c>
      <c r="M925" s="11" t="s">
        <v>45</v>
      </c>
      <c r="N925" s="11" t="s">
        <v>23</v>
      </c>
      <c r="O925" s="16" t="s">
        <v>169</v>
      </c>
      <c r="P925" s="15">
        <v>210</v>
      </c>
      <c r="Q925" s="8"/>
      <c r="R925">
        <v>13.06</v>
      </c>
      <c r="S925">
        <v>2228.58</v>
      </c>
      <c r="T925">
        <v>5.83</v>
      </c>
      <c r="U925">
        <v>9.3800000000000008</v>
      </c>
      <c r="V925">
        <v>130.62</v>
      </c>
      <c r="W925" s="317">
        <v>3.9</v>
      </c>
      <c r="X925" s="190">
        <f t="shared" si="33"/>
        <v>50.699999999999996</v>
      </c>
      <c r="Y925" s="8"/>
      <c r="Z925" s="8"/>
    </row>
    <row r="926" spans="1:26" ht="12.75" customHeight="1" x14ac:dyDescent="0.2">
      <c r="A926" s="15">
        <v>64</v>
      </c>
      <c r="B926" s="15">
        <v>2008</v>
      </c>
      <c r="C926" s="15">
        <v>28</v>
      </c>
      <c r="D926" s="15">
        <v>7</v>
      </c>
      <c r="E926" s="14">
        <v>0.31944444444444448</v>
      </c>
      <c r="F926" s="11" t="s">
        <v>51</v>
      </c>
      <c r="G926" s="11">
        <v>143</v>
      </c>
      <c r="H926" s="15" t="s">
        <v>29</v>
      </c>
      <c r="I926" s="11">
        <v>13.5</v>
      </c>
      <c r="J926" s="11" t="s">
        <v>19</v>
      </c>
      <c r="K926" s="11" t="s">
        <v>20</v>
      </c>
      <c r="L926" s="11" t="s">
        <v>21</v>
      </c>
      <c r="M926" s="11" t="s">
        <v>45</v>
      </c>
      <c r="N926" s="11" t="s">
        <v>33</v>
      </c>
      <c r="O926" s="16" t="s">
        <v>29</v>
      </c>
      <c r="P926" s="15">
        <v>210</v>
      </c>
      <c r="Q926" s="8"/>
      <c r="R926">
        <v>13.34</v>
      </c>
      <c r="S926">
        <v>2374.94</v>
      </c>
      <c r="T926">
        <v>5.68</v>
      </c>
      <c r="U926">
        <v>9.58</v>
      </c>
      <c r="V926">
        <v>133.41999999999999</v>
      </c>
      <c r="W926" s="317">
        <v>3.9</v>
      </c>
      <c r="X926" s="190">
        <f t="shared" si="33"/>
        <v>52.65</v>
      </c>
      <c r="Y926" s="8"/>
      <c r="Z926" s="8"/>
    </row>
    <row r="927" spans="1:26" ht="12.75" customHeight="1" x14ac:dyDescent="0.2">
      <c r="A927" s="15">
        <v>65</v>
      </c>
      <c r="B927" s="15">
        <v>2008</v>
      </c>
      <c r="C927" s="15">
        <v>28</v>
      </c>
      <c r="D927" s="15">
        <v>7</v>
      </c>
      <c r="E927" s="14">
        <v>0.31944444444444448</v>
      </c>
      <c r="F927" s="11" t="s">
        <v>51</v>
      </c>
      <c r="G927" s="11">
        <v>128</v>
      </c>
      <c r="H927" s="15" t="s">
        <v>29</v>
      </c>
      <c r="I927" s="11">
        <v>10</v>
      </c>
      <c r="J927" s="11" t="s">
        <v>19</v>
      </c>
      <c r="K927" s="11" t="s">
        <v>20</v>
      </c>
      <c r="L927" s="11" t="s">
        <v>21</v>
      </c>
      <c r="M927" s="11" t="s">
        <v>45</v>
      </c>
      <c r="N927" s="11" t="s">
        <v>25</v>
      </c>
      <c r="O927" s="16" t="s">
        <v>29</v>
      </c>
      <c r="P927" s="15">
        <v>210</v>
      </c>
      <c r="Q927" s="8"/>
      <c r="R927">
        <v>11.94</v>
      </c>
      <c r="S927">
        <v>1703.24</v>
      </c>
      <c r="T927">
        <v>5.87</v>
      </c>
      <c r="U927">
        <v>8.58</v>
      </c>
      <c r="V927">
        <v>119.42</v>
      </c>
      <c r="W927" s="317">
        <v>3.9</v>
      </c>
      <c r="X927" s="190">
        <f t="shared" si="33"/>
        <v>39</v>
      </c>
      <c r="Y927" s="8"/>
      <c r="Z927" s="8"/>
    </row>
    <row r="928" spans="1:26" ht="12.75" customHeight="1" x14ac:dyDescent="0.2">
      <c r="A928" s="15">
        <v>66</v>
      </c>
      <c r="B928" s="15">
        <v>2008</v>
      </c>
      <c r="C928" s="15">
        <v>28</v>
      </c>
      <c r="D928" s="15">
        <v>7</v>
      </c>
      <c r="E928" s="14">
        <v>0.31944444444444448</v>
      </c>
      <c r="F928" s="11" t="s">
        <v>51</v>
      </c>
      <c r="G928" s="11">
        <v>140</v>
      </c>
      <c r="H928" s="15" t="s">
        <v>29</v>
      </c>
      <c r="I928" s="11">
        <v>9</v>
      </c>
      <c r="J928" s="11" t="s">
        <v>19</v>
      </c>
      <c r="K928" s="11" t="s">
        <v>20</v>
      </c>
      <c r="L928" s="11" t="s">
        <v>21</v>
      </c>
      <c r="M928" s="11" t="s">
        <v>46</v>
      </c>
      <c r="N928" s="11" t="s">
        <v>25</v>
      </c>
      <c r="O928" s="16" t="s">
        <v>29</v>
      </c>
      <c r="P928" s="15">
        <v>210</v>
      </c>
      <c r="Q928" s="8"/>
      <c r="R928">
        <v>13.06</v>
      </c>
      <c r="S928">
        <v>2228.58</v>
      </c>
      <c r="T928">
        <v>4.04</v>
      </c>
      <c r="U928">
        <v>9.3800000000000008</v>
      </c>
      <c r="V928">
        <v>130.62</v>
      </c>
      <c r="W928" s="317">
        <v>3.9</v>
      </c>
      <c r="X928" s="190">
        <f t="shared" si="33"/>
        <v>35.1</v>
      </c>
      <c r="Y928" s="8"/>
      <c r="Z928" s="8"/>
    </row>
    <row r="929" spans="1:26" ht="12.75" customHeight="1" x14ac:dyDescent="0.2">
      <c r="A929" s="15">
        <v>67</v>
      </c>
      <c r="B929" s="15">
        <v>2008</v>
      </c>
      <c r="C929" s="15">
        <v>28</v>
      </c>
      <c r="D929" s="15">
        <v>7</v>
      </c>
      <c r="E929" s="14">
        <v>0.31944444444444448</v>
      </c>
      <c r="F929" s="11" t="s">
        <v>51</v>
      </c>
      <c r="G929" s="11">
        <v>163</v>
      </c>
      <c r="H929" s="15" t="s">
        <v>29</v>
      </c>
      <c r="I929" s="11">
        <v>22.5</v>
      </c>
      <c r="J929" s="11" t="s">
        <v>19</v>
      </c>
      <c r="K929" s="11" t="s">
        <v>20</v>
      </c>
      <c r="L929" s="11" t="s">
        <v>30</v>
      </c>
      <c r="M929" s="11" t="s">
        <v>46</v>
      </c>
      <c r="N929" s="11" t="s">
        <v>24</v>
      </c>
      <c r="O929" s="16" t="s">
        <v>29</v>
      </c>
      <c r="P929" s="15">
        <v>210</v>
      </c>
      <c r="Q929" s="8"/>
      <c r="R929">
        <v>15.21</v>
      </c>
      <c r="S929">
        <v>3517.29</v>
      </c>
      <c r="T929">
        <v>6.4</v>
      </c>
      <c r="U929">
        <v>10.92</v>
      </c>
      <c r="V929">
        <v>152.08000000000001</v>
      </c>
      <c r="W929" s="317">
        <v>4.5999999999999996</v>
      </c>
      <c r="X929" s="190">
        <f t="shared" si="33"/>
        <v>103.49999999999999</v>
      </c>
      <c r="Y929" s="8"/>
      <c r="Z929" s="8"/>
    </row>
    <row r="930" spans="1:26" ht="12.75" customHeight="1" x14ac:dyDescent="0.2">
      <c r="A930" s="15">
        <v>68</v>
      </c>
      <c r="B930" s="15">
        <v>2008</v>
      </c>
      <c r="C930" s="15">
        <v>28</v>
      </c>
      <c r="D930" s="15">
        <v>7</v>
      </c>
      <c r="E930" s="14">
        <v>0.31944444444444448</v>
      </c>
      <c r="F930" s="11" t="s">
        <v>51</v>
      </c>
      <c r="G930" s="11">
        <v>144</v>
      </c>
      <c r="H930" s="15" t="s">
        <v>29</v>
      </c>
      <c r="I930" s="11">
        <v>12</v>
      </c>
      <c r="J930" s="11" t="s">
        <v>19</v>
      </c>
      <c r="K930" s="11" t="s">
        <v>20</v>
      </c>
      <c r="L930" s="11" t="s">
        <v>30</v>
      </c>
      <c r="M930" s="11" t="s">
        <v>45</v>
      </c>
      <c r="N930" s="11" t="s">
        <v>25</v>
      </c>
      <c r="O930" s="16" t="s">
        <v>29</v>
      </c>
      <c r="P930" s="15">
        <v>210</v>
      </c>
      <c r="Q930" s="8"/>
      <c r="R930">
        <v>13.44</v>
      </c>
      <c r="S930">
        <v>2425.12</v>
      </c>
      <c r="T930">
        <v>4.95</v>
      </c>
      <c r="U930">
        <v>9.65</v>
      </c>
      <c r="V930">
        <v>134.35</v>
      </c>
      <c r="W930" s="317">
        <v>4.5999999999999996</v>
      </c>
      <c r="X930" s="190">
        <f t="shared" si="33"/>
        <v>55.199999999999996</v>
      </c>
      <c r="Y930" s="8"/>
      <c r="Z930" s="8"/>
    </row>
    <row r="931" spans="1:26" ht="12.75" customHeight="1" x14ac:dyDescent="0.2">
      <c r="A931" s="15">
        <v>69</v>
      </c>
      <c r="B931" s="15">
        <v>2008</v>
      </c>
      <c r="C931" s="15">
        <v>28</v>
      </c>
      <c r="D931" s="15">
        <v>7</v>
      </c>
      <c r="E931" s="14">
        <v>0.31944444444444448</v>
      </c>
      <c r="F931" s="11" t="s">
        <v>51</v>
      </c>
      <c r="G931" s="11">
        <v>144</v>
      </c>
      <c r="H931" s="15" t="s">
        <v>29</v>
      </c>
      <c r="I931" s="11">
        <v>11</v>
      </c>
      <c r="J931" s="11" t="s">
        <v>19</v>
      </c>
      <c r="K931" s="11" t="s">
        <v>20</v>
      </c>
      <c r="L931" s="11" t="s">
        <v>21</v>
      </c>
      <c r="M931" s="11" t="s">
        <v>45</v>
      </c>
      <c r="N931" s="11" t="s">
        <v>23</v>
      </c>
      <c r="O931" s="16" t="s">
        <v>29</v>
      </c>
      <c r="P931" s="15">
        <v>210</v>
      </c>
      <c r="Q931" s="8"/>
      <c r="R931">
        <v>13.44</v>
      </c>
      <c r="S931">
        <v>2425.12</v>
      </c>
      <c r="T931">
        <v>4.54</v>
      </c>
      <c r="U931">
        <v>9.65</v>
      </c>
      <c r="V931">
        <v>134.35</v>
      </c>
      <c r="W931" s="317">
        <v>3.9</v>
      </c>
      <c r="X931" s="190">
        <f t="shared" si="33"/>
        <v>42.9</v>
      </c>
      <c r="Y931" s="8"/>
      <c r="Z931" s="8"/>
    </row>
    <row r="932" spans="1:26" ht="12.75" customHeight="1" x14ac:dyDescent="0.2">
      <c r="A932" s="15">
        <v>70</v>
      </c>
      <c r="B932" s="15">
        <v>2008</v>
      </c>
      <c r="C932" s="15">
        <v>28</v>
      </c>
      <c r="D932" s="15">
        <v>7</v>
      </c>
      <c r="E932" s="14">
        <v>0.31944444444444448</v>
      </c>
      <c r="F932" s="11" t="s">
        <v>51</v>
      </c>
      <c r="G932" s="11">
        <v>145</v>
      </c>
      <c r="H932" s="15" t="s">
        <v>29</v>
      </c>
      <c r="I932" s="11">
        <v>11</v>
      </c>
      <c r="J932" s="11" t="s">
        <v>19</v>
      </c>
      <c r="K932" s="11" t="s">
        <v>20</v>
      </c>
      <c r="L932" s="11" t="s">
        <v>21</v>
      </c>
      <c r="M932" s="11" t="s">
        <v>46</v>
      </c>
      <c r="N932" s="11" t="s">
        <v>25</v>
      </c>
      <c r="O932" s="16" t="s">
        <v>29</v>
      </c>
      <c r="P932" s="15">
        <v>210</v>
      </c>
      <c r="Q932" s="8"/>
      <c r="R932">
        <v>13.53</v>
      </c>
      <c r="S932">
        <v>2475.9899999999998</v>
      </c>
      <c r="T932">
        <v>4.4400000000000004</v>
      </c>
      <c r="U932">
        <v>9.7200000000000006</v>
      </c>
      <c r="V932">
        <v>135.29</v>
      </c>
      <c r="W932" s="317">
        <v>3.9</v>
      </c>
      <c r="X932" s="190">
        <f t="shared" si="33"/>
        <v>42.9</v>
      </c>
      <c r="Y932" s="8"/>
      <c r="Z932" s="8"/>
    </row>
    <row r="933" spans="1:26" ht="12.75" customHeight="1" x14ac:dyDescent="0.2">
      <c r="A933" s="15">
        <v>71</v>
      </c>
      <c r="B933" s="15">
        <v>2008</v>
      </c>
      <c r="C933" s="15">
        <v>28</v>
      </c>
      <c r="D933" s="15">
        <v>7</v>
      </c>
      <c r="E933" s="14">
        <v>0.31944444444444448</v>
      </c>
      <c r="F933" s="11" t="s">
        <v>51</v>
      </c>
      <c r="G933" s="11">
        <v>126</v>
      </c>
      <c r="H933" s="15" t="s">
        <v>29</v>
      </c>
      <c r="I933" s="11">
        <v>6.5</v>
      </c>
      <c r="J933" s="11" t="s">
        <v>19</v>
      </c>
      <c r="K933" s="11" t="s">
        <v>20</v>
      </c>
      <c r="L933" s="11" t="s">
        <v>21</v>
      </c>
      <c r="M933" s="11" t="s">
        <v>45</v>
      </c>
      <c r="N933" s="11" t="s">
        <v>25</v>
      </c>
      <c r="O933" s="16" t="s">
        <v>29</v>
      </c>
      <c r="P933" s="15">
        <v>210</v>
      </c>
      <c r="Q933" s="8"/>
      <c r="R933">
        <v>11.76</v>
      </c>
      <c r="S933">
        <v>1624.64</v>
      </c>
      <c r="T933">
        <v>4</v>
      </c>
      <c r="U933">
        <v>8.44</v>
      </c>
      <c r="V933">
        <v>117.56</v>
      </c>
      <c r="W933" s="317">
        <v>3.9</v>
      </c>
      <c r="X933" s="190">
        <f t="shared" si="33"/>
        <v>25.349999999999998</v>
      </c>
      <c r="Y933" s="8"/>
      <c r="Z933" s="8"/>
    </row>
    <row r="934" spans="1:26" ht="12.75" customHeight="1" x14ac:dyDescent="0.2">
      <c r="A934" s="15">
        <v>72</v>
      </c>
      <c r="B934" s="15">
        <v>2008</v>
      </c>
      <c r="C934" s="15">
        <v>28</v>
      </c>
      <c r="D934" s="15">
        <v>7</v>
      </c>
      <c r="E934" s="14">
        <v>0.75</v>
      </c>
      <c r="F934" s="11" t="s">
        <v>51</v>
      </c>
      <c r="G934" s="11">
        <v>140</v>
      </c>
      <c r="H934" s="15" t="s">
        <v>29</v>
      </c>
      <c r="I934" s="11">
        <v>6.5</v>
      </c>
      <c r="J934" s="11" t="s">
        <v>19</v>
      </c>
      <c r="K934" s="11" t="s">
        <v>20</v>
      </c>
      <c r="L934" s="11" t="s">
        <v>21</v>
      </c>
      <c r="M934" s="11" t="s">
        <v>45</v>
      </c>
      <c r="N934" s="11" t="s">
        <v>25</v>
      </c>
      <c r="O934" s="16" t="s">
        <v>29</v>
      </c>
      <c r="P934" s="15">
        <v>210</v>
      </c>
      <c r="Q934" s="8"/>
      <c r="R934">
        <v>13.06</v>
      </c>
      <c r="S934">
        <v>2228.58</v>
      </c>
      <c r="T934">
        <v>2.92</v>
      </c>
      <c r="U934">
        <v>9.3800000000000008</v>
      </c>
      <c r="V934">
        <v>130.62</v>
      </c>
      <c r="W934" s="317">
        <v>3.9</v>
      </c>
      <c r="X934" s="190">
        <f t="shared" si="33"/>
        <v>25.349999999999998</v>
      </c>
      <c r="Y934" s="8"/>
      <c r="Z934" s="8"/>
    </row>
    <row r="935" spans="1:26" ht="12.75" customHeight="1" x14ac:dyDescent="0.2">
      <c r="A935" s="15">
        <v>73</v>
      </c>
      <c r="B935" s="15">
        <v>2008</v>
      </c>
      <c r="C935" s="15">
        <v>28</v>
      </c>
      <c r="D935" s="15">
        <v>7</v>
      </c>
      <c r="E935" s="14">
        <v>0.75</v>
      </c>
      <c r="F935" s="11" t="s">
        <v>51</v>
      </c>
      <c r="G935" s="11">
        <v>135</v>
      </c>
      <c r="H935" s="15" t="s">
        <v>29</v>
      </c>
      <c r="I935" s="11">
        <v>9.5</v>
      </c>
      <c r="J935" s="11" t="s">
        <v>19</v>
      </c>
      <c r="K935" s="11" t="s">
        <v>20</v>
      </c>
      <c r="L935" s="11" t="s">
        <v>30</v>
      </c>
      <c r="M935" s="11" t="s">
        <v>45</v>
      </c>
      <c r="N935" s="11" t="s">
        <v>39</v>
      </c>
      <c r="O935" s="16" t="s">
        <v>29</v>
      </c>
      <c r="P935" s="15">
        <v>210</v>
      </c>
      <c r="Q935" s="8"/>
      <c r="R935">
        <v>12.6</v>
      </c>
      <c r="S935">
        <v>1998.23</v>
      </c>
      <c r="T935">
        <v>4.75</v>
      </c>
      <c r="U935">
        <v>9.0500000000000007</v>
      </c>
      <c r="V935">
        <v>125.96</v>
      </c>
      <c r="W935" s="317">
        <v>4.5999999999999996</v>
      </c>
      <c r="X935" s="190">
        <f t="shared" si="33"/>
        <v>43.699999999999996</v>
      </c>
      <c r="Y935" s="8"/>
      <c r="Z935" s="8"/>
    </row>
    <row r="936" spans="1:26" ht="12.75" customHeight="1" x14ac:dyDescent="0.2">
      <c r="A936" s="15">
        <v>74</v>
      </c>
      <c r="B936" s="15">
        <v>2008</v>
      </c>
      <c r="C936" s="15">
        <v>28</v>
      </c>
      <c r="D936" s="15">
        <v>7</v>
      </c>
      <c r="E936" s="14">
        <v>0.75</v>
      </c>
      <c r="F936" s="11" t="s">
        <v>51</v>
      </c>
      <c r="G936" s="11">
        <v>148</v>
      </c>
      <c r="H936" s="15" t="s">
        <v>29</v>
      </c>
      <c r="I936" s="11">
        <v>14</v>
      </c>
      <c r="J936" s="11" t="s">
        <v>19</v>
      </c>
      <c r="K936" s="11" t="s">
        <v>20</v>
      </c>
      <c r="L936" s="11" t="s">
        <v>21</v>
      </c>
      <c r="M936" s="11" t="s">
        <v>45</v>
      </c>
      <c r="N936" s="11" t="s">
        <v>23</v>
      </c>
      <c r="O936" s="16" t="s">
        <v>29</v>
      </c>
      <c r="P936" s="15">
        <v>210</v>
      </c>
      <c r="Q936" s="8"/>
      <c r="R936">
        <v>13.81</v>
      </c>
      <c r="S936">
        <v>2632.87</v>
      </c>
      <c r="T936">
        <v>5.32</v>
      </c>
      <c r="U936">
        <v>9.92</v>
      </c>
      <c r="V936">
        <v>138.08000000000001</v>
      </c>
      <c r="W936" s="317">
        <v>3.9</v>
      </c>
      <c r="X936" s="190">
        <f t="shared" si="33"/>
        <v>54.6</v>
      </c>
      <c r="Y936" s="8"/>
      <c r="Z936" s="8"/>
    </row>
    <row r="937" spans="1:26" ht="12.75" customHeight="1" x14ac:dyDescent="0.2">
      <c r="A937" s="15">
        <v>75</v>
      </c>
      <c r="B937" s="15">
        <v>2008</v>
      </c>
      <c r="C937" s="15">
        <v>28</v>
      </c>
      <c r="D937" s="15">
        <v>7</v>
      </c>
      <c r="E937" s="14">
        <v>0.75</v>
      </c>
      <c r="F937" s="11" t="s">
        <v>51</v>
      </c>
      <c r="G937" s="11">
        <v>145</v>
      </c>
      <c r="H937" s="15" t="s">
        <v>29</v>
      </c>
      <c r="I937" s="11">
        <v>13</v>
      </c>
      <c r="J937" s="11" t="s">
        <v>19</v>
      </c>
      <c r="K937" s="11" t="s">
        <v>20</v>
      </c>
      <c r="L937" s="11" t="s">
        <v>30</v>
      </c>
      <c r="M937" s="11" t="s">
        <v>46</v>
      </c>
      <c r="N937" s="11" t="s">
        <v>25</v>
      </c>
      <c r="O937" s="16" t="s">
        <v>29</v>
      </c>
      <c r="P937" s="15">
        <v>210</v>
      </c>
      <c r="Q937" s="8"/>
      <c r="R937">
        <v>13.53</v>
      </c>
      <c r="S937">
        <v>2475.9899999999998</v>
      </c>
      <c r="T937">
        <v>5.25</v>
      </c>
      <c r="U937">
        <v>9.7200000000000006</v>
      </c>
      <c r="V937">
        <v>135.29</v>
      </c>
      <c r="W937" s="317">
        <v>4.5999999999999996</v>
      </c>
      <c r="X937" s="190">
        <f t="shared" si="33"/>
        <v>59.8</v>
      </c>
      <c r="Y937" s="8"/>
      <c r="Z937" s="8"/>
    </row>
    <row r="938" spans="1:26" ht="12.75" customHeight="1" x14ac:dyDescent="0.2">
      <c r="A938" s="15">
        <v>76</v>
      </c>
      <c r="B938" s="15">
        <v>2008</v>
      </c>
      <c r="C938" s="15">
        <v>28</v>
      </c>
      <c r="D938" s="15">
        <v>7</v>
      </c>
      <c r="E938" s="14">
        <v>0.75</v>
      </c>
      <c r="F938" s="11" t="s">
        <v>51</v>
      </c>
      <c r="G938" s="11">
        <v>151</v>
      </c>
      <c r="H938" s="15" t="s">
        <v>29</v>
      </c>
      <c r="I938" s="11">
        <v>11</v>
      </c>
      <c r="J938" s="11" t="s">
        <v>19</v>
      </c>
      <c r="K938" s="11" t="s">
        <v>20</v>
      </c>
      <c r="L938" s="11" t="s">
        <v>21</v>
      </c>
      <c r="M938" s="11" t="s">
        <v>46</v>
      </c>
      <c r="N938" s="11" t="s">
        <v>23</v>
      </c>
      <c r="O938" s="16" t="s">
        <v>29</v>
      </c>
      <c r="P938" s="15">
        <v>210</v>
      </c>
      <c r="Q938" s="8"/>
      <c r="R938">
        <v>14.09</v>
      </c>
      <c r="S938">
        <v>2796.25</v>
      </c>
      <c r="T938">
        <v>3.93</v>
      </c>
      <c r="U938">
        <v>10.119999999999999</v>
      </c>
      <c r="V938">
        <v>140.88</v>
      </c>
      <c r="W938" s="317">
        <v>3.9</v>
      </c>
      <c r="X938" s="190">
        <f t="shared" si="33"/>
        <v>42.9</v>
      </c>
      <c r="Y938" s="8"/>
      <c r="Z938" s="8"/>
    </row>
    <row r="939" spans="1:26" ht="12.75" customHeight="1" x14ac:dyDescent="0.2">
      <c r="A939" s="15">
        <v>77</v>
      </c>
      <c r="B939" s="15">
        <v>2008</v>
      </c>
      <c r="C939" s="15">
        <v>28</v>
      </c>
      <c r="D939" s="15">
        <v>7</v>
      </c>
      <c r="E939" s="14">
        <v>0.75</v>
      </c>
      <c r="F939" s="11" t="s">
        <v>28</v>
      </c>
      <c r="G939" s="11" t="s">
        <v>29</v>
      </c>
      <c r="H939" s="15" t="s">
        <v>29</v>
      </c>
      <c r="I939" s="11" t="s">
        <v>29</v>
      </c>
      <c r="J939" s="11" t="s">
        <v>19</v>
      </c>
      <c r="K939" s="11" t="s">
        <v>20</v>
      </c>
      <c r="L939" s="11" t="s">
        <v>21</v>
      </c>
      <c r="M939" s="11" t="s">
        <v>29</v>
      </c>
      <c r="N939" s="11" t="s">
        <v>39</v>
      </c>
      <c r="O939" s="16" t="s">
        <v>170</v>
      </c>
      <c r="P939" s="15">
        <v>210</v>
      </c>
      <c r="Q939" s="8"/>
      <c r="W939" s="317">
        <v>3.9</v>
      </c>
      <c r="X939" s="190"/>
      <c r="Y939" s="8"/>
      <c r="Z939" s="8"/>
    </row>
    <row r="940" spans="1:26" ht="12.75" customHeight="1" x14ac:dyDescent="0.2">
      <c r="A940" s="15">
        <v>78</v>
      </c>
      <c r="B940" s="15">
        <v>2008</v>
      </c>
      <c r="C940" s="15">
        <v>28</v>
      </c>
      <c r="D940" s="15">
        <v>7</v>
      </c>
      <c r="E940" s="14">
        <v>0.75</v>
      </c>
      <c r="F940" s="11" t="s">
        <v>51</v>
      </c>
      <c r="G940" s="11">
        <v>130</v>
      </c>
      <c r="H940" s="15" t="s">
        <v>29</v>
      </c>
      <c r="I940" s="11">
        <v>8.5</v>
      </c>
      <c r="J940" s="11" t="s">
        <v>19</v>
      </c>
      <c r="K940" s="11" t="s">
        <v>20</v>
      </c>
      <c r="L940" s="11" t="s">
        <v>30</v>
      </c>
      <c r="M940" s="11" t="s">
        <v>46</v>
      </c>
      <c r="N940" s="11" t="s">
        <v>25</v>
      </c>
      <c r="O940" s="16" t="s">
        <v>171</v>
      </c>
      <c r="P940" s="15">
        <v>210</v>
      </c>
      <c r="Q940" s="8"/>
      <c r="R940">
        <v>12.13</v>
      </c>
      <c r="S940">
        <v>1784.33</v>
      </c>
      <c r="T940">
        <v>4.76</v>
      </c>
      <c r="U940">
        <v>8.7100000000000009</v>
      </c>
      <c r="V940">
        <v>121.29</v>
      </c>
      <c r="W940" s="317">
        <v>4.5999999999999996</v>
      </c>
      <c r="X940" s="190">
        <f t="shared" si="33"/>
        <v>39.099999999999994</v>
      </c>
      <c r="Y940" s="8"/>
      <c r="Z940" s="8"/>
    </row>
    <row r="941" spans="1:26" ht="12.75" customHeight="1" x14ac:dyDescent="0.2">
      <c r="A941" s="15">
        <v>79</v>
      </c>
      <c r="B941" s="15">
        <v>2008</v>
      </c>
      <c r="C941" s="15">
        <v>28</v>
      </c>
      <c r="D941" s="15">
        <v>7</v>
      </c>
      <c r="E941" s="14">
        <v>0.75</v>
      </c>
      <c r="F941" s="11" t="s">
        <v>51</v>
      </c>
      <c r="G941" s="11">
        <v>147</v>
      </c>
      <c r="H941" s="15" t="s">
        <v>29</v>
      </c>
      <c r="I941" s="11">
        <v>10</v>
      </c>
      <c r="J941" s="11" t="s">
        <v>19</v>
      </c>
      <c r="K941" s="11" t="s">
        <v>20</v>
      </c>
      <c r="L941" s="11" t="s">
        <v>21</v>
      </c>
      <c r="M941" s="11" t="s">
        <v>46</v>
      </c>
      <c r="N941" s="11" t="s">
        <v>39</v>
      </c>
      <c r="O941" s="16" t="s">
        <v>29</v>
      </c>
      <c r="P941" s="15">
        <v>210</v>
      </c>
      <c r="Q941" s="8"/>
      <c r="R941">
        <v>13.72</v>
      </c>
      <c r="S941">
        <v>2579.86</v>
      </c>
      <c r="T941">
        <v>3.88</v>
      </c>
      <c r="U941">
        <v>9.85</v>
      </c>
      <c r="V941">
        <v>137.15</v>
      </c>
      <c r="W941" s="317">
        <v>3.9</v>
      </c>
      <c r="X941" s="190">
        <f t="shared" si="33"/>
        <v>39</v>
      </c>
      <c r="Y941" s="8"/>
      <c r="Z941" s="8"/>
    </row>
    <row r="942" spans="1:26" ht="12.75" customHeight="1" x14ac:dyDescent="0.2">
      <c r="A942" s="15">
        <v>80</v>
      </c>
      <c r="B942" s="15">
        <v>2008</v>
      </c>
      <c r="C942" s="15">
        <v>28</v>
      </c>
      <c r="D942" s="15">
        <v>7</v>
      </c>
      <c r="E942" s="14">
        <v>0.75</v>
      </c>
      <c r="F942" s="11" t="s">
        <v>51</v>
      </c>
      <c r="G942" s="11">
        <v>167</v>
      </c>
      <c r="H942" s="15" t="s">
        <v>29</v>
      </c>
      <c r="I942" s="11">
        <v>18.5</v>
      </c>
      <c r="J942" s="11" t="s">
        <v>19</v>
      </c>
      <c r="K942" s="11" t="s">
        <v>20</v>
      </c>
      <c r="L942" s="11" t="s">
        <v>21</v>
      </c>
      <c r="M942" s="11" t="s">
        <v>46</v>
      </c>
      <c r="N942" s="11" t="s">
        <v>24</v>
      </c>
      <c r="O942" s="16" t="s">
        <v>172</v>
      </c>
      <c r="P942" s="15">
        <v>210</v>
      </c>
      <c r="Q942" s="8"/>
      <c r="R942">
        <v>15.58</v>
      </c>
      <c r="S942">
        <v>3782.63</v>
      </c>
      <c r="T942">
        <v>4.8899999999999997</v>
      </c>
      <c r="U942">
        <v>11.19</v>
      </c>
      <c r="V942">
        <v>155.81</v>
      </c>
      <c r="W942" s="317">
        <v>3.9</v>
      </c>
      <c r="X942" s="190">
        <f t="shared" si="33"/>
        <v>72.149999999999991</v>
      </c>
      <c r="Y942" s="8"/>
      <c r="Z942" s="8"/>
    </row>
    <row r="943" spans="1:26" ht="12.75" customHeight="1" x14ac:dyDescent="0.2">
      <c r="A943" s="15">
        <v>81</v>
      </c>
      <c r="B943" s="15">
        <v>2008</v>
      </c>
      <c r="C943" s="15">
        <v>28</v>
      </c>
      <c r="D943" s="15">
        <v>7</v>
      </c>
      <c r="E943" s="14">
        <v>0.75</v>
      </c>
      <c r="F943" s="11" t="s">
        <v>51</v>
      </c>
      <c r="G943" s="11">
        <v>160</v>
      </c>
      <c r="H943" s="15" t="s">
        <v>29</v>
      </c>
      <c r="I943" s="11">
        <v>13.5</v>
      </c>
      <c r="J943" s="11" t="s">
        <v>19</v>
      </c>
      <c r="K943" s="11" t="s">
        <v>20</v>
      </c>
      <c r="L943" s="11" t="s">
        <v>21</v>
      </c>
      <c r="M943" s="11" t="s">
        <v>29</v>
      </c>
      <c r="N943" s="11" t="s">
        <v>39</v>
      </c>
      <c r="O943" s="16" t="s">
        <v>29</v>
      </c>
      <c r="P943" s="15">
        <v>210</v>
      </c>
      <c r="Q943" s="8"/>
      <c r="R943">
        <v>14.93</v>
      </c>
      <c r="S943">
        <v>3326.63</v>
      </c>
      <c r="T943">
        <v>4.0599999999999996</v>
      </c>
      <c r="U943">
        <v>10.72</v>
      </c>
      <c r="V943">
        <v>149.28</v>
      </c>
      <c r="W943" s="317">
        <v>3.9</v>
      </c>
      <c r="X943" s="190">
        <f t="shared" si="33"/>
        <v>52.65</v>
      </c>
      <c r="Y943" s="8"/>
      <c r="Z943" s="8"/>
    </row>
    <row r="944" spans="1:26" ht="12.75" customHeight="1" x14ac:dyDescent="0.2">
      <c r="A944" s="15">
        <v>82</v>
      </c>
      <c r="B944" s="15">
        <v>2008</v>
      </c>
      <c r="C944" s="15">
        <v>28</v>
      </c>
      <c r="D944" s="15">
        <v>7</v>
      </c>
      <c r="E944" s="14">
        <v>0.75</v>
      </c>
      <c r="F944" s="11" t="s">
        <v>51</v>
      </c>
      <c r="G944" s="11">
        <v>140</v>
      </c>
      <c r="H944" s="15" t="s">
        <v>29</v>
      </c>
      <c r="I944" s="11">
        <v>8</v>
      </c>
      <c r="J944" s="11" t="s">
        <v>19</v>
      </c>
      <c r="K944" s="11" t="s">
        <v>20</v>
      </c>
      <c r="L944" s="11" t="s">
        <v>21</v>
      </c>
      <c r="M944" s="11" t="s">
        <v>46</v>
      </c>
      <c r="N944" s="11" t="s">
        <v>25</v>
      </c>
      <c r="O944" s="16" t="s">
        <v>29</v>
      </c>
      <c r="P944" s="15">
        <v>210</v>
      </c>
      <c r="Q944" s="8"/>
      <c r="R944">
        <v>13.06</v>
      </c>
      <c r="S944">
        <v>2228.58</v>
      </c>
      <c r="T944">
        <v>3.59</v>
      </c>
      <c r="U944">
        <v>9.3800000000000008</v>
      </c>
      <c r="V944">
        <v>130.62</v>
      </c>
      <c r="W944" s="317">
        <v>3.9</v>
      </c>
      <c r="X944" s="190">
        <f t="shared" si="33"/>
        <v>31.2</v>
      </c>
      <c r="Y944" s="8"/>
      <c r="Z944" s="8"/>
    </row>
    <row r="945" spans="1:26" ht="12.75" customHeight="1" x14ac:dyDescent="0.2">
      <c r="A945" s="15">
        <v>83</v>
      </c>
      <c r="B945" s="15">
        <v>2008</v>
      </c>
      <c r="C945" s="15">
        <v>28</v>
      </c>
      <c r="D945" s="15">
        <v>7</v>
      </c>
      <c r="E945" s="14">
        <v>0.75</v>
      </c>
      <c r="F945" s="11" t="s">
        <v>51</v>
      </c>
      <c r="G945" s="11">
        <v>144</v>
      </c>
      <c r="H945" s="15" t="s">
        <v>29</v>
      </c>
      <c r="I945" s="11">
        <v>10.5</v>
      </c>
      <c r="J945" s="11" t="s">
        <v>19</v>
      </c>
      <c r="K945" s="11" t="s">
        <v>20</v>
      </c>
      <c r="L945" s="11" t="s">
        <v>21</v>
      </c>
      <c r="M945" s="11" t="s">
        <v>46</v>
      </c>
      <c r="N945" s="11" t="s">
        <v>39</v>
      </c>
      <c r="O945" s="16" t="s">
        <v>29</v>
      </c>
      <c r="P945" s="15">
        <v>210</v>
      </c>
      <c r="Q945" s="8"/>
      <c r="R945">
        <v>13.44</v>
      </c>
      <c r="S945">
        <v>2425.12</v>
      </c>
      <c r="T945">
        <v>4.33</v>
      </c>
      <c r="U945">
        <v>9.65</v>
      </c>
      <c r="V945">
        <v>134.35</v>
      </c>
      <c r="W945" s="317">
        <v>3.9</v>
      </c>
      <c r="X945" s="190">
        <f t="shared" si="33"/>
        <v>40.949999999999996</v>
      </c>
      <c r="Y945" s="8"/>
      <c r="Z945" s="8"/>
    </row>
    <row r="946" spans="1:26" ht="12.75" customHeight="1" x14ac:dyDescent="0.2">
      <c r="A946" s="15">
        <v>84</v>
      </c>
      <c r="B946" s="15">
        <v>2008</v>
      </c>
      <c r="C946" s="15">
        <v>28</v>
      </c>
      <c r="D946" s="15">
        <v>7</v>
      </c>
      <c r="E946" s="14">
        <v>0.75</v>
      </c>
      <c r="F946" s="11" t="s">
        <v>51</v>
      </c>
      <c r="G946" s="11">
        <v>144</v>
      </c>
      <c r="H946" s="15" t="s">
        <v>29</v>
      </c>
      <c r="I946" s="11">
        <v>8</v>
      </c>
      <c r="J946" s="11" t="s">
        <v>19</v>
      </c>
      <c r="K946" s="11" t="s">
        <v>20</v>
      </c>
      <c r="L946" s="11" t="s">
        <v>21</v>
      </c>
      <c r="M946" s="11" t="s">
        <v>46</v>
      </c>
      <c r="N946" s="11" t="s">
        <v>25</v>
      </c>
      <c r="O946" s="16" t="s">
        <v>29</v>
      </c>
      <c r="P946" s="15">
        <v>210</v>
      </c>
      <c r="Q946" s="8"/>
      <c r="R946">
        <v>13.44</v>
      </c>
      <c r="S946">
        <v>2425.12</v>
      </c>
      <c r="T946">
        <v>3.3</v>
      </c>
      <c r="U946">
        <v>9.65</v>
      </c>
      <c r="V946">
        <v>134.35</v>
      </c>
      <c r="W946" s="317">
        <v>3.9</v>
      </c>
      <c r="X946" s="190">
        <f t="shared" si="33"/>
        <v>31.2</v>
      </c>
      <c r="Y946" s="8"/>
      <c r="Z946" s="8"/>
    </row>
    <row r="947" spans="1:26" ht="12.75" customHeight="1" x14ac:dyDescent="0.2">
      <c r="A947" s="15">
        <v>85</v>
      </c>
      <c r="B947" s="15">
        <v>2008</v>
      </c>
      <c r="C947" s="15">
        <v>28</v>
      </c>
      <c r="D947" s="15">
        <v>7</v>
      </c>
      <c r="E947" s="14">
        <v>0.75</v>
      </c>
      <c r="F947" s="11" t="s">
        <v>51</v>
      </c>
      <c r="G947" s="11">
        <v>132</v>
      </c>
      <c r="H947" s="15" t="s">
        <v>29</v>
      </c>
      <c r="I947" s="11">
        <v>11</v>
      </c>
      <c r="J947" s="11" t="s">
        <v>19</v>
      </c>
      <c r="K947" s="11" t="s">
        <v>20</v>
      </c>
      <c r="L947" s="11" t="s">
        <v>30</v>
      </c>
      <c r="M947" s="11" t="s">
        <v>46</v>
      </c>
      <c r="N947" s="11" t="s">
        <v>25</v>
      </c>
      <c r="O947" s="16" t="s">
        <v>29</v>
      </c>
      <c r="P947" s="15">
        <v>210</v>
      </c>
      <c r="Q947" s="8"/>
      <c r="R947">
        <v>12.32</v>
      </c>
      <c r="S947">
        <v>1867.96</v>
      </c>
      <c r="T947">
        <v>5.89</v>
      </c>
      <c r="U947">
        <v>8.84</v>
      </c>
      <c r="V947">
        <v>123.16</v>
      </c>
      <c r="W947" s="317">
        <v>4.5999999999999996</v>
      </c>
      <c r="X947" s="190">
        <f t="shared" si="33"/>
        <v>50.599999999999994</v>
      </c>
      <c r="Y947" s="8"/>
      <c r="Z947" s="8"/>
    </row>
    <row r="948" spans="1:26" ht="12.75" customHeight="1" x14ac:dyDescent="0.2">
      <c r="A948" s="15">
        <v>86</v>
      </c>
      <c r="B948" s="15">
        <v>2008</v>
      </c>
      <c r="C948" s="15">
        <v>28</v>
      </c>
      <c r="D948" s="15">
        <v>7</v>
      </c>
      <c r="E948" s="14">
        <v>0.75</v>
      </c>
      <c r="F948" s="11" t="s">
        <v>51</v>
      </c>
      <c r="G948" s="11">
        <v>143</v>
      </c>
      <c r="H948" s="15" t="s">
        <v>29</v>
      </c>
      <c r="I948" s="11">
        <v>16</v>
      </c>
      <c r="J948" s="11" t="s">
        <v>19</v>
      </c>
      <c r="K948" s="11" t="s">
        <v>20</v>
      </c>
      <c r="L948" s="11" t="s">
        <v>30</v>
      </c>
      <c r="M948" s="11" t="s">
        <v>46</v>
      </c>
      <c r="N948" s="11" t="s">
        <v>25</v>
      </c>
      <c r="O948" s="16" t="s">
        <v>29</v>
      </c>
      <c r="P948" s="15">
        <v>210</v>
      </c>
      <c r="Q948" s="8"/>
      <c r="R948">
        <v>13.34</v>
      </c>
      <c r="S948">
        <v>2374.94</v>
      </c>
      <c r="T948">
        <v>6.74</v>
      </c>
      <c r="U948">
        <v>9.58</v>
      </c>
      <c r="V948">
        <v>133.41999999999999</v>
      </c>
      <c r="W948" s="317">
        <v>4.5999999999999996</v>
      </c>
      <c r="X948" s="190">
        <f t="shared" si="33"/>
        <v>73.599999999999994</v>
      </c>
      <c r="Y948" s="8"/>
      <c r="Z948" s="8"/>
    </row>
    <row r="949" spans="1:26" ht="12.75" customHeight="1" x14ac:dyDescent="0.2">
      <c r="A949" s="15">
        <v>52</v>
      </c>
      <c r="B949" s="15">
        <v>2008</v>
      </c>
      <c r="C949" s="15">
        <v>27</v>
      </c>
      <c r="D949" s="15">
        <v>7</v>
      </c>
      <c r="E949" s="14">
        <v>0.33333333333333331</v>
      </c>
      <c r="F949" s="11" t="s">
        <v>51</v>
      </c>
      <c r="G949" s="11">
        <v>143</v>
      </c>
      <c r="H949" s="15" t="s">
        <v>29</v>
      </c>
      <c r="I949" s="11">
        <v>11.5</v>
      </c>
      <c r="J949" s="11" t="s">
        <v>19</v>
      </c>
      <c r="K949" s="11" t="s">
        <v>20</v>
      </c>
      <c r="L949" s="11" t="s">
        <v>21</v>
      </c>
      <c r="M949" s="11" t="s">
        <v>27</v>
      </c>
      <c r="N949" s="11" t="s">
        <v>25</v>
      </c>
      <c r="O949" s="16" t="s">
        <v>29</v>
      </c>
      <c r="P949" s="15">
        <v>209</v>
      </c>
      <c r="Q949" s="8"/>
      <c r="R949">
        <v>13.34</v>
      </c>
      <c r="S949">
        <v>2374.94</v>
      </c>
      <c r="T949">
        <v>4.84</v>
      </c>
      <c r="U949">
        <v>9.58</v>
      </c>
      <c r="V949">
        <v>133.41999999999999</v>
      </c>
      <c r="W949" s="317">
        <v>3.9</v>
      </c>
      <c r="X949" s="190">
        <f t="shared" si="33"/>
        <v>44.85</v>
      </c>
      <c r="Y949" s="8"/>
      <c r="Z949" s="8"/>
    </row>
    <row r="950" spans="1:26" ht="12.75" customHeight="1" x14ac:dyDescent="0.2">
      <c r="A950" s="15">
        <v>53</v>
      </c>
      <c r="B950" s="15">
        <v>2008</v>
      </c>
      <c r="C950" s="15">
        <v>27</v>
      </c>
      <c r="D950" s="15">
        <v>7</v>
      </c>
      <c r="E950" s="14">
        <v>0.33333333333333331</v>
      </c>
      <c r="F950" s="11" t="s">
        <v>51</v>
      </c>
      <c r="G950" s="11">
        <v>126</v>
      </c>
      <c r="H950" s="15" t="s">
        <v>29</v>
      </c>
      <c r="I950" s="11">
        <v>6.5</v>
      </c>
      <c r="J950" s="11" t="s">
        <v>19</v>
      </c>
      <c r="K950" s="11" t="s">
        <v>20</v>
      </c>
      <c r="L950" s="11" t="s">
        <v>21</v>
      </c>
      <c r="M950" s="11" t="s">
        <v>45</v>
      </c>
      <c r="N950" s="11" t="s">
        <v>25</v>
      </c>
      <c r="O950" s="16" t="s">
        <v>173</v>
      </c>
      <c r="P950" s="15">
        <v>209</v>
      </c>
      <c r="Q950" s="8"/>
      <c r="R950">
        <v>11.76</v>
      </c>
      <c r="S950">
        <v>1624.64</v>
      </c>
      <c r="T950">
        <v>4</v>
      </c>
      <c r="U950">
        <v>8.44</v>
      </c>
      <c r="V950">
        <v>117.56</v>
      </c>
      <c r="W950" s="317">
        <v>3.9</v>
      </c>
      <c r="X950" s="190">
        <f t="shared" si="33"/>
        <v>25.349999999999998</v>
      </c>
      <c r="Y950" s="8"/>
      <c r="Z950" s="8"/>
    </row>
    <row r="951" spans="1:26" ht="12.75" customHeight="1" x14ac:dyDescent="0.2">
      <c r="A951" s="15">
        <v>54</v>
      </c>
      <c r="B951" s="15">
        <v>2008</v>
      </c>
      <c r="C951" s="15">
        <v>27</v>
      </c>
      <c r="D951" s="15">
        <v>7</v>
      </c>
      <c r="E951" s="14">
        <v>0.33333333333333331</v>
      </c>
      <c r="F951" s="11" t="s">
        <v>51</v>
      </c>
      <c r="G951" s="11">
        <v>154</v>
      </c>
      <c r="H951" s="15" t="s">
        <v>29</v>
      </c>
      <c r="I951" s="11">
        <v>14.5</v>
      </c>
      <c r="J951" s="11" t="s">
        <v>19</v>
      </c>
      <c r="K951" s="11" t="s">
        <v>20</v>
      </c>
      <c r="L951" s="11" t="s">
        <v>21</v>
      </c>
      <c r="M951" s="11" t="s">
        <v>45</v>
      </c>
      <c r="N951" s="11" t="s">
        <v>39</v>
      </c>
      <c r="O951" s="16" t="s">
        <v>174</v>
      </c>
      <c r="P951" s="15">
        <v>209</v>
      </c>
      <c r="Q951" s="8"/>
      <c r="R951">
        <v>14.37</v>
      </c>
      <c r="S951">
        <v>2966.25</v>
      </c>
      <c r="T951">
        <v>4.8899999999999997</v>
      </c>
      <c r="U951">
        <v>10.32</v>
      </c>
      <c r="V951">
        <v>143.68</v>
      </c>
      <c r="W951" s="317">
        <v>3.9</v>
      </c>
      <c r="X951" s="190">
        <f t="shared" si="33"/>
        <v>56.55</v>
      </c>
      <c r="Y951" s="8"/>
      <c r="Z951" s="8"/>
    </row>
    <row r="952" spans="1:26" ht="12.75" customHeight="1" x14ac:dyDescent="0.2">
      <c r="A952" s="15">
        <v>55</v>
      </c>
      <c r="B952" s="15">
        <v>2008</v>
      </c>
      <c r="C952" s="15">
        <v>27</v>
      </c>
      <c r="D952" s="15">
        <v>7</v>
      </c>
      <c r="E952" s="14">
        <v>0.33333333333333331</v>
      </c>
      <c r="F952" s="11" t="s">
        <v>51</v>
      </c>
      <c r="G952" s="11">
        <v>138</v>
      </c>
      <c r="H952" s="15" t="s">
        <v>29</v>
      </c>
      <c r="I952" s="11">
        <v>13.5</v>
      </c>
      <c r="J952" s="11" t="s">
        <v>19</v>
      </c>
      <c r="K952" s="11" t="s">
        <v>20</v>
      </c>
      <c r="L952" s="11" t="s">
        <v>30</v>
      </c>
      <c r="M952" s="11" t="s">
        <v>46</v>
      </c>
      <c r="N952" s="11" t="s">
        <v>23</v>
      </c>
      <c r="O952" s="16" t="s">
        <v>175</v>
      </c>
      <c r="P952" s="15">
        <v>209</v>
      </c>
      <c r="Q952" s="8"/>
      <c r="R952">
        <v>12.88</v>
      </c>
      <c r="S952">
        <v>2134.4299999999998</v>
      </c>
      <c r="T952">
        <v>6.32</v>
      </c>
      <c r="U952">
        <v>9.25</v>
      </c>
      <c r="V952">
        <v>128.75</v>
      </c>
      <c r="W952" s="317">
        <v>4.5999999999999996</v>
      </c>
      <c r="X952" s="190">
        <f t="shared" si="33"/>
        <v>62.099999999999994</v>
      </c>
      <c r="Y952" s="8"/>
      <c r="Z952" s="8"/>
    </row>
    <row r="953" spans="1:26" ht="12.75" customHeight="1" x14ac:dyDescent="0.2">
      <c r="A953" s="15">
        <v>56</v>
      </c>
      <c r="B953" s="15">
        <v>2008</v>
      </c>
      <c r="C953" s="15">
        <v>27</v>
      </c>
      <c r="D953" s="15">
        <v>7</v>
      </c>
      <c r="E953" s="14">
        <v>0.33333333333333331</v>
      </c>
      <c r="F953" s="11" t="s">
        <v>51</v>
      </c>
      <c r="G953" s="11">
        <v>162</v>
      </c>
      <c r="H953" s="15" t="s">
        <v>29</v>
      </c>
      <c r="I953" s="11">
        <v>18.5</v>
      </c>
      <c r="J953" s="11" t="s">
        <v>19</v>
      </c>
      <c r="K953" s="11" t="s">
        <v>20</v>
      </c>
      <c r="L953" s="11" t="s">
        <v>21</v>
      </c>
      <c r="M953" s="11" t="s">
        <v>46</v>
      </c>
      <c r="N953" s="11" t="s">
        <v>23</v>
      </c>
      <c r="O953" s="16" t="s">
        <v>176</v>
      </c>
      <c r="P953" s="15">
        <v>209</v>
      </c>
      <c r="Q953" s="8"/>
      <c r="R953">
        <v>15.11</v>
      </c>
      <c r="S953">
        <v>3452.95</v>
      </c>
      <c r="T953">
        <v>5.36</v>
      </c>
      <c r="U953">
        <v>10.85</v>
      </c>
      <c r="V953">
        <v>151.15</v>
      </c>
      <c r="W953" s="317">
        <v>3.9</v>
      </c>
      <c r="X953" s="190">
        <f t="shared" si="33"/>
        <v>72.149999999999991</v>
      </c>
      <c r="Y953" s="8"/>
      <c r="Z953" s="8"/>
    </row>
    <row r="954" spans="1:26" ht="12.75" customHeight="1" x14ac:dyDescent="0.2">
      <c r="A954" s="15">
        <v>57</v>
      </c>
      <c r="B954" s="15">
        <v>2008</v>
      </c>
      <c r="C954" s="15">
        <v>27</v>
      </c>
      <c r="D954" s="15">
        <v>7</v>
      </c>
      <c r="E954" s="14">
        <v>0.33333333333333331</v>
      </c>
      <c r="F954" s="11" t="s">
        <v>51</v>
      </c>
      <c r="G954" s="11">
        <v>161</v>
      </c>
      <c r="H954" s="15" t="s">
        <v>29</v>
      </c>
      <c r="I954" s="11">
        <v>18.5</v>
      </c>
      <c r="J954" s="11" t="s">
        <v>19</v>
      </c>
      <c r="K954" s="11" t="s">
        <v>20</v>
      </c>
      <c r="L954" s="11" t="s">
        <v>21</v>
      </c>
      <c r="M954" s="11" t="s">
        <v>46</v>
      </c>
      <c r="N954" s="11" t="s">
        <v>23</v>
      </c>
      <c r="O954" s="16" t="s">
        <v>29</v>
      </c>
      <c r="P954" s="15">
        <v>209</v>
      </c>
      <c r="Q954" s="8"/>
      <c r="R954">
        <v>15.02</v>
      </c>
      <c r="S954">
        <v>3389.4</v>
      </c>
      <c r="T954">
        <v>5.46</v>
      </c>
      <c r="U954">
        <v>10.79</v>
      </c>
      <c r="V954">
        <v>150.21</v>
      </c>
      <c r="W954" s="317">
        <v>3.9</v>
      </c>
      <c r="X954" s="190">
        <f t="shared" si="33"/>
        <v>72.149999999999991</v>
      </c>
      <c r="Y954" s="8"/>
      <c r="Z954" s="8"/>
    </row>
    <row r="955" spans="1:26" ht="12.75" customHeight="1" x14ac:dyDescent="0.2">
      <c r="A955" s="15">
        <v>58</v>
      </c>
      <c r="B955" s="15">
        <v>2008</v>
      </c>
      <c r="C955" s="15">
        <v>27</v>
      </c>
      <c r="D955" s="15">
        <v>7</v>
      </c>
      <c r="E955" s="14">
        <v>0.33333333333333331</v>
      </c>
      <c r="F955" s="11" t="s">
        <v>51</v>
      </c>
      <c r="G955" s="11">
        <v>141</v>
      </c>
      <c r="H955" s="15" t="s">
        <v>29</v>
      </c>
      <c r="I955" s="11">
        <v>10.5</v>
      </c>
      <c r="J955" s="11" t="s">
        <v>19</v>
      </c>
      <c r="K955" s="11" t="s">
        <v>20</v>
      </c>
      <c r="L955" s="11" t="s">
        <v>21</v>
      </c>
      <c r="M955" s="11" t="s">
        <v>27</v>
      </c>
      <c r="N955" s="11" t="s">
        <v>25</v>
      </c>
      <c r="O955" s="16" t="s">
        <v>29</v>
      </c>
      <c r="P955" s="15">
        <v>209</v>
      </c>
      <c r="Q955" s="8"/>
      <c r="R955">
        <v>13.16</v>
      </c>
      <c r="S955">
        <v>2276.6799999999998</v>
      </c>
      <c r="T955">
        <v>4.6100000000000003</v>
      </c>
      <c r="U955">
        <v>9.4499999999999993</v>
      </c>
      <c r="V955">
        <v>131.55000000000001</v>
      </c>
      <c r="W955" s="317">
        <v>3.9</v>
      </c>
      <c r="X955" s="190">
        <f t="shared" si="33"/>
        <v>40.949999999999996</v>
      </c>
      <c r="Y955" s="8"/>
      <c r="Z955" s="8"/>
    </row>
    <row r="956" spans="1:26" ht="12.75" customHeight="1" x14ac:dyDescent="0.2">
      <c r="A956" s="15">
        <v>59</v>
      </c>
      <c r="B956" s="15">
        <v>2008</v>
      </c>
      <c r="C956" s="15">
        <v>27</v>
      </c>
      <c r="D956" s="15">
        <v>7</v>
      </c>
      <c r="E956" s="14">
        <v>0.33333333333333331</v>
      </c>
      <c r="F956" s="11" t="s">
        <v>28</v>
      </c>
      <c r="G956" s="11" t="s">
        <v>29</v>
      </c>
      <c r="H956" s="15" t="s">
        <v>29</v>
      </c>
      <c r="I956" s="11" t="s">
        <v>29</v>
      </c>
      <c r="J956" s="11" t="s">
        <v>19</v>
      </c>
      <c r="K956" s="11" t="s">
        <v>20</v>
      </c>
      <c r="L956" s="11" t="s">
        <v>21</v>
      </c>
      <c r="M956" s="11" t="s">
        <v>46</v>
      </c>
      <c r="N956" s="11" t="s">
        <v>25</v>
      </c>
      <c r="O956" s="16" t="s">
        <v>177</v>
      </c>
      <c r="P956" s="15">
        <v>209</v>
      </c>
      <c r="Q956" s="8"/>
      <c r="W956" s="317">
        <v>3.9</v>
      </c>
      <c r="X956" s="190"/>
      <c r="Y956" s="8"/>
      <c r="Z956" s="8"/>
    </row>
    <row r="957" spans="1:26" ht="12.75" customHeight="1" x14ac:dyDescent="0.2">
      <c r="A957" s="15">
        <v>60</v>
      </c>
      <c r="B957" s="15">
        <v>2008</v>
      </c>
      <c r="C957" s="15">
        <v>27</v>
      </c>
      <c r="D957" s="15">
        <v>7</v>
      </c>
      <c r="E957" s="14">
        <v>0.33333333333333331</v>
      </c>
      <c r="F957" s="11" t="s">
        <v>51</v>
      </c>
      <c r="G957" s="11">
        <v>152</v>
      </c>
      <c r="H957" s="15" t="s">
        <v>29</v>
      </c>
      <c r="I957" s="11">
        <v>10.5</v>
      </c>
      <c r="J957" s="11" t="s">
        <v>19</v>
      </c>
      <c r="K957" s="11" t="s">
        <v>20</v>
      </c>
      <c r="L957" s="11" t="s">
        <v>21</v>
      </c>
      <c r="M957" s="11" t="s">
        <v>45</v>
      </c>
      <c r="N957" s="11" t="s">
        <v>25</v>
      </c>
      <c r="O957" s="16" t="s">
        <v>178</v>
      </c>
      <c r="P957" s="15">
        <v>209</v>
      </c>
      <c r="Q957" s="8"/>
      <c r="R957">
        <v>14.18</v>
      </c>
      <c r="S957">
        <v>2852.17</v>
      </c>
      <c r="T957">
        <v>3.68</v>
      </c>
      <c r="U957">
        <v>10.18</v>
      </c>
      <c r="V957">
        <v>141.82</v>
      </c>
      <c r="W957" s="317">
        <v>3.9</v>
      </c>
      <c r="X957" s="190">
        <f t="shared" si="33"/>
        <v>40.949999999999996</v>
      </c>
      <c r="Y957" s="8"/>
      <c r="Z957" s="8"/>
    </row>
    <row r="958" spans="1:26" ht="12.75" customHeight="1" x14ac:dyDescent="0.2">
      <c r="A958" s="15">
        <v>61</v>
      </c>
      <c r="B958" s="15">
        <v>2008</v>
      </c>
      <c r="C958" s="15">
        <v>27</v>
      </c>
      <c r="D958" s="15">
        <v>7</v>
      </c>
      <c r="E958" s="14">
        <v>0.33333333333333331</v>
      </c>
      <c r="F958" s="11" t="s">
        <v>51</v>
      </c>
      <c r="G958" s="11">
        <v>151</v>
      </c>
      <c r="H958" s="15" t="s">
        <v>29</v>
      </c>
      <c r="I958" s="11">
        <v>22</v>
      </c>
      <c r="J958" s="11" t="s">
        <v>19</v>
      </c>
      <c r="K958" s="11" t="s">
        <v>20</v>
      </c>
      <c r="L958" s="11" t="s">
        <v>30</v>
      </c>
      <c r="M958" s="11" t="s">
        <v>46</v>
      </c>
      <c r="N958" s="11" t="s">
        <v>25</v>
      </c>
      <c r="O958" s="16" t="s">
        <v>29</v>
      </c>
      <c r="P958" s="15">
        <v>209</v>
      </c>
      <c r="Q958" s="8"/>
      <c r="R958">
        <v>14.09</v>
      </c>
      <c r="S958">
        <v>2796.25</v>
      </c>
      <c r="T958">
        <v>7.87</v>
      </c>
      <c r="U958">
        <v>10.119999999999999</v>
      </c>
      <c r="V958">
        <v>140.88</v>
      </c>
      <c r="W958" s="317">
        <v>4.5999999999999996</v>
      </c>
      <c r="X958" s="190">
        <f t="shared" si="33"/>
        <v>101.19999999999999</v>
      </c>
      <c r="Y958" s="8"/>
      <c r="Z958" s="8"/>
    </row>
    <row r="959" spans="1:26" ht="12.75" customHeight="1" x14ac:dyDescent="0.2">
      <c r="A959" s="15">
        <v>62</v>
      </c>
      <c r="B959" s="15">
        <v>2008</v>
      </c>
      <c r="C959" s="15">
        <v>27</v>
      </c>
      <c r="D959" s="15">
        <v>7</v>
      </c>
      <c r="E959" s="14">
        <v>0.33333333333333331</v>
      </c>
      <c r="F959" s="11" t="s">
        <v>51</v>
      </c>
      <c r="G959" s="11">
        <v>130</v>
      </c>
      <c r="H959" s="15" t="s">
        <v>29</v>
      </c>
      <c r="I959" s="11">
        <v>9</v>
      </c>
      <c r="J959" s="11" t="s">
        <v>19</v>
      </c>
      <c r="K959" s="11" t="s">
        <v>20</v>
      </c>
      <c r="L959" s="11" t="s">
        <v>21</v>
      </c>
      <c r="M959" s="11" t="s">
        <v>45</v>
      </c>
      <c r="N959" s="11" t="s">
        <v>25</v>
      </c>
      <c r="O959" s="16" t="s">
        <v>29</v>
      </c>
      <c r="P959" s="15">
        <v>209</v>
      </c>
      <c r="Q959" s="8"/>
      <c r="R959">
        <v>12.13</v>
      </c>
      <c r="S959">
        <v>1784.33</v>
      </c>
      <c r="T959">
        <v>5.04</v>
      </c>
      <c r="U959">
        <v>8.7100000000000009</v>
      </c>
      <c r="V959">
        <v>121.29</v>
      </c>
      <c r="W959" s="317">
        <v>3.9</v>
      </c>
      <c r="X959" s="190">
        <f t="shared" si="33"/>
        <v>35.1</v>
      </c>
      <c r="Y959" s="8"/>
      <c r="Z959" s="8"/>
    </row>
    <row r="960" spans="1:26" ht="12.75" customHeight="1" x14ac:dyDescent="0.2">
      <c r="A960" s="15">
        <v>34</v>
      </c>
      <c r="B960" s="15">
        <v>2008</v>
      </c>
      <c r="C960" s="15">
        <v>26</v>
      </c>
      <c r="D960" s="15">
        <v>7</v>
      </c>
      <c r="E960" s="22" t="s">
        <v>179</v>
      </c>
      <c r="F960" s="11" t="s">
        <v>51</v>
      </c>
      <c r="G960" s="11">
        <v>167</v>
      </c>
      <c r="H960" s="15" t="s">
        <v>29</v>
      </c>
      <c r="I960" s="11">
        <v>22</v>
      </c>
      <c r="J960" s="11" t="s">
        <v>19</v>
      </c>
      <c r="K960" s="11" t="s">
        <v>20</v>
      </c>
      <c r="L960" s="11" t="s">
        <v>21</v>
      </c>
      <c r="M960" s="11" t="s">
        <v>46</v>
      </c>
      <c r="N960" s="11" t="s">
        <v>24</v>
      </c>
      <c r="O960" s="16" t="s">
        <v>29</v>
      </c>
      <c r="P960" s="15">
        <v>208</v>
      </c>
      <c r="Q960" s="8"/>
      <c r="R960">
        <v>15.58</v>
      </c>
      <c r="S960">
        <v>3782.63</v>
      </c>
      <c r="T960">
        <v>5.82</v>
      </c>
      <c r="U960">
        <v>11.19</v>
      </c>
      <c r="V960">
        <v>155.81</v>
      </c>
      <c r="W960" s="317">
        <v>3.9</v>
      </c>
      <c r="X960" s="190">
        <f t="shared" si="33"/>
        <v>85.8</v>
      </c>
      <c r="Y960" s="8"/>
      <c r="Z960" s="8"/>
    </row>
    <row r="961" spans="1:26" ht="12.75" customHeight="1" x14ac:dyDescent="0.2">
      <c r="A961" s="15">
        <v>35</v>
      </c>
      <c r="B961" s="15">
        <v>2008</v>
      </c>
      <c r="C961" s="15">
        <v>26</v>
      </c>
      <c r="D961" s="15">
        <v>7</v>
      </c>
      <c r="E961" s="22" t="s">
        <v>179</v>
      </c>
      <c r="F961" s="11" t="s">
        <v>51</v>
      </c>
      <c r="G961" s="11">
        <v>156</v>
      </c>
      <c r="H961" s="15" t="s">
        <v>29</v>
      </c>
      <c r="I961" s="11">
        <v>21.5</v>
      </c>
      <c r="J961" s="11" t="s">
        <v>19</v>
      </c>
      <c r="K961" s="11" t="s">
        <v>20</v>
      </c>
      <c r="L961" s="11" t="s">
        <v>30</v>
      </c>
      <c r="M961" s="11" t="s">
        <v>45</v>
      </c>
      <c r="N961" s="11" t="s">
        <v>24</v>
      </c>
      <c r="O961" s="16" t="s">
        <v>29</v>
      </c>
      <c r="P961" s="15">
        <v>208</v>
      </c>
      <c r="Q961" s="8"/>
      <c r="R961">
        <v>14.55</v>
      </c>
      <c r="S961">
        <v>3083.32</v>
      </c>
      <c r="T961">
        <v>6.97</v>
      </c>
      <c r="U961">
        <v>10.45</v>
      </c>
      <c r="V961">
        <v>145.55000000000001</v>
      </c>
      <c r="W961" s="317">
        <v>4.5999999999999996</v>
      </c>
      <c r="X961" s="190">
        <f t="shared" si="33"/>
        <v>98.899999999999991</v>
      </c>
      <c r="Y961" s="8"/>
      <c r="Z961" s="8"/>
    </row>
    <row r="962" spans="1:26" ht="12.75" customHeight="1" x14ac:dyDescent="0.2">
      <c r="A962" s="15">
        <v>36</v>
      </c>
      <c r="B962" s="15">
        <v>2008</v>
      </c>
      <c r="C962" s="15">
        <v>26</v>
      </c>
      <c r="D962" s="15">
        <v>7</v>
      </c>
      <c r="E962" s="22" t="s">
        <v>179</v>
      </c>
      <c r="F962" s="11" t="s">
        <v>51</v>
      </c>
      <c r="G962" s="11">
        <v>141</v>
      </c>
      <c r="H962" s="15" t="s">
        <v>29</v>
      </c>
      <c r="I962" s="11">
        <v>14</v>
      </c>
      <c r="J962" s="11" t="s">
        <v>19</v>
      </c>
      <c r="K962" s="11" t="s">
        <v>20</v>
      </c>
      <c r="L962" s="11" t="s">
        <v>21</v>
      </c>
      <c r="M962" s="11" t="s">
        <v>29</v>
      </c>
      <c r="N962" s="11" t="s">
        <v>25</v>
      </c>
      <c r="O962" s="16" t="s">
        <v>29</v>
      </c>
      <c r="P962" s="15">
        <v>208</v>
      </c>
      <c r="Q962" s="8"/>
      <c r="R962">
        <v>13.16</v>
      </c>
      <c r="S962">
        <v>2276.6799999999998</v>
      </c>
      <c r="T962">
        <v>6.15</v>
      </c>
      <c r="U962">
        <v>9.4499999999999993</v>
      </c>
      <c r="V962">
        <v>131.55000000000001</v>
      </c>
      <c r="W962" s="317">
        <v>3.9</v>
      </c>
      <c r="X962" s="190">
        <f t="shared" si="33"/>
        <v>54.6</v>
      </c>
      <c r="Y962" s="8"/>
      <c r="Z962" s="8"/>
    </row>
    <row r="963" spans="1:26" ht="12.75" customHeight="1" x14ac:dyDescent="0.2">
      <c r="A963" s="15">
        <v>37</v>
      </c>
      <c r="B963" s="15">
        <v>2008</v>
      </c>
      <c r="C963" s="15">
        <v>26</v>
      </c>
      <c r="D963" s="15">
        <v>7</v>
      </c>
      <c r="E963" s="22" t="s">
        <v>179</v>
      </c>
      <c r="F963" s="11" t="s">
        <v>28</v>
      </c>
      <c r="G963" s="11" t="s">
        <v>29</v>
      </c>
      <c r="H963" s="15" t="s">
        <v>29</v>
      </c>
      <c r="I963" s="11" t="s">
        <v>29</v>
      </c>
      <c r="J963" s="11" t="s">
        <v>19</v>
      </c>
      <c r="K963" s="11" t="s">
        <v>20</v>
      </c>
      <c r="L963" s="11" t="s">
        <v>41</v>
      </c>
      <c r="M963" s="11" t="s">
        <v>29</v>
      </c>
      <c r="N963" s="11" t="s">
        <v>28</v>
      </c>
      <c r="O963" s="16" t="s">
        <v>180</v>
      </c>
      <c r="P963" s="15">
        <v>208</v>
      </c>
      <c r="Q963" s="8"/>
      <c r="W963" s="8"/>
      <c r="X963" s="8"/>
      <c r="Y963" s="8"/>
      <c r="Z963" s="8"/>
    </row>
    <row r="964" spans="1:26" ht="12.75" customHeight="1" x14ac:dyDescent="0.2">
      <c r="A964" s="15">
        <v>38</v>
      </c>
      <c r="B964" s="15">
        <v>2008</v>
      </c>
      <c r="C964" s="15">
        <v>26</v>
      </c>
      <c r="D964" s="15">
        <v>7</v>
      </c>
      <c r="E964" s="22" t="s">
        <v>179</v>
      </c>
      <c r="F964" s="11" t="s">
        <v>51</v>
      </c>
      <c r="G964" s="11">
        <v>125</v>
      </c>
      <c r="H964" s="15" t="s">
        <v>29</v>
      </c>
      <c r="I964" s="11">
        <v>10</v>
      </c>
      <c r="J964" s="11" t="s">
        <v>19</v>
      </c>
      <c r="K964" s="11" t="s">
        <v>20</v>
      </c>
      <c r="L964" s="11" t="s">
        <v>21</v>
      </c>
      <c r="M964" s="11" t="s">
        <v>45</v>
      </c>
      <c r="N964" s="11" t="s">
        <v>25</v>
      </c>
      <c r="O964" s="16" t="s">
        <v>29</v>
      </c>
      <c r="P964" s="15">
        <v>208</v>
      </c>
      <c r="Q964" s="8"/>
      <c r="R964">
        <v>11.66</v>
      </c>
      <c r="S964">
        <v>1586.26</v>
      </c>
      <c r="T964">
        <v>6.3</v>
      </c>
      <c r="U964">
        <v>8.3800000000000008</v>
      </c>
      <c r="V964">
        <v>116.63</v>
      </c>
      <c r="W964" s="317">
        <v>3.9</v>
      </c>
      <c r="X964" s="190">
        <f t="shared" ref="X964:X1021" si="34">I964*W964</f>
        <v>39</v>
      </c>
      <c r="Y964" s="8"/>
      <c r="Z964" s="8"/>
    </row>
    <row r="965" spans="1:26" ht="12.75" customHeight="1" x14ac:dyDescent="0.2">
      <c r="A965" s="15">
        <v>39</v>
      </c>
      <c r="B965" s="15">
        <v>2008</v>
      </c>
      <c r="C965" s="15">
        <v>26</v>
      </c>
      <c r="D965" s="15">
        <v>7</v>
      </c>
      <c r="E965" s="22" t="s">
        <v>179</v>
      </c>
      <c r="F965" s="11" t="s">
        <v>51</v>
      </c>
      <c r="G965" s="11">
        <v>135</v>
      </c>
      <c r="H965" s="15" t="s">
        <v>29</v>
      </c>
      <c r="I965" s="11">
        <v>7.5</v>
      </c>
      <c r="J965" s="11" t="s">
        <v>19</v>
      </c>
      <c r="K965" s="11" t="s">
        <v>20</v>
      </c>
      <c r="L965" s="11" t="s">
        <v>21</v>
      </c>
      <c r="M965" s="11" t="s">
        <v>29</v>
      </c>
      <c r="N965" s="11" t="s">
        <v>25</v>
      </c>
      <c r="O965" s="16" t="s">
        <v>29</v>
      </c>
      <c r="P965" s="15">
        <v>208</v>
      </c>
      <c r="Q965" s="8"/>
      <c r="R965">
        <v>12.6</v>
      </c>
      <c r="S965">
        <v>1998.23</v>
      </c>
      <c r="T965">
        <v>3.75</v>
      </c>
      <c r="U965">
        <v>9.0500000000000007</v>
      </c>
      <c r="V965">
        <v>125.96</v>
      </c>
      <c r="W965" s="317">
        <v>3.9</v>
      </c>
      <c r="X965" s="190">
        <f t="shared" si="34"/>
        <v>29.25</v>
      </c>
      <c r="Y965" s="8"/>
      <c r="Z965" s="8"/>
    </row>
    <row r="966" spans="1:26" ht="12.75" customHeight="1" x14ac:dyDescent="0.2">
      <c r="A966" s="15">
        <v>40</v>
      </c>
      <c r="B966" s="15">
        <v>2008</v>
      </c>
      <c r="C966" s="15">
        <v>26</v>
      </c>
      <c r="D966" s="15">
        <v>7</v>
      </c>
      <c r="E966" s="22" t="s">
        <v>179</v>
      </c>
      <c r="F966" s="11" t="s">
        <v>51</v>
      </c>
      <c r="G966" s="11">
        <v>160</v>
      </c>
      <c r="H966" s="15" t="s">
        <v>29</v>
      </c>
      <c r="I966" s="11">
        <v>14</v>
      </c>
      <c r="J966" s="11" t="s">
        <v>19</v>
      </c>
      <c r="K966" s="11" t="s">
        <v>20</v>
      </c>
      <c r="L966" s="11" t="s">
        <v>21</v>
      </c>
      <c r="M966" s="11" t="s">
        <v>27</v>
      </c>
      <c r="N966" s="11" t="s">
        <v>23</v>
      </c>
      <c r="O966" s="16" t="s">
        <v>29</v>
      </c>
      <c r="P966" s="15">
        <v>208</v>
      </c>
      <c r="Q966" s="8"/>
      <c r="R966">
        <v>14.93</v>
      </c>
      <c r="S966">
        <v>3326.63</v>
      </c>
      <c r="T966">
        <v>4.21</v>
      </c>
      <c r="U966">
        <v>10.72</v>
      </c>
      <c r="V966">
        <v>149.28</v>
      </c>
      <c r="W966" s="317">
        <v>3.9</v>
      </c>
      <c r="X966" s="190">
        <f t="shared" si="34"/>
        <v>54.6</v>
      </c>
      <c r="Y966" s="8"/>
      <c r="Z966" s="8"/>
    </row>
    <row r="967" spans="1:26" ht="12.75" customHeight="1" x14ac:dyDescent="0.2">
      <c r="A967" s="15">
        <v>41</v>
      </c>
      <c r="B967" s="15">
        <v>2008</v>
      </c>
      <c r="C967" s="15">
        <v>26</v>
      </c>
      <c r="D967" s="15">
        <v>7</v>
      </c>
      <c r="E967" s="22" t="s">
        <v>179</v>
      </c>
      <c r="F967" s="11" t="s">
        <v>51</v>
      </c>
      <c r="G967" s="11">
        <v>155</v>
      </c>
      <c r="H967" s="15" t="s">
        <v>29</v>
      </c>
      <c r="I967" s="11">
        <v>11.5</v>
      </c>
      <c r="J967" s="11" t="s">
        <v>19</v>
      </c>
      <c r="K967" s="11" t="s">
        <v>20</v>
      </c>
      <c r="L967" s="11" t="s">
        <v>21</v>
      </c>
      <c r="M967" s="11" t="s">
        <v>45</v>
      </c>
      <c r="N967" s="11" t="s">
        <v>39</v>
      </c>
      <c r="O967" s="16" t="s">
        <v>181</v>
      </c>
      <c r="P967" s="15">
        <v>208</v>
      </c>
      <c r="Q967" s="8"/>
      <c r="R967">
        <v>14.46</v>
      </c>
      <c r="S967">
        <v>3024.41</v>
      </c>
      <c r="T967">
        <v>3.8</v>
      </c>
      <c r="U967">
        <v>10.39</v>
      </c>
      <c r="V967">
        <v>144.62</v>
      </c>
      <c r="W967" s="317">
        <v>3.9</v>
      </c>
      <c r="X967" s="190">
        <f t="shared" si="34"/>
        <v>44.85</v>
      </c>
      <c r="Y967" s="8"/>
      <c r="Z967" s="8"/>
    </row>
    <row r="968" spans="1:26" ht="12.75" customHeight="1" x14ac:dyDescent="0.2">
      <c r="A968" s="15">
        <v>42</v>
      </c>
      <c r="B968" s="15">
        <v>2008</v>
      </c>
      <c r="C968" s="15">
        <v>26</v>
      </c>
      <c r="D968" s="15">
        <v>7</v>
      </c>
      <c r="E968" s="22" t="s">
        <v>179</v>
      </c>
      <c r="F968" s="11" t="s">
        <v>51</v>
      </c>
      <c r="G968" s="11">
        <v>162</v>
      </c>
      <c r="H968" s="15" t="s">
        <v>29</v>
      </c>
      <c r="I968" s="11">
        <v>15.5</v>
      </c>
      <c r="J968" s="11" t="s">
        <v>19</v>
      </c>
      <c r="K968" s="11" t="s">
        <v>20</v>
      </c>
      <c r="L968" s="11" t="s">
        <v>21</v>
      </c>
      <c r="M968" s="11" t="s">
        <v>46</v>
      </c>
      <c r="N968" s="11" t="s">
        <v>23</v>
      </c>
      <c r="O968" s="16" t="s">
        <v>29</v>
      </c>
      <c r="P968" s="15">
        <v>208</v>
      </c>
      <c r="Q968" s="8"/>
      <c r="R968">
        <v>15.11</v>
      </c>
      <c r="S968">
        <v>3452.95</v>
      </c>
      <c r="T968">
        <v>4.49</v>
      </c>
      <c r="U968">
        <v>10.85</v>
      </c>
      <c r="V968">
        <v>151.15</v>
      </c>
      <c r="W968" s="317">
        <v>3.9</v>
      </c>
      <c r="X968" s="190">
        <f t="shared" si="34"/>
        <v>60.449999999999996</v>
      </c>
      <c r="Y968" s="8"/>
      <c r="Z968" s="8"/>
    </row>
    <row r="969" spans="1:26" ht="12.75" customHeight="1" x14ac:dyDescent="0.2">
      <c r="A969" s="15">
        <v>43</v>
      </c>
      <c r="B969" s="15">
        <v>2008</v>
      </c>
      <c r="C969" s="15">
        <v>26</v>
      </c>
      <c r="D969" s="15">
        <v>7</v>
      </c>
      <c r="E969" s="22" t="s">
        <v>179</v>
      </c>
      <c r="F969" s="11" t="s">
        <v>51</v>
      </c>
      <c r="G969" s="11">
        <v>144</v>
      </c>
      <c r="H969" s="15" t="s">
        <v>29</v>
      </c>
      <c r="I969" s="11">
        <v>12</v>
      </c>
      <c r="J969" s="11" t="s">
        <v>19</v>
      </c>
      <c r="K969" s="11" t="s">
        <v>20</v>
      </c>
      <c r="L969" s="11" t="s">
        <v>21</v>
      </c>
      <c r="M969" s="11" t="s">
        <v>45</v>
      </c>
      <c r="N969" s="11" t="s">
        <v>23</v>
      </c>
      <c r="O969" s="16" t="s">
        <v>29</v>
      </c>
      <c r="P969" s="15">
        <v>208</v>
      </c>
      <c r="Q969" s="8"/>
      <c r="R969">
        <v>13.44</v>
      </c>
      <c r="S969">
        <v>2425.12</v>
      </c>
      <c r="T969">
        <v>4.95</v>
      </c>
      <c r="U969">
        <v>9.65</v>
      </c>
      <c r="V969">
        <v>134.35</v>
      </c>
      <c r="W969" s="317">
        <v>3.9</v>
      </c>
      <c r="X969" s="190">
        <f t="shared" si="34"/>
        <v>46.8</v>
      </c>
      <c r="Y969" s="8"/>
      <c r="Z969" s="8"/>
    </row>
    <row r="970" spans="1:26" ht="12.75" customHeight="1" x14ac:dyDescent="0.2">
      <c r="A970" s="15">
        <v>44</v>
      </c>
      <c r="B970" s="15">
        <v>2008</v>
      </c>
      <c r="C970" s="15">
        <v>26</v>
      </c>
      <c r="D970" s="15">
        <v>7</v>
      </c>
      <c r="E970" s="22" t="s">
        <v>179</v>
      </c>
      <c r="F970" s="11" t="s">
        <v>51</v>
      </c>
      <c r="G970" s="11">
        <v>142</v>
      </c>
      <c r="H970" s="15" t="s">
        <v>29</v>
      </c>
      <c r="I970" s="11">
        <v>12</v>
      </c>
      <c r="J970" s="11" t="s">
        <v>19</v>
      </c>
      <c r="K970" s="11" t="s">
        <v>20</v>
      </c>
      <c r="L970" s="11" t="s">
        <v>21</v>
      </c>
      <c r="M970" s="11" t="s">
        <v>45</v>
      </c>
      <c r="N970" s="11" t="s">
        <v>39</v>
      </c>
      <c r="O970" s="16" t="s">
        <v>29</v>
      </c>
      <c r="P970" s="15">
        <v>208</v>
      </c>
      <c r="Q970" s="8"/>
      <c r="R970">
        <v>13.25</v>
      </c>
      <c r="S970">
        <v>2325.4699999999998</v>
      </c>
      <c r="T970">
        <v>5.16</v>
      </c>
      <c r="U970">
        <v>9.51</v>
      </c>
      <c r="V970">
        <v>132.49</v>
      </c>
      <c r="W970" s="317">
        <v>3.9</v>
      </c>
      <c r="X970" s="190">
        <f t="shared" si="34"/>
        <v>46.8</v>
      </c>
      <c r="Y970" s="8"/>
      <c r="Z970" s="8"/>
    </row>
    <row r="971" spans="1:26" ht="12.75" customHeight="1" x14ac:dyDescent="0.2">
      <c r="A971" s="15">
        <v>45</v>
      </c>
      <c r="B971" s="15">
        <v>2008</v>
      </c>
      <c r="C971" s="15">
        <v>26</v>
      </c>
      <c r="D971" s="15">
        <v>7</v>
      </c>
      <c r="E971" s="22" t="s">
        <v>179</v>
      </c>
      <c r="F971" s="11" t="s">
        <v>51</v>
      </c>
      <c r="G971" s="11">
        <v>142</v>
      </c>
      <c r="H971" s="15" t="s">
        <v>29</v>
      </c>
      <c r="I971" s="11">
        <v>9.5</v>
      </c>
      <c r="J971" s="11" t="s">
        <v>19</v>
      </c>
      <c r="K971" s="11" t="s">
        <v>20</v>
      </c>
      <c r="L971" s="11" t="s">
        <v>21</v>
      </c>
      <c r="M971" s="11" t="s">
        <v>45</v>
      </c>
      <c r="N971" s="11" t="s">
        <v>25</v>
      </c>
      <c r="O971" s="16" t="s">
        <v>182</v>
      </c>
      <c r="P971" s="15">
        <v>208</v>
      </c>
      <c r="Q971" s="8"/>
      <c r="R971">
        <v>13.25</v>
      </c>
      <c r="S971">
        <v>2325.4699999999998</v>
      </c>
      <c r="T971">
        <v>4.09</v>
      </c>
      <c r="U971">
        <v>9.51</v>
      </c>
      <c r="V971">
        <v>132.49</v>
      </c>
      <c r="W971" s="317">
        <v>3.9</v>
      </c>
      <c r="X971" s="190">
        <f t="shared" si="34"/>
        <v>37.049999999999997</v>
      </c>
      <c r="Y971" s="8"/>
      <c r="Z971" s="8"/>
    </row>
    <row r="972" spans="1:26" ht="12.75" customHeight="1" x14ac:dyDescent="0.2">
      <c r="A972" s="15">
        <v>46</v>
      </c>
      <c r="B972" s="15">
        <v>2008</v>
      </c>
      <c r="C972" s="15">
        <v>26</v>
      </c>
      <c r="D972" s="15">
        <v>7</v>
      </c>
      <c r="E972" s="22" t="s">
        <v>179</v>
      </c>
      <c r="F972" s="11" t="s">
        <v>51</v>
      </c>
      <c r="G972" s="11">
        <v>152</v>
      </c>
      <c r="H972" s="15" t="s">
        <v>29</v>
      </c>
      <c r="I972" s="11">
        <v>12</v>
      </c>
      <c r="J972" s="11" t="s">
        <v>19</v>
      </c>
      <c r="K972" s="11" t="s">
        <v>20</v>
      </c>
      <c r="L972" s="11" t="s">
        <v>21</v>
      </c>
      <c r="M972" s="11" t="s">
        <v>45</v>
      </c>
      <c r="N972" s="11" t="s">
        <v>39</v>
      </c>
      <c r="O972" s="16" t="s">
        <v>29</v>
      </c>
      <c r="P972" s="15">
        <v>208</v>
      </c>
      <c r="Q972" s="8"/>
      <c r="R972">
        <v>14.18</v>
      </c>
      <c r="S972">
        <v>2852.17</v>
      </c>
      <c r="T972">
        <v>4.21</v>
      </c>
      <c r="U972">
        <v>10.18</v>
      </c>
      <c r="V972">
        <v>141.82</v>
      </c>
      <c r="W972" s="317">
        <v>3.9</v>
      </c>
      <c r="X972" s="190">
        <f t="shared" si="34"/>
        <v>46.8</v>
      </c>
      <c r="Y972" s="8"/>
      <c r="Z972" s="8"/>
    </row>
    <row r="973" spans="1:26" ht="12.75" customHeight="1" x14ac:dyDescent="0.2">
      <c r="A973" s="15">
        <v>47</v>
      </c>
      <c r="B973" s="15">
        <v>2008</v>
      </c>
      <c r="C973" s="15">
        <v>26</v>
      </c>
      <c r="D973" s="15">
        <v>7</v>
      </c>
      <c r="E973" s="22" t="s">
        <v>179</v>
      </c>
      <c r="F973" s="11" t="s">
        <v>51</v>
      </c>
      <c r="G973" s="11">
        <v>157</v>
      </c>
      <c r="H973" s="15" t="s">
        <v>29</v>
      </c>
      <c r="I973" s="11">
        <v>13.5</v>
      </c>
      <c r="J973" s="11" t="s">
        <v>19</v>
      </c>
      <c r="K973" s="11" t="s">
        <v>20</v>
      </c>
      <c r="L973" s="11" t="s">
        <v>21</v>
      </c>
      <c r="M973" s="11" t="s">
        <v>45</v>
      </c>
      <c r="N973" s="11" t="s">
        <v>23</v>
      </c>
      <c r="O973" s="16" t="s">
        <v>29</v>
      </c>
      <c r="P973" s="15">
        <v>208</v>
      </c>
      <c r="Q973" s="8"/>
      <c r="R973">
        <v>14.65</v>
      </c>
      <c r="S973">
        <v>3143</v>
      </c>
      <c r="T973">
        <v>4.3</v>
      </c>
      <c r="U973">
        <v>10.52</v>
      </c>
      <c r="V973">
        <v>146.47999999999999</v>
      </c>
      <c r="W973" s="317">
        <v>3.9</v>
      </c>
      <c r="X973" s="190">
        <f t="shared" si="34"/>
        <v>52.65</v>
      </c>
      <c r="Y973" s="8"/>
      <c r="Z973" s="8"/>
    </row>
    <row r="974" spans="1:26" ht="12.75" customHeight="1" x14ac:dyDescent="0.2">
      <c r="A974" s="15">
        <v>48</v>
      </c>
      <c r="B974" s="15">
        <v>2008</v>
      </c>
      <c r="C974" s="15">
        <v>26</v>
      </c>
      <c r="D974" s="15">
        <v>7</v>
      </c>
      <c r="E974" s="22" t="s">
        <v>179</v>
      </c>
      <c r="F974" s="11" t="s">
        <v>28</v>
      </c>
      <c r="G974" s="11" t="s">
        <v>29</v>
      </c>
      <c r="H974" s="15" t="s">
        <v>29</v>
      </c>
      <c r="I974" s="11" t="s">
        <v>29</v>
      </c>
      <c r="J974" s="11" t="s">
        <v>19</v>
      </c>
      <c r="K974" s="11" t="s">
        <v>20</v>
      </c>
      <c r="L974" s="11" t="s">
        <v>21</v>
      </c>
      <c r="M974" s="11" t="s">
        <v>29</v>
      </c>
      <c r="N974" s="11" t="s">
        <v>28</v>
      </c>
      <c r="O974" s="16" t="s">
        <v>29</v>
      </c>
      <c r="P974" s="15">
        <v>208</v>
      </c>
      <c r="Q974" s="8"/>
      <c r="W974" s="317">
        <v>3.9</v>
      </c>
      <c r="X974" s="190"/>
      <c r="Y974" s="8"/>
      <c r="Z974" s="8"/>
    </row>
    <row r="975" spans="1:26" ht="12.75" customHeight="1" x14ac:dyDescent="0.2">
      <c r="A975" s="15">
        <v>49</v>
      </c>
      <c r="B975" s="15">
        <v>2008</v>
      </c>
      <c r="C975" s="15">
        <v>26</v>
      </c>
      <c r="D975" s="15">
        <v>7</v>
      </c>
      <c r="E975" s="22" t="s">
        <v>179</v>
      </c>
      <c r="F975" s="11" t="s">
        <v>51</v>
      </c>
      <c r="G975" s="11">
        <v>151</v>
      </c>
      <c r="H975" s="15" t="s">
        <v>29</v>
      </c>
      <c r="I975" s="11">
        <v>11.5</v>
      </c>
      <c r="J975" s="11" t="s">
        <v>19</v>
      </c>
      <c r="K975" s="11" t="s">
        <v>20</v>
      </c>
      <c r="L975" s="11" t="s">
        <v>21</v>
      </c>
      <c r="M975" s="11" t="s">
        <v>45</v>
      </c>
      <c r="N975" s="11" t="s">
        <v>39</v>
      </c>
      <c r="O975" s="16" t="s">
        <v>183</v>
      </c>
      <c r="P975" s="15">
        <v>208</v>
      </c>
      <c r="Q975" s="8"/>
      <c r="R975">
        <v>14.09</v>
      </c>
      <c r="S975">
        <v>2796.25</v>
      </c>
      <c r="T975">
        <v>4.1100000000000003</v>
      </c>
      <c r="U975">
        <v>10.119999999999999</v>
      </c>
      <c r="V975">
        <v>140.88</v>
      </c>
      <c r="W975" s="317">
        <v>3.9</v>
      </c>
      <c r="X975" s="190">
        <f t="shared" si="34"/>
        <v>44.85</v>
      </c>
      <c r="Y975" s="8"/>
      <c r="Z975" s="8"/>
    </row>
    <row r="976" spans="1:26" ht="12.75" customHeight="1" x14ac:dyDescent="0.2">
      <c r="A976" s="15">
        <v>50</v>
      </c>
      <c r="B976" s="15">
        <v>2008</v>
      </c>
      <c r="C976" s="15">
        <v>26</v>
      </c>
      <c r="D976" s="15">
        <v>7</v>
      </c>
      <c r="E976" s="22" t="s">
        <v>179</v>
      </c>
      <c r="F976" s="11" t="s">
        <v>51</v>
      </c>
      <c r="G976" s="11">
        <v>154</v>
      </c>
      <c r="H976" s="15" t="s">
        <v>29</v>
      </c>
      <c r="I976" s="11">
        <v>13.5</v>
      </c>
      <c r="J976" s="11" t="s">
        <v>19</v>
      </c>
      <c r="K976" s="11" t="s">
        <v>20</v>
      </c>
      <c r="L976" s="11" t="s">
        <v>21</v>
      </c>
      <c r="M976" s="11" t="s">
        <v>45</v>
      </c>
      <c r="N976" s="11" t="s">
        <v>39</v>
      </c>
      <c r="O976" s="16" t="s">
        <v>29</v>
      </c>
      <c r="P976" s="15">
        <v>208</v>
      </c>
      <c r="Q976" s="8"/>
      <c r="R976">
        <v>14.37</v>
      </c>
      <c r="S976">
        <v>2966.25</v>
      </c>
      <c r="T976">
        <v>4.55</v>
      </c>
      <c r="U976">
        <v>10.32</v>
      </c>
      <c r="V976">
        <v>143.68</v>
      </c>
      <c r="W976" s="317">
        <v>3.9</v>
      </c>
      <c r="X976" s="190">
        <f t="shared" si="34"/>
        <v>52.65</v>
      </c>
      <c r="Y976" s="8"/>
      <c r="Z976" s="8"/>
    </row>
    <row r="977" spans="1:26" ht="12.75" customHeight="1" x14ac:dyDescent="0.2">
      <c r="A977" s="15">
        <v>51</v>
      </c>
      <c r="B977" s="15">
        <v>2008</v>
      </c>
      <c r="C977" s="15">
        <v>26</v>
      </c>
      <c r="D977" s="15">
        <v>7</v>
      </c>
      <c r="E977" s="22" t="s">
        <v>179</v>
      </c>
      <c r="F977" s="11" t="s">
        <v>51</v>
      </c>
      <c r="G977" s="11" t="s">
        <v>29</v>
      </c>
      <c r="H977" s="15" t="s">
        <v>29</v>
      </c>
      <c r="I977" s="11" t="s">
        <v>29</v>
      </c>
      <c r="J977" s="11" t="s">
        <v>19</v>
      </c>
      <c r="K977" s="11" t="s">
        <v>20</v>
      </c>
      <c r="L977" s="11" t="s">
        <v>21</v>
      </c>
      <c r="M977" s="11" t="s">
        <v>45</v>
      </c>
      <c r="N977" s="11" t="s">
        <v>25</v>
      </c>
      <c r="O977" s="16" t="s">
        <v>29</v>
      </c>
      <c r="P977" s="15">
        <v>208</v>
      </c>
      <c r="Q977" s="8"/>
      <c r="W977" s="317">
        <v>3.9</v>
      </c>
      <c r="X977" s="190"/>
      <c r="Y977" s="8"/>
      <c r="Z977" s="8"/>
    </row>
    <row r="978" spans="1:26" ht="12.75" customHeight="1" x14ac:dyDescent="0.2">
      <c r="A978" s="15">
        <v>24</v>
      </c>
      <c r="B978" s="15">
        <v>2008</v>
      </c>
      <c r="C978" s="15">
        <v>24</v>
      </c>
      <c r="D978" s="15">
        <v>7</v>
      </c>
      <c r="E978" s="22" t="s">
        <v>29</v>
      </c>
      <c r="F978" s="11" t="s">
        <v>51</v>
      </c>
      <c r="G978" s="11">
        <v>141</v>
      </c>
      <c r="H978" s="15" t="s">
        <v>29</v>
      </c>
      <c r="I978" s="11">
        <v>13</v>
      </c>
      <c r="J978" s="11" t="s">
        <v>19</v>
      </c>
      <c r="K978" s="11" t="s">
        <v>20</v>
      </c>
      <c r="L978" s="11" t="s">
        <v>30</v>
      </c>
      <c r="M978" s="11" t="s">
        <v>46</v>
      </c>
      <c r="N978" s="11" t="s">
        <v>24</v>
      </c>
      <c r="O978" s="16" t="s">
        <v>29</v>
      </c>
      <c r="P978" s="15">
        <v>206</v>
      </c>
      <c r="Q978" s="8"/>
      <c r="R978">
        <v>13.16</v>
      </c>
      <c r="S978">
        <v>2276.6799999999998</v>
      </c>
      <c r="T978">
        <v>5.71</v>
      </c>
      <c r="U978">
        <v>9.4499999999999993</v>
      </c>
      <c r="V978">
        <v>131.55000000000001</v>
      </c>
      <c r="W978" s="317">
        <v>4.5999999999999996</v>
      </c>
      <c r="X978" s="190">
        <f t="shared" si="34"/>
        <v>59.8</v>
      </c>
      <c r="Y978" s="8"/>
      <c r="Z978" s="8"/>
    </row>
    <row r="979" spans="1:26" ht="12.75" customHeight="1" x14ac:dyDescent="0.2">
      <c r="A979" s="15">
        <v>25</v>
      </c>
      <c r="B979" s="15">
        <v>2008</v>
      </c>
      <c r="C979" s="15">
        <v>24</v>
      </c>
      <c r="D979" s="15">
        <v>7</v>
      </c>
      <c r="E979" s="22" t="s">
        <v>29</v>
      </c>
      <c r="F979" s="11" t="s">
        <v>51</v>
      </c>
      <c r="G979" s="11">
        <v>143</v>
      </c>
      <c r="H979" s="15" t="s">
        <v>29</v>
      </c>
      <c r="I979" s="11">
        <v>10</v>
      </c>
      <c r="J979" s="11" t="s">
        <v>19</v>
      </c>
      <c r="K979" s="11" t="s">
        <v>20</v>
      </c>
      <c r="L979" s="11" t="s">
        <v>30</v>
      </c>
      <c r="M979" s="11" t="s">
        <v>27</v>
      </c>
      <c r="N979" s="11" t="s">
        <v>25</v>
      </c>
      <c r="O979" s="16" t="s">
        <v>184</v>
      </c>
      <c r="P979" s="15">
        <v>206</v>
      </c>
      <c r="Q979" s="8"/>
      <c r="R979">
        <v>13.34</v>
      </c>
      <c r="S979">
        <v>2374.94</v>
      </c>
      <c r="T979">
        <v>4.21</v>
      </c>
      <c r="U979">
        <v>9.58</v>
      </c>
      <c r="V979">
        <v>133.41999999999999</v>
      </c>
      <c r="W979" s="317">
        <v>4.5999999999999996</v>
      </c>
      <c r="X979" s="190">
        <f t="shared" si="34"/>
        <v>46</v>
      </c>
      <c r="Y979" s="8"/>
      <c r="Z979" s="8"/>
    </row>
    <row r="980" spans="1:26" ht="12.75" customHeight="1" x14ac:dyDescent="0.2">
      <c r="A980" s="15">
        <v>26</v>
      </c>
      <c r="B980" s="15">
        <v>2008</v>
      </c>
      <c r="C980" s="15">
        <v>24</v>
      </c>
      <c r="D980" s="15">
        <v>7</v>
      </c>
      <c r="E980" s="22" t="s">
        <v>29</v>
      </c>
      <c r="F980" s="11" t="s">
        <v>51</v>
      </c>
      <c r="G980" s="11" t="s">
        <v>29</v>
      </c>
      <c r="H980" s="15" t="s">
        <v>29</v>
      </c>
      <c r="I980" s="11">
        <v>7</v>
      </c>
      <c r="J980" s="11" t="s">
        <v>19</v>
      </c>
      <c r="K980" s="11" t="s">
        <v>20</v>
      </c>
      <c r="L980" s="11" t="s">
        <v>30</v>
      </c>
      <c r="M980" s="11" t="s">
        <v>45</v>
      </c>
      <c r="N980" s="11" t="s">
        <v>25</v>
      </c>
      <c r="O980" s="16" t="s">
        <v>185</v>
      </c>
      <c r="P980" s="15">
        <v>206</v>
      </c>
      <c r="Q980" s="8"/>
      <c r="W980" s="317">
        <v>4.5999999999999996</v>
      </c>
      <c r="X980" s="190">
        <f t="shared" si="34"/>
        <v>32.199999999999996</v>
      </c>
      <c r="Y980" s="8"/>
      <c r="Z980" s="8"/>
    </row>
    <row r="981" spans="1:26" ht="12.75" customHeight="1" x14ac:dyDescent="0.2">
      <c r="A981" s="15">
        <v>27</v>
      </c>
      <c r="B981" s="15">
        <v>2008</v>
      </c>
      <c r="C981" s="15">
        <v>24</v>
      </c>
      <c r="D981" s="15">
        <v>7</v>
      </c>
      <c r="E981" s="22" t="s">
        <v>29</v>
      </c>
      <c r="F981" s="11" t="s">
        <v>51</v>
      </c>
      <c r="G981" s="11">
        <v>137</v>
      </c>
      <c r="H981" s="15" t="s">
        <v>29</v>
      </c>
      <c r="I981" s="11">
        <v>7.5</v>
      </c>
      <c r="J981" s="11" t="s">
        <v>19</v>
      </c>
      <c r="K981" s="11" t="s">
        <v>20</v>
      </c>
      <c r="L981" s="11" t="s">
        <v>21</v>
      </c>
      <c r="M981" s="11" t="s">
        <v>45</v>
      </c>
      <c r="N981" s="11" t="s">
        <v>25</v>
      </c>
      <c r="O981" s="16" t="s">
        <v>29</v>
      </c>
      <c r="P981" s="15">
        <v>206</v>
      </c>
      <c r="Q981" s="8"/>
      <c r="R981">
        <v>12.78</v>
      </c>
      <c r="S981">
        <v>2088.37</v>
      </c>
      <c r="T981">
        <v>3.59</v>
      </c>
      <c r="U981">
        <v>9.18</v>
      </c>
      <c r="V981">
        <v>127.82</v>
      </c>
      <c r="W981" s="317">
        <v>3.9</v>
      </c>
      <c r="X981" s="190">
        <f t="shared" si="34"/>
        <v>29.25</v>
      </c>
      <c r="Y981" s="8"/>
      <c r="Z981" s="8"/>
    </row>
    <row r="982" spans="1:26" ht="12.75" customHeight="1" x14ac:dyDescent="0.2">
      <c r="A982" s="15">
        <v>28</v>
      </c>
      <c r="B982" s="15">
        <v>2008</v>
      </c>
      <c r="C982" s="15">
        <v>24</v>
      </c>
      <c r="D982" s="15">
        <v>7</v>
      </c>
      <c r="E982" s="22" t="s">
        <v>29</v>
      </c>
      <c r="F982" s="11" t="s">
        <v>51</v>
      </c>
      <c r="G982" s="11" t="s">
        <v>29</v>
      </c>
      <c r="H982" s="15" t="s">
        <v>29</v>
      </c>
      <c r="I982" s="11">
        <v>21</v>
      </c>
      <c r="J982" s="11" t="s">
        <v>19</v>
      </c>
      <c r="K982" s="11" t="s">
        <v>20</v>
      </c>
      <c r="L982" s="11" t="s">
        <v>30</v>
      </c>
      <c r="M982" s="11" t="s">
        <v>45</v>
      </c>
      <c r="N982" s="11" t="s">
        <v>25</v>
      </c>
      <c r="O982" s="16" t="s">
        <v>29</v>
      </c>
      <c r="P982" s="15">
        <v>206</v>
      </c>
      <c r="Q982" s="8"/>
      <c r="W982" s="317">
        <v>4.5999999999999996</v>
      </c>
      <c r="X982" s="190">
        <f t="shared" si="34"/>
        <v>96.6</v>
      </c>
      <c r="Y982" s="8"/>
      <c r="Z982" s="8"/>
    </row>
    <row r="983" spans="1:26" ht="12.75" customHeight="1" x14ac:dyDescent="0.2">
      <c r="A983" s="15">
        <v>29</v>
      </c>
      <c r="B983" s="15">
        <v>2008</v>
      </c>
      <c r="C983" s="15">
        <v>24</v>
      </c>
      <c r="D983" s="15">
        <v>7</v>
      </c>
      <c r="E983" s="22" t="s">
        <v>29</v>
      </c>
      <c r="F983" s="11" t="s">
        <v>28</v>
      </c>
      <c r="G983" s="11" t="s">
        <v>29</v>
      </c>
      <c r="H983" s="15" t="s">
        <v>29</v>
      </c>
      <c r="I983" s="11">
        <v>5</v>
      </c>
      <c r="J983" s="11" t="s">
        <v>19</v>
      </c>
      <c r="K983" s="11" t="s">
        <v>20</v>
      </c>
      <c r="L983" s="11" t="s">
        <v>30</v>
      </c>
      <c r="M983" s="11" t="s">
        <v>45</v>
      </c>
      <c r="N983" s="11" t="s">
        <v>28</v>
      </c>
      <c r="O983" s="16" t="s">
        <v>186</v>
      </c>
      <c r="P983" s="15">
        <v>206</v>
      </c>
      <c r="Q983" s="8"/>
      <c r="W983" s="317">
        <v>4.5999999999999996</v>
      </c>
      <c r="X983" s="190">
        <f t="shared" si="34"/>
        <v>23</v>
      </c>
      <c r="Y983" s="8"/>
      <c r="Z983" s="8"/>
    </row>
    <row r="984" spans="1:26" ht="12.75" customHeight="1" x14ac:dyDescent="0.2">
      <c r="A984" s="15">
        <v>30</v>
      </c>
      <c r="B984" s="15">
        <v>2008</v>
      </c>
      <c r="C984" s="15">
        <v>24</v>
      </c>
      <c r="D984" s="15">
        <v>7</v>
      </c>
      <c r="E984" s="22" t="s">
        <v>29</v>
      </c>
      <c r="F984" s="11" t="s">
        <v>51</v>
      </c>
      <c r="G984" s="11">
        <v>136</v>
      </c>
      <c r="H984" s="15" t="s">
        <v>29</v>
      </c>
      <c r="I984" s="11">
        <v>9.5</v>
      </c>
      <c r="J984" s="11" t="s">
        <v>19</v>
      </c>
      <c r="K984" s="11" t="s">
        <v>20</v>
      </c>
      <c r="L984" s="11" t="s">
        <v>21</v>
      </c>
      <c r="M984" s="11" t="s">
        <v>45</v>
      </c>
      <c r="N984" s="11" t="s">
        <v>23</v>
      </c>
      <c r="O984" s="16" t="s">
        <v>29</v>
      </c>
      <c r="P984" s="15">
        <v>206</v>
      </c>
      <c r="Q984" s="8"/>
      <c r="R984">
        <v>12.69</v>
      </c>
      <c r="S984">
        <v>2042.97</v>
      </c>
      <c r="T984">
        <v>4.6500000000000004</v>
      </c>
      <c r="U984">
        <v>9.11</v>
      </c>
      <c r="V984">
        <v>126.89</v>
      </c>
      <c r="W984" s="317">
        <v>3.9</v>
      </c>
      <c r="X984" s="190">
        <f t="shared" si="34"/>
        <v>37.049999999999997</v>
      </c>
      <c r="Y984" s="8"/>
      <c r="Z984" s="8"/>
    </row>
    <row r="985" spans="1:26" ht="12.75" customHeight="1" x14ac:dyDescent="0.2">
      <c r="A985" s="15">
        <v>31</v>
      </c>
      <c r="B985" s="15">
        <v>2008</v>
      </c>
      <c r="C985" s="15">
        <v>24</v>
      </c>
      <c r="D985" s="15">
        <v>7</v>
      </c>
      <c r="E985" s="22" t="s">
        <v>29</v>
      </c>
      <c r="F985" s="11" t="s">
        <v>51</v>
      </c>
      <c r="G985" s="11">
        <v>139</v>
      </c>
      <c r="H985" s="15" t="s">
        <v>29</v>
      </c>
      <c r="I985" s="11">
        <v>11.5</v>
      </c>
      <c r="J985" s="11" t="s">
        <v>19</v>
      </c>
      <c r="K985" s="11" t="s">
        <v>20</v>
      </c>
      <c r="L985" s="11" t="s">
        <v>30</v>
      </c>
      <c r="M985" s="11" t="s">
        <v>46</v>
      </c>
      <c r="N985" s="11" t="s">
        <v>25</v>
      </c>
      <c r="O985" s="16" t="s">
        <v>187</v>
      </c>
      <c r="P985" s="15">
        <v>206</v>
      </c>
      <c r="Q985" s="8"/>
      <c r="R985">
        <v>12.97</v>
      </c>
      <c r="S985">
        <v>2181.17</v>
      </c>
      <c r="T985">
        <v>5.27</v>
      </c>
      <c r="U985">
        <v>9.31</v>
      </c>
      <c r="V985">
        <v>129.69</v>
      </c>
      <c r="W985" s="317">
        <v>4.5999999999999996</v>
      </c>
      <c r="X985" s="190">
        <f t="shared" si="34"/>
        <v>52.9</v>
      </c>
      <c r="Y985" s="8"/>
      <c r="Z985" s="8"/>
    </row>
    <row r="986" spans="1:26" ht="12.75" customHeight="1" x14ac:dyDescent="0.2">
      <c r="A986" s="15">
        <v>32</v>
      </c>
      <c r="B986" s="15">
        <v>2008</v>
      </c>
      <c r="C986" s="15">
        <v>24</v>
      </c>
      <c r="D986" s="15">
        <v>7</v>
      </c>
      <c r="E986" s="22" t="s">
        <v>29</v>
      </c>
      <c r="F986" s="11" t="s">
        <v>51</v>
      </c>
      <c r="G986" s="11">
        <v>131</v>
      </c>
      <c r="H986" s="15" t="s">
        <v>29</v>
      </c>
      <c r="I986" s="11">
        <v>7.5</v>
      </c>
      <c r="J986" s="11" t="s">
        <v>19</v>
      </c>
      <c r="K986" s="11" t="s">
        <v>20</v>
      </c>
      <c r="L986" s="11" t="s">
        <v>21</v>
      </c>
      <c r="M986" s="11" t="s">
        <v>46</v>
      </c>
      <c r="N986" s="11" t="s">
        <v>25</v>
      </c>
      <c r="O986" s="16" t="s">
        <v>188</v>
      </c>
      <c r="P986" s="15">
        <v>206</v>
      </c>
      <c r="Q986" s="8"/>
      <c r="R986">
        <v>12.22</v>
      </c>
      <c r="S986">
        <v>1825.82</v>
      </c>
      <c r="T986">
        <v>4.1100000000000003</v>
      </c>
      <c r="U986">
        <v>8.7799999999999994</v>
      </c>
      <c r="V986">
        <v>122.22</v>
      </c>
      <c r="W986" s="317">
        <v>3.9</v>
      </c>
      <c r="X986" s="190">
        <f t="shared" si="34"/>
        <v>29.25</v>
      </c>
      <c r="Y986" s="8"/>
      <c r="Z986" s="8"/>
    </row>
    <row r="987" spans="1:26" ht="12.75" customHeight="1" x14ac:dyDescent="0.2">
      <c r="A987" s="15">
        <v>33</v>
      </c>
      <c r="B987" s="15">
        <v>2008</v>
      </c>
      <c r="C987" s="15">
        <v>24</v>
      </c>
      <c r="D987" s="15">
        <v>7</v>
      </c>
      <c r="E987" s="22" t="s">
        <v>29</v>
      </c>
      <c r="F987" s="11" t="s">
        <v>51</v>
      </c>
      <c r="G987" s="11">
        <v>132</v>
      </c>
      <c r="H987" s="15" t="s">
        <v>29</v>
      </c>
      <c r="I987" s="11">
        <v>10</v>
      </c>
      <c r="J987" s="11" t="s">
        <v>19</v>
      </c>
      <c r="K987" s="11" t="s">
        <v>20</v>
      </c>
      <c r="L987" s="11" t="s">
        <v>30</v>
      </c>
      <c r="M987" s="11" t="s">
        <v>45</v>
      </c>
      <c r="N987" s="11" t="s">
        <v>25</v>
      </c>
      <c r="O987" s="16" t="s">
        <v>29</v>
      </c>
      <c r="P987" s="15">
        <v>206</v>
      </c>
      <c r="Q987" s="8"/>
      <c r="R987">
        <v>12.32</v>
      </c>
      <c r="S987">
        <v>1867.96</v>
      </c>
      <c r="T987">
        <v>5.35</v>
      </c>
      <c r="U987">
        <v>8.84</v>
      </c>
      <c r="V987">
        <v>123.16</v>
      </c>
      <c r="W987" s="317">
        <v>4.5999999999999996</v>
      </c>
      <c r="X987" s="190">
        <f t="shared" si="34"/>
        <v>46</v>
      </c>
      <c r="Y987" s="8"/>
      <c r="Z987" s="8"/>
    </row>
    <row r="988" spans="1:26" ht="12.75" customHeight="1" x14ac:dyDescent="0.2">
      <c r="A988" s="15">
        <v>1</v>
      </c>
      <c r="B988" s="15">
        <v>2008</v>
      </c>
      <c r="C988" s="15">
        <v>21</v>
      </c>
      <c r="D988" s="15">
        <v>7</v>
      </c>
      <c r="E988" s="14" t="s">
        <v>189</v>
      </c>
      <c r="F988" s="11" t="s">
        <v>51</v>
      </c>
      <c r="G988" s="11">
        <v>158</v>
      </c>
      <c r="H988" s="15" t="s">
        <v>29</v>
      </c>
      <c r="I988" s="11">
        <v>20</v>
      </c>
      <c r="J988" s="11" t="s">
        <v>19</v>
      </c>
      <c r="K988" s="11" t="s">
        <v>20</v>
      </c>
      <c r="L988" s="11" t="s">
        <v>30</v>
      </c>
      <c r="M988" s="11" t="s">
        <v>46</v>
      </c>
      <c r="N988" s="11" t="s">
        <v>24</v>
      </c>
      <c r="O988" s="16" t="s">
        <v>29</v>
      </c>
      <c r="P988" s="15">
        <v>203</v>
      </c>
      <c r="Q988" s="8"/>
      <c r="R988">
        <v>14.74</v>
      </c>
      <c r="S988">
        <v>3203.44</v>
      </c>
      <c r="T988">
        <v>6.24</v>
      </c>
      <c r="U988">
        <v>10.59</v>
      </c>
      <c r="V988">
        <v>147.41</v>
      </c>
      <c r="W988" s="317">
        <v>4.5999999999999996</v>
      </c>
      <c r="X988" s="190">
        <f t="shared" si="34"/>
        <v>92</v>
      </c>
      <c r="Y988" s="8"/>
      <c r="Z988" s="8"/>
    </row>
    <row r="989" spans="1:26" ht="12.75" customHeight="1" x14ac:dyDescent="0.2">
      <c r="A989" s="15">
        <v>2</v>
      </c>
      <c r="B989" s="15">
        <v>2008</v>
      </c>
      <c r="C989" s="15">
        <v>21</v>
      </c>
      <c r="D989" s="15">
        <v>7</v>
      </c>
      <c r="E989" s="14" t="s">
        <v>189</v>
      </c>
      <c r="F989" s="11" t="s">
        <v>51</v>
      </c>
      <c r="G989" s="11">
        <v>151</v>
      </c>
      <c r="H989" s="15" t="s">
        <v>29</v>
      </c>
      <c r="I989" s="11">
        <v>11.5</v>
      </c>
      <c r="J989" s="11" t="s">
        <v>19</v>
      </c>
      <c r="K989" s="11" t="s">
        <v>20</v>
      </c>
      <c r="L989" s="11" t="s">
        <v>21</v>
      </c>
      <c r="M989" s="11" t="s">
        <v>27</v>
      </c>
      <c r="N989" s="11" t="s">
        <v>25</v>
      </c>
      <c r="O989" s="16" t="s">
        <v>29</v>
      </c>
      <c r="P989" s="15">
        <v>203</v>
      </c>
      <c r="Q989" s="8"/>
      <c r="R989">
        <v>14.09</v>
      </c>
      <c r="S989">
        <v>2796.25</v>
      </c>
      <c r="T989">
        <v>4.1100000000000003</v>
      </c>
      <c r="U989">
        <v>10.119999999999999</v>
      </c>
      <c r="V989">
        <v>140.88</v>
      </c>
      <c r="W989" s="317">
        <v>3.9</v>
      </c>
      <c r="X989" s="190">
        <f t="shared" si="34"/>
        <v>44.85</v>
      </c>
      <c r="Y989" s="8"/>
      <c r="Z989" s="8"/>
    </row>
    <row r="990" spans="1:26" ht="12.75" customHeight="1" x14ac:dyDescent="0.2">
      <c r="A990" s="15">
        <v>3</v>
      </c>
      <c r="B990" s="15">
        <v>2008</v>
      </c>
      <c r="C990" s="15">
        <v>21</v>
      </c>
      <c r="D990" s="15">
        <v>7</v>
      </c>
      <c r="E990" s="14" t="s">
        <v>189</v>
      </c>
      <c r="F990" s="11" t="s">
        <v>51</v>
      </c>
      <c r="G990" s="11">
        <v>150</v>
      </c>
      <c r="H990" s="15" t="s">
        <v>29</v>
      </c>
      <c r="I990" s="11">
        <v>11</v>
      </c>
      <c r="J990" s="11" t="s">
        <v>19</v>
      </c>
      <c r="K990" s="11" t="s">
        <v>20</v>
      </c>
      <c r="L990" s="11" t="s">
        <v>30</v>
      </c>
      <c r="M990" s="11" t="s">
        <v>46</v>
      </c>
      <c r="N990" s="11" t="s">
        <v>23</v>
      </c>
      <c r="O990" s="16" t="s">
        <v>29</v>
      </c>
      <c r="P990" s="15">
        <v>203</v>
      </c>
      <c r="Q990" s="8"/>
      <c r="R990">
        <v>14</v>
      </c>
      <c r="S990">
        <v>2741.06</v>
      </c>
      <c r="T990">
        <v>4.01</v>
      </c>
      <c r="U990">
        <v>10.050000000000001</v>
      </c>
      <c r="V990">
        <v>139.94999999999999</v>
      </c>
      <c r="W990" s="317">
        <v>4.5999999999999996</v>
      </c>
      <c r="X990" s="190">
        <f t="shared" si="34"/>
        <v>50.599999999999994</v>
      </c>
      <c r="Y990" s="8"/>
      <c r="Z990" s="8"/>
    </row>
    <row r="991" spans="1:26" ht="12.75" customHeight="1" x14ac:dyDescent="0.2">
      <c r="A991" s="15">
        <v>4</v>
      </c>
      <c r="B991" s="15">
        <v>2008</v>
      </c>
      <c r="C991" s="15">
        <v>21</v>
      </c>
      <c r="D991" s="15">
        <v>7</v>
      </c>
      <c r="E991" s="14" t="s">
        <v>189</v>
      </c>
      <c r="F991" s="11" t="s">
        <v>51</v>
      </c>
      <c r="G991" s="11">
        <v>145</v>
      </c>
      <c r="H991" s="15" t="s">
        <v>29</v>
      </c>
      <c r="I991" s="11">
        <v>14</v>
      </c>
      <c r="J991" s="11" t="s">
        <v>19</v>
      </c>
      <c r="K991" s="11" t="s">
        <v>20</v>
      </c>
      <c r="L991" s="11" t="s">
        <v>30</v>
      </c>
      <c r="M991" s="11" t="s">
        <v>45</v>
      </c>
      <c r="N991" s="11" t="s">
        <v>24</v>
      </c>
      <c r="O991" s="16" t="s">
        <v>29</v>
      </c>
      <c r="P991" s="15">
        <v>203</v>
      </c>
      <c r="Q991" s="8"/>
      <c r="R991">
        <v>13.53</v>
      </c>
      <c r="S991">
        <v>2475.9899999999998</v>
      </c>
      <c r="T991">
        <v>5.65</v>
      </c>
      <c r="U991">
        <v>9.7200000000000006</v>
      </c>
      <c r="V991">
        <v>135.29</v>
      </c>
      <c r="W991" s="317">
        <v>4.5999999999999996</v>
      </c>
      <c r="X991" s="190">
        <f t="shared" si="34"/>
        <v>64.399999999999991</v>
      </c>
      <c r="Y991" s="8"/>
      <c r="Z991" s="8"/>
    </row>
    <row r="992" spans="1:26" ht="12.75" customHeight="1" x14ac:dyDescent="0.2">
      <c r="A992" s="15">
        <v>5</v>
      </c>
      <c r="B992" s="15">
        <v>2008</v>
      </c>
      <c r="C992" s="15">
        <v>21</v>
      </c>
      <c r="D992" s="15">
        <v>7</v>
      </c>
      <c r="E992" s="14" t="s">
        <v>189</v>
      </c>
      <c r="F992" s="11" t="s">
        <v>51</v>
      </c>
      <c r="G992" s="11">
        <v>135</v>
      </c>
      <c r="H992" s="15" t="s">
        <v>29</v>
      </c>
      <c r="I992" s="11">
        <v>9.5</v>
      </c>
      <c r="J992" s="11" t="s">
        <v>19</v>
      </c>
      <c r="K992" s="11" t="s">
        <v>20</v>
      </c>
      <c r="L992" s="11" t="s">
        <v>30</v>
      </c>
      <c r="M992" s="11" t="s">
        <v>46</v>
      </c>
      <c r="N992" s="11" t="s">
        <v>25</v>
      </c>
      <c r="O992" s="16" t="s">
        <v>29</v>
      </c>
      <c r="P992" s="15">
        <v>203</v>
      </c>
      <c r="Q992" s="8"/>
      <c r="R992">
        <v>12.6</v>
      </c>
      <c r="S992">
        <v>1998.23</v>
      </c>
      <c r="T992">
        <v>4.75</v>
      </c>
      <c r="U992">
        <v>9.0500000000000007</v>
      </c>
      <c r="V992">
        <v>125.96</v>
      </c>
      <c r="W992" s="317">
        <v>4.5999999999999996</v>
      </c>
      <c r="X992" s="190">
        <f t="shared" si="34"/>
        <v>43.699999999999996</v>
      </c>
      <c r="Y992" s="8"/>
      <c r="Z992" s="8"/>
    </row>
    <row r="993" spans="1:26" ht="12.75" customHeight="1" x14ac:dyDescent="0.2">
      <c r="A993" s="15">
        <v>6</v>
      </c>
      <c r="B993" s="15">
        <v>2008</v>
      </c>
      <c r="C993" s="15">
        <v>21</v>
      </c>
      <c r="D993" s="15">
        <v>7</v>
      </c>
      <c r="E993" s="14" t="s">
        <v>189</v>
      </c>
      <c r="F993" s="11" t="s">
        <v>28</v>
      </c>
      <c r="G993" s="11" t="s">
        <v>29</v>
      </c>
      <c r="H993" s="15" t="s">
        <v>29</v>
      </c>
      <c r="I993" s="11" t="s">
        <v>29</v>
      </c>
      <c r="J993" s="11" t="s">
        <v>19</v>
      </c>
      <c r="K993" s="11" t="s">
        <v>20</v>
      </c>
      <c r="L993" s="11" t="s">
        <v>30</v>
      </c>
      <c r="M993" s="11" t="s">
        <v>27</v>
      </c>
      <c r="N993" s="11" t="s">
        <v>25</v>
      </c>
      <c r="O993" s="16" t="s">
        <v>29</v>
      </c>
      <c r="P993" s="15">
        <v>203</v>
      </c>
      <c r="Q993" s="8"/>
      <c r="W993" s="317">
        <v>4.5999999999999996</v>
      </c>
      <c r="X993" s="190"/>
      <c r="Y993" s="8"/>
      <c r="Z993" s="8"/>
    </row>
    <row r="994" spans="1:26" ht="12.75" customHeight="1" x14ac:dyDescent="0.2">
      <c r="A994" s="15">
        <v>7</v>
      </c>
      <c r="B994" s="15">
        <v>2008</v>
      </c>
      <c r="C994" s="15">
        <v>21</v>
      </c>
      <c r="D994" s="15">
        <v>7</v>
      </c>
      <c r="E994" s="14" t="s">
        <v>189</v>
      </c>
      <c r="F994" s="11" t="s">
        <v>51</v>
      </c>
      <c r="G994" s="11">
        <v>143</v>
      </c>
      <c r="H994" s="15" t="s">
        <v>29</v>
      </c>
      <c r="I994" s="11">
        <v>14.5</v>
      </c>
      <c r="J994" s="11" t="s">
        <v>19</v>
      </c>
      <c r="K994" s="11" t="s">
        <v>20</v>
      </c>
      <c r="L994" s="11" t="s">
        <v>30</v>
      </c>
      <c r="M994" s="11" t="s">
        <v>45</v>
      </c>
      <c r="N994" s="11" t="s">
        <v>24</v>
      </c>
      <c r="O994" s="16" t="s">
        <v>29</v>
      </c>
      <c r="P994" s="15">
        <v>203</v>
      </c>
      <c r="Q994" s="8"/>
      <c r="R994">
        <v>13.34</v>
      </c>
      <c r="S994">
        <v>2374.94</v>
      </c>
      <c r="T994">
        <v>6.11</v>
      </c>
      <c r="U994">
        <v>9.58</v>
      </c>
      <c r="V994">
        <v>133.41999999999999</v>
      </c>
      <c r="W994" s="317">
        <v>4.5999999999999996</v>
      </c>
      <c r="X994" s="190">
        <f t="shared" si="34"/>
        <v>66.699999999999989</v>
      </c>
      <c r="Y994" s="8"/>
      <c r="Z994" s="8"/>
    </row>
    <row r="995" spans="1:26" ht="12.75" customHeight="1" x14ac:dyDescent="0.2">
      <c r="A995" s="15">
        <v>8</v>
      </c>
      <c r="B995" s="15">
        <v>2008</v>
      </c>
      <c r="C995" s="15">
        <v>21</v>
      </c>
      <c r="D995" s="15">
        <v>7</v>
      </c>
      <c r="E995" s="14" t="s">
        <v>189</v>
      </c>
      <c r="F995" s="11" t="s">
        <v>51</v>
      </c>
      <c r="G995" s="11">
        <v>124</v>
      </c>
      <c r="H995" s="15" t="s">
        <v>29</v>
      </c>
      <c r="I995" s="11">
        <v>9.5</v>
      </c>
      <c r="J995" s="11" t="s">
        <v>19</v>
      </c>
      <c r="K995" s="11" t="s">
        <v>20</v>
      </c>
      <c r="L995" s="11" t="s">
        <v>30</v>
      </c>
      <c r="M995" s="11" t="s">
        <v>46</v>
      </c>
      <c r="N995" s="11" t="s">
        <v>25</v>
      </c>
      <c r="O995" s="16" t="s">
        <v>190</v>
      </c>
      <c r="P995" s="15">
        <v>203</v>
      </c>
      <c r="Q995" s="8"/>
      <c r="R995">
        <v>11.57</v>
      </c>
      <c r="S995">
        <v>1548.5</v>
      </c>
      <c r="T995">
        <v>6.13</v>
      </c>
      <c r="U995">
        <v>8.31</v>
      </c>
      <c r="V995">
        <v>115.69</v>
      </c>
      <c r="W995" s="317">
        <v>4.5999999999999996</v>
      </c>
      <c r="X995" s="190">
        <f t="shared" si="34"/>
        <v>43.699999999999996</v>
      </c>
      <c r="Y995" s="8"/>
      <c r="Z995" s="8"/>
    </row>
    <row r="996" spans="1:26" ht="12.75" customHeight="1" x14ac:dyDescent="0.2">
      <c r="A996" s="15">
        <v>9</v>
      </c>
      <c r="B996" s="15">
        <v>2008</v>
      </c>
      <c r="C996" s="15">
        <v>21</v>
      </c>
      <c r="D996" s="15">
        <v>7</v>
      </c>
      <c r="E996" s="14" t="s">
        <v>189</v>
      </c>
      <c r="F996" s="11" t="s">
        <v>51</v>
      </c>
      <c r="G996" s="11">
        <v>148</v>
      </c>
      <c r="H996" s="15" t="s">
        <v>29</v>
      </c>
      <c r="I996" s="11">
        <v>18</v>
      </c>
      <c r="J996" s="11" t="s">
        <v>19</v>
      </c>
      <c r="K996" s="11" t="s">
        <v>20</v>
      </c>
      <c r="L996" s="11" t="s">
        <v>30</v>
      </c>
      <c r="M996" s="11" t="s">
        <v>45</v>
      </c>
      <c r="N996" s="11" t="s">
        <v>24</v>
      </c>
      <c r="O996" s="16" t="s">
        <v>191</v>
      </c>
      <c r="P996" s="15">
        <v>203</v>
      </c>
      <c r="Q996" s="8"/>
      <c r="R996">
        <v>13.81</v>
      </c>
      <c r="S996">
        <v>2632.87</v>
      </c>
      <c r="T996">
        <v>6.84</v>
      </c>
      <c r="U996">
        <v>9.92</v>
      </c>
      <c r="V996">
        <v>138.08000000000001</v>
      </c>
      <c r="W996" s="317">
        <v>4.5999999999999996</v>
      </c>
      <c r="X996" s="190">
        <f t="shared" si="34"/>
        <v>82.8</v>
      </c>
      <c r="Y996" s="8"/>
      <c r="Z996" s="8"/>
    </row>
    <row r="997" spans="1:26" ht="12.75" customHeight="1" x14ac:dyDescent="0.2">
      <c r="A997" s="15">
        <v>10</v>
      </c>
      <c r="B997" s="15">
        <v>2008</v>
      </c>
      <c r="C997" s="15">
        <v>21</v>
      </c>
      <c r="D997" s="15">
        <v>7</v>
      </c>
      <c r="E997" s="14" t="s">
        <v>189</v>
      </c>
      <c r="F997" s="11" t="s">
        <v>51</v>
      </c>
      <c r="G997" s="11">
        <v>155</v>
      </c>
      <c r="H997" s="15" t="s">
        <v>29</v>
      </c>
      <c r="I997" s="11">
        <v>21</v>
      </c>
      <c r="J997" s="11" t="s">
        <v>19</v>
      </c>
      <c r="K997" s="11" t="s">
        <v>20</v>
      </c>
      <c r="L997" s="11" t="s">
        <v>30</v>
      </c>
      <c r="M997" s="11" t="s">
        <v>27</v>
      </c>
      <c r="N997" s="11" t="s">
        <v>25</v>
      </c>
      <c r="O997" s="16" t="s">
        <v>192</v>
      </c>
      <c r="P997" s="15">
        <v>203</v>
      </c>
      <c r="Q997" s="8"/>
      <c r="R997">
        <v>14.46</v>
      </c>
      <c r="S997">
        <v>3024.41</v>
      </c>
      <c r="T997">
        <v>6.94</v>
      </c>
      <c r="U997">
        <v>10.39</v>
      </c>
      <c r="V997">
        <v>144.62</v>
      </c>
      <c r="W997" s="317">
        <v>4.5999999999999996</v>
      </c>
      <c r="X997" s="190">
        <f t="shared" si="34"/>
        <v>96.6</v>
      </c>
      <c r="Y997" s="8"/>
      <c r="Z997" s="8"/>
    </row>
    <row r="998" spans="1:26" ht="12.75" customHeight="1" x14ac:dyDescent="0.2">
      <c r="A998" s="15">
        <v>11</v>
      </c>
      <c r="B998" s="15">
        <v>2008</v>
      </c>
      <c r="C998" s="15">
        <v>21</v>
      </c>
      <c r="D998" s="15">
        <v>7</v>
      </c>
      <c r="E998" s="14" t="s">
        <v>189</v>
      </c>
      <c r="F998" s="11" t="s">
        <v>51</v>
      </c>
      <c r="G998" s="11">
        <v>129</v>
      </c>
      <c r="H998" s="15" t="s">
        <v>29</v>
      </c>
      <c r="I998" s="11">
        <v>10</v>
      </c>
      <c r="J998" s="11" t="s">
        <v>19</v>
      </c>
      <c r="K998" s="11" t="s">
        <v>20</v>
      </c>
      <c r="L998" s="11" t="s">
        <v>30</v>
      </c>
      <c r="M998" s="11" t="s">
        <v>27</v>
      </c>
      <c r="N998" s="11" t="s">
        <v>25</v>
      </c>
      <c r="O998" s="16" t="s">
        <v>193</v>
      </c>
      <c r="P998" s="15">
        <v>203</v>
      </c>
      <c r="Q998" s="8"/>
      <c r="R998">
        <v>12.04</v>
      </c>
      <c r="S998">
        <v>1743.47</v>
      </c>
      <c r="T998">
        <v>5.74</v>
      </c>
      <c r="U998">
        <v>8.64</v>
      </c>
      <c r="V998">
        <v>120.36</v>
      </c>
      <c r="W998" s="317">
        <v>4.5999999999999996</v>
      </c>
      <c r="X998" s="190">
        <f t="shared" si="34"/>
        <v>46</v>
      </c>
      <c r="Y998" s="8"/>
      <c r="Z998" s="8"/>
    </row>
    <row r="999" spans="1:26" ht="12.75" customHeight="1" x14ac:dyDescent="0.2">
      <c r="A999" s="15">
        <v>12</v>
      </c>
      <c r="B999" s="15">
        <v>2008</v>
      </c>
      <c r="C999" s="15">
        <v>21</v>
      </c>
      <c r="D999" s="15">
        <v>7</v>
      </c>
      <c r="E999" s="14" t="s">
        <v>189</v>
      </c>
      <c r="F999" s="11" t="s">
        <v>51</v>
      </c>
      <c r="G999" s="11">
        <v>153</v>
      </c>
      <c r="H999" s="15" t="s">
        <v>29</v>
      </c>
      <c r="I999" s="11">
        <v>17</v>
      </c>
      <c r="J999" s="11" t="s">
        <v>19</v>
      </c>
      <c r="K999" s="11" t="s">
        <v>20</v>
      </c>
      <c r="L999" s="11" t="s">
        <v>30</v>
      </c>
      <c r="M999" s="11" t="s">
        <v>27</v>
      </c>
      <c r="N999" s="11" t="s">
        <v>25</v>
      </c>
      <c r="O999" s="16" t="s">
        <v>29</v>
      </c>
      <c r="P999" s="15">
        <v>203</v>
      </c>
      <c r="Q999" s="8"/>
      <c r="R999">
        <v>14.27</v>
      </c>
      <c r="S999">
        <v>2908.84</v>
      </c>
      <c r="T999">
        <v>5.84</v>
      </c>
      <c r="U999">
        <v>10.25</v>
      </c>
      <c r="V999">
        <v>142.75</v>
      </c>
      <c r="W999" s="317">
        <v>4.5999999999999996</v>
      </c>
      <c r="X999" s="190">
        <f t="shared" si="34"/>
        <v>78.199999999999989</v>
      </c>
      <c r="Y999" s="8"/>
      <c r="Z999" s="8"/>
    </row>
    <row r="1000" spans="1:26" ht="12.75" customHeight="1" x14ac:dyDescent="0.2">
      <c r="A1000" s="15">
        <v>13</v>
      </c>
      <c r="B1000" s="15">
        <v>2008</v>
      </c>
      <c r="C1000" s="15">
        <v>21</v>
      </c>
      <c r="D1000" s="15">
        <v>7</v>
      </c>
      <c r="E1000" s="14" t="s">
        <v>189</v>
      </c>
      <c r="F1000" s="11" t="s">
        <v>51</v>
      </c>
      <c r="G1000" s="11">
        <v>134</v>
      </c>
      <c r="H1000" s="15" t="s">
        <v>29</v>
      </c>
      <c r="I1000" s="11">
        <v>13</v>
      </c>
      <c r="J1000" s="11" t="s">
        <v>19</v>
      </c>
      <c r="K1000" s="11" t="s">
        <v>20</v>
      </c>
      <c r="L1000" s="11" t="s">
        <v>30</v>
      </c>
      <c r="M1000" s="11" t="s">
        <v>45</v>
      </c>
      <c r="N1000" s="11" t="s">
        <v>23</v>
      </c>
      <c r="O1000" s="16" t="s">
        <v>194</v>
      </c>
      <c r="P1000" s="15">
        <v>203</v>
      </c>
      <c r="Q1000" s="8"/>
      <c r="R1000">
        <v>12.5</v>
      </c>
      <c r="S1000">
        <v>1954.16</v>
      </c>
      <c r="T1000">
        <v>6.65</v>
      </c>
      <c r="U1000">
        <v>8.98</v>
      </c>
      <c r="V1000">
        <v>125.02</v>
      </c>
      <c r="W1000" s="317">
        <v>4.5999999999999996</v>
      </c>
      <c r="X1000" s="190">
        <f t="shared" si="34"/>
        <v>59.8</v>
      </c>
      <c r="Y1000" s="8"/>
      <c r="Z1000" s="8"/>
    </row>
    <row r="1001" spans="1:26" ht="12.75" customHeight="1" x14ac:dyDescent="0.2">
      <c r="A1001" s="15">
        <v>14</v>
      </c>
      <c r="B1001" s="15">
        <v>2008</v>
      </c>
      <c r="C1001" s="15">
        <v>21</v>
      </c>
      <c r="D1001" s="15">
        <v>7</v>
      </c>
      <c r="E1001" s="14" t="s">
        <v>189</v>
      </c>
      <c r="F1001" s="11" t="s">
        <v>51</v>
      </c>
      <c r="G1001" s="11">
        <v>158</v>
      </c>
      <c r="H1001" s="15" t="s">
        <v>29</v>
      </c>
      <c r="I1001" s="11">
        <v>20</v>
      </c>
      <c r="J1001" s="11" t="s">
        <v>19</v>
      </c>
      <c r="K1001" s="11" t="s">
        <v>20</v>
      </c>
      <c r="L1001" s="11" t="s">
        <v>30</v>
      </c>
      <c r="M1001" s="11" t="s">
        <v>46</v>
      </c>
      <c r="N1001" s="11" t="s">
        <v>23</v>
      </c>
      <c r="O1001" s="16" t="s">
        <v>195</v>
      </c>
      <c r="P1001" s="15">
        <v>203</v>
      </c>
      <c r="Q1001" s="8"/>
      <c r="R1001">
        <v>14.74</v>
      </c>
      <c r="S1001">
        <v>3203.44</v>
      </c>
      <c r="T1001">
        <v>6.24</v>
      </c>
      <c r="U1001">
        <v>10.59</v>
      </c>
      <c r="V1001">
        <v>147.41</v>
      </c>
      <c r="W1001" s="317">
        <v>4.5999999999999996</v>
      </c>
      <c r="X1001" s="190">
        <f t="shared" si="34"/>
        <v>92</v>
      </c>
      <c r="Y1001" s="8"/>
      <c r="Z1001" s="8"/>
    </row>
    <row r="1002" spans="1:26" ht="12.75" customHeight="1" x14ac:dyDescent="0.2">
      <c r="A1002" s="15">
        <v>15</v>
      </c>
      <c r="B1002" s="15">
        <v>2008</v>
      </c>
      <c r="C1002" s="15">
        <v>21</v>
      </c>
      <c r="D1002" s="15">
        <v>7</v>
      </c>
      <c r="E1002" s="14" t="s">
        <v>189</v>
      </c>
      <c r="F1002" s="11" t="s">
        <v>51</v>
      </c>
      <c r="G1002" s="11">
        <v>144</v>
      </c>
      <c r="H1002" s="15" t="s">
        <v>29</v>
      </c>
      <c r="I1002" s="11">
        <v>15</v>
      </c>
      <c r="J1002" s="11" t="s">
        <v>19</v>
      </c>
      <c r="K1002" s="11" t="s">
        <v>20</v>
      </c>
      <c r="L1002" s="11" t="s">
        <v>30</v>
      </c>
      <c r="M1002" s="11" t="s">
        <v>46</v>
      </c>
      <c r="N1002" s="11" t="s">
        <v>23</v>
      </c>
      <c r="O1002" s="16" t="s">
        <v>29</v>
      </c>
      <c r="P1002" s="15">
        <v>203</v>
      </c>
      <c r="Q1002" s="8"/>
      <c r="R1002">
        <v>13.44</v>
      </c>
      <c r="S1002">
        <v>2425.12</v>
      </c>
      <c r="T1002">
        <v>6.19</v>
      </c>
      <c r="U1002">
        <v>9.65</v>
      </c>
      <c r="V1002">
        <v>134.35</v>
      </c>
      <c r="W1002" s="317">
        <v>4.5999999999999996</v>
      </c>
      <c r="X1002" s="190">
        <f t="shared" si="34"/>
        <v>69</v>
      </c>
      <c r="Y1002" s="8"/>
      <c r="Z1002" s="8"/>
    </row>
    <row r="1003" spans="1:26" ht="12.75" customHeight="1" x14ac:dyDescent="0.2">
      <c r="A1003" s="15">
        <v>16</v>
      </c>
      <c r="B1003" s="15">
        <v>2008</v>
      </c>
      <c r="C1003" s="15">
        <v>21</v>
      </c>
      <c r="D1003" s="15">
        <v>7</v>
      </c>
      <c r="E1003" s="14" t="s">
        <v>189</v>
      </c>
      <c r="F1003" s="11" t="s">
        <v>51</v>
      </c>
      <c r="G1003" s="11">
        <v>130</v>
      </c>
      <c r="H1003" s="15" t="s">
        <v>29</v>
      </c>
      <c r="I1003" s="11">
        <v>9</v>
      </c>
      <c r="J1003" s="11" t="s">
        <v>19</v>
      </c>
      <c r="K1003" s="11" t="s">
        <v>20</v>
      </c>
      <c r="L1003" s="11" t="s">
        <v>30</v>
      </c>
      <c r="M1003" s="11" t="s">
        <v>46</v>
      </c>
      <c r="N1003" s="11" t="s">
        <v>23</v>
      </c>
      <c r="O1003" s="16" t="s">
        <v>29</v>
      </c>
      <c r="P1003" s="15">
        <v>203</v>
      </c>
      <c r="Q1003" s="8"/>
      <c r="R1003">
        <v>12.13</v>
      </c>
      <c r="S1003">
        <v>1784.33</v>
      </c>
      <c r="T1003">
        <v>5.04</v>
      </c>
      <c r="U1003">
        <v>8.7100000000000009</v>
      </c>
      <c r="V1003">
        <v>121.29</v>
      </c>
      <c r="W1003" s="317">
        <v>4.5999999999999996</v>
      </c>
      <c r="X1003" s="190">
        <f t="shared" si="34"/>
        <v>41.4</v>
      </c>
      <c r="Y1003" s="8"/>
      <c r="Z1003" s="8"/>
    </row>
    <row r="1004" spans="1:26" ht="12.75" customHeight="1" x14ac:dyDescent="0.2">
      <c r="A1004" s="15">
        <v>17</v>
      </c>
      <c r="B1004" s="15">
        <v>2008</v>
      </c>
      <c r="C1004" s="15">
        <v>21</v>
      </c>
      <c r="D1004" s="15">
        <v>7</v>
      </c>
      <c r="E1004" s="14" t="s">
        <v>189</v>
      </c>
      <c r="F1004" s="11" t="s">
        <v>51</v>
      </c>
      <c r="G1004" s="11">
        <v>135</v>
      </c>
      <c r="H1004" s="15" t="s">
        <v>29</v>
      </c>
      <c r="I1004" s="11">
        <v>13.5</v>
      </c>
      <c r="J1004" s="11" t="s">
        <v>19</v>
      </c>
      <c r="K1004" s="11" t="s">
        <v>20</v>
      </c>
      <c r="L1004" s="11" t="s">
        <v>30</v>
      </c>
      <c r="M1004" s="11" t="s">
        <v>46</v>
      </c>
      <c r="N1004" s="11" t="s">
        <v>23</v>
      </c>
      <c r="O1004" s="16" t="s">
        <v>29</v>
      </c>
      <c r="P1004" s="15">
        <v>203</v>
      </c>
      <c r="Q1004" s="8"/>
      <c r="R1004">
        <v>12.6</v>
      </c>
      <c r="S1004">
        <v>1998.23</v>
      </c>
      <c r="T1004">
        <v>6.76</v>
      </c>
      <c r="U1004">
        <v>9.0500000000000007</v>
      </c>
      <c r="V1004">
        <v>125.96</v>
      </c>
      <c r="W1004" s="317">
        <v>4.5999999999999996</v>
      </c>
      <c r="X1004" s="190">
        <f t="shared" si="34"/>
        <v>62.099999999999994</v>
      </c>
      <c r="Y1004" s="8"/>
      <c r="Z1004" s="8"/>
    </row>
    <row r="1005" spans="1:26" ht="12.75" customHeight="1" x14ac:dyDescent="0.2">
      <c r="A1005" s="15">
        <v>18</v>
      </c>
      <c r="B1005" s="15">
        <v>2008</v>
      </c>
      <c r="C1005" s="15">
        <v>21</v>
      </c>
      <c r="D1005" s="15">
        <v>7</v>
      </c>
      <c r="E1005" s="14" t="s">
        <v>189</v>
      </c>
      <c r="F1005" s="11" t="s">
        <v>51</v>
      </c>
      <c r="G1005" s="11">
        <v>145</v>
      </c>
      <c r="H1005" s="15" t="s">
        <v>29</v>
      </c>
      <c r="I1005" s="11">
        <v>11.5</v>
      </c>
      <c r="J1005" s="11" t="s">
        <v>19</v>
      </c>
      <c r="K1005" s="11" t="s">
        <v>20</v>
      </c>
      <c r="L1005" s="11" t="s">
        <v>21</v>
      </c>
      <c r="M1005" s="11" t="s">
        <v>46</v>
      </c>
      <c r="N1005" s="11" t="s">
        <v>23</v>
      </c>
      <c r="O1005" s="16" t="s">
        <v>29</v>
      </c>
      <c r="P1005" s="15">
        <v>203</v>
      </c>
      <c r="Q1005" s="8"/>
      <c r="R1005">
        <v>13.53</v>
      </c>
      <c r="S1005">
        <v>2475.9899999999998</v>
      </c>
      <c r="T1005">
        <v>4.6399999999999997</v>
      </c>
      <c r="U1005">
        <v>9.7200000000000006</v>
      </c>
      <c r="V1005">
        <v>135.29</v>
      </c>
      <c r="W1005" s="317">
        <v>3.9</v>
      </c>
      <c r="X1005" s="190">
        <f t="shared" si="34"/>
        <v>44.85</v>
      </c>
      <c r="Y1005" s="8"/>
      <c r="Z1005" s="8"/>
    </row>
    <row r="1006" spans="1:26" ht="12.75" customHeight="1" x14ac:dyDescent="0.2">
      <c r="A1006" s="15">
        <v>19</v>
      </c>
      <c r="B1006" s="15">
        <v>2008</v>
      </c>
      <c r="C1006" s="15">
        <v>21</v>
      </c>
      <c r="D1006" s="15">
        <v>7</v>
      </c>
      <c r="E1006" s="14" t="s">
        <v>189</v>
      </c>
      <c r="F1006" s="11" t="s">
        <v>51</v>
      </c>
      <c r="G1006" s="11">
        <v>135</v>
      </c>
      <c r="H1006" s="15" t="s">
        <v>29</v>
      </c>
      <c r="I1006" s="11">
        <v>13</v>
      </c>
      <c r="J1006" s="11" t="s">
        <v>19</v>
      </c>
      <c r="K1006" s="11" t="s">
        <v>20</v>
      </c>
      <c r="L1006" s="11" t="s">
        <v>30</v>
      </c>
      <c r="M1006" s="11" t="s">
        <v>46</v>
      </c>
      <c r="N1006" s="11" t="s">
        <v>23</v>
      </c>
      <c r="O1006" s="16" t="s">
        <v>196</v>
      </c>
      <c r="P1006" s="15">
        <v>203</v>
      </c>
      <c r="Q1006" s="8"/>
      <c r="R1006">
        <v>12.6</v>
      </c>
      <c r="S1006">
        <v>1998.23</v>
      </c>
      <c r="T1006">
        <v>6.51</v>
      </c>
      <c r="U1006">
        <v>9.0500000000000007</v>
      </c>
      <c r="V1006">
        <v>125.96</v>
      </c>
      <c r="W1006" s="317">
        <v>4.5999999999999996</v>
      </c>
      <c r="X1006" s="190">
        <f t="shared" si="34"/>
        <v>59.8</v>
      </c>
      <c r="Y1006" s="8"/>
      <c r="Z1006" s="8"/>
    </row>
    <row r="1007" spans="1:26" ht="12.75" customHeight="1" x14ac:dyDescent="0.2">
      <c r="A1007" s="15">
        <v>20</v>
      </c>
      <c r="B1007" s="15">
        <v>2008</v>
      </c>
      <c r="C1007" s="15">
        <v>21</v>
      </c>
      <c r="D1007" s="15">
        <v>7</v>
      </c>
      <c r="E1007" s="14" t="s">
        <v>189</v>
      </c>
      <c r="F1007" s="11" t="s">
        <v>51</v>
      </c>
      <c r="G1007" s="11">
        <v>146</v>
      </c>
      <c r="H1007" s="15" t="s">
        <v>29</v>
      </c>
      <c r="I1007" s="11">
        <v>13.2</v>
      </c>
      <c r="J1007" s="11" t="s">
        <v>19</v>
      </c>
      <c r="K1007" s="11" t="s">
        <v>20</v>
      </c>
      <c r="L1007" s="11" t="s">
        <v>30</v>
      </c>
      <c r="M1007" s="11" t="s">
        <v>45</v>
      </c>
      <c r="N1007" s="11" t="s">
        <v>25</v>
      </c>
      <c r="O1007" s="16" t="s">
        <v>29</v>
      </c>
      <c r="P1007" s="15">
        <v>203</v>
      </c>
      <c r="Q1007" s="8"/>
      <c r="R1007">
        <v>13.62</v>
      </c>
      <c r="S1007">
        <v>2527.5700000000002</v>
      </c>
      <c r="T1007">
        <v>5.22</v>
      </c>
      <c r="U1007">
        <v>9.7799999999999994</v>
      </c>
      <c r="V1007">
        <v>136.22</v>
      </c>
      <c r="W1007" s="317">
        <v>4.5999999999999996</v>
      </c>
      <c r="X1007" s="190">
        <f t="shared" si="34"/>
        <v>60.719999999999992</v>
      </c>
      <c r="Y1007" s="8"/>
      <c r="Z1007" s="8"/>
    </row>
    <row r="1008" spans="1:26" ht="12.75" customHeight="1" x14ac:dyDescent="0.2">
      <c r="A1008" s="15">
        <v>21</v>
      </c>
      <c r="B1008" s="15">
        <v>2008</v>
      </c>
      <c r="C1008" s="15">
        <v>21</v>
      </c>
      <c r="D1008" s="15">
        <v>7</v>
      </c>
      <c r="E1008" s="14" t="s">
        <v>189</v>
      </c>
      <c r="F1008" s="11" t="s">
        <v>51</v>
      </c>
      <c r="G1008" s="11">
        <v>135</v>
      </c>
      <c r="H1008" s="15" t="s">
        <v>29</v>
      </c>
      <c r="I1008" s="11">
        <v>13.5</v>
      </c>
      <c r="J1008" s="11" t="s">
        <v>19</v>
      </c>
      <c r="K1008" s="11" t="s">
        <v>20</v>
      </c>
      <c r="L1008" s="11" t="s">
        <v>30</v>
      </c>
      <c r="M1008" s="11" t="s">
        <v>46</v>
      </c>
      <c r="N1008" s="11" t="s">
        <v>39</v>
      </c>
      <c r="O1008" s="16" t="s">
        <v>29</v>
      </c>
      <c r="P1008" s="15">
        <v>203</v>
      </c>
      <c r="Q1008" s="8"/>
      <c r="R1008">
        <v>12.6</v>
      </c>
      <c r="S1008">
        <v>1998.23</v>
      </c>
      <c r="T1008">
        <v>6.76</v>
      </c>
      <c r="U1008">
        <v>9.0500000000000007</v>
      </c>
      <c r="V1008">
        <v>125.96</v>
      </c>
      <c r="W1008" s="317">
        <v>4.5999999999999996</v>
      </c>
      <c r="X1008" s="190">
        <f t="shared" si="34"/>
        <v>62.099999999999994</v>
      </c>
      <c r="Y1008" s="8"/>
      <c r="Z1008" s="8"/>
    </row>
    <row r="1009" spans="1:26" ht="12.75" customHeight="1" x14ac:dyDescent="0.2">
      <c r="A1009" s="15">
        <v>22</v>
      </c>
      <c r="B1009" s="15">
        <v>2008</v>
      </c>
      <c r="C1009" s="15">
        <v>21</v>
      </c>
      <c r="D1009" s="15">
        <v>7</v>
      </c>
      <c r="E1009" s="14" t="s">
        <v>189</v>
      </c>
      <c r="F1009" s="11" t="s">
        <v>51</v>
      </c>
      <c r="G1009" s="11">
        <v>153</v>
      </c>
      <c r="H1009" s="15" t="s">
        <v>29</v>
      </c>
      <c r="I1009" s="11">
        <v>10.5</v>
      </c>
      <c r="J1009" s="11" t="s">
        <v>19</v>
      </c>
      <c r="K1009" s="11" t="s">
        <v>20</v>
      </c>
      <c r="L1009" s="11" t="s">
        <v>21</v>
      </c>
      <c r="M1009" s="11" t="s">
        <v>46</v>
      </c>
      <c r="N1009" s="11" t="s">
        <v>39</v>
      </c>
      <c r="O1009" s="16" t="s">
        <v>29</v>
      </c>
      <c r="P1009" s="15">
        <v>203</v>
      </c>
      <c r="Q1009" s="8"/>
      <c r="R1009">
        <v>14.27</v>
      </c>
      <c r="S1009">
        <v>2908.84</v>
      </c>
      <c r="T1009">
        <v>3.61</v>
      </c>
      <c r="U1009">
        <v>10.25</v>
      </c>
      <c r="V1009">
        <v>142.75</v>
      </c>
      <c r="W1009" s="317">
        <v>3.9</v>
      </c>
      <c r="X1009" s="190">
        <f t="shared" si="34"/>
        <v>40.949999999999996</v>
      </c>
      <c r="Y1009" s="8"/>
      <c r="Z1009" s="8"/>
    </row>
    <row r="1010" spans="1:26" ht="12.75" customHeight="1" x14ac:dyDescent="0.2">
      <c r="A1010" s="15">
        <v>23</v>
      </c>
      <c r="B1010" s="15">
        <v>2008</v>
      </c>
      <c r="C1010" s="15">
        <v>21</v>
      </c>
      <c r="D1010" s="15">
        <v>7</v>
      </c>
      <c r="E1010" s="14" t="s">
        <v>189</v>
      </c>
      <c r="F1010" s="11" t="s">
        <v>51</v>
      </c>
      <c r="G1010" s="11">
        <v>147</v>
      </c>
      <c r="H1010" s="15" t="s">
        <v>29</v>
      </c>
      <c r="I1010" s="11">
        <v>14</v>
      </c>
      <c r="J1010" s="11" t="s">
        <v>19</v>
      </c>
      <c r="K1010" s="11" t="s">
        <v>20</v>
      </c>
      <c r="L1010" s="11" t="s">
        <v>30</v>
      </c>
      <c r="M1010" s="11" t="s">
        <v>46</v>
      </c>
      <c r="N1010" s="11" t="s">
        <v>25</v>
      </c>
      <c r="O1010" s="16" t="s">
        <v>29</v>
      </c>
      <c r="P1010" s="15">
        <v>203</v>
      </c>
      <c r="Q1010" s="8"/>
      <c r="R1010">
        <v>13.72</v>
      </c>
      <c r="S1010">
        <v>2579.86</v>
      </c>
      <c r="T1010">
        <v>5.43</v>
      </c>
      <c r="U1010">
        <v>9.85</v>
      </c>
      <c r="V1010">
        <v>137.15</v>
      </c>
      <c r="W1010" s="317">
        <v>4.5999999999999996</v>
      </c>
      <c r="X1010" s="190">
        <f t="shared" si="34"/>
        <v>64.399999999999991</v>
      </c>
      <c r="Y1010" s="8"/>
      <c r="Z1010" s="8"/>
    </row>
    <row r="1011" spans="1:26" ht="12.75" customHeight="1" x14ac:dyDescent="0.2">
      <c r="A1011" s="15">
        <v>150</v>
      </c>
      <c r="B1011" s="15">
        <v>2007</v>
      </c>
      <c r="C1011" s="15">
        <v>3</v>
      </c>
      <c r="D1011" s="15">
        <v>8</v>
      </c>
      <c r="E1011" s="11" t="s">
        <v>29</v>
      </c>
      <c r="F1011" s="11" t="s">
        <v>51</v>
      </c>
      <c r="G1011" s="11">
        <v>136</v>
      </c>
      <c r="H1011" s="15" t="s">
        <v>29</v>
      </c>
      <c r="I1011" s="11">
        <v>10.25</v>
      </c>
      <c r="J1011" s="11" t="s">
        <v>19</v>
      </c>
      <c r="K1011" s="11" t="s">
        <v>20</v>
      </c>
      <c r="L1011" s="11" t="s">
        <v>21</v>
      </c>
      <c r="M1011" s="11" t="s">
        <v>46</v>
      </c>
      <c r="N1011" s="11" t="s">
        <v>23</v>
      </c>
      <c r="O1011" s="16" t="s">
        <v>29</v>
      </c>
      <c r="P1011" s="15">
        <v>215</v>
      </c>
      <c r="Q1011" s="8"/>
      <c r="R1011">
        <v>12.69</v>
      </c>
      <c r="S1011">
        <v>2042.97</v>
      </c>
      <c r="T1011">
        <v>5.0199999999999996</v>
      </c>
      <c r="U1011">
        <v>9.11</v>
      </c>
      <c r="V1011">
        <v>126.89</v>
      </c>
      <c r="W1011" s="317">
        <v>3.9</v>
      </c>
      <c r="X1011" s="190">
        <f t="shared" si="34"/>
        <v>39.975000000000001</v>
      </c>
      <c r="Y1011" s="8"/>
      <c r="Z1011" s="8"/>
    </row>
    <row r="1012" spans="1:26" ht="12.75" customHeight="1" x14ac:dyDescent="0.2">
      <c r="A1012" s="15">
        <v>105</v>
      </c>
      <c r="B1012" s="15">
        <v>2007</v>
      </c>
      <c r="C1012" s="15">
        <v>2</v>
      </c>
      <c r="D1012" s="15">
        <v>8</v>
      </c>
      <c r="E1012" s="24">
        <v>0.625</v>
      </c>
      <c r="F1012" s="11" t="s">
        <v>51</v>
      </c>
      <c r="G1012" s="11">
        <v>145</v>
      </c>
      <c r="H1012" s="15" t="s">
        <v>29</v>
      </c>
      <c r="I1012" s="11">
        <v>11.5</v>
      </c>
      <c r="J1012" s="11" t="s">
        <v>19</v>
      </c>
      <c r="K1012" s="11" t="s">
        <v>20</v>
      </c>
      <c r="L1012" s="11" t="s">
        <v>21</v>
      </c>
      <c r="M1012" s="11" t="s">
        <v>46</v>
      </c>
      <c r="N1012" s="11" t="s">
        <v>33</v>
      </c>
      <c r="O1012" s="16" t="s">
        <v>29</v>
      </c>
      <c r="P1012" s="15">
        <v>214</v>
      </c>
      <c r="Q1012" s="8"/>
      <c r="R1012">
        <v>13.53</v>
      </c>
      <c r="S1012">
        <v>2475.9899999999998</v>
      </c>
      <c r="T1012">
        <v>4.6399999999999997</v>
      </c>
      <c r="U1012">
        <v>9.7200000000000006</v>
      </c>
      <c r="V1012">
        <v>135.29</v>
      </c>
      <c r="W1012" s="317">
        <v>3.9</v>
      </c>
      <c r="X1012" s="190">
        <f t="shared" si="34"/>
        <v>44.85</v>
      </c>
      <c r="Y1012" s="8"/>
      <c r="Z1012" s="8"/>
    </row>
    <row r="1013" spans="1:26" ht="12.75" customHeight="1" x14ac:dyDescent="0.2">
      <c r="A1013" s="15">
        <v>106</v>
      </c>
      <c r="B1013" s="15">
        <v>2007</v>
      </c>
      <c r="C1013" s="15">
        <v>2</v>
      </c>
      <c r="D1013" s="15">
        <v>8</v>
      </c>
      <c r="E1013" s="24">
        <v>0.625</v>
      </c>
      <c r="F1013" s="11" t="s">
        <v>51</v>
      </c>
      <c r="G1013" s="11">
        <v>136</v>
      </c>
      <c r="H1013" s="15" t="s">
        <v>29</v>
      </c>
      <c r="I1013" s="11">
        <v>11.5</v>
      </c>
      <c r="J1013" s="11" t="s">
        <v>19</v>
      </c>
      <c r="K1013" s="11" t="s">
        <v>20</v>
      </c>
      <c r="L1013" s="11" t="s">
        <v>30</v>
      </c>
      <c r="M1013" s="11" t="s">
        <v>27</v>
      </c>
      <c r="N1013" s="11" t="s">
        <v>24</v>
      </c>
      <c r="O1013" s="16" t="s">
        <v>29</v>
      </c>
      <c r="P1013" s="15">
        <v>214</v>
      </c>
      <c r="Q1013" s="8"/>
      <c r="R1013">
        <v>12.69</v>
      </c>
      <c r="S1013">
        <v>2042.97</v>
      </c>
      <c r="T1013">
        <v>5.63</v>
      </c>
      <c r="U1013">
        <v>9.11</v>
      </c>
      <c r="V1013">
        <v>126.89</v>
      </c>
      <c r="W1013" s="317">
        <v>4.5999999999999996</v>
      </c>
      <c r="X1013" s="190">
        <f t="shared" si="34"/>
        <v>52.9</v>
      </c>
      <c r="Y1013" s="8"/>
      <c r="Z1013" s="8"/>
    </row>
    <row r="1014" spans="1:26" ht="12.75" customHeight="1" x14ac:dyDescent="0.2">
      <c r="A1014" s="15">
        <v>107</v>
      </c>
      <c r="B1014" s="15">
        <v>2007</v>
      </c>
      <c r="C1014" s="15">
        <v>2</v>
      </c>
      <c r="D1014" s="15">
        <v>8</v>
      </c>
      <c r="E1014" s="24">
        <v>0.625</v>
      </c>
      <c r="F1014" s="11" t="s">
        <v>51</v>
      </c>
      <c r="G1014" s="11">
        <v>147</v>
      </c>
      <c r="H1014" s="15" t="s">
        <v>29</v>
      </c>
      <c r="I1014" s="11">
        <v>12</v>
      </c>
      <c r="J1014" s="11" t="s">
        <v>19</v>
      </c>
      <c r="K1014" s="11" t="s">
        <v>20</v>
      </c>
      <c r="L1014" s="11" t="s">
        <v>21</v>
      </c>
      <c r="M1014" s="11" t="s">
        <v>46</v>
      </c>
      <c r="N1014" s="11" t="s">
        <v>24</v>
      </c>
      <c r="O1014" s="16" t="s">
        <v>29</v>
      </c>
      <c r="P1014" s="15">
        <v>214</v>
      </c>
      <c r="Q1014" s="8"/>
      <c r="R1014">
        <v>13.72</v>
      </c>
      <c r="S1014">
        <v>2579.86</v>
      </c>
      <c r="T1014">
        <v>4.6500000000000004</v>
      </c>
      <c r="U1014">
        <v>9.85</v>
      </c>
      <c r="V1014">
        <v>137.15</v>
      </c>
      <c r="W1014" s="317">
        <v>3.9</v>
      </c>
      <c r="X1014" s="190">
        <f t="shared" si="34"/>
        <v>46.8</v>
      </c>
      <c r="Y1014" s="8"/>
      <c r="Z1014" s="8"/>
    </row>
    <row r="1015" spans="1:26" ht="12.75" customHeight="1" x14ac:dyDescent="0.2">
      <c r="A1015" s="15">
        <v>108</v>
      </c>
      <c r="B1015" s="15">
        <v>2007</v>
      </c>
      <c r="C1015" s="15">
        <v>2</v>
      </c>
      <c r="D1015" s="15">
        <v>8</v>
      </c>
      <c r="E1015" s="24">
        <v>0.625</v>
      </c>
      <c r="F1015" s="11" t="s">
        <v>51</v>
      </c>
      <c r="G1015" s="11">
        <v>156</v>
      </c>
      <c r="H1015" s="15" t="s">
        <v>29</v>
      </c>
      <c r="I1015" s="11">
        <v>13.8</v>
      </c>
      <c r="J1015" s="11" t="s">
        <v>19</v>
      </c>
      <c r="K1015" s="11" t="s">
        <v>20</v>
      </c>
      <c r="L1015" s="11" t="s">
        <v>30</v>
      </c>
      <c r="M1015" s="11" t="s">
        <v>46</v>
      </c>
      <c r="N1015" s="11" t="s">
        <v>25</v>
      </c>
      <c r="O1015" s="16" t="s">
        <v>29</v>
      </c>
      <c r="P1015" s="15">
        <v>214</v>
      </c>
      <c r="Q1015" s="8"/>
      <c r="R1015">
        <v>14.55</v>
      </c>
      <c r="S1015">
        <v>3083.32</v>
      </c>
      <c r="T1015">
        <v>4.4800000000000004</v>
      </c>
      <c r="U1015">
        <v>10.45</v>
      </c>
      <c r="V1015">
        <v>145.55000000000001</v>
      </c>
      <c r="W1015" s="317">
        <v>4.5999999999999996</v>
      </c>
      <c r="X1015" s="190">
        <f t="shared" si="34"/>
        <v>63.48</v>
      </c>
      <c r="Y1015" s="8"/>
      <c r="Z1015" s="8"/>
    </row>
    <row r="1016" spans="1:26" ht="12.75" customHeight="1" x14ac:dyDescent="0.2">
      <c r="A1016" s="15">
        <v>109</v>
      </c>
      <c r="B1016" s="15">
        <v>2007</v>
      </c>
      <c r="C1016" s="15">
        <v>2</v>
      </c>
      <c r="D1016" s="15">
        <v>8</v>
      </c>
      <c r="E1016" s="24">
        <v>0.625</v>
      </c>
      <c r="F1016" s="11" t="s">
        <v>51</v>
      </c>
      <c r="G1016" s="11">
        <v>127</v>
      </c>
      <c r="H1016" s="15" t="s">
        <v>29</v>
      </c>
      <c r="I1016" s="11">
        <v>9</v>
      </c>
      <c r="J1016" s="11" t="s">
        <v>19</v>
      </c>
      <c r="K1016" s="11" t="s">
        <v>20</v>
      </c>
      <c r="L1016" s="11" t="s">
        <v>30</v>
      </c>
      <c r="M1016" s="11" t="s">
        <v>46</v>
      </c>
      <c r="N1016" s="11" t="s">
        <v>24</v>
      </c>
      <c r="O1016" s="16" t="s">
        <v>29</v>
      </c>
      <c r="P1016" s="15">
        <v>214</v>
      </c>
      <c r="Q1016" s="8"/>
      <c r="R1016">
        <v>11.85</v>
      </c>
      <c r="S1016">
        <v>1663.63</v>
      </c>
      <c r="T1016">
        <v>5.41</v>
      </c>
      <c r="U1016">
        <v>8.51</v>
      </c>
      <c r="V1016">
        <v>118.49</v>
      </c>
      <c r="W1016" s="317">
        <v>4.5999999999999996</v>
      </c>
      <c r="X1016" s="190">
        <f t="shared" si="34"/>
        <v>41.4</v>
      </c>
      <c r="Y1016" s="8"/>
      <c r="Z1016" s="8"/>
    </row>
    <row r="1017" spans="1:26" ht="12.75" customHeight="1" x14ac:dyDescent="0.2">
      <c r="A1017" s="15">
        <v>110</v>
      </c>
      <c r="B1017" s="15">
        <v>2007</v>
      </c>
      <c r="C1017" s="15">
        <v>2</v>
      </c>
      <c r="D1017" s="15">
        <v>8</v>
      </c>
      <c r="E1017" s="24">
        <v>0.625</v>
      </c>
      <c r="F1017" s="11" t="s">
        <v>51</v>
      </c>
      <c r="G1017" s="11">
        <v>137</v>
      </c>
      <c r="H1017" s="15" t="s">
        <v>29</v>
      </c>
      <c r="I1017" s="11">
        <v>11.2</v>
      </c>
      <c r="J1017" s="11" t="s">
        <v>19</v>
      </c>
      <c r="K1017" s="11" t="s">
        <v>20</v>
      </c>
      <c r="L1017" s="11" t="s">
        <v>30</v>
      </c>
      <c r="M1017" s="11" t="s">
        <v>27</v>
      </c>
      <c r="N1017" s="11" t="s">
        <v>23</v>
      </c>
      <c r="O1017" s="16" t="s">
        <v>29</v>
      </c>
      <c r="P1017" s="15">
        <v>214</v>
      </c>
      <c r="Q1017" s="8"/>
      <c r="R1017">
        <v>12.78</v>
      </c>
      <c r="S1017">
        <v>2088.37</v>
      </c>
      <c r="T1017">
        <v>5.36</v>
      </c>
      <c r="U1017">
        <v>9.18</v>
      </c>
      <c r="V1017">
        <v>127.82</v>
      </c>
      <c r="W1017" s="317">
        <v>4.5999999999999996</v>
      </c>
      <c r="X1017" s="190">
        <f t="shared" si="34"/>
        <v>51.519999999999996</v>
      </c>
      <c r="Y1017" s="8"/>
      <c r="Z1017" s="8"/>
    </row>
    <row r="1018" spans="1:26" ht="12.75" customHeight="1" x14ac:dyDescent="0.2">
      <c r="A1018" s="15">
        <v>111</v>
      </c>
      <c r="B1018" s="15">
        <v>2007</v>
      </c>
      <c r="C1018" s="15">
        <v>2</v>
      </c>
      <c r="D1018" s="15">
        <v>8</v>
      </c>
      <c r="E1018" s="24">
        <v>0.625</v>
      </c>
      <c r="F1018" s="11" t="s">
        <v>51</v>
      </c>
      <c r="G1018" s="11">
        <v>135</v>
      </c>
      <c r="H1018" s="15" t="s">
        <v>29</v>
      </c>
      <c r="I1018" s="11">
        <v>9.1999999999999993</v>
      </c>
      <c r="J1018" s="11" t="s">
        <v>19</v>
      </c>
      <c r="K1018" s="11" t="s">
        <v>20</v>
      </c>
      <c r="L1018" s="11" t="s">
        <v>21</v>
      </c>
      <c r="M1018" s="11" t="s">
        <v>46</v>
      </c>
      <c r="N1018" s="11" t="s">
        <v>33</v>
      </c>
      <c r="O1018" s="16" t="s">
        <v>29</v>
      </c>
      <c r="P1018" s="15">
        <v>214</v>
      </c>
      <c r="Q1018" s="8"/>
      <c r="R1018">
        <v>12.6</v>
      </c>
      <c r="S1018">
        <v>1998.23</v>
      </c>
      <c r="T1018">
        <v>4.5999999999999996</v>
      </c>
      <c r="U1018">
        <v>9.0500000000000007</v>
      </c>
      <c r="V1018">
        <v>125.96</v>
      </c>
      <c r="W1018" s="317">
        <v>3.9</v>
      </c>
      <c r="X1018" s="190">
        <f t="shared" si="34"/>
        <v>35.879999999999995</v>
      </c>
      <c r="Y1018" s="8"/>
      <c r="Z1018" s="8"/>
    </row>
    <row r="1019" spans="1:26" ht="12.75" customHeight="1" x14ac:dyDescent="0.2">
      <c r="A1019" s="15">
        <v>112</v>
      </c>
      <c r="B1019" s="15">
        <v>2007</v>
      </c>
      <c r="C1019" s="15">
        <v>2</v>
      </c>
      <c r="D1019" s="15">
        <v>8</v>
      </c>
      <c r="E1019" s="24">
        <v>0.625</v>
      </c>
      <c r="F1019" s="11" t="s">
        <v>51</v>
      </c>
      <c r="G1019" s="11">
        <v>144</v>
      </c>
      <c r="H1019" s="15" t="s">
        <v>29</v>
      </c>
      <c r="I1019" s="11">
        <v>14</v>
      </c>
      <c r="J1019" s="11" t="s">
        <v>19</v>
      </c>
      <c r="K1019" s="11" t="s">
        <v>20</v>
      </c>
      <c r="L1019" s="11" t="s">
        <v>30</v>
      </c>
      <c r="M1019" s="11" t="s">
        <v>29</v>
      </c>
      <c r="N1019" s="11" t="s">
        <v>25</v>
      </c>
      <c r="O1019" s="16" t="s">
        <v>29</v>
      </c>
      <c r="P1019" s="15">
        <v>214</v>
      </c>
      <c r="Q1019" s="8"/>
      <c r="R1019">
        <v>13.44</v>
      </c>
      <c r="S1019">
        <v>2425.12</v>
      </c>
      <c r="T1019">
        <v>5.77</v>
      </c>
      <c r="U1019">
        <v>9.65</v>
      </c>
      <c r="V1019">
        <v>134.35</v>
      </c>
      <c r="W1019" s="317">
        <v>4.5999999999999996</v>
      </c>
      <c r="X1019" s="190">
        <f t="shared" si="34"/>
        <v>64.399999999999991</v>
      </c>
      <c r="Y1019" s="8"/>
      <c r="Z1019" s="8"/>
    </row>
    <row r="1020" spans="1:26" ht="12.75" customHeight="1" x14ac:dyDescent="0.2">
      <c r="A1020" s="15">
        <v>113</v>
      </c>
      <c r="B1020" s="15">
        <v>2007</v>
      </c>
      <c r="C1020" s="15">
        <v>2</v>
      </c>
      <c r="D1020" s="15">
        <v>8</v>
      </c>
      <c r="E1020" s="24">
        <v>0.625</v>
      </c>
      <c r="F1020" s="11" t="s">
        <v>51</v>
      </c>
      <c r="G1020" s="11">
        <v>134</v>
      </c>
      <c r="H1020" s="15" t="s">
        <v>29</v>
      </c>
      <c r="I1020" s="11">
        <v>11.6</v>
      </c>
      <c r="J1020" s="11" t="s">
        <v>19</v>
      </c>
      <c r="K1020" s="11" t="s">
        <v>20</v>
      </c>
      <c r="L1020" s="11" t="s">
        <v>30</v>
      </c>
      <c r="M1020" s="11" t="s">
        <v>46</v>
      </c>
      <c r="N1020" s="11" t="s">
        <v>24</v>
      </c>
      <c r="O1020" s="16" t="s">
        <v>29</v>
      </c>
      <c r="P1020" s="15">
        <v>214</v>
      </c>
      <c r="Q1020" s="8"/>
      <c r="R1020">
        <v>12.5</v>
      </c>
      <c r="S1020">
        <v>1954.16</v>
      </c>
      <c r="T1020">
        <v>5.94</v>
      </c>
      <c r="U1020">
        <v>8.98</v>
      </c>
      <c r="V1020">
        <v>125.02</v>
      </c>
      <c r="W1020" s="317">
        <v>4.5999999999999996</v>
      </c>
      <c r="X1020" s="190">
        <f t="shared" si="34"/>
        <v>53.359999999999992</v>
      </c>
      <c r="Y1020" s="8"/>
      <c r="Z1020" s="8"/>
    </row>
    <row r="1021" spans="1:26" ht="12.75" customHeight="1" x14ac:dyDescent="0.2">
      <c r="A1021" s="15">
        <v>114</v>
      </c>
      <c r="B1021" s="15">
        <v>2007</v>
      </c>
      <c r="C1021" s="15">
        <v>2</v>
      </c>
      <c r="D1021" s="15">
        <v>8</v>
      </c>
      <c r="E1021" s="24">
        <v>0.625</v>
      </c>
      <c r="F1021" s="11" t="s">
        <v>51</v>
      </c>
      <c r="G1021" s="11">
        <v>150</v>
      </c>
      <c r="H1021" s="15" t="s">
        <v>29</v>
      </c>
      <c r="I1021" s="11">
        <v>18.899999999999999</v>
      </c>
      <c r="J1021" s="11" t="s">
        <v>19</v>
      </c>
      <c r="K1021" s="11" t="s">
        <v>20</v>
      </c>
      <c r="L1021" s="11" t="s">
        <v>30</v>
      </c>
      <c r="M1021" s="11" t="s">
        <v>27</v>
      </c>
      <c r="N1021" s="11" t="s">
        <v>33</v>
      </c>
      <c r="O1021" s="16" t="s">
        <v>29</v>
      </c>
      <c r="P1021" s="15">
        <v>214</v>
      </c>
      <c r="Q1021" s="8"/>
      <c r="R1021">
        <v>14</v>
      </c>
      <c r="S1021">
        <v>2741.06</v>
      </c>
      <c r="T1021">
        <v>6.9</v>
      </c>
      <c r="U1021">
        <v>10.050000000000001</v>
      </c>
      <c r="V1021">
        <v>139.94999999999999</v>
      </c>
      <c r="W1021" s="317">
        <v>4.5999999999999996</v>
      </c>
      <c r="X1021" s="190">
        <f t="shared" si="34"/>
        <v>86.939999999999984</v>
      </c>
      <c r="Y1021" s="8"/>
      <c r="Z1021" s="8"/>
    </row>
    <row r="1022" spans="1:26" ht="12.75" customHeight="1" x14ac:dyDescent="0.2">
      <c r="A1022" s="15">
        <v>115</v>
      </c>
      <c r="B1022" s="15">
        <v>2007</v>
      </c>
      <c r="C1022" s="15">
        <v>2</v>
      </c>
      <c r="D1022" s="15">
        <v>8</v>
      </c>
      <c r="E1022" s="24">
        <v>0.625</v>
      </c>
      <c r="F1022" s="11" t="s">
        <v>51</v>
      </c>
      <c r="G1022" s="11">
        <v>141</v>
      </c>
      <c r="H1022" s="15" t="s">
        <v>29</v>
      </c>
      <c r="I1022" s="11">
        <v>9.8000000000000007</v>
      </c>
      <c r="J1022" s="11" t="s">
        <v>19</v>
      </c>
      <c r="K1022" s="11" t="s">
        <v>20</v>
      </c>
      <c r="L1022" s="11" t="s">
        <v>41</v>
      </c>
      <c r="M1022" s="11" t="s">
        <v>27</v>
      </c>
      <c r="N1022" s="11" t="s">
        <v>24</v>
      </c>
      <c r="O1022" s="16" t="s">
        <v>29</v>
      </c>
      <c r="P1022" s="15">
        <v>214</v>
      </c>
      <c r="Q1022" s="8"/>
      <c r="R1022">
        <v>13.16</v>
      </c>
      <c r="S1022">
        <v>2276.6799999999998</v>
      </c>
      <c r="T1022">
        <v>4.3</v>
      </c>
      <c r="U1022">
        <v>9.4499999999999993</v>
      </c>
      <c r="V1022">
        <v>131.55000000000001</v>
      </c>
      <c r="W1022" s="8"/>
      <c r="X1022" s="8"/>
      <c r="Y1022" s="8"/>
      <c r="Z1022" s="8"/>
    </row>
    <row r="1023" spans="1:26" ht="12.75" customHeight="1" x14ac:dyDescent="0.2">
      <c r="A1023" s="15">
        <v>116</v>
      </c>
      <c r="B1023" s="15">
        <v>2007</v>
      </c>
      <c r="C1023" s="15">
        <v>2</v>
      </c>
      <c r="D1023" s="15">
        <v>8</v>
      </c>
      <c r="E1023" s="24">
        <v>0.625</v>
      </c>
      <c r="F1023" s="11" t="s">
        <v>51</v>
      </c>
      <c r="G1023" s="11">
        <v>150</v>
      </c>
      <c r="H1023" s="15" t="s">
        <v>29</v>
      </c>
      <c r="I1023" s="11">
        <v>12.5</v>
      </c>
      <c r="J1023" s="11" t="s">
        <v>19</v>
      </c>
      <c r="K1023" s="11" t="s">
        <v>20</v>
      </c>
      <c r="L1023" s="11" t="s">
        <v>21</v>
      </c>
      <c r="M1023" s="11" t="s">
        <v>27</v>
      </c>
      <c r="N1023" s="11" t="s">
        <v>24</v>
      </c>
      <c r="O1023" s="16" t="s">
        <v>29</v>
      </c>
      <c r="P1023" s="15">
        <v>214</v>
      </c>
      <c r="Q1023" s="8"/>
      <c r="R1023">
        <v>14</v>
      </c>
      <c r="S1023">
        <v>2741.06</v>
      </c>
      <c r="T1023">
        <v>4.5599999999999996</v>
      </c>
      <c r="U1023">
        <v>10.050000000000001</v>
      </c>
      <c r="V1023">
        <v>139.94999999999999</v>
      </c>
      <c r="W1023" s="317">
        <v>3.9</v>
      </c>
      <c r="X1023" s="190">
        <f t="shared" ref="X1023:X1029" si="35">I1023*W1023</f>
        <v>48.75</v>
      </c>
      <c r="Y1023" s="8"/>
      <c r="Z1023" s="8"/>
    </row>
    <row r="1024" spans="1:26" ht="12.75" customHeight="1" x14ac:dyDescent="0.2">
      <c r="A1024" s="15">
        <v>117</v>
      </c>
      <c r="B1024" s="15">
        <v>2007</v>
      </c>
      <c r="C1024" s="15">
        <v>2</v>
      </c>
      <c r="D1024" s="15">
        <v>8</v>
      </c>
      <c r="E1024" s="24">
        <v>0.625</v>
      </c>
      <c r="F1024" s="11" t="s">
        <v>51</v>
      </c>
      <c r="G1024" s="11">
        <v>143</v>
      </c>
      <c r="H1024" s="15" t="s">
        <v>29</v>
      </c>
      <c r="I1024" s="11">
        <v>13.2</v>
      </c>
      <c r="J1024" s="11" t="s">
        <v>19</v>
      </c>
      <c r="K1024" s="11" t="s">
        <v>20</v>
      </c>
      <c r="L1024" s="11" t="s">
        <v>21</v>
      </c>
      <c r="M1024" s="11" t="s">
        <v>27</v>
      </c>
      <c r="N1024" s="11" t="s">
        <v>24</v>
      </c>
      <c r="O1024" s="16" t="s">
        <v>29</v>
      </c>
      <c r="P1024" s="15">
        <v>214</v>
      </c>
      <c r="Q1024" s="8"/>
      <c r="R1024">
        <v>13.34</v>
      </c>
      <c r="S1024">
        <v>2374.94</v>
      </c>
      <c r="T1024">
        <v>5.56</v>
      </c>
      <c r="U1024">
        <v>9.58</v>
      </c>
      <c r="V1024">
        <v>133.41999999999999</v>
      </c>
      <c r="W1024" s="317">
        <v>3.9</v>
      </c>
      <c r="X1024" s="190">
        <f t="shared" si="35"/>
        <v>51.48</v>
      </c>
      <c r="Y1024" s="8"/>
      <c r="Z1024" s="8"/>
    </row>
    <row r="1025" spans="1:26" ht="12.75" customHeight="1" x14ac:dyDescent="0.2">
      <c r="A1025" s="15">
        <v>118</v>
      </c>
      <c r="B1025" s="15">
        <v>2007</v>
      </c>
      <c r="C1025" s="15">
        <v>2</v>
      </c>
      <c r="D1025" s="15">
        <v>8</v>
      </c>
      <c r="E1025" s="24">
        <v>0.625</v>
      </c>
      <c r="F1025" s="11" t="s">
        <v>51</v>
      </c>
      <c r="G1025" s="11">
        <v>153</v>
      </c>
      <c r="H1025" s="15" t="s">
        <v>29</v>
      </c>
      <c r="I1025" s="11">
        <v>16.5</v>
      </c>
      <c r="J1025" s="11" t="s">
        <v>19</v>
      </c>
      <c r="K1025" s="11" t="s">
        <v>20</v>
      </c>
      <c r="L1025" s="11" t="s">
        <v>30</v>
      </c>
      <c r="M1025" s="11" t="s">
        <v>46</v>
      </c>
      <c r="N1025" s="11" t="s">
        <v>23</v>
      </c>
      <c r="O1025" s="16" t="s">
        <v>29</v>
      </c>
      <c r="P1025" s="15">
        <v>214</v>
      </c>
      <c r="Q1025" s="8"/>
      <c r="R1025">
        <v>14.27</v>
      </c>
      <c r="S1025">
        <v>2908.84</v>
      </c>
      <c r="T1025">
        <v>5.67</v>
      </c>
      <c r="U1025">
        <v>10.25</v>
      </c>
      <c r="V1025">
        <v>142.75</v>
      </c>
      <c r="W1025" s="317">
        <v>4.5999999999999996</v>
      </c>
      <c r="X1025" s="190">
        <f t="shared" si="35"/>
        <v>75.899999999999991</v>
      </c>
      <c r="Y1025" s="8"/>
      <c r="Z1025" s="8"/>
    </row>
    <row r="1026" spans="1:26" ht="12.75" customHeight="1" x14ac:dyDescent="0.2">
      <c r="A1026" s="15">
        <v>119</v>
      </c>
      <c r="B1026" s="15">
        <v>2007</v>
      </c>
      <c r="C1026" s="15">
        <v>2</v>
      </c>
      <c r="D1026" s="15">
        <v>8</v>
      </c>
      <c r="E1026" s="24">
        <v>0.625</v>
      </c>
      <c r="F1026" s="11" t="s">
        <v>51</v>
      </c>
      <c r="G1026" s="11">
        <v>150</v>
      </c>
      <c r="H1026" s="15" t="s">
        <v>29</v>
      </c>
      <c r="I1026" s="11">
        <v>15.2</v>
      </c>
      <c r="J1026" s="11" t="s">
        <v>19</v>
      </c>
      <c r="K1026" s="11" t="s">
        <v>20</v>
      </c>
      <c r="L1026" s="11" t="s">
        <v>21</v>
      </c>
      <c r="M1026" s="11" t="s">
        <v>27</v>
      </c>
      <c r="N1026" s="11" t="s">
        <v>24</v>
      </c>
      <c r="O1026" s="16" t="s">
        <v>29</v>
      </c>
      <c r="P1026" s="15">
        <v>214</v>
      </c>
      <c r="Q1026" s="8"/>
      <c r="R1026">
        <v>14</v>
      </c>
      <c r="S1026">
        <v>2741.06</v>
      </c>
      <c r="T1026">
        <v>5.55</v>
      </c>
      <c r="U1026">
        <v>10.050000000000001</v>
      </c>
      <c r="V1026">
        <v>139.94999999999999</v>
      </c>
      <c r="W1026" s="317">
        <v>3.9</v>
      </c>
      <c r="X1026" s="190">
        <f t="shared" si="35"/>
        <v>59.279999999999994</v>
      </c>
      <c r="Y1026" s="8"/>
      <c r="Z1026" s="8"/>
    </row>
    <row r="1027" spans="1:26" ht="12.75" customHeight="1" x14ac:dyDescent="0.2">
      <c r="A1027" s="15">
        <v>120</v>
      </c>
      <c r="B1027" s="15">
        <v>2007</v>
      </c>
      <c r="C1027" s="15">
        <v>2</v>
      </c>
      <c r="D1027" s="15">
        <v>8</v>
      </c>
      <c r="E1027" s="24">
        <v>0.625</v>
      </c>
      <c r="F1027" s="11" t="s">
        <v>51</v>
      </c>
      <c r="G1027" s="11">
        <v>145</v>
      </c>
      <c r="H1027" s="15" t="s">
        <v>29</v>
      </c>
      <c r="I1027" s="11">
        <v>15.2</v>
      </c>
      <c r="J1027" s="11" t="s">
        <v>19</v>
      </c>
      <c r="K1027" s="11" t="s">
        <v>20</v>
      </c>
      <c r="L1027" s="11" t="s">
        <v>30</v>
      </c>
      <c r="M1027" s="11" t="s">
        <v>46</v>
      </c>
      <c r="N1027" s="11" t="s">
        <v>24</v>
      </c>
      <c r="O1027" s="16" t="s">
        <v>29</v>
      </c>
      <c r="P1027" s="15">
        <v>214</v>
      </c>
      <c r="Q1027" s="8"/>
      <c r="R1027">
        <v>13.53</v>
      </c>
      <c r="S1027">
        <v>2475.9899999999998</v>
      </c>
      <c r="T1027">
        <v>6.14</v>
      </c>
      <c r="U1027">
        <v>9.7200000000000006</v>
      </c>
      <c r="V1027">
        <v>135.29</v>
      </c>
      <c r="W1027" s="317">
        <v>4.5999999999999996</v>
      </c>
      <c r="X1027" s="190">
        <f t="shared" si="35"/>
        <v>69.919999999999987</v>
      </c>
      <c r="Y1027" s="8"/>
      <c r="Z1027" s="8"/>
    </row>
    <row r="1028" spans="1:26" ht="12.75" customHeight="1" x14ac:dyDescent="0.2">
      <c r="A1028" s="15">
        <v>121</v>
      </c>
      <c r="B1028" s="15">
        <v>2007</v>
      </c>
      <c r="C1028" s="15">
        <v>2</v>
      </c>
      <c r="D1028" s="15">
        <v>8</v>
      </c>
      <c r="E1028" s="24">
        <v>0.625</v>
      </c>
      <c r="F1028" s="11" t="s">
        <v>51</v>
      </c>
      <c r="G1028" s="11">
        <v>132</v>
      </c>
      <c r="H1028" s="15" t="s">
        <v>29</v>
      </c>
      <c r="I1028" s="11">
        <v>12.2</v>
      </c>
      <c r="J1028" s="11" t="s">
        <v>19</v>
      </c>
      <c r="K1028" s="11" t="s">
        <v>20</v>
      </c>
      <c r="L1028" s="11" t="s">
        <v>30</v>
      </c>
      <c r="M1028" s="11" t="s">
        <v>27</v>
      </c>
      <c r="N1028" s="11" t="s">
        <v>23</v>
      </c>
      <c r="O1028" s="16" t="s">
        <v>29</v>
      </c>
      <c r="P1028" s="15">
        <v>214</v>
      </c>
      <c r="Q1028" s="8"/>
      <c r="R1028">
        <v>12.32</v>
      </c>
      <c r="S1028">
        <v>1867.96</v>
      </c>
      <c r="T1028">
        <v>6.53</v>
      </c>
      <c r="U1028">
        <v>8.84</v>
      </c>
      <c r="V1028">
        <v>123.16</v>
      </c>
      <c r="W1028" s="317">
        <v>4.5999999999999996</v>
      </c>
      <c r="X1028" s="190">
        <f t="shared" si="35"/>
        <v>56.11999999999999</v>
      </c>
      <c r="Y1028" s="8"/>
      <c r="Z1028" s="8"/>
    </row>
    <row r="1029" spans="1:26" ht="12.75" customHeight="1" x14ac:dyDescent="0.2">
      <c r="A1029" s="15">
        <v>122</v>
      </c>
      <c r="B1029" s="15">
        <v>2007</v>
      </c>
      <c r="C1029" s="15">
        <v>2</v>
      </c>
      <c r="D1029" s="15">
        <v>8</v>
      </c>
      <c r="E1029" s="24">
        <v>0.625</v>
      </c>
      <c r="F1029" s="11" t="s">
        <v>51</v>
      </c>
      <c r="G1029" s="11">
        <v>123</v>
      </c>
      <c r="H1029" s="15" t="s">
        <v>29</v>
      </c>
      <c r="I1029" s="11">
        <v>8</v>
      </c>
      <c r="J1029" s="11" t="s">
        <v>19</v>
      </c>
      <c r="K1029" s="11" t="s">
        <v>20</v>
      </c>
      <c r="L1029" s="11" t="s">
        <v>30</v>
      </c>
      <c r="M1029" s="11" t="s">
        <v>27</v>
      </c>
      <c r="N1029" s="11" t="s">
        <v>25</v>
      </c>
      <c r="O1029" s="16" t="s">
        <v>29</v>
      </c>
      <c r="P1029" s="15">
        <v>214</v>
      </c>
      <c r="Q1029" s="8"/>
      <c r="R1029">
        <v>11.48</v>
      </c>
      <c r="S1029">
        <v>1511.33</v>
      </c>
      <c r="T1029">
        <v>5.29</v>
      </c>
      <c r="U1029">
        <v>8.24</v>
      </c>
      <c r="V1029">
        <v>114.76</v>
      </c>
      <c r="W1029" s="317">
        <v>4.5999999999999996</v>
      </c>
      <c r="X1029" s="190">
        <f t="shared" si="35"/>
        <v>36.799999999999997</v>
      </c>
      <c r="Y1029" s="8"/>
      <c r="Z1029" s="8"/>
    </row>
    <row r="1030" spans="1:26" ht="12.75" customHeight="1" x14ac:dyDescent="0.2">
      <c r="A1030" s="15">
        <v>123</v>
      </c>
      <c r="B1030" s="15">
        <v>2007</v>
      </c>
      <c r="C1030" s="15">
        <v>2</v>
      </c>
      <c r="D1030" s="15">
        <v>8</v>
      </c>
      <c r="E1030" s="24">
        <v>0.625</v>
      </c>
      <c r="F1030" s="11" t="s">
        <v>51</v>
      </c>
      <c r="G1030" s="11">
        <v>125</v>
      </c>
      <c r="H1030" s="15" t="s">
        <v>29</v>
      </c>
      <c r="I1030" s="11">
        <v>9</v>
      </c>
      <c r="J1030" s="11" t="s">
        <v>19</v>
      </c>
      <c r="K1030" s="11" t="s">
        <v>20</v>
      </c>
      <c r="L1030" s="11" t="s">
        <v>41</v>
      </c>
      <c r="M1030" s="11" t="s">
        <v>27</v>
      </c>
      <c r="N1030" s="11" t="s">
        <v>25</v>
      </c>
      <c r="O1030" s="16" t="s">
        <v>29</v>
      </c>
      <c r="P1030" s="15">
        <v>214</v>
      </c>
      <c r="Q1030" s="8"/>
      <c r="R1030">
        <v>11.66</v>
      </c>
      <c r="S1030">
        <v>1586.26</v>
      </c>
      <c r="T1030">
        <v>5.67</v>
      </c>
      <c r="U1030">
        <v>8.3800000000000008</v>
      </c>
      <c r="V1030">
        <v>116.63</v>
      </c>
      <c r="W1030" s="8"/>
      <c r="X1030" s="8"/>
      <c r="Y1030" s="8"/>
      <c r="Z1030" s="8"/>
    </row>
    <row r="1031" spans="1:26" ht="12.75" customHeight="1" x14ac:dyDescent="0.2">
      <c r="A1031" s="15">
        <v>124</v>
      </c>
      <c r="B1031" s="15">
        <v>2007</v>
      </c>
      <c r="C1031" s="15">
        <v>2</v>
      </c>
      <c r="D1031" s="15">
        <v>8</v>
      </c>
      <c r="E1031" s="24">
        <v>0.625</v>
      </c>
      <c r="F1031" s="11" t="s">
        <v>51</v>
      </c>
      <c r="G1031" s="11">
        <v>130</v>
      </c>
      <c r="H1031" s="15" t="s">
        <v>29</v>
      </c>
      <c r="I1031" s="11">
        <v>10.5</v>
      </c>
      <c r="J1031" s="11" t="s">
        <v>19</v>
      </c>
      <c r="K1031" s="11" t="s">
        <v>20</v>
      </c>
      <c r="L1031" s="11" t="s">
        <v>30</v>
      </c>
      <c r="M1031" s="11" t="s">
        <v>27</v>
      </c>
      <c r="N1031" s="11" t="s">
        <v>24</v>
      </c>
      <c r="O1031" s="16" t="s">
        <v>29</v>
      </c>
      <c r="P1031" s="15">
        <v>214</v>
      </c>
      <c r="Q1031" s="8"/>
      <c r="R1031">
        <v>12.13</v>
      </c>
      <c r="S1031">
        <v>1784.33</v>
      </c>
      <c r="T1031">
        <v>5.88</v>
      </c>
      <c r="U1031">
        <v>8.7100000000000009</v>
      </c>
      <c r="V1031">
        <v>121.29</v>
      </c>
      <c r="W1031" s="317">
        <v>4.5999999999999996</v>
      </c>
      <c r="X1031" s="190">
        <f t="shared" ref="X1031:X1057" si="36">I1031*W1031</f>
        <v>48.3</v>
      </c>
      <c r="Y1031" s="8"/>
      <c r="Z1031" s="8"/>
    </row>
    <row r="1032" spans="1:26" ht="12.75" customHeight="1" x14ac:dyDescent="0.2">
      <c r="A1032" s="15">
        <v>125</v>
      </c>
      <c r="B1032" s="15">
        <v>2007</v>
      </c>
      <c r="C1032" s="15">
        <v>2</v>
      </c>
      <c r="D1032" s="15">
        <v>8</v>
      </c>
      <c r="E1032" s="24">
        <v>0.625</v>
      </c>
      <c r="F1032" s="11" t="s">
        <v>51</v>
      </c>
      <c r="G1032" s="11">
        <v>130</v>
      </c>
      <c r="H1032" s="15" t="s">
        <v>29</v>
      </c>
      <c r="I1032" s="11">
        <v>12.2</v>
      </c>
      <c r="J1032" s="11" t="s">
        <v>19</v>
      </c>
      <c r="K1032" s="11" t="s">
        <v>20</v>
      </c>
      <c r="L1032" s="11" t="s">
        <v>30</v>
      </c>
      <c r="M1032" s="11" t="s">
        <v>46</v>
      </c>
      <c r="N1032" s="11" t="s">
        <v>24</v>
      </c>
      <c r="O1032" s="16" t="s">
        <v>29</v>
      </c>
      <c r="P1032" s="15">
        <v>214</v>
      </c>
      <c r="Q1032" s="8"/>
      <c r="R1032">
        <v>12.13</v>
      </c>
      <c r="S1032">
        <v>1784.33</v>
      </c>
      <c r="T1032">
        <v>6.84</v>
      </c>
      <c r="U1032">
        <v>8.7100000000000009</v>
      </c>
      <c r="V1032">
        <v>121.29</v>
      </c>
      <c r="W1032" s="317">
        <v>4.5999999999999996</v>
      </c>
      <c r="X1032" s="190">
        <f t="shared" si="36"/>
        <v>56.11999999999999</v>
      </c>
      <c r="Y1032" s="8"/>
      <c r="Z1032" s="8"/>
    </row>
    <row r="1033" spans="1:26" ht="12.75" customHeight="1" x14ac:dyDescent="0.2">
      <c r="A1033" s="15">
        <v>126</v>
      </c>
      <c r="B1033" s="15">
        <v>2007</v>
      </c>
      <c r="C1033" s="15">
        <v>2</v>
      </c>
      <c r="D1033" s="15">
        <v>8</v>
      </c>
      <c r="E1033" s="24">
        <v>0.625</v>
      </c>
      <c r="F1033" s="11" t="s">
        <v>51</v>
      </c>
      <c r="G1033" s="11">
        <v>141</v>
      </c>
      <c r="H1033" s="15" t="s">
        <v>29</v>
      </c>
      <c r="I1033" s="11">
        <v>10.5</v>
      </c>
      <c r="J1033" s="11" t="s">
        <v>19</v>
      </c>
      <c r="K1033" s="11" t="s">
        <v>20</v>
      </c>
      <c r="L1033" s="11" t="s">
        <v>21</v>
      </c>
      <c r="M1033" s="11" t="s">
        <v>29</v>
      </c>
      <c r="N1033" s="11" t="s">
        <v>24</v>
      </c>
      <c r="O1033" s="16" t="s">
        <v>29</v>
      </c>
      <c r="P1033" s="15">
        <v>214</v>
      </c>
      <c r="Q1033" s="8"/>
      <c r="R1033">
        <v>13.16</v>
      </c>
      <c r="S1033">
        <v>2276.6799999999998</v>
      </c>
      <c r="T1033">
        <v>4.6100000000000003</v>
      </c>
      <c r="U1033">
        <v>9.4499999999999993</v>
      </c>
      <c r="V1033">
        <v>131.55000000000001</v>
      </c>
      <c r="W1033" s="317">
        <v>3.9</v>
      </c>
      <c r="X1033" s="190">
        <f t="shared" si="36"/>
        <v>40.949999999999996</v>
      </c>
      <c r="Y1033" s="8"/>
      <c r="Z1033" s="8"/>
    </row>
    <row r="1034" spans="1:26" ht="12.75" customHeight="1" x14ac:dyDescent="0.2">
      <c r="A1034" s="15">
        <v>127</v>
      </c>
      <c r="B1034" s="15">
        <v>2007</v>
      </c>
      <c r="C1034" s="15">
        <v>2</v>
      </c>
      <c r="D1034" s="15">
        <v>8</v>
      </c>
      <c r="E1034" s="24">
        <v>0.625</v>
      </c>
      <c r="F1034" s="11" t="s">
        <v>51</v>
      </c>
      <c r="G1034" s="11">
        <v>131</v>
      </c>
      <c r="H1034" s="15" t="s">
        <v>29</v>
      </c>
      <c r="I1034" s="11">
        <v>9.1999999999999993</v>
      </c>
      <c r="J1034" s="11" t="s">
        <v>19</v>
      </c>
      <c r="K1034" s="11" t="s">
        <v>20</v>
      </c>
      <c r="L1034" s="11" t="s">
        <v>21</v>
      </c>
      <c r="M1034" s="11" t="s">
        <v>29</v>
      </c>
      <c r="N1034" s="11" t="s">
        <v>25</v>
      </c>
      <c r="O1034" s="16" t="s">
        <v>29</v>
      </c>
      <c r="P1034" s="15">
        <v>214</v>
      </c>
      <c r="Q1034" s="8"/>
      <c r="R1034">
        <v>12.22</v>
      </c>
      <c r="S1034">
        <v>1825.82</v>
      </c>
      <c r="T1034">
        <v>5.04</v>
      </c>
      <c r="U1034">
        <v>8.7799999999999994</v>
      </c>
      <c r="V1034">
        <v>122.22</v>
      </c>
      <c r="W1034" s="317">
        <v>3.9</v>
      </c>
      <c r="X1034" s="190">
        <f t="shared" si="36"/>
        <v>35.879999999999995</v>
      </c>
      <c r="Y1034" s="8"/>
      <c r="Z1034" s="8"/>
    </row>
    <row r="1035" spans="1:26" ht="12.75" customHeight="1" x14ac:dyDescent="0.2">
      <c r="A1035" s="15">
        <v>128</v>
      </c>
      <c r="B1035" s="15">
        <v>2007</v>
      </c>
      <c r="C1035" s="15">
        <v>2</v>
      </c>
      <c r="D1035" s="15">
        <v>8</v>
      </c>
      <c r="E1035" s="24">
        <v>0.625</v>
      </c>
      <c r="F1035" s="11" t="s">
        <v>51</v>
      </c>
      <c r="G1035" s="11">
        <v>145</v>
      </c>
      <c r="H1035" s="15" t="s">
        <v>29</v>
      </c>
      <c r="I1035" s="11">
        <v>14</v>
      </c>
      <c r="J1035" s="11" t="s">
        <v>19</v>
      </c>
      <c r="K1035" s="11" t="s">
        <v>20</v>
      </c>
      <c r="L1035" s="11" t="s">
        <v>21</v>
      </c>
      <c r="M1035" s="11" t="s">
        <v>46</v>
      </c>
      <c r="N1035" s="11" t="s">
        <v>23</v>
      </c>
      <c r="O1035" s="16" t="s">
        <v>29</v>
      </c>
      <c r="P1035" s="15">
        <v>214</v>
      </c>
      <c r="Q1035" s="8"/>
      <c r="R1035">
        <v>13.53</v>
      </c>
      <c r="S1035">
        <v>2475.9899999999998</v>
      </c>
      <c r="T1035">
        <v>5.65</v>
      </c>
      <c r="U1035">
        <v>9.7200000000000006</v>
      </c>
      <c r="V1035">
        <v>135.29</v>
      </c>
      <c r="W1035" s="317">
        <v>3.9</v>
      </c>
      <c r="X1035" s="190">
        <f t="shared" si="36"/>
        <v>54.6</v>
      </c>
      <c r="Y1035" s="8"/>
      <c r="Z1035" s="8"/>
    </row>
    <row r="1036" spans="1:26" ht="12.75" customHeight="1" x14ac:dyDescent="0.2">
      <c r="A1036" s="15">
        <v>129</v>
      </c>
      <c r="B1036" s="15">
        <v>2007</v>
      </c>
      <c r="C1036" s="15">
        <v>2</v>
      </c>
      <c r="D1036" s="15">
        <v>8</v>
      </c>
      <c r="E1036" s="24">
        <v>0.625</v>
      </c>
      <c r="F1036" s="11" t="s">
        <v>51</v>
      </c>
      <c r="G1036" s="11">
        <v>132</v>
      </c>
      <c r="H1036" s="15" t="s">
        <v>29</v>
      </c>
      <c r="I1036" s="11">
        <v>11</v>
      </c>
      <c r="J1036" s="11" t="s">
        <v>19</v>
      </c>
      <c r="K1036" s="11" t="s">
        <v>20</v>
      </c>
      <c r="L1036" s="11" t="s">
        <v>21</v>
      </c>
      <c r="M1036" s="11" t="s">
        <v>29</v>
      </c>
      <c r="N1036" s="11" t="s">
        <v>23</v>
      </c>
      <c r="O1036" s="16" t="s">
        <v>29</v>
      </c>
      <c r="P1036" s="15">
        <v>214</v>
      </c>
      <c r="Q1036" s="8"/>
      <c r="R1036">
        <v>12.32</v>
      </c>
      <c r="S1036">
        <v>1867.96</v>
      </c>
      <c r="T1036">
        <v>5.89</v>
      </c>
      <c r="U1036">
        <v>8.84</v>
      </c>
      <c r="V1036">
        <v>123.16</v>
      </c>
      <c r="W1036" s="317">
        <v>3.9</v>
      </c>
      <c r="X1036" s="190">
        <f t="shared" si="36"/>
        <v>42.9</v>
      </c>
      <c r="Y1036" s="8"/>
      <c r="Z1036" s="8"/>
    </row>
    <row r="1037" spans="1:26" ht="12.75" customHeight="1" x14ac:dyDescent="0.2">
      <c r="A1037" s="15">
        <v>130</v>
      </c>
      <c r="B1037" s="15">
        <v>2007</v>
      </c>
      <c r="C1037" s="15">
        <v>2</v>
      </c>
      <c r="D1037" s="15">
        <v>8</v>
      </c>
      <c r="E1037" s="24">
        <v>0.625</v>
      </c>
      <c r="F1037" s="11" t="s">
        <v>51</v>
      </c>
      <c r="G1037" s="11">
        <v>129</v>
      </c>
      <c r="H1037" s="15" t="s">
        <v>29</v>
      </c>
      <c r="I1037" s="11">
        <v>10</v>
      </c>
      <c r="J1037" s="11" t="s">
        <v>19</v>
      </c>
      <c r="K1037" s="11" t="s">
        <v>20</v>
      </c>
      <c r="L1037" s="11" t="s">
        <v>30</v>
      </c>
      <c r="M1037" s="11" t="s">
        <v>46</v>
      </c>
      <c r="N1037" s="11" t="s">
        <v>23</v>
      </c>
      <c r="O1037" s="16" t="s">
        <v>29</v>
      </c>
      <c r="P1037" s="15">
        <v>214</v>
      </c>
      <c r="Q1037" s="8"/>
      <c r="R1037">
        <v>12.04</v>
      </c>
      <c r="S1037">
        <v>1743.47</v>
      </c>
      <c r="T1037">
        <v>5.74</v>
      </c>
      <c r="U1037">
        <v>8.64</v>
      </c>
      <c r="V1037">
        <v>120.36</v>
      </c>
      <c r="W1037" s="317">
        <v>4.5999999999999996</v>
      </c>
      <c r="X1037" s="190">
        <f t="shared" si="36"/>
        <v>46</v>
      </c>
      <c r="Y1037" s="8"/>
      <c r="Z1037" s="8"/>
    </row>
    <row r="1038" spans="1:26" ht="12.75" customHeight="1" x14ac:dyDescent="0.2">
      <c r="A1038" s="15">
        <v>131</v>
      </c>
      <c r="B1038" s="15">
        <v>2007</v>
      </c>
      <c r="C1038" s="15">
        <v>2</v>
      </c>
      <c r="D1038" s="15">
        <v>8</v>
      </c>
      <c r="E1038" s="24">
        <v>0.625</v>
      </c>
      <c r="F1038" s="11" t="s">
        <v>51</v>
      </c>
      <c r="G1038" s="11">
        <v>142</v>
      </c>
      <c r="H1038" s="15" t="s">
        <v>29</v>
      </c>
      <c r="I1038" s="11">
        <v>11</v>
      </c>
      <c r="J1038" s="11" t="s">
        <v>19</v>
      </c>
      <c r="K1038" s="11" t="s">
        <v>20</v>
      </c>
      <c r="L1038" s="11" t="s">
        <v>21</v>
      </c>
      <c r="M1038" s="11" t="s">
        <v>46</v>
      </c>
      <c r="N1038" s="11" t="s">
        <v>24</v>
      </c>
      <c r="O1038" s="16" t="s">
        <v>29</v>
      </c>
      <c r="P1038" s="15">
        <v>214</v>
      </c>
      <c r="Q1038" s="8"/>
      <c r="R1038">
        <v>13.25</v>
      </c>
      <c r="S1038">
        <v>2325.4699999999998</v>
      </c>
      <c r="T1038">
        <v>4.7300000000000004</v>
      </c>
      <c r="U1038">
        <v>9.51</v>
      </c>
      <c r="V1038">
        <v>132.49</v>
      </c>
      <c r="W1038" s="317">
        <v>3.9</v>
      </c>
      <c r="X1038" s="190">
        <f t="shared" si="36"/>
        <v>42.9</v>
      </c>
      <c r="Y1038" s="8"/>
      <c r="Z1038" s="8"/>
    </row>
    <row r="1039" spans="1:26" ht="12.75" customHeight="1" x14ac:dyDescent="0.2">
      <c r="A1039" s="15">
        <v>132</v>
      </c>
      <c r="B1039" s="15">
        <v>2007</v>
      </c>
      <c r="C1039" s="15">
        <v>2</v>
      </c>
      <c r="D1039" s="15">
        <v>8</v>
      </c>
      <c r="E1039" s="24">
        <v>0.625</v>
      </c>
      <c r="F1039" s="11" t="s">
        <v>51</v>
      </c>
      <c r="G1039" s="11">
        <v>131</v>
      </c>
      <c r="H1039" s="15" t="s">
        <v>29</v>
      </c>
      <c r="I1039" s="11">
        <v>9</v>
      </c>
      <c r="J1039" s="11" t="s">
        <v>19</v>
      </c>
      <c r="K1039" s="11" t="s">
        <v>20</v>
      </c>
      <c r="L1039" s="11" t="s">
        <v>21</v>
      </c>
      <c r="M1039" s="11" t="s">
        <v>45</v>
      </c>
      <c r="N1039" s="11" t="s">
        <v>24</v>
      </c>
      <c r="O1039" s="16" t="s">
        <v>29</v>
      </c>
      <c r="P1039" s="15">
        <v>214</v>
      </c>
      <c r="Q1039" s="8"/>
      <c r="R1039">
        <v>12.22</v>
      </c>
      <c r="S1039">
        <v>1825.82</v>
      </c>
      <c r="T1039">
        <v>4.93</v>
      </c>
      <c r="U1039">
        <v>8.7799999999999994</v>
      </c>
      <c r="V1039">
        <v>122.22</v>
      </c>
      <c r="W1039" s="317">
        <v>3.9</v>
      </c>
      <c r="X1039" s="190">
        <f t="shared" si="36"/>
        <v>35.1</v>
      </c>
      <c r="Y1039" s="8"/>
      <c r="Z1039" s="8"/>
    </row>
    <row r="1040" spans="1:26" ht="12.75" customHeight="1" x14ac:dyDescent="0.2">
      <c r="A1040" s="15">
        <v>133</v>
      </c>
      <c r="B1040" s="15">
        <v>2007</v>
      </c>
      <c r="C1040" s="15">
        <v>2</v>
      </c>
      <c r="D1040" s="15">
        <v>8</v>
      </c>
      <c r="E1040" s="24">
        <v>0.625</v>
      </c>
      <c r="F1040" s="11" t="s">
        <v>51</v>
      </c>
      <c r="G1040" s="11">
        <v>168</v>
      </c>
      <c r="H1040" s="15" t="s">
        <v>29</v>
      </c>
      <c r="I1040" s="11">
        <v>15.5</v>
      </c>
      <c r="J1040" s="11" t="s">
        <v>19</v>
      </c>
      <c r="K1040" s="11" t="s">
        <v>20</v>
      </c>
      <c r="L1040" s="11" t="s">
        <v>21</v>
      </c>
      <c r="M1040" s="11" t="s">
        <v>47</v>
      </c>
      <c r="N1040" s="11" t="s">
        <v>24</v>
      </c>
      <c r="O1040" s="16" t="s">
        <v>29</v>
      </c>
      <c r="P1040" s="15">
        <v>214</v>
      </c>
      <c r="Q1040" s="8"/>
      <c r="R1040">
        <v>15.67</v>
      </c>
      <c r="S1040">
        <v>3850.99</v>
      </c>
      <c r="T1040">
        <v>4.0199999999999996</v>
      </c>
      <c r="U1040">
        <v>11.26</v>
      </c>
      <c r="V1040">
        <v>156.74</v>
      </c>
      <c r="W1040" s="317">
        <v>3.9</v>
      </c>
      <c r="X1040" s="190">
        <f t="shared" si="36"/>
        <v>60.449999999999996</v>
      </c>
      <c r="Y1040" s="8"/>
      <c r="Z1040" s="8"/>
    </row>
    <row r="1041" spans="1:26" ht="12.75" customHeight="1" x14ac:dyDescent="0.2">
      <c r="A1041" s="15">
        <v>134</v>
      </c>
      <c r="B1041" s="15">
        <v>2007</v>
      </c>
      <c r="C1041" s="15">
        <v>2</v>
      </c>
      <c r="D1041" s="15">
        <v>8</v>
      </c>
      <c r="E1041" s="24">
        <v>0.625</v>
      </c>
      <c r="F1041" s="11" t="s">
        <v>51</v>
      </c>
      <c r="G1041" s="11">
        <v>133</v>
      </c>
      <c r="H1041" s="15" t="s">
        <v>29</v>
      </c>
      <c r="I1041" s="11">
        <v>10.4</v>
      </c>
      <c r="J1041" s="11" t="s">
        <v>19</v>
      </c>
      <c r="K1041" s="11" t="s">
        <v>20</v>
      </c>
      <c r="L1041" s="11" t="s">
        <v>30</v>
      </c>
      <c r="M1041" s="11" t="s">
        <v>45</v>
      </c>
      <c r="N1041" s="11" t="s">
        <v>24</v>
      </c>
      <c r="O1041" s="16" t="s">
        <v>29</v>
      </c>
      <c r="P1041" s="15">
        <v>214</v>
      </c>
      <c r="Q1041" s="8"/>
      <c r="R1041">
        <v>12.41</v>
      </c>
      <c r="S1041">
        <v>1910.73</v>
      </c>
      <c r="T1041">
        <v>5.44</v>
      </c>
      <c r="U1041">
        <v>8.91</v>
      </c>
      <c r="V1041">
        <v>124.09</v>
      </c>
      <c r="W1041" s="317">
        <v>4.5999999999999996</v>
      </c>
      <c r="X1041" s="190">
        <f t="shared" si="36"/>
        <v>47.839999999999996</v>
      </c>
      <c r="Y1041" s="8"/>
      <c r="Z1041" s="8"/>
    </row>
    <row r="1042" spans="1:26" ht="12.75" customHeight="1" x14ac:dyDescent="0.2">
      <c r="A1042" s="15">
        <v>135</v>
      </c>
      <c r="B1042" s="15">
        <v>2007</v>
      </c>
      <c r="C1042" s="15">
        <v>2</v>
      </c>
      <c r="D1042" s="15">
        <v>8</v>
      </c>
      <c r="E1042" s="24">
        <v>0.625</v>
      </c>
      <c r="F1042" s="11" t="s">
        <v>51</v>
      </c>
      <c r="G1042" s="11">
        <v>134</v>
      </c>
      <c r="H1042" s="15" t="s">
        <v>29</v>
      </c>
      <c r="I1042" s="11">
        <v>11.2</v>
      </c>
      <c r="J1042" s="11" t="s">
        <v>19</v>
      </c>
      <c r="K1042" s="11" t="s">
        <v>20</v>
      </c>
      <c r="L1042" s="11" t="s">
        <v>30</v>
      </c>
      <c r="M1042" s="11" t="s">
        <v>45</v>
      </c>
      <c r="N1042" s="11" t="s">
        <v>25</v>
      </c>
      <c r="O1042" s="16" t="s">
        <v>29</v>
      </c>
      <c r="P1042" s="15">
        <v>214</v>
      </c>
      <c r="Q1042" s="8"/>
      <c r="R1042">
        <v>12.5</v>
      </c>
      <c r="S1042">
        <v>1954.16</v>
      </c>
      <c r="T1042">
        <v>5.73</v>
      </c>
      <c r="U1042">
        <v>8.98</v>
      </c>
      <c r="V1042">
        <v>125.02</v>
      </c>
      <c r="W1042" s="317">
        <v>4.5999999999999996</v>
      </c>
      <c r="X1042" s="190">
        <f t="shared" si="36"/>
        <v>51.519999999999996</v>
      </c>
      <c r="Y1042" s="8"/>
      <c r="Z1042" s="8"/>
    </row>
    <row r="1043" spans="1:26" ht="12.75" customHeight="1" x14ac:dyDescent="0.2">
      <c r="A1043" s="15">
        <v>136</v>
      </c>
      <c r="B1043" s="15">
        <v>2007</v>
      </c>
      <c r="C1043" s="15">
        <v>2</v>
      </c>
      <c r="D1043" s="15">
        <v>8</v>
      </c>
      <c r="E1043" s="24">
        <v>0.625</v>
      </c>
      <c r="F1043" s="11" t="s">
        <v>51</v>
      </c>
      <c r="G1043" s="11">
        <v>129</v>
      </c>
      <c r="H1043" s="15" t="s">
        <v>29</v>
      </c>
      <c r="I1043" s="11">
        <v>9.75</v>
      </c>
      <c r="J1043" s="11" t="s">
        <v>19</v>
      </c>
      <c r="K1043" s="11" t="s">
        <v>20</v>
      </c>
      <c r="L1043" s="11" t="s">
        <v>21</v>
      </c>
      <c r="M1043" s="11" t="s">
        <v>46</v>
      </c>
      <c r="N1043" s="11" t="s">
        <v>24</v>
      </c>
      <c r="O1043" s="16" t="s">
        <v>29</v>
      </c>
      <c r="P1043" s="15">
        <v>214</v>
      </c>
      <c r="Q1043" s="8"/>
      <c r="R1043">
        <v>12.04</v>
      </c>
      <c r="S1043">
        <v>1743.47</v>
      </c>
      <c r="T1043">
        <v>5.59</v>
      </c>
      <c r="U1043">
        <v>8.64</v>
      </c>
      <c r="V1043">
        <v>120.36</v>
      </c>
      <c r="W1043" s="317">
        <v>3.9</v>
      </c>
      <c r="X1043" s="190">
        <f t="shared" si="36"/>
        <v>38.024999999999999</v>
      </c>
      <c r="Y1043" s="8"/>
      <c r="Z1043" s="8"/>
    </row>
    <row r="1044" spans="1:26" ht="12.75" customHeight="1" x14ac:dyDescent="0.2">
      <c r="A1044" s="15">
        <v>137</v>
      </c>
      <c r="B1044" s="15">
        <v>2007</v>
      </c>
      <c r="C1044" s="15">
        <v>2</v>
      </c>
      <c r="D1044" s="15">
        <v>8</v>
      </c>
      <c r="E1044" s="24">
        <v>0.625</v>
      </c>
      <c r="F1044" s="11" t="s">
        <v>51</v>
      </c>
      <c r="G1044" s="11">
        <v>130</v>
      </c>
      <c r="H1044" s="15" t="s">
        <v>29</v>
      </c>
      <c r="I1044" s="11">
        <v>10.25</v>
      </c>
      <c r="J1044" s="11" t="s">
        <v>19</v>
      </c>
      <c r="K1044" s="11" t="s">
        <v>20</v>
      </c>
      <c r="L1044" s="11" t="s">
        <v>30</v>
      </c>
      <c r="M1044" s="11" t="s">
        <v>46</v>
      </c>
      <c r="N1044" s="11" t="s">
        <v>39</v>
      </c>
      <c r="O1044" s="16" t="s">
        <v>29</v>
      </c>
      <c r="P1044" s="15">
        <v>214</v>
      </c>
      <c r="Q1044" s="8"/>
      <c r="R1044">
        <v>12.13</v>
      </c>
      <c r="S1044">
        <v>1784.33</v>
      </c>
      <c r="T1044">
        <v>5.74</v>
      </c>
      <c r="U1044">
        <v>8.7100000000000009</v>
      </c>
      <c r="V1044">
        <v>121.29</v>
      </c>
      <c r="W1044" s="317">
        <v>4.5999999999999996</v>
      </c>
      <c r="X1044" s="190">
        <f t="shared" si="36"/>
        <v>47.15</v>
      </c>
      <c r="Y1044" s="8"/>
      <c r="Z1044" s="8"/>
    </row>
    <row r="1045" spans="1:26" ht="12.75" customHeight="1" x14ac:dyDescent="0.2">
      <c r="A1045" s="15">
        <v>138</v>
      </c>
      <c r="B1045" s="15">
        <v>2007</v>
      </c>
      <c r="C1045" s="15">
        <v>2</v>
      </c>
      <c r="D1045" s="15">
        <v>8</v>
      </c>
      <c r="E1045" s="24">
        <v>0.625</v>
      </c>
      <c r="F1045" s="11" t="s">
        <v>51</v>
      </c>
      <c r="G1045" s="11">
        <v>153</v>
      </c>
      <c r="H1045" s="15" t="s">
        <v>29</v>
      </c>
      <c r="I1045" s="11">
        <v>15</v>
      </c>
      <c r="J1045" s="11" t="s">
        <v>19</v>
      </c>
      <c r="K1045" s="11" t="s">
        <v>20</v>
      </c>
      <c r="L1045" s="11" t="s">
        <v>21</v>
      </c>
      <c r="M1045" s="11" t="s">
        <v>46</v>
      </c>
      <c r="N1045" s="11" t="s">
        <v>24</v>
      </c>
      <c r="O1045" s="16" t="s">
        <v>29</v>
      </c>
      <c r="P1045" s="15">
        <v>214</v>
      </c>
      <c r="Q1045" s="8"/>
      <c r="R1045">
        <v>14.27</v>
      </c>
      <c r="S1045">
        <v>2908.84</v>
      </c>
      <c r="T1045">
        <v>5.16</v>
      </c>
      <c r="U1045">
        <v>10.25</v>
      </c>
      <c r="V1045">
        <v>142.75</v>
      </c>
      <c r="W1045" s="317">
        <v>3.9</v>
      </c>
      <c r="X1045" s="190">
        <f t="shared" si="36"/>
        <v>58.5</v>
      </c>
      <c r="Y1045" s="8"/>
      <c r="Z1045" s="8"/>
    </row>
    <row r="1046" spans="1:26" ht="12.75" customHeight="1" x14ac:dyDescent="0.2">
      <c r="A1046" s="15">
        <v>139</v>
      </c>
      <c r="B1046" s="15">
        <v>2007</v>
      </c>
      <c r="C1046" s="15">
        <v>2</v>
      </c>
      <c r="D1046" s="15">
        <v>8</v>
      </c>
      <c r="E1046" s="24">
        <v>0.625</v>
      </c>
      <c r="F1046" s="11" t="s">
        <v>51</v>
      </c>
      <c r="G1046" s="11">
        <v>140</v>
      </c>
      <c r="H1046" s="15" t="s">
        <v>29</v>
      </c>
      <c r="I1046" s="11">
        <v>12</v>
      </c>
      <c r="J1046" s="11" t="s">
        <v>19</v>
      </c>
      <c r="K1046" s="11" t="s">
        <v>20</v>
      </c>
      <c r="L1046" s="11" t="s">
        <v>21</v>
      </c>
      <c r="M1046" s="11" t="s">
        <v>45</v>
      </c>
      <c r="N1046" s="11" t="s">
        <v>23</v>
      </c>
      <c r="O1046" s="16" t="s">
        <v>29</v>
      </c>
      <c r="P1046" s="15">
        <v>214</v>
      </c>
      <c r="Q1046" s="8"/>
      <c r="R1046">
        <v>13.06</v>
      </c>
      <c r="S1046">
        <v>2228.58</v>
      </c>
      <c r="T1046">
        <v>5.38</v>
      </c>
      <c r="U1046">
        <v>9.3800000000000008</v>
      </c>
      <c r="V1046">
        <v>130.62</v>
      </c>
      <c r="W1046" s="317">
        <v>3.9</v>
      </c>
      <c r="X1046" s="190">
        <f t="shared" si="36"/>
        <v>46.8</v>
      </c>
      <c r="Y1046" s="8"/>
      <c r="Z1046" s="8"/>
    </row>
    <row r="1047" spans="1:26" ht="12.75" customHeight="1" x14ac:dyDescent="0.2">
      <c r="A1047" s="15">
        <v>140</v>
      </c>
      <c r="B1047" s="15">
        <v>2007</v>
      </c>
      <c r="C1047" s="15">
        <v>2</v>
      </c>
      <c r="D1047" s="15">
        <v>8</v>
      </c>
      <c r="E1047" s="24">
        <v>0.625</v>
      </c>
      <c r="F1047" s="11" t="s">
        <v>51</v>
      </c>
      <c r="G1047" s="11">
        <v>136</v>
      </c>
      <c r="H1047" s="15" t="s">
        <v>29</v>
      </c>
      <c r="I1047" s="11">
        <v>11</v>
      </c>
      <c r="J1047" s="11" t="s">
        <v>19</v>
      </c>
      <c r="K1047" s="11" t="s">
        <v>20</v>
      </c>
      <c r="L1047" s="11" t="s">
        <v>30</v>
      </c>
      <c r="M1047" s="11" t="s">
        <v>46</v>
      </c>
      <c r="N1047" s="11" t="s">
        <v>39</v>
      </c>
      <c r="O1047" s="16" t="s">
        <v>29</v>
      </c>
      <c r="P1047" s="15">
        <v>214</v>
      </c>
      <c r="Q1047" s="8"/>
      <c r="R1047">
        <v>12.69</v>
      </c>
      <c r="S1047">
        <v>2042.97</v>
      </c>
      <c r="T1047">
        <v>5.38</v>
      </c>
      <c r="U1047">
        <v>9.11</v>
      </c>
      <c r="V1047">
        <v>126.89</v>
      </c>
      <c r="W1047" s="317">
        <v>4.5999999999999996</v>
      </c>
      <c r="X1047" s="190">
        <f t="shared" si="36"/>
        <v>50.599999999999994</v>
      </c>
      <c r="Y1047" s="8"/>
      <c r="Z1047" s="8"/>
    </row>
    <row r="1048" spans="1:26" ht="12.75" customHeight="1" x14ac:dyDescent="0.2">
      <c r="A1048" s="15">
        <v>141</v>
      </c>
      <c r="B1048" s="15">
        <v>2007</v>
      </c>
      <c r="C1048" s="15">
        <v>2</v>
      </c>
      <c r="D1048" s="15">
        <v>8</v>
      </c>
      <c r="E1048" s="24">
        <v>0.625</v>
      </c>
      <c r="F1048" s="11" t="s">
        <v>51</v>
      </c>
      <c r="G1048" s="11">
        <v>172</v>
      </c>
      <c r="H1048" s="15" t="s">
        <v>29</v>
      </c>
      <c r="I1048" s="11">
        <v>15.75</v>
      </c>
      <c r="J1048" s="11" t="s">
        <v>19</v>
      </c>
      <c r="K1048" s="11" t="s">
        <v>20</v>
      </c>
      <c r="L1048" s="11" t="s">
        <v>21</v>
      </c>
      <c r="M1048" s="11" t="s">
        <v>27</v>
      </c>
      <c r="N1048" s="11" t="s">
        <v>24</v>
      </c>
      <c r="O1048" s="16" t="s">
        <v>29</v>
      </c>
      <c r="P1048" s="15">
        <v>214</v>
      </c>
      <c r="Q1048" s="8"/>
      <c r="R1048">
        <v>16.05</v>
      </c>
      <c r="S1048">
        <v>4132.67</v>
      </c>
      <c r="T1048">
        <v>3.81</v>
      </c>
      <c r="U1048">
        <v>11.52</v>
      </c>
      <c r="V1048">
        <v>160.47999999999999</v>
      </c>
      <c r="W1048" s="317">
        <v>3.9</v>
      </c>
      <c r="X1048" s="190">
        <f t="shared" si="36"/>
        <v>61.424999999999997</v>
      </c>
      <c r="Y1048" s="8"/>
      <c r="Z1048" s="8"/>
    </row>
    <row r="1049" spans="1:26" ht="12.75" customHeight="1" x14ac:dyDescent="0.2">
      <c r="A1049" s="15">
        <v>142</v>
      </c>
      <c r="B1049" s="15">
        <v>2007</v>
      </c>
      <c r="C1049" s="15">
        <v>2</v>
      </c>
      <c r="D1049" s="15">
        <v>8</v>
      </c>
      <c r="E1049" s="24">
        <v>0.625</v>
      </c>
      <c r="F1049" s="11" t="s">
        <v>51</v>
      </c>
      <c r="G1049" s="11">
        <v>151</v>
      </c>
      <c r="H1049" s="15" t="s">
        <v>29</v>
      </c>
      <c r="I1049" s="11">
        <v>16.25</v>
      </c>
      <c r="J1049" s="11" t="s">
        <v>19</v>
      </c>
      <c r="K1049" s="11" t="s">
        <v>20</v>
      </c>
      <c r="L1049" s="11" t="s">
        <v>30</v>
      </c>
      <c r="M1049" s="11" t="s">
        <v>46</v>
      </c>
      <c r="N1049" s="11" t="s">
        <v>24</v>
      </c>
      <c r="O1049" s="16" t="s">
        <v>29</v>
      </c>
      <c r="P1049" s="15">
        <v>214</v>
      </c>
      <c r="Q1049" s="8"/>
      <c r="R1049">
        <v>14.09</v>
      </c>
      <c r="S1049">
        <v>2796.25</v>
      </c>
      <c r="T1049">
        <v>5.81</v>
      </c>
      <c r="U1049">
        <v>10.119999999999999</v>
      </c>
      <c r="V1049">
        <v>140.88</v>
      </c>
      <c r="W1049" s="317">
        <v>4.5999999999999996</v>
      </c>
      <c r="X1049" s="190">
        <f t="shared" si="36"/>
        <v>74.75</v>
      </c>
      <c r="Y1049" s="8"/>
      <c r="Z1049" s="8"/>
    </row>
    <row r="1050" spans="1:26" ht="12.75" customHeight="1" x14ac:dyDescent="0.2">
      <c r="A1050" s="15">
        <v>143</v>
      </c>
      <c r="B1050" s="15">
        <v>2007</v>
      </c>
      <c r="C1050" s="15">
        <v>2</v>
      </c>
      <c r="D1050" s="15">
        <v>8</v>
      </c>
      <c r="E1050" s="24">
        <v>0.625</v>
      </c>
      <c r="F1050" s="11" t="s">
        <v>51</v>
      </c>
      <c r="G1050" s="11">
        <v>175</v>
      </c>
      <c r="H1050" s="15" t="s">
        <v>29</v>
      </c>
      <c r="I1050" s="11">
        <v>18.5</v>
      </c>
      <c r="J1050" s="11" t="s">
        <v>19</v>
      </c>
      <c r="K1050" s="11" t="s">
        <v>20</v>
      </c>
      <c r="L1050" s="11" t="s">
        <v>21</v>
      </c>
      <c r="M1050" s="11" t="s">
        <v>27</v>
      </c>
      <c r="N1050" s="11" t="s">
        <v>23</v>
      </c>
      <c r="O1050" s="16" t="s">
        <v>29</v>
      </c>
      <c r="P1050" s="15">
        <v>214</v>
      </c>
      <c r="Q1050" s="8"/>
      <c r="R1050">
        <v>16.329999999999998</v>
      </c>
      <c r="S1050">
        <v>4352.7</v>
      </c>
      <c r="T1050">
        <v>4.25</v>
      </c>
      <c r="U1050">
        <v>11.73</v>
      </c>
      <c r="V1050">
        <v>163.28</v>
      </c>
      <c r="W1050" s="317">
        <v>3.9</v>
      </c>
      <c r="X1050" s="190">
        <f t="shared" si="36"/>
        <v>72.149999999999991</v>
      </c>
      <c r="Y1050" s="8"/>
      <c r="Z1050" s="8"/>
    </row>
    <row r="1051" spans="1:26" ht="12.75" customHeight="1" x14ac:dyDescent="0.2">
      <c r="A1051" s="15">
        <v>144</v>
      </c>
      <c r="B1051" s="15">
        <v>2007</v>
      </c>
      <c r="C1051" s="15">
        <v>2</v>
      </c>
      <c r="D1051" s="15">
        <v>8</v>
      </c>
      <c r="E1051" s="24">
        <v>0.625</v>
      </c>
      <c r="F1051" s="11" t="s">
        <v>51</v>
      </c>
      <c r="G1051" s="11">
        <v>136</v>
      </c>
      <c r="H1051" s="15" t="s">
        <v>29</v>
      </c>
      <c r="I1051" s="11">
        <v>12.7</v>
      </c>
      <c r="J1051" s="11" t="s">
        <v>19</v>
      </c>
      <c r="K1051" s="11" t="s">
        <v>20</v>
      </c>
      <c r="L1051" s="11" t="s">
        <v>30</v>
      </c>
      <c r="M1051" s="11" t="s">
        <v>46</v>
      </c>
      <c r="N1051" s="11" t="s">
        <v>24</v>
      </c>
      <c r="O1051" s="16" t="s">
        <v>29</v>
      </c>
      <c r="P1051" s="15">
        <v>214</v>
      </c>
      <c r="Q1051" s="8"/>
      <c r="R1051">
        <v>12.69</v>
      </c>
      <c r="S1051">
        <v>2042.97</v>
      </c>
      <c r="T1051">
        <v>6.22</v>
      </c>
      <c r="U1051">
        <v>9.11</v>
      </c>
      <c r="V1051">
        <v>126.89</v>
      </c>
      <c r="W1051" s="317">
        <v>4.5999999999999996</v>
      </c>
      <c r="X1051" s="190">
        <f t="shared" si="36"/>
        <v>58.419999999999995</v>
      </c>
      <c r="Y1051" s="8"/>
      <c r="Z1051" s="8"/>
    </row>
    <row r="1052" spans="1:26" ht="12.75" customHeight="1" x14ac:dyDescent="0.2">
      <c r="A1052" s="15">
        <v>145</v>
      </c>
      <c r="B1052" s="15">
        <v>2007</v>
      </c>
      <c r="C1052" s="15">
        <v>2</v>
      </c>
      <c r="D1052" s="15">
        <v>8</v>
      </c>
      <c r="E1052" s="24">
        <v>0.625</v>
      </c>
      <c r="F1052" s="11" t="s">
        <v>51</v>
      </c>
      <c r="G1052" s="11">
        <v>143</v>
      </c>
      <c r="H1052" s="15" t="s">
        <v>29</v>
      </c>
      <c r="I1052" s="11">
        <v>14.2</v>
      </c>
      <c r="J1052" s="11" t="s">
        <v>19</v>
      </c>
      <c r="K1052" s="11" t="s">
        <v>20</v>
      </c>
      <c r="L1052" s="11" t="s">
        <v>30</v>
      </c>
      <c r="M1052" s="11" t="s">
        <v>45</v>
      </c>
      <c r="N1052" s="11" t="s">
        <v>23</v>
      </c>
      <c r="O1052" s="16" t="s">
        <v>29</v>
      </c>
      <c r="P1052" s="15">
        <v>214</v>
      </c>
      <c r="Q1052" s="8"/>
      <c r="R1052">
        <v>13.34</v>
      </c>
      <c r="S1052">
        <v>2374.94</v>
      </c>
      <c r="T1052">
        <v>5.98</v>
      </c>
      <c r="U1052">
        <v>9.58</v>
      </c>
      <c r="V1052">
        <v>133.41999999999999</v>
      </c>
      <c r="W1052" s="317">
        <v>4.5999999999999996</v>
      </c>
      <c r="X1052" s="190">
        <f t="shared" si="36"/>
        <v>65.319999999999993</v>
      </c>
      <c r="Y1052" s="8"/>
      <c r="Z1052" s="8"/>
    </row>
    <row r="1053" spans="1:26" ht="12.75" customHeight="1" x14ac:dyDescent="0.2">
      <c r="A1053" s="15">
        <v>146</v>
      </c>
      <c r="B1053" s="15">
        <v>2007</v>
      </c>
      <c r="C1053" s="15">
        <v>2</v>
      </c>
      <c r="D1053" s="15">
        <v>8</v>
      </c>
      <c r="E1053" s="24">
        <v>0.625</v>
      </c>
      <c r="F1053" s="11" t="s">
        <v>51</v>
      </c>
      <c r="G1053" s="11">
        <v>134</v>
      </c>
      <c r="H1053" s="15" t="s">
        <v>29</v>
      </c>
      <c r="I1053" s="11">
        <v>9.5</v>
      </c>
      <c r="J1053" s="11" t="s">
        <v>19</v>
      </c>
      <c r="K1053" s="11" t="s">
        <v>20</v>
      </c>
      <c r="L1053" s="11" t="s">
        <v>21</v>
      </c>
      <c r="M1053" s="11" t="s">
        <v>46</v>
      </c>
      <c r="N1053" s="11" t="s">
        <v>23</v>
      </c>
      <c r="O1053" s="16" t="s">
        <v>29</v>
      </c>
      <c r="P1053" s="15">
        <v>214</v>
      </c>
      <c r="Q1053" s="8"/>
      <c r="R1053">
        <v>12.5</v>
      </c>
      <c r="S1053">
        <v>1954.16</v>
      </c>
      <c r="T1053">
        <v>4.8600000000000003</v>
      </c>
      <c r="U1053">
        <v>8.98</v>
      </c>
      <c r="V1053">
        <v>125.02</v>
      </c>
      <c r="W1053" s="317">
        <v>3.9</v>
      </c>
      <c r="X1053" s="190">
        <f t="shared" si="36"/>
        <v>37.049999999999997</v>
      </c>
      <c r="Y1053" s="8"/>
      <c r="Z1053" s="8"/>
    </row>
    <row r="1054" spans="1:26" ht="12.75" customHeight="1" x14ac:dyDescent="0.2">
      <c r="A1054" s="15">
        <v>147</v>
      </c>
      <c r="B1054" s="15">
        <v>2007</v>
      </c>
      <c r="C1054" s="15">
        <v>2</v>
      </c>
      <c r="D1054" s="15">
        <v>8</v>
      </c>
      <c r="E1054" s="24">
        <v>0.625</v>
      </c>
      <c r="F1054" s="11" t="s">
        <v>51</v>
      </c>
      <c r="G1054" s="11">
        <v>125</v>
      </c>
      <c r="H1054" s="15" t="s">
        <v>29</v>
      </c>
      <c r="I1054" s="11">
        <v>11.7</v>
      </c>
      <c r="J1054" s="11" t="s">
        <v>19</v>
      </c>
      <c r="K1054" s="11" t="s">
        <v>20</v>
      </c>
      <c r="L1054" s="11" t="s">
        <v>30</v>
      </c>
      <c r="M1054" s="11" t="s">
        <v>46</v>
      </c>
      <c r="N1054" s="11" t="s">
        <v>24</v>
      </c>
      <c r="O1054" s="16" t="s">
        <v>29</v>
      </c>
      <c r="P1054" s="15">
        <v>214</v>
      </c>
      <c r="Q1054" s="8"/>
      <c r="R1054">
        <v>11.66</v>
      </c>
      <c r="S1054">
        <v>1586.26</v>
      </c>
      <c r="T1054">
        <v>7.38</v>
      </c>
      <c r="U1054">
        <v>8.3800000000000008</v>
      </c>
      <c r="V1054">
        <v>116.63</v>
      </c>
      <c r="W1054" s="317">
        <v>4.5999999999999996</v>
      </c>
      <c r="X1054" s="190">
        <f t="shared" si="36"/>
        <v>53.819999999999993</v>
      </c>
      <c r="Y1054" s="8"/>
      <c r="Z1054" s="8"/>
    </row>
    <row r="1055" spans="1:26" ht="12.75" customHeight="1" x14ac:dyDescent="0.2">
      <c r="A1055" s="15">
        <v>148</v>
      </c>
      <c r="B1055" s="15">
        <v>2007</v>
      </c>
      <c r="C1055" s="15">
        <v>2</v>
      </c>
      <c r="D1055" s="15">
        <v>8</v>
      </c>
      <c r="E1055" s="24">
        <v>0.625</v>
      </c>
      <c r="F1055" s="11" t="s">
        <v>51</v>
      </c>
      <c r="G1055" s="11">
        <v>171</v>
      </c>
      <c r="H1055" s="15" t="s">
        <v>29</v>
      </c>
      <c r="I1055" s="11">
        <v>21</v>
      </c>
      <c r="J1055" s="11" t="s">
        <v>19</v>
      </c>
      <c r="K1055" s="11" t="s">
        <v>20</v>
      </c>
      <c r="L1055" s="11" t="s">
        <v>30</v>
      </c>
      <c r="M1055" s="11" t="s">
        <v>46</v>
      </c>
      <c r="N1055" s="11" t="s">
        <v>24</v>
      </c>
      <c r="O1055" s="16" t="s">
        <v>29</v>
      </c>
      <c r="P1055" s="15">
        <v>214</v>
      </c>
      <c r="Q1055" s="8"/>
      <c r="R1055">
        <v>15.95</v>
      </c>
      <c r="S1055">
        <v>4061</v>
      </c>
      <c r="T1055">
        <v>5.17</v>
      </c>
      <c r="U1055">
        <v>11.46</v>
      </c>
      <c r="V1055">
        <v>159.54</v>
      </c>
      <c r="W1055" s="317">
        <v>4.5999999999999996</v>
      </c>
      <c r="X1055" s="190">
        <f t="shared" si="36"/>
        <v>96.6</v>
      </c>
      <c r="Y1055" s="8"/>
      <c r="Z1055" s="8"/>
    </row>
    <row r="1056" spans="1:26" ht="12.75" customHeight="1" x14ac:dyDescent="0.2">
      <c r="A1056" s="15">
        <v>149</v>
      </c>
      <c r="B1056" s="15">
        <v>2007</v>
      </c>
      <c r="C1056" s="15">
        <v>2</v>
      </c>
      <c r="D1056" s="15">
        <v>8</v>
      </c>
      <c r="E1056" s="24">
        <v>0.625</v>
      </c>
      <c r="F1056" s="11" t="s">
        <v>51</v>
      </c>
      <c r="G1056" s="11">
        <v>133</v>
      </c>
      <c r="H1056" s="15" t="s">
        <v>29</v>
      </c>
      <c r="I1056" s="11">
        <v>10.5</v>
      </c>
      <c r="J1056" s="11" t="s">
        <v>19</v>
      </c>
      <c r="K1056" s="11" t="s">
        <v>20</v>
      </c>
      <c r="L1056" s="11" t="s">
        <v>30</v>
      </c>
      <c r="M1056" s="11" t="s">
        <v>46</v>
      </c>
      <c r="N1056" s="11" t="s">
        <v>24</v>
      </c>
      <c r="O1056" s="16" t="s">
        <v>29</v>
      </c>
      <c r="P1056" s="15">
        <v>214</v>
      </c>
      <c r="Q1056" s="8"/>
      <c r="R1056">
        <v>12.41</v>
      </c>
      <c r="S1056">
        <v>1910.73</v>
      </c>
      <c r="T1056">
        <v>5.5</v>
      </c>
      <c r="U1056">
        <v>8.91</v>
      </c>
      <c r="V1056">
        <v>124.09</v>
      </c>
      <c r="W1056" s="317">
        <v>4.5999999999999996</v>
      </c>
      <c r="X1056" s="190">
        <f t="shared" si="36"/>
        <v>48.3</v>
      </c>
      <c r="Y1056" s="8"/>
      <c r="Z1056" s="8"/>
    </row>
    <row r="1057" spans="1:26" ht="12.75" customHeight="1" x14ac:dyDescent="0.2">
      <c r="A1057" s="15">
        <v>87</v>
      </c>
      <c r="B1057" s="15">
        <v>2007</v>
      </c>
      <c r="C1057" s="15">
        <v>31</v>
      </c>
      <c r="D1057" s="15">
        <v>7</v>
      </c>
      <c r="E1057" s="14">
        <v>0.77083333333333337</v>
      </c>
      <c r="F1057" s="11" t="s">
        <v>51</v>
      </c>
      <c r="G1057" s="11">
        <v>166</v>
      </c>
      <c r="H1057" s="15" t="s">
        <v>29</v>
      </c>
      <c r="I1057" s="11">
        <v>21.5</v>
      </c>
      <c r="J1057" s="11" t="s">
        <v>19</v>
      </c>
      <c r="K1057" s="11" t="s">
        <v>34</v>
      </c>
      <c r="L1057" s="11" t="s">
        <v>41</v>
      </c>
      <c r="M1057" s="11" t="s">
        <v>47</v>
      </c>
      <c r="N1057" s="11" t="s">
        <v>24</v>
      </c>
      <c r="O1057" s="16" t="s">
        <v>29</v>
      </c>
      <c r="P1057" s="15">
        <v>212</v>
      </c>
      <c r="Q1057" s="8"/>
      <c r="R1057">
        <v>15.49</v>
      </c>
      <c r="S1057">
        <v>3715.09</v>
      </c>
      <c r="T1057">
        <v>5.79</v>
      </c>
      <c r="U1057">
        <v>11.12</v>
      </c>
      <c r="V1057">
        <v>154.88</v>
      </c>
      <c r="W1057" s="317">
        <v>3.8</v>
      </c>
      <c r="X1057" s="190">
        <f t="shared" si="36"/>
        <v>81.7</v>
      </c>
      <c r="Y1057" s="8"/>
      <c r="Z1057" s="8"/>
    </row>
    <row r="1058" spans="1:26" ht="12.75" customHeight="1" x14ac:dyDescent="0.2">
      <c r="A1058" s="15">
        <v>88</v>
      </c>
      <c r="B1058" s="15">
        <v>2007</v>
      </c>
      <c r="C1058" s="15">
        <v>31</v>
      </c>
      <c r="D1058" s="15">
        <v>7</v>
      </c>
      <c r="E1058" s="14">
        <v>0.77083333333333337</v>
      </c>
      <c r="F1058" s="11" t="s">
        <v>51</v>
      </c>
      <c r="G1058" s="11">
        <v>143</v>
      </c>
      <c r="H1058" s="15" t="s">
        <v>29</v>
      </c>
      <c r="I1058" s="11">
        <v>15.5</v>
      </c>
      <c r="J1058" s="11" t="s">
        <v>19</v>
      </c>
      <c r="K1058" s="11" t="s">
        <v>20</v>
      </c>
      <c r="L1058" s="11" t="s">
        <v>30</v>
      </c>
      <c r="M1058" s="11" t="s">
        <v>46</v>
      </c>
      <c r="N1058" s="11" t="s">
        <v>24</v>
      </c>
      <c r="O1058" s="16" t="s">
        <v>29</v>
      </c>
      <c r="P1058" s="15">
        <v>212</v>
      </c>
      <c r="Q1058" s="8"/>
      <c r="R1058">
        <v>13.34</v>
      </c>
      <c r="S1058">
        <v>2374.94</v>
      </c>
      <c r="T1058">
        <v>6.53</v>
      </c>
      <c r="U1058">
        <v>9.58</v>
      </c>
      <c r="V1058">
        <v>133.41999999999999</v>
      </c>
      <c r="W1058" s="317">
        <v>4.5999999999999996</v>
      </c>
      <c r="X1058" s="190">
        <f t="shared" ref="X1058:X1065" si="37">I1058*W1058</f>
        <v>71.3</v>
      </c>
      <c r="Y1058" s="8"/>
      <c r="Z1058" s="8"/>
    </row>
    <row r="1059" spans="1:26" ht="12.75" customHeight="1" x14ac:dyDescent="0.2">
      <c r="A1059" s="15">
        <v>89</v>
      </c>
      <c r="B1059" s="15">
        <v>2007</v>
      </c>
      <c r="C1059" s="15">
        <v>31</v>
      </c>
      <c r="D1059" s="15">
        <v>7</v>
      </c>
      <c r="E1059" s="14">
        <v>0.77083333333333337</v>
      </c>
      <c r="F1059" s="11" t="s">
        <v>51</v>
      </c>
      <c r="G1059" s="11">
        <v>142</v>
      </c>
      <c r="H1059" s="15" t="s">
        <v>29</v>
      </c>
      <c r="I1059" s="11">
        <v>12.2</v>
      </c>
      <c r="J1059" s="11" t="s">
        <v>19</v>
      </c>
      <c r="K1059" s="11" t="s">
        <v>20</v>
      </c>
      <c r="L1059" s="11" t="s">
        <v>21</v>
      </c>
      <c r="M1059" s="11" t="s">
        <v>46</v>
      </c>
      <c r="N1059" s="11" t="s">
        <v>24</v>
      </c>
      <c r="O1059" s="16" t="s">
        <v>29</v>
      </c>
      <c r="P1059" s="15">
        <v>212</v>
      </c>
      <c r="Q1059" s="8"/>
      <c r="R1059">
        <v>13.25</v>
      </c>
      <c r="S1059">
        <v>2325.4699999999998</v>
      </c>
      <c r="T1059">
        <v>5.25</v>
      </c>
      <c r="U1059">
        <v>9.51</v>
      </c>
      <c r="V1059">
        <v>132.49</v>
      </c>
      <c r="W1059" s="317">
        <v>3.9</v>
      </c>
      <c r="X1059" s="190">
        <f t="shared" si="37"/>
        <v>47.58</v>
      </c>
      <c r="Y1059" s="8"/>
      <c r="Z1059" s="8"/>
    </row>
    <row r="1060" spans="1:26" ht="12.75" customHeight="1" x14ac:dyDescent="0.2">
      <c r="A1060" s="15">
        <v>90</v>
      </c>
      <c r="B1060" s="15">
        <v>2007</v>
      </c>
      <c r="C1060" s="15">
        <v>31</v>
      </c>
      <c r="D1060" s="15">
        <v>7</v>
      </c>
      <c r="E1060" s="14">
        <v>0.77083333333333337</v>
      </c>
      <c r="F1060" s="11" t="s">
        <v>51</v>
      </c>
      <c r="G1060" s="11">
        <v>152</v>
      </c>
      <c r="H1060" s="15" t="s">
        <v>29</v>
      </c>
      <c r="I1060" s="11">
        <v>12.8</v>
      </c>
      <c r="J1060" s="11" t="s">
        <v>19</v>
      </c>
      <c r="K1060" s="11" t="s">
        <v>20</v>
      </c>
      <c r="L1060" s="11" t="s">
        <v>21</v>
      </c>
      <c r="M1060" s="11" t="s">
        <v>46</v>
      </c>
      <c r="N1060" s="11" t="s">
        <v>24</v>
      </c>
      <c r="O1060" s="16" t="s">
        <v>29</v>
      </c>
      <c r="P1060" s="15">
        <v>212</v>
      </c>
      <c r="Q1060" s="8"/>
      <c r="R1060">
        <v>14.18</v>
      </c>
      <c r="S1060">
        <v>2852.17</v>
      </c>
      <c r="T1060">
        <v>4.49</v>
      </c>
      <c r="U1060">
        <v>10.18</v>
      </c>
      <c r="V1060">
        <v>141.82</v>
      </c>
      <c r="W1060" s="317">
        <v>3.9</v>
      </c>
      <c r="X1060" s="190">
        <f t="shared" si="37"/>
        <v>49.92</v>
      </c>
      <c r="Y1060" s="8"/>
      <c r="Z1060" s="8"/>
    </row>
    <row r="1061" spans="1:26" ht="12.75" customHeight="1" x14ac:dyDescent="0.2">
      <c r="A1061" s="15">
        <v>91</v>
      </c>
      <c r="B1061" s="15">
        <v>2007</v>
      </c>
      <c r="C1061" s="15">
        <v>31</v>
      </c>
      <c r="D1061" s="15">
        <v>7</v>
      </c>
      <c r="E1061" s="14">
        <v>0.77083333333333337</v>
      </c>
      <c r="F1061" s="11" t="s">
        <v>51</v>
      </c>
      <c r="G1061" s="11">
        <v>141</v>
      </c>
      <c r="H1061" s="15" t="s">
        <v>29</v>
      </c>
      <c r="I1061" s="11">
        <v>11.4</v>
      </c>
      <c r="J1061" s="11" t="s">
        <v>19</v>
      </c>
      <c r="K1061" s="11" t="s">
        <v>20</v>
      </c>
      <c r="L1061" s="11" t="s">
        <v>21</v>
      </c>
      <c r="M1061" s="11" t="s">
        <v>47</v>
      </c>
      <c r="N1061" s="11" t="s">
        <v>33</v>
      </c>
      <c r="O1061" s="16" t="s">
        <v>29</v>
      </c>
      <c r="P1061" s="15">
        <v>212</v>
      </c>
      <c r="Q1061" s="8"/>
      <c r="R1061">
        <v>13.16</v>
      </c>
      <c r="S1061">
        <v>2276.6799999999998</v>
      </c>
      <c r="T1061">
        <v>5.01</v>
      </c>
      <c r="U1061">
        <v>9.4499999999999993</v>
      </c>
      <c r="V1061">
        <v>131.55000000000001</v>
      </c>
      <c r="W1061" s="317">
        <v>3.9</v>
      </c>
      <c r="X1061" s="190">
        <f t="shared" si="37"/>
        <v>44.46</v>
      </c>
      <c r="Y1061" s="8"/>
      <c r="Z1061" s="8"/>
    </row>
    <row r="1062" spans="1:26" ht="12.75" customHeight="1" x14ac:dyDescent="0.2">
      <c r="A1062" s="15">
        <v>92</v>
      </c>
      <c r="B1062" s="15">
        <v>2007</v>
      </c>
      <c r="C1062" s="15">
        <v>31</v>
      </c>
      <c r="D1062" s="15">
        <v>7</v>
      </c>
      <c r="E1062" s="14">
        <v>0.77083333333333337</v>
      </c>
      <c r="F1062" s="11" t="s">
        <v>51</v>
      </c>
      <c r="G1062" s="11">
        <v>130</v>
      </c>
      <c r="H1062" s="15" t="s">
        <v>29</v>
      </c>
      <c r="I1062" s="11">
        <v>9.4</v>
      </c>
      <c r="J1062" s="11" t="s">
        <v>19</v>
      </c>
      <c r="K1062" s="11" t="s">
        <v>20</v>
      </c>
      <c r="L1062" s="11" t="s">
        <v>21</v>
      </c>
      <c r="M1062" s="11" t="s">
        <v>46</v>
      </c>
      <c r="N1062" s="11" t="s">
        <v>23</v>
      </c>
      <c r="O1062" s="16" t="s">
        <v>29</v>
      </c>
      <c r="P1062" s="15">
        <v>212</v>
      </c>
      <c r="Q1062" s="8"/>
      <c r="R1062">
        <v>12.13</v>
      </c>
      <c r="S1062">
        <v>1784.33</v>
      </c>
      <c r="T1062">
        <v>5.27</v>
      </c>
      <c r="U1062">
        <v>8.7100000000000009</v>
      </c>
      <c r="V1062">
        <v>121.29</v>
      </c>
      <c r="W1062" s="317">
        <v>3.9</v>
      </c>
      <c r="X1062" s="190">
        <f t="shared" si="37"/>
        <v>36.660000000000004</v>
      </c>
      <c r="Y1062" s="8"/>
      <c r="Z1062" s="8"/>
    </row>
    <row r="1063" spans="1:26" ht="12.75" customHeight="1" x14ac:dyDescent="0.2">
      <c r="A1063" s="15">
        <v>93</v>
      </c>
      <c r="B1063" s="15">
        <v>2007</v>
      </c>
      <c r="C1063" s="15">
        <v>31</v>
      </c>
      <c r="D1063" s="15">
        <v>7</v>
      </c>
      <c r="E1063" s="14">
        <v>0.77083333333333337</v>
      </c>
      <c r="F1063" s="11" t="s">
        <v>51</v>
      </c>
      <c r="G1063" s="11">
        <v>140</v>
      </c>
      <c r="H1063" s="15" t="s">
        <v>29</v>
      </c>
      <c r="I1063" s="11">
        <v>9.5</v>
      </c>
      <c r="J1063" s="11" t="s">
        <v>19</v>
      </c>
      <c r="K1063" s="11" t="s">
        <v>20</v>
      </c>
      <c r="L1063" s="11" t="s">
        <v>21</v>
      </c>
      <c r="M1063" s="11" t="s">
        <v>29</v>
      </c>
      <c r="N1063" s="11" t="s">
        <v>25</v>
      </c>
      <c r="O1063" s="16" t="s">
        <v>29</v>
      </c>
      <c r="P1063" s="15">
        <v>212</v>
      </c>
      <c r="Q1063" s="8"/>
      <c r="R1063">
        <v>13.06</v>
      </c>
      <c r="S1063">
        <v>2228.58</v>
      </c>
      <c r="T1063">
        <v>4.26</v>
      </c>
      <c r="U1063">
        <v>9.3800000000000008</v>
      </c>
      <c r="V1063">
        <v>130.62</v>
      </c>
      <c r="W1063" s="317">
        <v>3.9</v>
      </c>
      <c r="X1063" s="190">
        <f t="shared" si="37"/>
        <v>37.049999999999997</v>
      </c>
      <c r="Y1063" s="8"/>
      <c r="Z1063" s="8"/>
    </row>
    <row r="1064" spans="1:26" ht="12.75" customHeight="1" x14ac:dyDescent="0.2">
      <c r="A1064" s="15">
        <v>94</v>
      </c>
      <c r="B1064" s="15">
        <v>2007</v>
      </c>
      <c r="C1064" s="15">
        <v>31</v>
      </c>
      <c r="D1064" s="15">
        <v>7</v>
      </c>
      <c r="E1064" s="14">
        <v>0.77083333333333337</v>
      </c>
      <c r="F1064" s="11" t="s">
        <v>51</v>
      </c>
      <c r="G1064" s="11">
        <v>126</v>
      </c>
      <c r="H1064" s="15" t="s">
        <v>29</v>
      </c>
      <c r="I1064" s="11">
        <v>7.4</v>
      </c>
      <c r="J1064" s="11" t="s">
        <v>19</v>
      </c>
      <c r="K1064" s="11" t="s">
        <v>20</v>
      </c>
      <c r="L1064" s="11" t="s">
        <v>21</v>
      </c>
      <c r="M1064" s="11" t="s">
        <v>29</v>
      </c>
      <c r="N1064" s="11" t="s">
        <v>23</v>
      </c>
      <c r="O1064" s="16" t="s">
        <v>29</v>
      </c>
      <c r="P1064" s="15">
        <v>212</v>
      </c>
      <c r="Q1064" s="8"/>
      <c r="R1064">
        <v>11.76</v>
      </c>
      <c r="S1064">
        <v>1624.64</v>
      </c>
      <c r="T1064">
        <v>4.55</v>
      </c>
      <c r="U1064">
        <v>8.44</v>
      </c>
      <c r="V1064">
        <v>117.56</v>
      </c>
      <c r="W1064" s="317">
        <v>3.9</v>
      </c>
      <c r="X1064" s="190">
        <f t="shared" si="37"/>
        <v>28.86</v>
      </c>
      <c r="Y1064" s="8"/>
      <c r="Z1064" s="8"/>
    </row>
    <row r="1065" spans="1:26" ht="12.75" customHeight="1" x14ac:dyDescent="0.2">
      <c r="A1065" s="15">
        <v>95</v>
      </c>
      <c r="B1065" s="15">
        <v>2007</v>
      </c>
      <c r="C1065" s="15">
        <v>31</v>
      </c>
      <c r="D1065" s="15">
        <v>7</v>
      </c>
      <c r="E1065" s="14">
        <v>0.77083333333333337</v>
      </c>
      <c r="F1065" s="11" t="s">
        <v>51</v>
      </c>
      <c r="G1065" s="11">
        <v>129</v>
      </c>
      <c r="H1065" s="15" t="s">
        <v>29</v>
      </c>
      <c r="I1065" s="11">
        <v>10.1</v>
      </c>
      <c r="J1065" s="11" t="s">
        <v>19</v>
      </c>
      <c r="K1065" s="11" t="s">
        <v>20</v>
      </c>
      <c r="L1065" s="11" t="s">
        <v>30</v>
      </c>
      <c r="M1065" s="11" t="s">
        <v>27</v>
      </c>
      <c r="N1065" s="11" t="s">
        <v>25</v>
      </c>
      <c r="O1065" s="16" t="s">
        <v>29</v>
      </c>
      <c r="P1065" s="15">
        <v>212</v>
      </c>
      <c r="Q1065" s="8"/>
      <c r="R1065">
        <v>12.04</v>
      </c>
      <c r="S1065">
        <v>1743.47</v>
      </c>
      <c r="T1065">
        <v>5.79</v>
      </c>
      <c r="U1065">
        <v>8.64</v>
      </c>
      <c r="V1065">
        <v>120.36</v>
      </c>
      <c r="W1065" s="317">
        <v>4.5999999999999996</v>
      </c>
      <c r="X1065" s="190">
        <f t="shared" si="37"/>
        <v>46.459999999999994</v>
      </c>
      <c r="Y1065" s="8"/>
      <c r="Z1065" s="8"/>
    </row>
    <row r="1066" spans="1:26" ht="12.75" customHeight="1" x14ac:dyDescent="0.2">
      <c r="A1066" s="15">
        <v>96</v>
      </c>
      <c r="B1066" s="15">
        <v>2007</v>
      </c>
      <c r="C1066" s="15">
        <v>31</v>
      </c>
      <c r="D1066" s="15">
        <v>7</v>
      </c>
      <c r="E1066" s="14">
        <v>0.77083333333333337</v>
      </c>
      <c r="F1066" s="11" t="s">
        <v>28</v>
      </c>
      <c r="G1066" s="11" t="s">
        <v>29</v>
      </c>
      <c r="H1066" s="15" t="s">
        <v>29</v>
      </c>
      <c r="I1066" s="25" t="s">
        <v>29</v>
      </c>
      <c r="J1066" s="11" t="s">
        <v>19</v>
      </c>
      <c r="K1066" s="11" t="s">
        <v>20</v>
      </c>
      <c r="L1066" s="11" t="s">
        <v>41</v>
      </c>
      <c r="M1066" s="11" t="s">
        <v>29</v>
      </c>
      <c r="N1066" s="11" t="s">
        <v>29</v>
      </c>
      <c r="O1066" s="16" t="s">
        <v>29</v>
      </c>
      <c r="P1066" s="15">
        <v>212</v>
      </c>
      <c r="Q1066" s="8"/>
      <c r="W1066" s="8"/>
      <c r="X1066" s="8"/>
      <c r="Y1066" s="8"/>
      <c r="Z1066" s="8"/>
    </row>
    <row r="1067" spans="1:26" ht="12.75" customHeight="1" x14ac:dyDescent="0.2">
      <c r="A1067" s="15">
        <v>97</v>
      </c>
      <c r="B1067" s="15">
        <v>2007</v>
      </c>
      <c r="C1067" s="15">
        <v>31</v>
      </c>
      <c r="D1067" s="15">
        <v>7</v>
      </c>
      <c r="E1067" s="14">
        <v>0.8125</v>
      </c>
      <c r="F1067" s="11" t="s">
        <v>51</v>
      </c>
      <c r="G1067" s="11">
        <v>132</v>
      </c>
      <c r="H1067" s="15" t="s">
        <v>29</v>
      </c>
      <c r="I1067" s="11">
        <v>7</v>
      </c>
      <c r="J1067" s="11" t="s">
        <v>19</v>
      </c>
      <c r="K1067" s="11" t="s">
        <v>20</v>
      </c>
      <c r="L1067" s="11" t="s">
        <v>21</v>
      </c>
      <c r="M1067" s="11" t="s">
        <v>29</v>
      </c>
      <c r="N1067" s="11" t="s">
        <v>25</v>
      </c>
      <c r="O1067" s="16" t="s">
        <v>29</v>
      </c>
      <c r="P1067" s="15">
        <v>212</v>
      </c>
      <c r="Q1067" s="8"/>
      <c r="R1067">
        <v>12.32</v>
      </c>
      <c r="S1067">
        <v>1867.96</v>
      </c>
      <c r="T1067">
        <v>3.75</v>
      </c>
      <c r="U1067">
        <v>8.84</v>
      </c>
      <c r="V1067">
        <v>123.16</v>
      </c>
      <c r="W1067" s="317">
        <v>3.9</v>
      </c>
      <c r="X1067" s="190">
        <f>I1067*W1067</f>
        <v>27.3</v>
      </c>
      <c r="Y1067" s="8"/>
      <c r="Z1067" s="8"/>
    </row>
    <row r="1068" spans="1:26" ht="12.75" customHeight="1" x14ac:dyDescent="0.2">
      <c r="A1068" s="15">
        <v>98</v>
      </c>
      <c r="B1068" s="15">
        <v>2007</v>
      </c>
      <c r="C1068" s="15">
        <v>31</v>
      </c>
      <c r="D1068" s="15">
        <v>7</v>
      </c>
      <c r="E1068" s="14">
        <v>0.8125</v>
      </c>
      <c r="F1068" s="11" t="s">
        <v>28</v>
      </c>
      <c r="G1068" s="11" t="s">
        <v>29</v>
      </c>
      <c r="H1068" s="15" t="s">
        <v>29</v>
      </c>
      <c r="I1068" s="25" t="s">
        <v>29</v>
      </c>
      <c r="J1068" s="11" t="s">
        <v>19</v>
      </c>
      <c r="K1068" s="11" t="s">
        <v>20</v>
      </c>
      <c r="L1068" s="11" t="s">
        <v>41</v>
      </c>
      <c r="M1068" s="11" t="s">
        <v>46</v>
      </c>
      <c r="N1068" s="11" t="s">
        <v>29</v>
      </c>
      <c r="O1068" s="16" t="s">
        <v>29</v>
      </c>
      <c r="P1068" s="15">
        <v>212</v>
      </c>
      <c r="Q1068" s="8"/>
      <c r="W1068" s="8"/>
      <c r="X1068" s="8"/>
      <c r="Y1068" s="8"/>
      <c r="Z1068" s="8"/>
    </row>
    <row r="1069" spans="1:26" ht="12.75" customHeight="1" x14ac:dyDescent="0.2">
      <c r="A1069" s="15">
        <v>99</v>
      </c>
      <c r="B1069" s="15">
        <v>2007</v>
      </c>
      <c r="C1069" s="15">
        <v>31</v>
      </c>
      <c r="D1069" s="15">
        <v>7</v>
      </c>
      <c r="E1069" s="14">
        <v>0.8125</v>
      </c>
      <c r="F1069" s="11" t="s">
        <v>51</v>
      </c>
      <c r="G1069" s="11">
        <v>140</v>
      </c>
      <c r="H1069" s="15" t="s">
        <v>29</v>
      </c>
      <c r="I1069" s="11">
        <v>13</v>
      </c>
      <c r="J1069" s="11" t="s">
        <v>19</v>
      </c>
      <c r="K1069" s="11" t="s">
        <v>20</v>
      </c>
      <c r="L1069" s="11" t="s">
        <v>30</v>
      </c>
      <c r="M1069" s="11" t="s">
        <v>46</v>
      </c>
      <c r="N1069" s="11" t="s">
        <v>25</v>
      </c>
      <c r="O1069" s="16" t="s">
        <v>29</v>
      </c>
      <c r="P1069" s="15">
        <v>212</v>
      </c>
      <c r="Q1069" s="8"/>
      <c r="R1069">
        <v>13.06</v>
      </c>
      <c r="S1069">
        <v>2228.58</v>
      </c>
      <c r="T1069">
        <v>5.83</v>
      </c>
      <c r="U1069">
        <v>9.3800000000000008</v>
      </c>
      <c r="V1069">
        <v>130.62</v>
      </c>
      <c r="W1069" s="317">
        <v>4.5999999999999996</v>
      </c>
      <c r="X1069" s="190">
        <f t="shared" ref="X1069:X1091" si="38">I1069*W1069</f>
        <v>59.8</v>
      </c>
      <c r="Y1069" s="8"/>
      <c r="Z1069" s="8"/>
    </row>
    <row r="1070" spans="1:26" ht="12.75" customHeight="1" x14ac:dyDescent="0.2">
      <c r="A1070" s="15">
        <v>100</v>
      </c>
      <c r="B1070" s="15">
        <v>2007</v>
      </c>
      <c r="C1070" s="15">
        <v>31</v>
      </c>
      <c r="D1070" s="15">
        <v>7</v>
      </c>
      <c r="E1070" s="14">
        <v>0.8125</v>
      </c>
      <c r="F1070" s="11" t="s">
        <v>51</v>
      </c>
      <c r="G1070" s="11">
        <v>146</v>
      </c>
      <c r="H1070" s="15" t="s">
        <v>29</v>
      </c>
      <c r="I1070" s="11">
        <v>11.5</v>
      </c>
      <c r="J1070" s="11" t="s">
        <v>19</v>
      </c>
      <c r="K1070" s="11" t="s">
        <v>20</v>
      </c>
      <c r="L1070" s="11" t="s">
        <v>21</v>
      </c>
      <c r="M1070" s="11" t="s">
        <v>46</v>
      </c>
      <c r="N1070" s="11" t="s">
        <v>25</v>
      </c>
      <c r="O1070" s="16" t="s">
        <v>29</v>
      </c>
      <c r="P1070" s="15">
        <v>212</v>
      </c>
      <c r="Q1070" s="8"/>
      <c r="R1070">
        <v>13.62</v>
      </c>
      <c r="S1070">
        <v>2527.5700000000002</v>
      </c>
      <c r="T1070">
        <v>4.55</v>
      </c>
      <c r="U1070">
        <v>9.7799999999999994</v>
      </c>
      <c r="V1070">
        <v>136.22</v>
      </c>
      <c r="W1070" s="317">
        <v>3.9</v>
      </c>
      <c r="X1070" s="190">
        <f t="shared" si="38"/>
        <v>44.85</v>
      </c>
      <c r="Y1070" s="8"/>
      <c r="Z1070" s="8"/>
    </row>
    <row r="1071" spans="1:26" ht="12.75" customHeight="1" x14ac:dyDescent="0.2">
      <c r="A1071" s="15">
        <v>101</v>
      </c>
      <c r="B1071" s="15">
        <v>2007</v>
      </c>
      <c r="C1071" s="15">
        <v>31</v>
      </c>
      <c r="D1071" s="15">
        <v>7</v>
      </c>
      <c r="E1071" s="14">
        <v>0.8125</v>
      </c>
      <c r="F1071" s="11" t="s">
        <v>51</v>
      </c>
      <c r="G1071" s="11">
        <v>134</v>
      </c>
      <c r="H1071" s="15" t="s">
        <v>29</v>
      </c>
      <c r="I1071" s="11">
        <v>11.5</v>
      </c>
      <c r="J1071" s="11" t="s">
        <v>19</v>
      </c>
      <c r="K1071" s="11" t="s">
        <v>20</v>
      </c>
      <c r="L1071" s="11" t="s">
        <v>30</v>
      </c>
      <c r="M1071" s="11" t="s">
        <v>46</v>
      </c>
      <c r="N1071" s="11" t="s">
        <v>25</v>
      </c>
      <c r="O1071" s="16" t="s">
        <v>29</v>
      </c>
      <c r="P1071" s="15">
        <v>212</v>
      </c>
      <c r="Q1071" s="8"/>
      <c r="R1071">
        <v>12.5</v>
      </c>
      <c r="S1071">
        <v>1954.16</v>
      </c>
      <c r="T1071">
        <v>5.88</v>
      </c>
      <c r="U1071">
        <v>8.98</v>
      </c>
      <c r="V1071">
        <v>125.02</v>
      </c>
      <c r="W1071" s="317">
        <v>4.5999999999999996</v>
      </c>
      <c r="X1071" s="190">
        <f t="shared" si="38"/>
        <v>52.9</v>
      </c>
      <c r="Y1071" s="8"/>
      <c r="Z1071" s="8"/>
    </row>
    <row r="1072" spans="1:26" ht="12.75" customHeight="1" x14ac:dyDescent="0.2">
      <c r="A1072" s="15">
        <v>102</v>
      </c>
      <c r="B1072" s="15">
        <v>2007</v>
      </c>
      <c r="C1072" s="15">
        <v>31</v>
      </c>
      <c r="D1072" s="15">
        <v>7</v>
      </c>
      <c r="E1072" s="14">
        <v>0.8125</v>
      </c>
      <c r="F1072" s="11" t="s">
        <v>51</v>
      </c>
      <c r="G1072" s="11">
        <v>142</v>
      </c>
      <c r="H1072" s="15" t="s">
        <v>29</v>
      </c>
      <c r="I1072" s="11">
        <v>15.5</v>
      </c>
      <c r="J1072" s="11" t="s">
        <v>19</v>
      </c>
      <c r="K1072" s="11" t="s">
        <v>20</v>
      </c>
      <c r="L1072" s="11" t="s">
        <v>30</v>
      </c>
      <c r="M1072" s="11" t="s">
        <v>46</v>
      </c>
      <c r="N1072" s="11" t="s">
        <v>24</v>
      </c>
      <c r="O1072" s="16" t="s">
        <v>29</v>
      </c>
      <c r="P1072" s="15">
        <v>212</v>
      </c>
      <c r="Q1072" s="8"/>
      <c r="R1072">
        <v>13.25</v>
      </c>
      <c r="S1072">
        <v>2325.4699999999998</v>
      </c>
      <c r="T1072">
        <v>6.67</v>
      </c>
      <c r="U1072">
        <v>9.51</v>
      </c>
      <c r="V1072">
        <v>132.49</v>
      </c>
      <c r="W1072" s="317">
        <v>4.5999999999999996</v>
      </c>
      <c r="X1072" s="190">
        <f t="shared" si="38"/>
        <v>71.3</v>
      </c>
      <c r="Y1072" s="8"/>
      <c r="Z1072" s="8"/>
    </row>
    <row r="1073" spans="1:26" ht="12.75" customHeight="1" x14ac:dyDescent="0.2">
      <c r="A1073" s="15">
        <v>103</v>
      </c>
      <c r="B1073" s="15">
        <v>2007</v>
      </c>
      <c r="C1073" s="15">
        <v>31</v>
      </c>
      <c r="D1073" s="15">
        <v>7</v>
      </c>
      <c r="E1073" s="14">
        <v>0.8125</v>
      </c>
      <c r="F1073" s="11" t="s">
        <v>51</v>
      </c>
      <c r="G1073" s="11">
        <v>138</v>
      </c>
      <c r="H1073" s="15" t="s">
        <v>29</v>
      </c>
      <c r="I1073" s="11">
        <v>8.5</v>
      </c>
      <c r="J1073" s="11" t="s">
        <v>19</v>
      </c>
      <c r="K1073" s="11" t="s">
        <v>20</v>
      </c>
      <c r="L1073" s="11" t="s">
        <v>21</v>
      </c>
      <c r="M1073" s="11" t="s">
        <v>45</v>
      </c>
      <c r="N1073" s="11" t="s">
        <v>23</v>
      </c>
      <c r="O1073" s="16" t="s">
        <v>29</v>
      </c>
      <c r="P1073" s="15">
        <v>212</v>
      </c>
      <c r="Q1073" s="8"/>
      <c r="R1073">
        <v>12.88</v>
      </c>
      <c r="S1073">
        <v>2134.4299999999998</v>
      </c>
      <c r="T1073">
        <v>3.98</v>
      </c>
      <c r="U1073">
        <v>9.25</v>
      </c>
      <c r="V1073">
        <v>128.75</v>
      </c>
      <c r="W1073" s="317">
        <v>3.9</v>
      </c>
      <c r="X1073" s="190">
        <f t="shared" si="38"/>
        <v>33.15</v>
      </c>
      <c r="Y1073" s="8"/>
      <c r="Z1073" s="8"/>
    </row>
    <row r="1074" spans="1:26" ht="12.75" customHeight="1" x14ac:dyDescent="0.2">
      <c r="A1074" s="15">
        <v>104</v>
      </c>
      <c r="B1074" s="15">
        <v>2007</v>
      </c>
      <c r="C1074" s="15">
        <v>31</v>
      </c>
      <c r="D1074" s="15">
        <v>7</v>
      </c>
      <c r="E1074" s="14">
        <v>0.8125</v>
      </c>
      <c r="F1074" s="11" t="s">
        <v>51</v>
      </c>
      <c r="G1074" s="11">
        <v>140</v>
      </c>
      <c r="H1074" s="15" t="s">
        <v>29</v>
      </c>
      <c r="I1074" s="25" t="s">
        <v>29</v>
      </c>
      <c r="J1074" s="11" t="s">
        <v>19</v>
      </c>
      <c r="K1074" s="11" t="s">
        <v>20</v>
      </c>
      <c r="L1074" s="11" t="s">
        <v>21</v>
      </c>
      <c r="M1074" s="11" t="s">
        <v>47</v>
      </c>
      <c r="N1074" s="11" t="s">
        <v>23</v>
      </c>
      <c r="O1074" s="16" t="s">
        <v>29</v>
      </c>
      <c r="P1074" s="15">
        <v>212</v>
      </c>
      <c r="Q1074" s="8"/>
      <c r="R1074">
        <v>13.06</v>
      </c>
      <c r="S1074">
        <v>2228.58</v>
      </c>
      <c r="U1074">
        <v>9.3800000000000008</v>
      </c>
      <c r="V1074">
        <v>130.62</v>
      </c>
      <c r="W1074" s="317">
        <v>3.9</v>
      </c>
      <c r="X1074" s="190"/>
      <c r="Y1074" s="8"/>
      <c r="Z1074" s="8"/>
    </row>
    <row r="1075" spans="1:26" ht="12.75" customHeight="1" x14ac:dyDescent="0.2">
      <c r="A1075" s="15">
        <v>75</v>
      </c>
      <c r="B1075" s="15">
        <v>2007</v>
      </c>
      <c r="C1075" s="15">
        <v>30</v>
      </c>
      <c r="D1075" s="15">
        <v>7</v>
      </c>
      <c r="E1075" s="22" t="s">
        <v>17</v>
      </c>
      <c r="F1075" s="11" t="s">
        <v>51</v>
      </c>
      <c r="G1075" s="11">
        <v>166</v>
      </c>
      <c r="H1075" s="15" t="s">
        <v>29</v>
      </c>
      <c r="I1075" s="11">
        <v>20</v>
      </c>
      <c r="J1075" s="11" t="s">
        <v>19</v>
      </c>
      <c r="K1075" s="11" t="s">
        <v>20</v>
      </c>
      <c r="L1075" s="11" t="s">
        <v>30</v>
      </c>
      <c r="M1075" s="11" t="s">
        <v>46</v>
      </c>
      <c r="N1075" s="11" t="s">
        <v>24</v>
      </c>
      <c r="O1075" s="16" t="s">
        <v>29</v>
      </c>
      <c r="P1075" s="15">
        <v>211</v>
      </c>
      <c r="Q1075" s="8"/>
      <c r="R1075">
        <v>15.49</v>
      </c>
      <c r="S1075">
        <v>3715.09</v>
      </c>
      <c r="T1075">
        <v>5.38</v>
      </c>
      <c r="U1075">
        <v>11.12</v>
      </c>
      <c r="V1075">
        <v>154.88</v>
      </c>
      <c r="W1075" s="317">
        <v>4.5999999999999996</v>
      </c>
      <c r="X1075" s="190">
        <f t="shared" si="38"/>
        <v>92</v>
      </c>
      <c r="Y1075" s="8"/>
      <c r="Z1075" s="8"/>
    </row>
    <row r="1076" spans="1:26" ht="12.75" customHeight="1" x14ac:dyDescent="0.2">
      <c r="A1076" s="15">
        <v>76</v>
      </c>
      <c r="B1076" s="15">
        <v>2007</v>
      </c>
      <c r="C1076" s="15">
        <v>30</v>
      </c>
      <c r="D1076" s="15">
        <v>7</v>
      </c>
      <c r="E1076" s="22" t="s">
        <v>17</v>
      </c>
      <c r="F1076" s="11" t="s">
        <v>51</v>
      </c>
      <c r="G1076" s="11">
        <v>146</v>
      </c>
      <c r="H1076" s="15" t="s">
        <v>29</v>
      </c>
      <c r="I1076" s="11">
        <v>16</v>
      </c>
      <c r="J1076" s="11" t="s">
        <v>19</v>
      </c>
      <c r="K1076" s="11" t="s">
        <v>20</v>
      </c>
      <c r="L1076" s="11" t="s">
        <v>30</v>
      </c>
      <c r="M1076" s="11" t="s">
        <v>46</v>
      </c>
      <c r="N1076" s="11" t="s">
        <v>23</v>
      </c>
      <c r="O1076" s="16" t="s">
        <v>29</v>
      </c>
      <c r="P1076" s="15">
        <v>211</v>
      </c>
      <c r="Q1076" s="8"/>
      <c r="R1076">
        <v>13.62</v>
      </c>
      <c r="S1076">
        <v>2527.5700000000002</v>
      </c>
      <c r="T1076">
        <v>6.33</v>
      </c>
      <c r="U1076">
        <v>9.7799999999999994</v>
      </c>
      <c r="V1076">
        <v>136.22</v>
      </c>
      <c r="W1076" s="317">
        <v>4.5999999999999996</v>
      </c>
      <c r="X1076" s="190">
        <f t="shared" si="38"/>
        <v>73.599999999999994</v>
      </c>
      <c r="Y1076" s="8"/>
      <c r="Z1076" s="8"/>
    </row>
    <row r="1077" spans="1:26" ht="12.75" customHeight="1" x14ac:dyDescent="0.2">
      <c r="A1077" s="15">
        <v>77</v>
      </c>
      <c r="B1077" s="15">
        <v>2007</v>
      </c>
      <c r="C1077" s="15">
        <v>30</v>
      </c>
      <c r="D1077" s="15">
        <v>7</v>
      </c>
      <c r="E1077" s="22" t="s">
        <v>17</v>
      </c>
      <c r="F1077" s="11" t="s">
        <v>51</v>
      </c>
      <c r="G1077" s="11">
        <v>148</v>
      </c>
      <c r="H1077" s="15" t="s">
        <v>29</v>
      </c>
      <c r="I1077" s="11">
        <v>11.5</v>
      </c>
      <c r="J1077" s="11" t="s">
        <v>19</v>
      </c>
      <c r="K1077" s="11" t="s">
        <v>20</v>
      </c>
      <c r="L1077" s="11" t="s">
        <v>21</v>
      </c>
      <c r="M1077" s="11" t="s">
        <v>47</v>
      </c>
      <c r="N1077" s="11" t="s">
        <v>23</v>
      </c>
      <c r="O1077" s="16" t="s">
        <v>29</v>
      </c>
      <c r="P1077" s="15">
        <v>211</v>
      </c>
      <c r="Q1077" s="8"/>
      <c r="R1077">
        <v>13.81</v>
      </c>
      <c r="S1077">
        <v>2632.87</v>
      </c>
      <c r="T1077">
        <v>4.37</v>
      </c>
      <c r="U1077">
        <v>9.92</v>
      </c>
      <c r="V1077">
        <v>138.08000000000001</v>
      </c>
      <c r="W1077" s="317">
        <v>3.9</v>
      </c>
      <c r="X1077" s="190">
        <f t="shared" si="38"/>
        <v>44.85</v>
      </c>
      <c r="Y1077" s="8"/>
      <c r="Z1077" s="8"/>
    </row>
    <row r="1078" spans="1:26" ht="12.75" customHeight="1" x14ac:dyDescent="0.2">
      <c r="A1078" s="15">
        <v>78</v>
      </c>
      <c r="B1078" s="15">
        <v>2007</v>
      </c>
      <c r="C1078" s="15">
        <v>30</v>
      </c>
      <c r="D1078" s="15">
        <v>7</v>
      </c>
      <c r="E1078" s="22" t="s">
        <v>17</v>
      </c>
      <c r="F1078" s="11" t="s">
        <v>51</v>
      </c>
      <c r="G1078" s="11">
        <v>152</v>
      </c>
      <c r="H1078" s="15" t="s">
        <v>29</v>
      </c>
      <c r="I1078" s="11">
        <v>13.7</v>
      </c>
      <c r="J1078" s="11" t="s">
        <v>19</v>
      </c>
      <c r="K1078" s="11" t="s">
        <v>20</v>
      </c>
      <c r="L1078" s="11" t="s">
        <v>21</v>
      </c>
      <c r="M1078" s="11" t="s">
        <v>46</v>
      </c>
      <c r="N1078" s="11" t="s">
        <v>25</v>
      </c>
      <c r="O1078" s="16" t="s">
        <v>29</v>
      </c>
      <c r="P1078" s="15">
        <v>211</v>
      </c>
      <c r="Q1078" s="8"/>
      <c r="R1078">
        <v>14.18</v>
      </c>
      <c r="S1078">
        <v>2852.17</v>
      </c>
      <c r="T1078">
        <v>4.8</v>
      </c>
      <c r="U1078">
        <v>10.18</v>
      </c>
      <c r="V1078">
        <v>141.82</v>
      </c>
      <c r="W1078" s="317">
        <v>3.9</v>
      </c>
      <c r="X1078" s="190">
        <f t="shared" si="38"/>
        <v>53.429999999999993</v>
      </c>
      <c r="Y1078" s="8"/>
      <c r="Z1078" s="8"/>
    </row>
    <row r="1079" spans="1:26" ht="12.75" customHeight="1" x14ac:dyDescent="0.2">
      <c r="A1079" s="15">
        <v>79</v>
      </c>
      <c r="B1079" s="15">
        <v>2007</v>
      </c>
      <c r="C1079" s="15">
        <v>30</v>
      </c>
      <c r="D1079" s="15">
        <v>7</v>
      </c>
      <c r="E1079" s="22" t="s">
        <v>17</v>
      </c>
      <c r="F1079" s="11" t="s">
        <v>51</v>
      </c>
      <c r="G1079" s="11">
        <v>126</v>
      </c>
      <c r="H1079" s="15" t="s">
        <v>29</v>
      </c>
      <c r="I1079" s="11">
        <v>9</v>
      </c>
      <c r="J1079" s="11" t="s">
        <v>19</v>
      </c>
      <c r="K1079" s="11" t="s">
        <v>20</v>
      </c>
      <c r="L1079" s="11" t="s">
        <v>30</v>
      </c>
      <c r="M1079" s="11" t="s">
        <v>46</v>
      </c>
      <c r="N1079" s="11" t="s">
        <v>24</v>
      </c>
      <c r="O1079" s="16" t="s">
        <v>29</v>
      </c>
      <c r="P1079" s="15">
        <v>211</v>
      </c>
      <c r="Q1079" s="8"/>
      <c r="R1079">
        <v>11.76</v>
      </c>
      <c r="S1079">
        <v>1624.64</v>
      </c>
      <c r="T1079">
        <v>5.54</v>
      </c>
      <c r="U1079">
        <v>8.44</v>
      </c>
      <c r="V1079">
        <v>117.56</v>
      </c>
      <c r="W1079" s="317">
        <v>4.5999999999999996</v>
      </c>
      <c r="X1079" s="190">
        <f t="shared" si="38"/>
        <v>41.4</v>
      </c>
      <c r="Y1079" s="8"/>
      <c r="Z1079" s="8"/>
    </row>
    <row r="1080" spans="1:26" ht="12.75" customHeight="1" x14ac:dyDescent="0.2">
      <c r="A1080" s="15">
        <v>80</v>
      </c>
      <c r="B1080" s="15">
        <v>2007</v>
      </c>
      <c r="C1080" s="15">
        <v>30</v>
      </c>
      <c r="D1080" s="15">
        <v>7</v>
      </c>
      <c r="E1080" s="22" t="s">
        <v>17</v>
      </c>
      <c r="F1080" s="11" t="s">
        <v>51</v>
      </c>
      <c r="G1080" s="11">
        <v>130</v>
      </c>
      <c r="H1080" s="15" t="s">
        <v>29</v>
      </c>
      <c r="I1080" s="11">
        <v>10.5</v>
      </c>
      <c r="J1080" s="11" t="s">
        <v>19</v>
      </c>
      <c r="K1080" s="11" t="s">
        <v>20</v>
      </c>
      <c r="L1080" s="11" t="s">
        <v>21</v>
      </c>
      <c r="M1080" s="11" t="s">
        <v>46</v>
      </c>
      <c r="N1080" s="11" t="s">
        <v>23</v>
      </c>
      <c r="O1080" s="16" t="s">
        <v>29</v>
      </c>
      <c r="P1080" s="15">
        <v>211</v>
      </c>
      <c r="Q1080" s="8"/>
      <c r="R1080">
        <v>12.13</v>
      </c>
      <c r="S1080">
        <v>1784.33</v>
      </c>
      <c r="T1080">
        <v>5.88</v>
      </c>
      <c r="U1080">
        <v>8.7100000000000009</v>
      </c>
      <c r="V1080">
        <v>121.29</v>
      </c>
      <c r="W1080" s="317">
        <v>3.9</v>
      </c>
      <c r="X1080" s="190">
        <f t="shared" si="38"/>
        <v>40.949999999999996</v>
      </c>
      <c r="Y1080" s="8"/>
      <c r="Z1080" s="8"/>
    </row>
    <row r="1081" spans="1:26" ht="12.75" customHeight="1" x14ac:dyDescent="0.2">
      <c r="A1081" s="15">
        <v>81</v>
      </c>
      <c r="B1081" s="15">
        <v>2007</v>
      </c>
      <c r="C1081" s="15">
        <v>30</v>
      </c>
      <c r="D1081" s="15">
        <v>7</v>
      </c>
      <c r="E1081" s="22" t="s">
        <v>17</v>
      </c>
      <c r="F1081" s="11" t="s">
        <v>51</v>
      </c>
      <c r="G1081" s="11">
        <v>148</v>
      </c>
      <c r="H1081" s="15" t="s">
        <v>29</v>
      </c>
      <c r="I1081" s="11">
        <v>11.8</v>
      </c>
      <c r="J1081" s="11" t="s">
        <v>19</v>
      </c>
      <c r="K1081" s="11" t="s">
        <v>20</v>
      </c>
      <c r="L1081" s="11" t="s">
        <v>21</v>
      </c>
      <c r="M1081" s="11" t="s">
        <v>47</v>
      </c>
      <c r="N1081" s="11" t="s">
        <v>24</v>
      </c>
      <c r="O1081" s="16" t="s">
        <v>29</v>
      </c>
      <c r="P1081" s="15">
        <v>211</v>
      </c>
      <c r="Q1081" s="8"/>
      <c r="R1081">
        <v>13.81</v>
      </c>
      <c r="S1081">
        <v>2632.87</v>
      </c>
      <c r="T1081">
        <v>4.4800000000000004</v>
      </c>
      <c r="U1081">
        <v>9.92</v>
      </c>
      <c r="V1081">
        <v>138.08000000000001</v>
      </c>
      <c r="W1081" s="317">
        <v>3.9</v>
      </c>
      <c r="X1081" s="190">
        <f t="shared" si="38"/>
        <v>46.02</v>
      </c>
      <c r="Y1081" s="8"/>
      <c r="Z1081" s="8"/>
    </row>
    <row r="1082" spans="1:26" ht="12.75" customHeight="1" x14ac:dyDescent="0.2">
      <c r="A1082" s="15">
        <v>82</v>
      </c>
      <c r="B1082" s="15">
        <v>2007</v>
      </c>
      <c r="C1082" s="15">
        <v>30</v>
      </c>
      <c r="D1082" s="15">
        <v>7</v>
      </c>
      <c r="E1082" s="22" t="s">
        <v>17</v>
      </c>
      <c r="F1082" s="11" t="s">
        <v>51</v>
      </c>
      <c r="G1082" s="11">
        <v>160</v>
      </c>
      <c r="H1082" s="15" t="s">
        <v>29</v>
      </c>
      <c r="I1082" s="11">
        <v>13.6</v>
      </c>
      <c r="J1082" s="11" t="s">
        <v>19</v>
      </c>
      <c r="K1082" s="11" t="s">
        <v>20</v>
      </c>
      <c r="L1082" s="11" t="s">
        <v>21</v>
      </c>
      <c r="M1082" s="11" t="s">
        <v>47</v>
      </c>
      <c r="N1082" s="11" t="s">
        <v>24</v>
      </c>
      <c r="O1082" s="16" t="s">
        <v>29</v>
      </c>
      <c r="P1082" s="15">
        <v>211</v>
      </c>
      <c r="Q1082" s="8"/>
      <c r="R1082">
        <v>14.93</v>
      </c>
      <c r="S1082">
        <v>3326.63</v>
      </c>
      <c r="T1082">
        <v>4.09</v>
      </c>
      <c r="U1082">
        <v>10.72</v>
      </c>
      <c r="V1082">
        <v>149.28</v>
      </c>
      <c r="W1082" s="317">
        <v>3.9</v>
      </c>
      <c r="X1082" s="190">
        <f t="shared" si="38"/>
        <v>53.04</v>
      </c>
      <c r="Y1082" s="8"/>
      <c r="Z1082" s="8"/>
    </row>
    <row r="1083" spans="1:26" ht="12.75" customHeight="1" x14ac:dyDescent="0.2">
      <c r="A1083" s="15">
        <v>83</v>
      </c>
      <c r="B1083" s="15">
        <v>2007</v>
      </c>
      <c r="C1083" s="15">
        <v>30</v>
      </c>
      <c r="D1083" s="15">
        <v>7</v>
      </c>
      <c r="E1083" s="22" t="s">
        <v>17</v>
      </c>
      <c r="F1083" s="11" t="s">
        <v>51</v>
      </c>
      <c r="G1083" s="11">
        <v>134</v>
      </c>
      <c r="H1083" s="15" t="s">
        <v>29</v>
      </c>
      <c r="I1083" s="11">
        <v>9.5</v>
      </c>
      <c r="J1083" s="11" t="s">
        <v>19</v>
      </c>
      <c r="K1083" s="11" t="s">
        <v>20</v>
      </c>
      <c r="L1083" s="11" t="s">
        <v>21</v>
      </c>
      <c r="M1083" s="11" t="s">
        <v>47</v>
      </c>
      <c r="N1083" s="11" t="s">
        <v>24</v>
      </c>
      <c r="O1083" s="16" t="s">
        <v>29</v>
      </c>
      <c r="P1083" s="15">
        <v>211</v>
      </c>
      <c r="Q1083" s="8"/>
      <c r="R1083">
        <v>12.5</v>
      </c>
      <c r="S1083">
        <v>1954.16</v>
      </c>
      <c r="T1083">
        <v>4.8600000000000003</v>
      </c>
      <c r="U1083">
        <v>8.98</v>
      </c>
      <c r="V1083">
        <v>125.02</v>
      </c>
      <c r="W1083" s="317">
        <v>3.9</v>
      </c>
      <c r="X1083" s="190">
        <f t="shared" si="38"/>
        <v>37.049999999999997</v>
      </c>
      <c r="Y1083" s="8"/>
      <c r="Z1083" s="8"/>
    </row>
    <row r="1084" spans="1:26" ht="12.75" customHeight="1" x14ac:dyDescent="0.2">
      <c r="A1084" s="15">
        <v>84</v>
      </c>
      <c r="B1084" s="15">
        <v>2007</v>
      </c>
      <c r="C1084" s="15">
        <v>30</v>
      </c>
      <c r="D1084" s="15">
        <v>7</v>
      </c>
      <c r="E1084" s="22" t="s">
        <v>17</v>
      </c>
      <c r="F1084" s="11" t="s">
        <v>51</v>
      </c>
      <c r="G1084" s="11">
        <v>159</v>
      </c>
      <c r="H1084" s="15" t="s">
        <v>29</v>
      </c>
      <c r="I1084" s="11">
        <v>16</v>
      </c>
      <c r="J1084" s="11" t="s">
        <v>19</v>
      </c>
      <c r="K1084" s="11" t="s">
        <v>20</v>
      </c>
      <c r="L1084" s="11" t="s">
        <v>21</v>
      </c>
      <c r="M1084" s="11" t="s">
        <v>46</v>
      </c>
      <c r="N1084" s="11" t="s">
        <v>25</v>
      </c>
      <c r="O1084" s="16" t="s">
        <v>29</v>
      </c>
      <c r="P1084" s="15">
        <v>211</v>
      </c>
      <c r="Q1084" s="8"/>
      <c r="R1084">
        <v>14.83</v>
      </c>
      <c r="S1084">
        <v>3264.65</v>
      </c>
      <c r="T1084">
        <v>4.9000000000000004</v>
      </c>
      <c r="U1084">
        <v>10.65</v>
      </c>
      <c r="V1084">
        <v>148.35</v>
      </c>
      <c r="W1084" s="317">
        <v>3.9</v>
      </c>
      <c r="X1084" s="190">
        <f t="shared" si="38"/>
        <v>62.4</v>
      </c>
      <c r="Y1084" s="8"/>
      <c r="Z1084" s="8"/>
    </row>
    <row r="1085" spans="1:26" ht="12.75" customHeight="1" x14ac:dyDescent="0.2">
      <c r="A1085" s="15">
        <v>85</v>
      </c>
      <c r="B1085" s="15">
        <v>2007</v>
      </c>
      <c r="C1085" s="15">
        <v>30</v>
      </c>
      <c r="D1085" s="15">
        <v>7</v>
      </c>
      <c r="E1085" s="22" t="s">
        <v>17</v>
      </c>
      <c r="F1085" s="11" t="s">
        <v>51</v>
      </c>
      <c r="G1085" s="11">
        <v>135</v>
      </c>
      <c r="H1085" s="15" t="s">
        <v>29</v>
      </c>
      <c r="I1085" s="11">
        <v>10</v>
      </c>
      <c r="J1085" s="11" t="s">
        <v>19</v>
      </c>
      <c r="K1085" s="11" t="s">
        <v>20</v>
      </c>
      <c r="L1085" s="11" t="s">
        <v>21</v>
      </c>
      <c r="M1085" s="11" t="s">
        <v>47</v>
      </c>
      <c r="N1085" s="11" t="s">
        <v>25</v>
      </c>
      <c r="O1085" s="16" t="s">
        <v>29</v>
      </c>
      <c r="P1085" s="15">
        <v>211</v>
      </c>
      <c r="Q1085" s="8"/>
      <c r="R1085">
        <v>12.6</v>
      </c>
      <c r="S1085">
        <v>1998.23</v>
      </c>
      <c r="T1085">
        <v>5</v>
      </c>
      <c r="U1085">
        <v>9.0500000000000007</v>
      </c>
      <c r="V1085">
        <v>125.96</v>
      </c>
      <c r="W1085" s="317">
        <v>3.9</v>
      </c>
      <c r="X1085" s="190">
        <f t="shared" si="38"/>
        <v>39</v>
      </c>
      <c r="Y1085" s="8"/>
      <c r="Z1085" s="8"/>
    </row>
    <row r="1086" spans="1:26" ht="12.75" customHeight="1" x14ac:dyDescent="0.2">
      <c r="A1086" s="15">
        <v>86</v>
      </c>
      <c r="B1086" s="15">
        <v>2007</v>
      </c>
      <c r="C1086" s="15">
        <v>30</v>
      </c>
      <c r="D1086" s="15">
        <v>7</v>
      </c>
      <c r="E1086" s="22" t="s">
        <v>17</v>
      </c>
      <c r="F1086" s="11" t="s">
        <v>51</v>
      </c>
      <c r="G1086" s="11">
        <v>145</v>
      </c>
      <c r="H1086" s="15" t="s">
        <v>29</v>
      </c>
      <c r="I1086" s="11">
        <v>12.7</v>
      </c>
      <c r="J1086" s="11" t="s">
        <v>19</v>
      </c>
      <c r="K1086" s="11" t="s">
        <v>20</v>
      </c>
      <c r="L1086" s="11" t="s">
        <v>21</v>
      </c>
      <c r="M1086" s="11" t="s">
        <v>46</v>
      </c>
      <c r="N1086" s="11" t="s">
        <v>25</v>
      </c>
      <c r="O1086" s="16" t="s">
        <v>29</v>
      </c>
      <c r="P1086" s="15">
        <v>211</v>
      </c>
      <c r="Q1086" s="8"/>
      <c r="R1086">
        <v>13.53</v>
      </c>
      <c r="S1086">
        <v>2475.9899999999998</v>
      </c>
      <c r="T1086">
        <v>5.13</v>
      </c>
      <c r="U1086">
        <v>9.7200000000000006</v>
      </c>
      <c r="V1086">
        <v>135.29</v>
      </c>
      <c r="W1086" s="317">
        <v>3.9</v>
      </c>
      <c r="X1086" s="190">
        <f t="shared" si="38"/>
        <v>49.529999999999994</v>
      </c>
      <c r="Y1086" s="8"/>
      <c r="Z1086" s="8"/>
    </row>
    <row r="1087" spans="1:26" ht="12.75" customHeight="1" x14ac:dyDescent="0.2">
      <c r="A1087" s="15">
        <v>23</v>
      </c>
      <c r="B1087" s="15">
        <v>2007</v>
      </c>
      <c r="C1087" s="15">
        <v>28</v>
      </c>
      <c r="D1087" s="15">
        <v>7</v>
      </c>
      <c r="E1087" s="14">
        <v>0.75</v>
      </c>
      <c r="F1087" s="11" t="s">
        <v>51</v>
      </c>
      <c r="G1087" s="11">
        <v>158</v>
      </c>
      <c r="H1087" s="15" t="s">
        <v>29</v>
      </c>
      <c r="I1087" s="11">
        <v>16.5</v>
      </c>
      <c r="J1087" s="11" t="s">
        <v>19</v>
      </c>
      <c r="K1087" s="11" t="s">
        <v>20</v>
      </c>
      <c r="L1087" s="11" t="s">
        <v>21</v>
      </c>
      <c r="M1087" s="11" t="s">
        <v>46</v>
      </c>
      <c r="N1087" s="11" t="s">
        <v>24</v>
      </c>
      <c r="O1087" s="16" t="s">
        <v>29</v>
      </c>
      <c r="P1087" s="15">
        <v>209</v>
      </c>
      <c r="Q1087" s="8"/>
      <c r="R1087">
        <v>14.74</v>
      </c>
      <c r="S1087">
        <v>3203.44</v>
      </c>
      <c r="T1087">
        <v>5.15</v>
      </c>
      <c r="U1087">
        <v>10.59</v>
      </c>
      <c r="V1087">
        <v>147.41</v>
      </c>
      <c r="W1087" s="317">
        <v>3.9</v>
      </c>
      <c r="X1087" s="190">
        <f t="shared" si="38"/>
        <v>64.349999999999994</v>
      </c>
      <c r="Y1087" s="8"/>
      <c r="Z1087" s="8"/>
    </row>
    <row r="1088" spans="1:26" ht="12.75" customHeight="1" x14ac:dyDescent="0.2">
      <c r="A1088" s="15">
        <v>24</v>
      </c>
      <c r="B1088" s="15">
        <v>2007</v>
      </c>
      <c r="C1088" s="15">
        <v>28</v>
      </c>
      <c r="D1088" s="15">
        <v>7</v>
      </c>
      <c r="E1088" s="14">
        <v>0.75</v>
      </c>
      <c r="F1088" s="11" t="s">
        <v>51</v>
      </c>
      <c r="G1088" s="11">
        <v>139</v>
      </c>
      <c r="H1088" s="15" t="s">
        <v>29</v>
      </c>
      <c r="I1088" s="11">
        <v>9.8000000000000007</v>
      </c>
      <c r="J1088" s="11" t="s">
        <v>19</v>
      </c>
      <c r="K1088" s="11" t="s">
        <v>20</v>
      </c>
      <c r="L1088" s="11" t="s">
        <v>21</v>
      </c>
      <c r="M1088" s="11" t="s">
        <v>46</v>
      </c>
      <c r="N1088" s="11" t="s">
        <v>23</v>
      </c>
      <c r="O1088" s="16" t="s">
        <v>29</v>
      </c>
      <c r="P1088" s="15">
        <v>209</v>
      </c>
      <c r="Q1088" s="8"/>
      <c r="R1088">
        <v>12.97</v>
      </c>
      <c r="S1088">
        <v>2181.17</v>
      </c>
      <c r="T1088">
        <v>4.49</v>
      </c>
      <c r="U1088">
        <v>9.31</v>
      </c>
      <c r="V1088">
        <v>129.69</v>
      </c>
      <c r="W1088" s="317">
        <v>3.9</v>
      </c>
      <c r="X1088" s="190">
        <f t="shared" si="38"/>
        <v>38.22</v>
      </c>
      <c r="Y1088" s="8"/>
      <c r="Z1088" s="8"/>
    </row>
    <row r="1089" spans="1:26" ht="12.75" customHeight="1" x14ac:dyDescent="0.2">
      <c r="A1089" s="15">
        <v>25</v>
      </c>
      <c r="B1089" s="15">
        <v>2007</v>
      </c>
      <c r="C1089" s="15">
        <v>28</v>
      </c>
      <c r="D1089" s="15">
        <v>7</v>
      </c>
      <c r="E1089" s="14">
        <v>0.75</v>
      </c>
      <c r="F1089" s="11" t="s">
        <v>51</v>
      </c>
      <c r="G1089" s="11">
        <v>165</v>
      </c>
      <c r="H1089" s="15" t="s">
        <v>29</v>
      </c>
      <c r="I1089" s="11">
        <v>17</v>
      </c>
      <c r="J1089" s="11" t="s">
        <v>19</v>
      </c>
      <c r="K1089" s="11" t="s">
        <v>20</v>
      </c>
      <c r="L1089" s="11" t="s">
        <v>21</v>
      </c>
      <c r="M1089" s="11" t="s">
        <v>46</v>
      </c>
      <c r="N1089" s="11" t="s">
        <v>24</v>
      </c>
      <c r="O1089" s="16" t="s">
        <v>29</v>
      </c>
      <c r="P1089" s="15">
        <v>209</v>
      </c>
      <c r="Q1089" s="8"/>
      <c r="R1089">
        <v>15.39</v>
      </c>
      <c r="S1089">
        <v>3648.35</v>
      </c>
      <c r="T1089">
        <v>4.66</v>
      </c>
      <c r="U1089">
        <v>11.06</v>
      </c>
      <c r="V1089">
        <v>153.94999999999999</v>
      </c>
      <c r="W1089" s="317">
        <v>3.9</v>
      </c>
      <c r="X1089" s="190">
        <f t="shared" si="38"/>
        <v>66.3</v>
      </c>
      <c r="Y1089" s="8"/>
      <c r="Z1089" s="8"/>
    </row>
    <row r="1090" spans="1:26" ht="12.75" customHeight="1" x14ac:dyDescent="0.2">
      <c r="A1090" s="15">
        <v>26</v>
      </c>
      <c r="B1090" s="15">
        <v>2007</v>
      </c>
      <c r="C1090" s="15">
        <v>28</v>
      </c>
      <c r="D1090" s="15">
        <v>7</v>
      </c>
      <c r="E1090" s="14">
        <v>0.75</v>
      </c>
      <c r="F1090" s="11" t="s">
        <v>51</v>
      </c>
      <c r="G1090" s="11">
        <v>159</v>
      </c>
      <c r="H1090" s="15" t="s">
        <v>29</v>
      </c>
      <c r="I1090" s="11">
        <v>17.5</v>
      </c>
      <c r="J1090" s="11" t="s">
        <v>19</v>
      </c>
      <c r="K1090" s="11" t="s">
        <v>20</v>
      </c>
      <c r="L1090" s="11" t="s">
        <v>21</v>
      </c>
      <c r="M1090" s="11" t="s">
        <v>46</v>
      </c>
      <c r="N1090" s="11" t="s">
        <v>24</v>
      </c>
      <c r="O1090" s="16" t="s">
        <v>29</v>
      </c>
      <c r="P1090" s="15">
        <v>209</v>
      </c>
      <c r="Q1090" s="8"/>
      <c r="R1090">
        <v>14.83</v>
      </c>
      <c r="S1090">
        <v>3264.65</v>
      </c>
      <c r="T1090">
        <v>5.36</v>
      </c>
      <c r="U1090">
        <v>10.65</v>
      </c>
      <c r="V1090">
        <v>148.35</v>
      </c>
      <c r="W1090" s="317">
        <v>3.9</v>
      </c>
      <c r="X1090" s="190">
        <f t="shared" si="38"/>
        <v>68.25</v>
      </c>
      <c r="Y1090" s="8"/>
      <c r="Z1090" s="8"/>
    </row>
    <row r="1091" spans="1:26" ht="12.75" customHeight="1" x14ac:dyDescent="0.2">
      <c r="A1091" s="15">
        <v>27</v>
      </c>
      <c r="B1091" s="15">
        <v>2007</v>
      </c>
      <c r="C1091" s="15">
        <v>28</v>
      </c>
      <c r="D1091" s="15">
        <v>7</v>
      </c>
      <c r="E1091" s="14">
        <v>0.75</v>
      </c>
      <c r="F1091" s="11" t="s">
        <v>51</v>
      </c>
      <c r="G1091" s="11">
        <v>136</v>
      </c>
      <c r="H1091" s="15" t="s">
        <v>29</v>
      </c>
      <c r="I1091" s="11">
        <v>8.5</v>
      </c>
      <c r="J1091" s="11" t="s">
        <v>19</v>
      </c>
      <c r="K1091" s="11" t="s">
        <v>20</v>
      </c>
      <c r="L1091" s="11" t="s">
        <v>21</v>
      </c>
      <c r="M1091" s="11" t="s">
        <v>46</v>
      </c>
      <c r="N1091" s="11" t="s">
        <v>23</v>
      </c>
      <c r="O1091" s="16" t="s">
        <v>29</v>
      </c>
      <c r="P1091" s="15">
        <v>209</v>
      </c>
      <c r="Q1091" s="8"/>
      <c r="R1091">
        <v>12.69</v>
      </c>
      <c r="S1091">
        <v>2042.97</v>
      </c>
      <c r="T1091">
        <v>4.16</v>
      </c>
      <c r="U1091">
        <v>9.11</v>
      </c>
      <c r="V1091">
        <v>126.89</v>
      </c>
      <c r="W1091" s="317">
        <v>3.9</v>
      </c>
      <c r="X1091" s="190">
        <f t="shared" si="38"/>
        <v>33.15</v>
      </c>
      <c r="Y1091" s="8"/>
      <c r="Z1091" s="8"/>
    </row>
    <row r="1092" spans="1:26" ht="12.75" customHeight="1" x14ac:dyDescent="0.2">
      <c r="A1092" s="15">
        <v>28</v>
      </c>
      <c r="B1092" s="15">
        <v>2007</v>
      </c>
      <c r="C1092" s="15">
        <v>28</v>
      </c>
      <c r="D1092" s="15">
        <v>7</v>
      </c>
      <c r="E1092" s="14">
        <v>0.75</v>
      </c>
      <c r="F1092" s="11" t="s">
        <v>51</v>
      </c>
      <c r="G1092" s="11">
        <v>155</v>
      </c>
      <c r="H1092" s="15" t="s">
        <v>29</v>
      </c>
      <c r="I1092" s="11">
        <v>15</v>
      </c>
      <c r="J1092" s="11" t="s">
        <v>19</v>
      </c>
      <c r="K1092" s="11" t="s">
        <v>20</v>
      </c>
      <c r="L1092" s="11" t="s">
        <v>41</v>
      </c>
      <c r="M1092" s="11" t="s">
        <v>29</v>
      </c>
      <c r="N1092" s="11" t="s">
        <v>25</v>
      </c>
      <c r="O1092" s="16" t="s">
        <v>29</v>
      </c>
      <c r="P1092" s="15">
        <v>209</v>
      </c>
      <c r="Q1092" s="8"/>
      <c r="R1092">
        <v>14.46</v>
      </c>
      <c r="S1092">
        <v>3024.41</v>
      </c>
      <c r="T1092">
        <v>4.96</v>
      </c>
      <c r="U1092">
        <v>10.39</v>
      </c>
      <c r="V1092">
        <v>144.62</v>
      </c>
      <c r="W1092" s="8"/>
      <c r="X1092" s="8"/>
      <c r="Y1092" s="8"/>
      <c r="Z1092" s="8"/>
    </row>
    <row r="1093" spans="1:26" ht="12.75" customHeight="1" x14ac:dyDescent="0.2">
      <c r="A1093" s="15">
        <v>29</v>
      </c>
      <c r="B1093" s="15">
        <v>2007</v>
      </c>
      <c r="C1093" s="15">
        <v>28</v>
      </c>
      <c r="D1093" s="15">
        <v>7</v>
      </c>
      <c r="E1093" s="14">
        <v>0.75</v>
      </c>
      <c r="F1093" s="11" t="s">
        <v>51</v>
      </c>
      <c r="G1093" s="11">
        <v>136</v>
      </c>
      <c r="H1093" s="15" t="s">
        <v>29</v>
      </c>
      <c r="I1093" s="11">
        <v>10.7</v>
      </c>
      <c r="J1093" s="11" t="s">
        <v>19</v>
      </c>
      <c r="K1093" s="11" t="s">
        <v>20</v>
      </c>
      <c r="L1093" s="11" t="s">
        <v>21</v>
      </c>
      <c r="M1093" s="11" t="s">
        <v>27</v>
      </c>
      <c r="N1093" s="11" t="s">
        <v>33</v>
      </c>
      <c r="O1093" s="16" t="s">
        <v>29</v>
      </c>
      <c r="P1093" s="15">
        <v>209</v>
      </c>
      <c r="Q1093" s="8"/>
      <c r="R1093">
        <v>12.69</v>
      </c>
      <c r="S1093">
        <v>2042.97</v>
      </c>
      <c r="T1093">
        <v>5.24</v>
      </c>
      <c r="U1093">
        <v>9.11</v>
      </c>
      <c r="V1093">
        <v>126.89</v>
      </c>
      <c r="W1093" s="317">
        <v>3.9</v>
      </c>
      <c r="X1093" s="190">
        <f>I1093*W1093</f>
        <v>41.73</v>
      </c>
      <c r="Y1093" s="8"/>
      <c r="Z1093" s="8"/>
    </row>
    <row r="1094" spans="1:26" ht="12.75" customHeight="1" x14ac:dyDescent="0.2">
      <c r="A1094" s="15">
        <v>30</v>
      </c>
      <c r="B1094" s="15">
        <v>2007</v>
      </c>
      <c r="C1094" s="15">
        <v>28</v>
      </c>
      <c r="D1094" s="15">
        <v>7</v>
      </c>
      <c r="E1094" s="14">
        <v>0.75</v>
      </c>
      <c r="F1094" s="11" t="s">
        <v>51</v>
      </c>
      <c r="G1094" s="11">
        <v>139</v>
      </c>
      <c r="H1094" s="15" t="s">
        <v>29</v>
      </c>
      <c r="I1094" s="11">
        <v>12.9</v>
      </c>
      <c r="J1094" s="11" t="s">
        <v>19</v>
      </c>
      <c r="K1094" s="11" t="s">
        <v>20</v>
      </c>
      <c r="L1094" s="11" t="s">
        <v>30</v>
      </c>
      <c r="M1094" s="11" t="s">
        <v>46</v>
      </c>
      <c r="N1094" s="11" t="s">
        <v>24</v>
      </c>
      <c r="O1094" s="16" t="s">
        <v>29</v>
      </c>
      <c r="P1094" s="15">
        <v>209</v>
      </c>
      <c r="Q1094" s="8"/>
      <c r="R1094">
        <v>12.97</v>
      </c>
      <c r="S1094">
        <v>2181.17</v>
      </c>
      <c r="T1094">
        <v>5.91</v>
      </c>
      <c r="U1094">
        <v>9.31</v>
      </c>
      <c r="V1094">
        <v>129.69</v>
      </c>
      <c r="W1094" s="317">
        <v>4.5999999999999996</v>
      </c>
      <c r="X1094" s="190">
        <f>I1094*W1094</f>
        <v>59.339999999999996</v>
      </c>
      <c r="Y1094" s="8"/>
      <c r="Z1094" s="8"/>
    </row>
    <row r="1095" spans="1:26" ht="12.75" customHeight="1" x14ac:dyDescent="0.2">
      <c r="A1095" s="15">
        <v>31</v>
      </c>
      <c r="B1095" s="15">
        <v>2007</v>
      </c>
      <c r="C1095" s="15">
        <v>28</v>
      </c>
      <c r="D1095" s="15">
        <v>7</v>
      </c>
      <c r="E1095" s="14">
        <v>0.75</v>
      </c>
      <c r="F1095" s="11" t="s">
        <v>51</v>
      </c>
      <c r="G1095" s="11">
        <v>123</v>
      </c>
      <c r="H1095" s="15" t="s">
        <v>29</v>
      </c>
      <c r="I1095" s="11">
        <v>17.8</v>
      </c>
      <c r="J1095" s="11" t="s">
        <v>19</v>
      </c>
      <c r="K1095" s="11" t="s">
        <v>20</v>
      </c>
      <c r="L1095" s="11" t="s">
        <v>41</v>
      </c>
      <c r="M1095" s="11" t="s">
        <v>27</v>
      </c>
      <c r="N1095" s="11" t="s">
        <v>24</v>
      </c>
      <c r="O1095" s="16" t="s">
        <v>29</v>
      </c>
      <c r="P1095" s="15">
        <v>209</v>
      </c>
      <c r="Q1095" s="8"/>
      <c r="R1095">
        <v>11.48</v>
      </c>
      <c r="S1095">
        <v>1511.33</v>
      </c>
      <c r="T1095">
        <v>11.78</v>
      </c>
      <c r="U1095">
        <v>8.24</v>
      </c>
      <c r="V1095">
        <v>114.76</v>
      </c>
      <c r="W1095" s="8"/>
      <c r="X1095" s="8"/>
      <c r="Y1095" s="8"/>
      <c r="Z1095" s="8"/>
    </row>
    <row r="1096" spans="1:26" ht="12.75" customHeight="1" x14ac:dyDescent="0.2">
      <c r="A1096" s="15">
        <v>32</v>
      </c>
      <c r="B1096" s="15">
        <v>2007</v>
      </c>
      <c r="C1096" s="15">
        <v>28</v>
      </c>
      <c r="D1096" s="15">
        <v>7</v>
      </c>
      <c r="E1096" s="14">
        <v>0.75</v>
      </c>
      <c r="F1096" s="11" t="s">
        <v>51</v>
      </c>
      <c r="G1096" s="11">
        <v>156</v>
      </c>
      <c r="H1096" s="15" t="s">
        <v>29</v>
      </c>
      <c r="I1096" s="11">
        <v>16</v>
      </c>
      <c r="J1096" s="11" t="s">
        <v>19</v>
      </c>
      <c r="K1096" s="11" t="s">
        <v>20</v>
      </c>
      <c r="L1096" s="11" t="s">
        <v>21</v>
      </c>
      <c r="M1096" s="11" t="s">
        <v>47</v>
      </c>
      <c r="N1096" s="11" t="s">
        <v>24</v>
      </c>
      <c r="O1096" s="16" t="s">
        <v>29</v>
      </c>
      <c r="P1096" s="15">
        <v>209</v>
      </c>
      <c r="Q1096" s="8"/>
      <c r="R1096">
        <v>14.55</v>
      </c>
      <c r="S1096">
        <v>3083.32</v>
      </c>
      <c r="T1096">
        <v>5.19</v>
      </c>
      <c r="U1096">
        <v>10.45</v>
      </c>
      <c r="V1096">
        <v>145.55000000000001</v>
      </c>
      <c r="W1096" s="317">
        <v>3.9</v>
      </c>
      <c r="X1096" s="190">
        <f>I1096*W1096</f>
        <v>62.4</v>
      </c>
      <c r="Y1096" s="8"/>
      <c r="Z1096" s="8"/>
    </row>
    <row r="1097" spans="1:26" ht="12.75" customHeight="1" x14ac:dyDescent="0.2">
      <c r="A1097" s="15">
        <v>33</v>
      </c>
      <c r="B1097" s="15">
        <v>2007</v>
      </c>
      <c r="C1097" s="15">
        <v>28</v>
      </c>
      <c r="D1097" s="15">
        <v>7</v>
      </c>
      <c r="E1097" s="14">
        <v>0.75</v>
      </c>
      <c r="F1097" s="11" t="s">
        <v>51</v>
      </c>
      <c r="G1097" s="11">
        <v>161</v>
      </c>
      <c r="H1097" s="15" t="s">
        <v>29</v>
      </c>
      <c r="I1097" s="11">
        <v>14.8</v>
      </c>
      <c r="J1097" s="11" t="s">
        <v>19</v>
      </c>
      <c r="K1097" s="11" t="s">
        <v>20</v>
      </c>
      <c r="L1097" s="11" t="s">
        <v>30</v>
      </c>
      <c r="M1097" s="11" t="s">
        <v>27</v>
      </c>
      <c r="N1097" s="11" t="s">
        <v>25</v>
      </c>
      <c r="O1097" s="16" t="s">
        <v>29</v>
      </c>
      <c r="P1097" s="15">
        <v>209</v>
      </c>
      <c r="Q1097" s="8"/>
      <c r="R1097">
        <v>15.02</v>
      </c>
      <c r="S1097">
        <v>3389.4</v>
      </c>
      <c r="T1097">
        <v>4.37</v>
      </c>
      <c r="U1097">
        <v>10.79</v>
      </c>
      <c r="V1097">
        <v>150.21</v>
      </c>
      <c r="W1097" s="317">
        <v>4.5999999999999996</v>
      </c>
      <c r="X1097" s="190">
        <f>I1097*W1097</f>
        <v>68.08</v>
      </c>
      <c r="Y1097" s="8"/>
      <c r="Z1097" s="8"/>
    </row>
    <row r="1098" spans="1:26" ht="12.75" customHeight="1" x14ac:dyDescent="0.2">
      <c r="A1098" s="15">
        <v>34</v>
      </c>
      <c r="B1098" s="15">
        <v>2007</v>
      </c>
      <c r="C1098" s="15">
        <v>28</v>
      </c>
      <c r="D1098" s="15">
        <v>7</v>
      </c>
      <c r="E1098" s="14">
        <v>0.75</v>
      </c>
      <c r="F1098" s="11" t="s">
        <v>51</v>
      </c>
      <c r="G1098" s="11">
        <v>133</v>
      </c>
      <c r="H1098" s="15" t="s">
        <v>29</v>
      </c>
      <c r="I1098" s="11">
        <v>12.2</v>
      </c>
      <c r="J1098" s="11" t="s">
        <v>19</v>
      </c>
      <c r="K1098" s="11" t="s">
        <v>20</v>
      </c>
      <c r="L1098" s="11" t="s">
        <v>30</v>
      </c>
      <c r="M1098" s="11" t="s">
        <v>46</v>
      </c>
      <c r="N1098" s="11" t="s">
        <v>23</v>
      </c>
      <c r="O1098" s="16" t="s">
        <v>29</v>
      </c>
      <c r="P1098" s="15">
        <v>209</v>
      </c>
      <c r="Q1098" s="8"/>
      <c r="R1098">
        <v>12.41</v>
      </c>
      <c r="S1098">
        <v>1910.73</v>
      </c>
      <c r="T1098">
        <v>6.38</v>
      </c>
      <c r="U1098">
        <v>8.91</v>
      </c>
      <c r="V1098">
        <v>124.09</v>
      </c>
      <c r="W1098" s="317">
        <v>4.5999999999999996</v>
      </c>
      <c r="X1098" s="190">
        <f>I1098*W1098</f>
        <v>56.11999999999999</v>
      </c>
      <c r="Y1098" s="8"/>
      <c r="Z1098" s="8"/>
    </row>
    <row r="1099" spans="1:26" ht="12.75" customHeight="1" x14ac:dyDescent="0.2">
      <c r="A1099" s="15">
        <v>35</v>
      </c>
      <c r="B1099" s="15">
        <v>2007</v>
      </c>
      <c r="C1099" s="15">
        <v>28</v>
      </c>
      <c r="D1099" s="15">
        <v>7</v>
      </c>
      <c r="E1099" s="14">
        <v>0.75</v>
      </c>
      <c r="F1099" s="11" t="s">
        <v>51</v>
      </c>
      <c r="G1099" s="11">
        <v>146</v>
      </c>
      <c r="H1099" s="15" t="s">
        <v>29</v>
      </c>
      <c r="I1099" s="11">
        <v>13.2</v>
      </c>
      <c r="J1099" s="11" t="s">
        <v>19</v>
      </c>
      <c r="K1099" s="11" t="s">
        <v>20</v>
      </c>
      <c r="L1099" s="11" t="s">
        <v>21</v>
      </c>
      <c r="M1099" s="11" t="s">
        <v>46</v>
      </c>
      <c r="N1099" s="11" t="s">
        <v>33</v>
      </c>
      <c r="O1099" s="16" t="s">
        <v>29</v>
      </c>
      <c r="P1099" s="15">
        <v>209</v>
      </c>
      <c r="Q1099" s="8"/>
      <c r="R1099">
        <v>13.62</v>
      </c>
      <c r="S1099">
        <v>2527.5700000000002</v>
      </c>
      <c r="T1099">
        <v>5.22</v>
      </c>
      <c r="U1099">
        <v>9.7799999999999994</v>
      </c>
      <c r="V1099">
        <v>136.22</v>
      </c>
      <c r="W1099" s="317">
        <v>3.9</v>
      </c>
      <c r="X1099" s="190">
        <f>I1099*W1099</f>
        <v>51.48</v>
      </c>
      <c r="Y1099" s="8"/>
      <c r="Z1099" s="8"/>
    </row>
    <row r="1100" spans="1:26" ht="12.75" customHeight="1" x14ac:dyDescent="0.2">
      <c r="A1100" s="15">
        <v>36</v>
      </c>
      <c r="B1100" s="15">
        <v>2007</v>
      </c>
      <c r="C1100" s="15">
        <v>28</v>
      </c>
      <c r="D1100" s="15">
        <v>7</v>
      </c>
      <c r="E1100" s="14">
        <v>0.75</v>
      </c>
      <c r="F1100" s="11" t="s">
        <v>28</v>
      </c>
      <c r="G1100" s="11" t="s">
        <v>29</v>
      </c>
      <c r="H1100" s="15" t="s">
        <v>29</v>
      </c>
      <c r="I1100" s="25" t="s">
        <v>29</v>
      </c>
      <c r="J1100" s="11" t="s">
        <v>19</v>
      </c>
      <c r="K1100" s="11" t="s">
        <v>20</v>
      </c>
      <c r="L1100" s="11" t="s">
        <v>41</v>
      </c>
      <c r="M1100" s="11" t="s">
        <v>29</v>
      </c>
      <c r="N1100" s="11" t="s">
        <v>29</v>
      </c>
      <c r="O1100" s="16" t="s">
        <v>29</v>
      </c>
      <c r="P1100" s="15">
        <v>209</v>
      </c>
      <c r="Q1100" s="8"/>
      <c r="W1100" s="8"/>
      <c r="X1100" s="8"/>
      <c r="Y1100" s="8"/>
      <c r="Z1100" s="8"/>
    </row>
    <row r="1101" spans="1:26" ht="12.75" customHeight="1" x14ac:dyDescent="0.2">
      <c r="A1101" s="15">
        <v>37</v>
      </c>
      <c r="B1101" s="15">
        <v>2007</v>
      </c>
      <c r="C1101" s="15">
        <v>28</v>
      </c>
      <c r="D1101" s="15">
        <v>7</v>
      </c>
      <c r="E1101" s="14">
        <v>0.75</v>
      </c>
      <c r="F1101" s="11" t="s">
        <v>51</v>
      </c>
      <c r="G1101" s="11">
        <v>133</v>
      </c>
      <c r="H1101" s="15" t="s">
        <v>29</v>
      </c>
      <c r="I1101" s="11">
        <v>8</v>
      </c>
      <c r="J1101" s="11" t="s">
        <v>19</v>
      </c>
      <c r="K1101" s="11" t="s">
        <v>20</v>
      </c>
      <c r="L1101" s="11" t="s">
        <v>21</v>
      </c>
      <c r="M1101" s="11" t="s">
        <v>45</v>
      </c>
      <c r="N1101" s="11" t="s">
        <v>23</v>
      </c>
      <c r="O1101" s="16" t="s">
        <v>29</v>
      </c>
      <c r="P1101" s="15">
        <v>209</v>
      </c>
      <c r="Q1101" s="8"/>
      <c r="R1101">
        <v>12.41</v>
      </c>
      <c r="S1101">
        <v>1910.73</v>
      </c>
      <c r="T1101">
        <v>4.1900000000000004</v>
      </c>
      <c r="U1101">
        <v>8.91</v>
      </c>
      <c r="V1101">
        <v>124.09</v>
      </c>
      <c r="W1101" s="317">
        <v>3.9</v>
      </c>
      <c r="X1101" s="190">
        <f t="shared" ref="X1101:X1111" si="39">I1101*W1101</f>
        <v>31.2</v>
      </c>
      <c r="Y1101" s="8"/>
      <c r="Z1101" s="8"/>
    </row>
    <row r="1102" spans="1:26" ht="12.75" customHeight="1" x14ac:dyDescent="0.2">
      <c r="A1102" s="15">
        <v>38</v>
      </c>
      <c r="B1102" s="15">
        <v>2007</v>
      </c>
      <c r="C1102" s="15">
        <v>28</v>
      </c>
      <c r="D1102" s="15">
        <v>7</v>
      </c>
      <c r="E1102" s="14">
        <v>0.75</v>
      </c>
      <c r="F1102" s="11" t="s">
        <v>51</v>
      </c>
      <c r="G1102" s="11">
        <v>134</v>
      </c>
      <c r="H1102" s="15" t="s">
        <v>29</v>
      </c>
      <c r="I1102" s="11">
        <v>8</v>
      </c>
      <c r="J1102" s="11" t="s">
        <v>19</v>
      </c>
      <c r="K1102" s="11" t="s">
        <v>20</v>
      </c>
      <c r="L1102" s="11" t="s">
        <v>35</v>
      </c>
      <c r="M1102" s="11" t="s">
        <v>46</v>
      </c>
      <c r="N1102" s="11" t="s">
        <v>25</v>
      </c>
      <c r="O1102" s="16" t="s">
        <v>29</v>
      </c>
      <c r="P1102" s="15">
        <v>209</v>
      </c>
      <c r="Q1102" s="8"/>
      <c r="R1102">
        <v>12.5</v>
      </c>
      <c r="S1102">
        <v>1954.16</v>
      </c>
      <c r="T1102">
        <v>4.09</v>
      </c>
      <c r="U1102">
        <v>8.98</v>
      </c>
      <c r="V1102">
        <v>125.02</v>
      </c>
      <c r="W1102" s="317">
        <v>3.9</v>
      </c>
      <c r="X1102" s="190">
        <f t="shared" si="39"/>
        <v>31.2</v>
      </c>
      <c r="Y1102" s="8"/>
      <c r="Z1102" s="8"/>
    </row>
    <row r="1103" spans="1:26" ht="12.75" customHeight="1" x14ac:dyDescent="0.2">
      <c r="A1103" s="15">
        <v>39</v>
      </c>
      <c r="B1103" s="15">
        <v>2007</v>
      </c>
      <c r="C1103" s="15">
        <v>28</v>
      </c>
      <c r="D1103" s="15">
        <v>7</v>
      </c>
      <c r="E1103" s="14">
        <v>0.75</v>
      </c>
      <c r="F1103" s="11" t="s">
        <v>51</v>
      </c>
      <c r="G1103" s="11">
        <v>147</v>
      </c>
      <c r="H1103" s="15" t="s">
        <v>29</v>
      </c>
      <c r="I1103" s="11">
        <v>9.5</v>
      </c>
      <c r="J1103" s="11" t="s">
        <v>19</v>
      </c>
      <c r="K1103" s="11" t="s">
        <v>20</v>
      </c>
      <c r="L1103" s="11" t="s">
        <v>21</v>
      </c>
      <c r="M1103" s="11" t="s">
        <v>46</v>
      </c>
      <c r="N1103" s="11" t="s">
        <v>25</v>
      </c>
      <c r="O1103" s="16" t="s">
        <v>29</v>
      </c>
      <c r="P1103" s="15">
        <v>209</v>
      </c>
      <c r="Q1103" s="8"/>
      <c r="R1103">
        <v>13.72</v>
      </c>
      <c r="S1103">
        <v>2579.86</v>
      </c>
      <c r="T1103">
        <v>3.68</v>
      </c>
      <c r="U1103">
        <v>9.85</v>
      </c>
      <c r="V1103">
        <v>137.15</v>
      </c>
      <c r="W1103" s="317">
        <v>3.9</v>
      </c>
      <c r="X1103" s="190">
        <f t="shared" si="39"/>
        <v>37.049999999999997</v>
      </c>
      <c r="Y1103" s="8"/>
      <c r="Z1103" s="8"/>
    </row>
    <row r="1104" spans="1:26" ht="12.75" customHeight="1" x14ac:dyDescent="0.2">
      <c r="A1104" s="15">
        <v>40</v>
      </c>
      <c r="B1104" s="15">
        <v>2007</v>
      </c>
      <c r="C1104" s="15">
        <v>28</v>
      </c>
      <c r="D1104" s="15">
        <v>7</v>
      </c>
      <c r="E1104" s="14">
        <v>0.75</v>
      </c>
      <c r="F1104" s="11" t="s">
        <v>51</v>
      </c>
      <c r="G1104" s="11">
        <v>130</v>
      </c>
      <c r="H1104" s="15" t="s">
        <v>29</v>
      </c>
      <c r="I1104" s="11">
        <v>8.1999999999999993</v>
      </c>
      <c r="J1104" s="11" t="s">
        <v>19</v>
      </c>
      <c r="K1104" s="11" t="s">
        <v>20</v>
      </c>
      <c r="L1104" s="11" t="s">
        <v>21</v>
      </c>
      <c r="M1104" s="11" t="s">
        <v>46</v>
      </c>
      <c r="N1104" s="11" t="s">
        <v>23</v>
      </c>
      <c r="O1104" s="16" t="s">
        <v>29</v>
      </c>
      <c r="P1104" s="15">
        <v>209</v>
      </c>
      <c r="Q1104" s="8"/>
      <c r="R1104">
        <v>12.13</v>
      </c>
      <c r="S1104">
        <v>1784.33</v>
      </c>
      <c r="T1104">
        <v>4.5999999999999996</v>
      </c>
      <c r="U1104">
        <v>8.7100000000000009</v>
      </c>
      <c r="V1104">
        <v>121.29</v>
      </c>
      <c r="W1104" s="317">
        <v>3.9</v>
      </c>
      <c r="X1104" s="190">
        <f t="shared" si="39"/>
        <v>31.979999999999997</v>
      </c>
      <c r="Y1104" s="8"/>
      <c r="Z1104" s="8"/>
    </row>
    <row r="1105" spans="1:26" ht="12.75" customHeight="1" x14ac:dyDescent="0.2">
      <c r="A1105" s="15">
        <v>41</v>
      </c>
      <c r="B1105" s="15">
        <v>2007</v>
      </c>
      <c r="C1105" s="15">
        <v>28</v>
      </c>
      <c r="D1105" s="15">
        <v>7</v>
      </c>
      <c r="E1105" s="14">
        <v>0.75</v>
      </c>
      <c r="F1105" s="11" t="s">
        <v>51</v>
      </c>
      <c r="G1105" s="11">
        <v>155</v>
      </c>
      <c r="H1105" s="15" t="s">
        <v>29</v>
      </c>
      <c r="I1105" s="11">
        <v>16.100000000000001</v>
      </c>
      <c r="J1105" s="11" t="s">
        <v>19</v>
      </c>
      <c r="K1105" s="11" t="s">
        <v>20</v>
      </c>
      <c r="L1105" s="11" t="s">
        <v>21</v>
      </c>
      <c r="M1105" s="11" t="s">
        <v>46</v>
      </c>
      <c r="N1105" s="11" t="s">
        <v>23</v>
      </c>
      <c r="O1105" s="16" t="s">
        <v>29</v>
      </c>
      <c r="P1105" s="15">
        <v>209</v>
      </c>
      <c r="Q1105" s="8"/>
      <c r="R1105">
        <v>14.46</v>
      </c>
      <c r="S1105">
        <v>3024.41</v>
      </c>
      <c r="T1105">
        <v>5.32</v>
      </c>
      <c r="U1105">
        <v>10.39</v>
      </c>
      <c r="V1105">
        <v>144.62</v>
      </c>
      <c r="W1105" s="317">
        <v>3.9</v>
      </c>
      <c r="X1105" s="190">
        <f t="shared" si="39"/>
        <v>62.790000000000006</v>
      </c>
      <c r="Y1105" s="8"/>
      <c r="Z1105" s="8"/>
    </row>
    <row r="1106" spans="1:26" ht="12.75" customHeight="1" x14ac:dyDescent="0.2">
      <c r="A1106" s="15">
        <v>42</v>
      </c>
      <c r="B1106" s="15">
        <v>2007</v>
      </c>
      <c r="C1106" s="15">
        <v>28</v>
      </c>
      <c r="D1106" s="15">
        <v>7</v>
      </c>
      <c r="E1106" s="14">
        <v>0.75</v>
      </c>
      <c r="F1106" s="11" t="s">
        <v>51</v>
      </c>
      <c r="G1106" s="11">
        <v>160</v>
      </c>
      <c r="H1106" s="15" t="s">
        <v>29</v>
      </c>
      <c r="I1106" s="11">
        <v>14.8</v>
      </c>
      <c r="J1106" s="11" t="s">
        <v>19</v>
      </c>
      <c r="K1106" s="11" t="s">
        <v>20</v>
      </c>
      <c r="L1106" s="11" t="s">
        <v>21</v>
      </c>
      <c r="M1106" s="11" t="s">
        <v>47</v>
      </c>
      <c r="N1106" s="11" t="s">
        <v>23</v>
      </c>
      <c r="O1106" s="16" t="s">
        <v>29</v>
      </c>
      <c r="P1106" s="15">
        <v>209</v>
      </c>
      <c r="Q1106" s="8"/>
      <c r="R1106">
        <v>14.93</v>
      </c>
      <c r="S1106">
        <v>3326.63</v>
      </c>
      <c r="T1106">
        <v>4.45</v>
      </c>
      <c r="U1106">
        <v>10.72</v>
      </c>
      <c r="V1106">
        <v>149.28</v>
      </c>
      <c r="W1106" s="317">
        <v>3.9</v>
      </c>
      <c r="X1106" s="190">
        <f t="shared" si="39"/>
        <v>57.72</v>
      </c>
      <c r="Y1106" s="8"/>
      <c r="Z1106" s="8"/>
    </row>
    <row r="1107" spans="1:26" ht="12.75" customHeight="1" x14ac:dyDescent="0.2">
      <c r="A1107" s="15">
        <v>43</v>
      </c>
      <c r="B1107" s="15">
        <v>2007</v>
      </c>
      <c r="C1107" s="15">
        <v>28</v>
      </c>
      <c r="D1107" s="15">
        <v>7</v>
      </c>
      <c r="E1107" s="14">
        <v>0.75</v>
      </c>
      <c r="F1107" s="11" t="s">
        <v>51</v>
      </c>
      <c r="G1107" s="11">
        <v>127</v>
      </c>
      <c r="H1107" s="15" t="s">
        <v>29</v>
      </c>
      <c r="I1107" s="11">
        <v>7.6</v>
      </c>
      <c r="J1107" s="11" t="s">
        <v>19</v>
      </c>
      <c r="K1107" s="11" t="s">
        <v>20</v>
      </c>
      <c r="L1107" s="11" t="s">
        <v>21</v>
      </c>
      <c r="M1107" s="11" t="s">
        <v>46</v>
      </c>
      <c r="N1107" s="11" t="s">
        <v>23</v>
      </c>
      <c r="O1107" s="16" t="s">
        <v>29</v>
      </c>
      <c r="P1107" s="15">
        <v>209</v>
      </c>
      <c r="Q1107" s="8"/>
      <c r="R1107">
        <v>11.85</v>
      </c>
      <c r="S1107">
        <v>1663.63</v>
      </c>
      <c r="T1107">
        <v>4.57</v>
      </c>
      <c r="U1107">
        <v>8.51</v>
      </c>
      <c r="V1107">
        <v>118.49</v>
      </c>
      <c r="W1107" s="317">
        <v>3.9</v>
      </c>
      <c r="X1107" s="190">
        <f t="shared" si="39"/>
        <v>29.639999999999997</v>
      </c>
      <c r="Y1107" s="8"/>
      <c r="Z1107" s="8"/>
    </row>
    <row r="1108" spans="1:26" ht="12.75" customHeight="1" x14ac:dyDescent="0.2">
      <c r="A1108" s="15">
        <v>44</v>
      </c>
      <c r="B1108" s="15">
        <v>2007</v>
      </c>
      <c r="C1108" s="15">
        <v>28</v>
      </c>
      <c r="D1108" s="15">
        <v>7</v>
      </c>
      <c r="E1108" s="14">
        <v>0.75</v>
      </c>
      <c r="F1108" s="11" t="s">
        <v>51</v>
      </c>
      <c r="G1108" s="11">
        <v>128</v>
      </c>
      <c r="H1108" s="15" t="s">
        <v>29</v>
      </c>
      <c r="I1108" s="11">
        <v>6.8</v>
      </c>
      <c r="J1108" s="11" t="s">
        <v>19</v>
      </c>
      <c r="K1108" s="11" t="s">
        <v>20</v>
      </c>
      <c r="L1108" s="11" t="s">
        <v>21</v>
      </c>
      <c r="M1108" s="11" t="s">
        <v>27</v>
      </c>
      <c r="N1108" s="11" t="s">
        <v>25</v>
      </c>
      <c r="O1108" s="16" t="s">
        <v>29</v>
      </c>
      <c r="P1108" s="15">
        <v>209</v>
      </c>
      <c r="Q1108" s="8"/>
      <c r="R1108">
        <v>11.94</v>
      </c>
      <c r="S1108">
        <v>1703.24</v>
      </c>
      <c r="T1108">
        <v>3.99</v>
      </c>
      <c r="U1108">
        <v>8.58</v>
      </c>
      <c r="V1108">
        <v>119.42</v>
      </c>
      <c r="W1108" s="317">
        <v>3.9</v>
      </c>
      <c r="X1108" s="190">
        <f t="shared" si="39"/>
        <v>26.52</v>
      </c>
      <c r="Y1108" s="8"/>
      <c r="Z1108" s="8"/>
    </row>
    <row r="1109" spans="1:26" ht="12.75" customHeight="1" x14ac:dyDescent="0.2">
      <c r="A1109" s="15">
        <v>45</v>
      </c>
      <c r="B1109" s="15">
        <v>2007</v>
      </c>
      <c r="C1109" s="15">
        <v>28</v>
      </c>
      <c r="D1109" s="15">
        <v>7</v>
      </c>
      <c r="E1109" s="14">
        <v>0.75</v>
      </c>
      <c r="F1109" s="11" t="s">
        <v>28</v>
      </c>
      <c r="G1109" s="11" t="s">
        <v>29</v>
      </c>
      <c r="H1109" s="15" t="s">
        <v>29</v>
      </c>
      <c r="I1109" s="25" t="s">
        <v>29</v>
      </c>
      <c r="J1109" s="11" t="s">
        <v>19</v>
      </c>
      <c r="K1109" s="11" t="s">
        <v>20</v>
      </c>
      <c r="L1109" s="11" t="s">
        <v>21</v>
      </c>
      <c r="M1109" s="11" t="s">
        <v>29</v>
      </c>
      <c r="N1109" s="11" t="s">
        <v>29</v>
      </c>
      <c r="O1109" s="16" t="s">
        <v>29</v>
      </c>
      <c r="P1109" s="15">
        <v>209</v>
      </c>
      <c r="Q1109" s="8"/>
      <c r="W1109" s="317">
        <v>3.9</v>
      </c>
      <c r="X1109" s="190"/>
      <c r="Y1109" s="8"/>
      <c r="Z1109" s="8"/>
    </row>
    <row r="1110" spans="1:26" ht="12.75" customHeight="1" x14ac:dyDescent="0.2">
      <c r="A1110" s="15">
        <v>46</v>
      </c>
      <c r="B1110" s="15">
        <v>2007</v>
      </c>
      <c r="C1110" s="15">
        <v>28</v>
      </c>
      <c r="D1110" s="15">
        <v>7</v>
      </c>
      <c r="E1110" s="14">
        <v>0.75</v>
      </c>
      <c r="F1110" s="11" t="s">
        <v>51</v>
      </c>
      <c r="G1110" s="11">
        <v>162</v>
      </c>
      <c r="H1110" s="15" t="s">
        <v>29</v>
      </c>
      <c r="I1110" s="11">
        <v>16</v>
      </c>
      <c r="J1110" s="11" t="s">
        <v>19</v>
      </c>
      <c r="K1110" s="11" t="s">
        <v>20</v>
      </c>
      <c r="L1110" s="11" t="s">
        <v>21</v>
      </c>
      <c r="M1110" s="11" t="s">
        <v>27</v>
      </c>
      <c r="N1110" s="11" t="s">
        <v>24</v>
      </c>
      <c r="O1110" s="16" t="s">
        <v>29</v>
      </c>
      <c r="P1110" s="15">
        <v>209</v>
      </c>
      <c r="Q1110" s="8"/>
      <c r="R1110">
        <v>15.11</v>
      </c>
      <c r="S1110">
        <v>3452.95</v>
      </c>
      <c r="T1110">
        <v>4.63</v>
      </c>
      <c r="U1110">
        <v>10.85</v>
      </c>
      <c r="V1110">
        <v>151.15</v>
      </c>
      <c r="W1110" s="317">
        <v>3.9</v>
      </c>
      <c r="X1110" s="190">
        <f t="shared" si="39"/>
        <v>62.4</v>
      </c>
      <c r="Y1110" s="8"/>
      <c r="Z1110" s="8"/>
    </row>
    <row r="1111" spans="1:26" ht="12.75" customHeight="1" x14ac:dyDescent="0.2">
      <c r="A1111" s="15">
        <v>47</v>
      </c>
      <c r="B1111" s="15">
        <v>2007</v>
      </c>
      <c r="C1111" s="15">
        <v>28</v>
      </c>
      <c r="D1111" s="15">
        <v>7</v>
      </c>
      <c r="E1111" s="14">
        <v>0.75</v>
      </c>
      <c r="F1111" s="11" t="s">
        <v>51</v>
      </c>
      <c r="G1111" s="11">
        <v>151</v>
      </c>
      <c r="H1111" s="15" t="s">
        <v>29</v>
      </c>
      <c r="I1111" s="11">
        <v>14.5</v>
      </c>
      <c r="J1111" s="11" t="s">
        <v>19</v>
      </c>
      <c r="K1111" s="11" t="s">
        <v>20</v>
      </c>
      <c r="L1111" s="11" t="s">
        <v>21</v>
      </c>
      <c r="M1111" s="11" t="s">
        <v>47</v>
      </c>
      <c r="N1111" s="11" t="s">
        <v>33</v>
      </c>
      <c r="O1111" s="16" t="s">
        <v>29</v>
      </c>
      <c r="P1111" s="15">
        <v>209</v>
      </c>
      <c r="Q1111" s="8"/>
      <c r="R1111">
        <v>14.09</v>
      </c>
      <c r="S1111">
        <v>2796.25</v>
      </c>
      <c r="T1111">
        <v>5.19</v>
      </c>
      <c r="U1111">
        <v>10.119999999999999</v>
      </c>
      <c r="V1111">
        <v>140.88</v>
      </c>
      <c r="W1111" s="317">
        <v>3.9</v>
      </c>
      <c r="X1111" s="190">
        <f t="shared" si="39"/>
        <v>56.55</v>
      </c>
      <c r="Y1111" s="8"/>
      <c r="Z1111" s="8"/>
    </row>
    <row r="1112" spans="1:26" ht="12.75" customHeight="1" x14ac:dyDescent="0.2">
      <c r="A1112" s="15">
        <v>48</v>
      </c>
      <c r="B1112" s="15">
        <v>2007</v>
      </c>
      <c r="C1112" s="15">
        <v>28</v>
      </c>
      <c r="D1112" s="15">
        <v>7</v>
      </c>
      <c r="E1112" s="14">
        <v>0.75</v>
      </c>
      <c r="F1112" s="11" t="s">
        <v>51</v>
      </c>
      <c r="G1112" s="11">
        <v>149</v>
      </c>
      <c r="H1112" s="15" t="s">
        <v>29</v>
      </c>
      <c r="I1112" s="11">
        <v>17.5</v>
      </c>
      <c r="J1112" s="11" t="s">
        <v>19</v>
      </c>
      <c r="K1112" s="11" t="s">
        <v>20</v>
      </c>
      <c r="L1112" s="11" t="s">
        <v>41</v>
      </c>
      <c r="M1112" s="11" t="s">
        <v>46</v>
      </c>
      <c r="N1112" s="11" t="s">
        <v>24</v>
      </c>
      <c r="O1112" s="16" t="s">
        <v>29</v>
      </c>
      <c r="P1112" s="15">
        <v>209</v>
      </c>
      <c r="Q1112" s="8"/>
      <c r="R1112">
        <v>13.9</v>
      </c>
      <c r="S1112">
        <v>2686.6</v>
      </c>
      <c r="T1112">
        <v>6.51</v>
      </c>
      <c r="U1112">
        <v>9.98</v>
      </c>
      <c r="V1112">
        <v>139.02000000000001</v>
      </c>
      <c r="W1112" s="8"/>
      <c r="X1112" s="8"/>
      <c r="Y1112" s="8"/>
      <c r="Z1112" s="8"/>
    </row>
    <row r="1113" spans="1:26" ht="12.75" customHeight="1" x14ac:dyDescent="0.2">
      <c r="A1113" s="15">
        <v>49</v>
      </c>
      <c r="B1113" s="15">
        <v>2007</v>
      </c>
      <c r="C1113" s="15">
        <v>28</v>
      </c>
      <c r="D1113" s="15">
        <v>7</v>
      </c>
      <c r="E1113" s="14">
        <v>0.75</v>
      </c>
      <c r="F1113" s="11" t="s">
        <v>51</v>
      </c>
      <c r="G1113" s="11">
        <v>147</v>
      </c>
      <c r="H1113" s="15" t="s">
        <v>29</v>
      </c>
      <c r="I1113" s="11">
        <v>11.5</v>
      </c>
      <c r="J1113" s="11" t="s">
        <v>19</v>
      </c>
      <c r="K1113" s="11" t="s">
        <v>20</v>
      </c>
      <c r="L1113" s="11" t="s">
        <v>21</v>
      </c>
      <c r="M1113" s="11" t="s">
        <v>27</v>
      </c>
      <c r="N1113" s="11" t="s">
        <v>24</v>
      </c>
      <c r="O1113" s="16" t="s">
        <v>29</v>
      </c>
      <c r="P1113" s="15">
        <v>209</v>
      </c>
      <c r="Q1113" s="8"/>
      <c r="R1113">
        <v>13.72</v>
      </c>
      <c r="S1113">
        <v>2579.86</v>
      </c>
      <c r="T1113">
        <v>4.46</v>
      </c>
      <c r="U1113">
        <v>9.85</v>
      </c>
      <c r="V1113">
        <v>137.15</v>
      </c>
      <c r="W1113" s="317">
        <v>3.9</v>
      </c>
      <c r="X1113" s="190">
        <f t="shared" ref="X1113:X1120" si="40">I1113*W1113</f>
        <v>44.85</v>
      </c>
      <c r="Y1113" s="8"/>
      <c r="Z1113" s="8"/>
    </row>
    <row r="1114" spans="1:26" ht="12.75" customHeight="1" x14ac:dyDescent="0.2">
      <c r="A1114" s="15">
        <v>50</v>
      </c>
      <c r="B1114" s="15">
        <v>2007</v>
      </c>
      <c r="C1114" s="15">
        <v>28</v>
      </c>
      <c r="D1114" s="15">
        <v>7</v>
      </c>
      <c r="E1114" s="14">
        <v>0.75</v>
      </c>
      <c r="F1114" s="11" t="s">
        <v>51</v>
      </c>
      <c r="G1114" s="11">
        <v>135</v>
      </c>
      <c r="H1114" s="15" t="s">
        <v>29</v>
      </c>
      <c r="I1114" s="11">
        <v>9.5</v>
      </c>
      <c r="J1114" s="11" t="s">
        <v>19</v>
      </c>
      <c r="K1114" s="11" t="s">
        <v>20</v>
      </c>
      <c r="L1114" s="11" t="s">
        <v>30</v>
      </c>
      <c r="M1114" s="11" t="s">
        <v>46</v>
      </c>
      <c r="N1114" s="11" t="s">
        <v>25</v>
      </c>
      <c r="O1114" s="16" t="s">
        <v>29</v>
      </c>
      <c r="P1114" s="15">
        <v>209</v>
      </c>
      <c r="Q1114" s="8"/>
      <c r="R1114">
        <v>12.6</v>
      </c>
      <c r="S1114">
        <v>1998.23</v>
      </c>
      <c r="T1114">
        <v>4.75</v>
      </c>
      <c r="U1114">
        <v>9.0500000000000007</v>
      </c>
      <c r="V1114">
        <v>125.96</v>
      </c>
      <c r="W1114" s="317">
        <v>4.5999999999999996</v>
      </c>
      <c r="X1114" s="190">
        <f t="shared" si="40"/>
        <v>43.699999999999996</v>
      </c>
      <c r="Y1114" s="8"/>
      <c r="Z1114" s="8"/>
    </row>
    <row r="1115" spans="1:26" ht="12.75" customHeight="1" x14ac:dyDescent="0.2">
      <c r="A1115" s="15">
        <v>51</v>
      </c>
      <c r="B1115" s="15">
        <v>2007</v>
      </c>
      <c r="C1115" s="15">
        <v>28</v>
      </c>
      <c r="D1115" s="15">
        <v>7</v>
      </c>
      <c r="E1115" s="14">
        <v>0.75</v>
      </c>
      <c r="F1115" s="11" t="s">
        <v>51</v>
      </c>
      <c r="G1115" s="11">
        <v>137</v>
      </c>
      <c r="H1115" s="15" t="s">
        <v>29</v>
      </c>
      <c r="I1115" s="11">
        <v>11.5</v>
      </c>
      <c r="J1115" s="11" t="s">
        <v>19</v>
      </c>
      <c r="K1115" s="11" t="s">
        <v>20</v>
      </c>
      <c r="L1115" s="11" t="s">
        <v>30</v>
      </c>
      <c r="M1115" s="11" t="s">
        <v>47</v>
      </c>
      <c r="N1115" s="11" t="s">
        <v>25</v>
      </c>
      <c r="O1115" s="16" t="s">
        <v>29</v>
      </c>
      <c r="P1115" s="15">
        <v>209</v>
      </c>
      <c r="Q1115" s="8"/>
      <c r="R1115">
        <v>12.78</v>
      </c>
      <c r="S1115">
        <v>2088.37</v>
      </c>
      <c r="T1115">
        <v>5.51</v>
      </c>
      <c r="U1115">
        <v>9.18</v>
      </c>
      <c r="V1115">
        <v>127.82</v>
      </c>
      <c r="W1115" s="317">
        <v>4.5999999999999996</v>
      </c>
      <c r="X1115" s="190">
        <f t="shared" si="40"/>
        <v>52.9</v>
      </c>
      <c r="Y1115" s="8"/>
      <c r="Z1115" s="8"/>
    </row>
    <row r="1116" spans="1:26" ht="12.75" customHeight="1" x14ac:dyDescent="0.2">
      <c r="A1116" s="15">
        <v>52</v>
      </c>
      <c r="B1116" s="15">
        <v>2007</v>
      </c>
      <c r="C1116" s="15">
        <v>28</v>
      </c>
      <c r="D1116" s="15">
        <v>7</v>
      </c>
      <c r="E1116" s="14">
        <v>0.75</v>
      </c>
      <c r="F1116" s="11" t="s">
        <v>51</v>
      </c>
      <c r="G1116" s="11">
        <v>158</v>
      </c>
      <c r="H1116" s="15" t="s">
        <v>29</v>
      </c>
      <c r="I1116" s="11">
        <v>16.5</v>
      </c>
      <c r="J1116" s="11" t="s">
        <v>19</v>
      </c>
      <c r="K1116" s="11" t="s">
        <v>20</v>
      </c>
      <c r="L1116" s="11" t="s">
        <v>21</v>
      </c>
      <c r="M1116" s="11" t="s">
        <v>46</v>
      </c>
      <c r="N1116" s="11" t="s">
        <v>24</v>
      </c>
      <c r="O1116" s="16" t="s">
        <v>29</v>
      </c>
      <c r="P1116" s="15">
        <v>209</v>
      </c>
      <c r="Q1116" s="8"/>
      <c r="R1116">
        <v>14.74</v>
      </c>
      <c r="S1116">
        <v>3203.44</v>
      </c>
      <c r="T1116">
        <v>5.15</v>
      </c>
      <c r="U1116">
        <v>10.59</v>
      </c>
      <c r="V1116">
        <v>147.41</v>
      </c>
      <c r="W1116" s="317">
        <v>3.9</v>
      </c>
      <c r="X1116" s="190">
        <f t="shared" si="40"/>
        <v>64.349999999999994</v>
      </c>
      <c r="Y1116" s="8"/>
      <c r="Z1116" s="8"/>
    </row>
    <row r="1117" spans="1:26" ht="12.75" customHeight="1" x14ac:dyDescent="0.2">
      <c r="A1117" s="15">
        <v>53</v>
      </c>
      <c r="B1117" s="15">
        <v>2007</v>
      </c>
      <c r="C1117" s="15">
        <v>28</v>
      </c>
      <c r="D1117" s="15">
        <v>7</v>
      </c>
      <c r="E1117" s="14">
        <v>0.75</v>
      </c>
      <c r="F1117" s="11" t="s">
        <v>51</v>
      </c>
      <c r="G1117" s="11">
        <v>139</v>
      </c>
      <c r="H1117" s="15" t="s">
        <v>29</v>
      </c>
      <c r="I1117" s="11">
        <v>9.8000000000000007</v>
      </c>
      <c r="J1117" s="11" t="s">
        <v>19</v>
      </c>
      <c r="K1117" s="11" t="s">
        <v>20</v>
      </c>
      <c r="L1117" s="11" t="s">
        <v>21</v>
      </c>
      <c r="M1117" s="11" t="s">
        <v>46</v>
      </c>
      <c r="N1117" s="11" t="s">
        <v>23</v>
      </c>
      <c r="O1117" s="16" t="s">
        <v>29</v>
      </c>
      <c r="P1117" s="15">
        <v>209</v>
      </c>
      <c r="Q1117" s="8"/>
      <c r="R1117">
        <v>12.97</v>
      </c>
      <c r="S1117">
        <v>2181.17</v>
      </c>
      <c r="T1117">
        <v>4.49</v>
      </c>
      <c r="U1117">
        <v>9.31</v>
      </c>
      <c r="V1117">
        <v>129.69</v>
      </c>
      <c r="W1117" s="317">
        <v>3.9</v>
      </c>
      <c r="X1117" s="190">
        <f t="shared" si="40"/>
        <v>38.22</v>
      </c>
      <c r="Y1117" s="8"/>
      <c r="Z1117" s="8"/>
    </row>
    <row r="1118" spans="1:26" ht="12.75" customHeight="1" x14ac:dyDescent="0.2">
      <c r="A1118" s="15">
        <v>54</v>
      </c>
      <c r="B1118" s="15">
        <v>2007</v>
      </c>
      <c r="C1118" s="15">
        <v>28</v>
      </c>
      <c r="D1118" s="15">
        <v>7</v>
      </c>
      <c r="E1118" s="14">
        <v>0.75</v>
      </c>
      <c r="F1118" s="11" t="s">
        <v>51</v>
      </c>
      <c r="G1118" s="11">
        <v>165</v>
      </c>
      <c r="H1118" s="15" t="s">
        <v>29</v>
      </c>
      <c r="I1118" s="11">
        <v>17</v>
      </c>
      <c r="J1118" s="11" t="s">
        <v>19</v>
      </c>
      <c r="K1118" s="11" t="s">
        <v>20</v>
      </c>
      <c r="L1118" s="11" t="s">
        <v>21</v>
      </c>
      <c r="M1118" s="11" t="s">
        <v>46</v>
      </c>
      <c r="N1118" s="11" t="s">
        <v>24</v>
      </c>
      <c r="O1118" s="16" t="s">
        <v>29</v>
      </c>
      <c r="P1118" s="15">
        <v>209</v>
      </c>
      <c r="Q1118" s="8"/>
      <c r="R1118">
        <v>15.39</v>
      </c>
      <c r="S1118">
        <v>3648.35</v>
      </c>
      <c r="T1118">
        <v>4.66</v>
      </c>
      <c r="U1118">
        <v>11.06</v>
      </c>
      <c r="V1118">
        <v>153.94999999999999</v>
      </c>
      <c r="W1118" s="317">
        <v>3.9</v>
      </c>
      <c r="X1118" s="190">
        <f t="shared" si="40"/>
        <v>66.3</v>
      </c>
      <c r="Y1118" s="8"/>
      <c r="Z1118" s="8"/>
    </row>
    <row r="1119" spans="1:26" ht="12.75" customHeight="1" x14ac:dyDescent="0.2">
      <c r="A1119" s="15">
        <v>55</v>
      </c>
      <c r="B1119" s="15">
        <v>2007</v>
      </c>
      <c r="C1119" s="15">
        <v>28</v>
      </c>
      <c r="D1119" s="15">
        <v>7</v>
      </c>
      <c r="E1119" s="14">
        <v>0.75</v>
      </c>
      <c r="F1119" s="11" t="s">
        <v>51</v>
      </c>
      <c r="G1119" s="11">
        <v>159</v>
      </c>
      <c r="H1119" s="15" t="s">
        <v>29</v>
      </c>
      <c r="I1119" s="11">
        <v>17.5</v>
      </c>
      <c r="J1119" s="11" t="s">
        <v>19</v>
      </c>
      <c r="K1119" s="11" t="s">
        <v>20</v>
      </c>
      <c r="L1119" s="11" t="s">
        <v>21</v>
      </c>
      <c r="M1119" s="11" t="s">
        <v>46</v>
      </c>
      <c r="N1119" s="11" t="s">
        <v>24</v>
      </c>
      <c r="O1119" s="16" t="s">
        <v>29</v>
      </c>
      <c r="P1119" s="15">
        <v>209</v>
      </c>
      <c r="Q1119" s="8"/>
      <c r="R1119">
        <v>14.83</v>
      </c>
      <c r="S1119">
        <v>3264.65</v>
      </c>
      <c r="T1119">
        <v>5.36</v>
      </c>
      <c r="U1119">
        <v>10.65</v>
      </c>
      <c r="V1119">
        <v>148.35</v>
      </c>
      <c r="W1119" s="317">
        <v>3.9</v>
      </c>
      <c r="X1119" s="190">
        <f t="shared" si="40"/>
        <v>68.25</v>
      </c>
      <c r="Y1119" s="8"/>
      <c r="Z1119" s="8"/>
    </row>
    <row r="1120" spans="1:26" ht="12.75" customHeight="1" x14ac:dyDescent="0.2">
      <c r="A1120" s="15">
        <v>56</v>
      </c>
      <c r="B1120" s="15">
        <v>2007</v>
      </c>
      <c r="C1120" s="15">
        <v>28</v>
      </c>
      <c r="D1120" s="15">
        <v>7</v>
      </c>
      <c r="E1120" s="14">
        <v>0.75</v>
      </c>
      <c r="F1120" s="11" t="s">
        <v>51</v>
      </c>
      <c r="G1120" s="11">
        <v>136</v>
      </c>
      <c r="H1120" s="15" t="s">
        <v>29</v>
      </c>
      <c r="I1120" s="11">
        <v>8.5</v>
      </c>
      <c r="J1120" s="11" t="s">
        <v>19</v>
      </c>
      <c r="K1120" s="11" t="s">
        <v>20</v>
      </c>
      <c r="L1120" s="11" t="s">
        <v>21</v>
      </c>
      <c r="M1120" s="11" t="s">
        <v>46</v>
      </c>
      <c r="N1120" s="11" t="s">
        <v>23</v>
      </c>
      <c r="O1120" s="16" t="s">
        <v>29</v>
      </c>
      <c r="P1120" s="15">
        <v>209</v>
      </c>
      <c r="Q1120" s="8"/>
      <c r="R1120">
        <v>12.69</v>
      </c>
      <c r="S1120">
        <v>2042.97</v>
      </c>
      <c r="T1120">
        <v>4.16</v>
      </c>
      <c r="U1120">
        <v>9.11</v>
      </c>
      <c r="V1120">
        <v>126.89</v>
      </c>
      <c r="W1120" s="317">
        <v>3.9</v>
      </c>
      <c r="X1120" s="190">
        <f t="shared" si="40"/>
        <v>33.15</v>
      </c>
      <c r="Y1120" s="8"/>
      <c r="Z1120" s="8"/>
    </row>
    <row r="1121" spans="1:26" ht="12.75" customHeight="1" x14ac:dyDescent="0.2">
      <c r="A1121" s="15">
        <v>57</v>
      </c>
      <c r="B1121" s="15">
        <v>2007</v>
      </c>
      <c r="C1121" s="15">
        <v>28</v>
      </c>
      <c r="D1121" s="15">
        <v>7</v>
      </c>
      <c r="E1121" s="14">
        <v>0.75</v>
      </c>
      <c r="F1121" s="11" t="s">
        <v>51</v>
      </c>
      <c r="G1121" s="11">
        <v>155</v>
      </c>
      <c r="H1121" s="15" t="s">
        <v>29</v>
      </c>
      <c r="I1121" s="11">
        <v>15</v>
      </c>
      <c r="J1121" s="11" t="s">
        <v>19</v>
      </c>
      <c r="K1121" s="11" t="s">
        <v>20</v>
      </c>
      <c r="L1121" s="11" t="s">
        <v>41</v>
      </c>
      <c r="M1121" s="11" t="s">
        <v>29</v>
      </c>
      <c r="N1121" s="11" t="s">
        <v>25</v>
      </c>
      <c r="O1121" s="16" t="s">
        <v>29</v>
      </c>
      <c r="P1121" s="15">
        <v>209</v>
      </c>
      <c r="Q1121" s="8"/>
      <c r="R1121">
        <v>14.46</v>
      </c>
      <c r="S1121">
        <v>3024.41</v>
      </c>
      <c r="T1121">
        <v>4.96</v>
      </c>
      <c r="U1121">
        <v>10.39</v>
      </c>
      <c r="V1121">
        <v>144.62</v>
      </c>
      <c r="W1121" s="8"/>
      <c r="X1121" s="8"/>
      <c r="Y1121" s="8"/>
      <c r="Z1121" s="8"/>
    </row>
    <row r="1122" spans="1:26" ht="12.75" customHeight="1" x14ac:dyDescent="0.2">
      <c r="A1122" s="15">
        <v>58</v>
      </c>
      <c r="B1122" s="15">
        <v>2007</v>
      </c>
      <c r="C1122" s="15">
        <v>28</v>
      </c>
      <c r="D1122" s="15">
        <v>7</v>
      </c>
      <c r="E1122" s="14">
        <v>0.75</v>
      </c>
      <c r="F1122" s="11" t="s">
        <v>51</v>
      </c>
      <c r="G1122" s="11">
        <v>136</v>
      </c>
      <c r="H1122" s="15" t="s">
        <v>29</v>
      </c>
      <c r="I1122" s="11">
        <v>10.7</v>
      </c>
      <c r="J1122" s="11" t="s">
        <v>19</v>
      </c>
      <c r="K1122" s="11" t="s">
        <v>20</v>
      </c>
      <c r="L1122" s="11" t="s">
        <v>21</v>
      </c>
      <c r="M1122" s="11" t="s">
        <v>27</v>
      </c>
      <c r="N1122" s="11" t="s">
        <v>33</v>
      </c>
      <c r="O1122" s="16" t="s">
        <v>29</v>
      </c>
      <c r="P1122" s="15">
        <v>209</v>
      </c>
      <c r="Q1122" s="8"/>
      <c r="R1122">
        <v>12.69</v>
      </c>
      <c r="S1122">
        <v>2042.97</v>
      </c>
      <c r="T1122">
        <v>5.24</v>
      </c>
      <c r="U1122">
        <v>9.11</v>
      </c>
      <c r="V1122">
        <v>126.89</v>
      </c>
      <c r="W1122" s="317">
        <v>3.9</v>
      </c>
      <c r="X1122" s="190">
        <f>I1122*W1122</f>
        <v>41.73</v>
      </c>
      <c r="Y1122" s="8"/>
      <c r="Z1122" s="8"/>
    </row>
    <row r="1123" spans="1:26" ht="12.75" customHeight="1" x14ac:dyDescent="0.2">
      <c r="A1123" s="15">
        <v>59</v>
      </c>
      <c r="B1123" s="15">
        <v>2007</v>
      </c>
      <c r="C1123" s="15">
        <v>28</v>
      </c>
      <c r="D1123" s="15">
        <v>7</v>
      </c>
      <c r="E1123" s="14">
        <v>0.75</v>
      </c>
      <c r="F1123" s="11" t="s">
        <v>51</v>
      </c>
      <c r="G1123" s="11">
        <v>139</v>
      </c>
      <c r="H1123" s="15" t="s">
        <v>29</v>
      </c>
      <c r="I1123" s="11">
        <v>12.9</v>
      </c>
      <c r="J1123" s="11" t="s">
        <v>19</v>
      </c>
      <c r="K1123" s="11" t="s">
        <v>20</v>
      </c>
      <c r="L1123" s="11" t="s">
        <v>30</v>
      </c>
      <c r="M1123" s="11" t="s">
        <v>46</v>
      </c>
      <c r="N1123" s="11" t="s">
        <v>24</v>
      </c>
      <c r="O1123" s="16" t="s">
        <v>29</v>
      </c>
      <c r="P1123" s="15">
        <v>209</v>
      </c>
      <c r="Q1123" s="8"/>
      <c r="R1123">
        <v>12.97</v>
      </c>
      <c r="S1123">
        <v>2181.17</v>
      </c>
      <c r="T1123">
        <v>5.91</v>
      </c>
      <c r="U1123">
        <v>9.31</v>
      </c>
      <c r="V1123">
        <v>129.69</v>
      </c>
      <c r="W1123" s="317">
        <v>4.5999999999999996</v>
      </c>
      <c r="X1123" s="190">
        <f>I1123*W1123</f>
        <v>59.339999999999996</v>
      </c>
      <c r="Y1123" s="8"/>
      <c r="Z1123" s="8"/>
    </row>
    <row r="1124" spans="1:26" ht="12.75" customHeight="1" x14ac:dyDescent="0.2">
      <c r="A1124" s="15">
        <v>60</v>
      </c>
      <c r="B1124" s="15">
        <v>2007</v>
      </c>
      <c r="C1124" s="15">
        <v>28</v>
      </c>
      <c r="D1124" s="15">
        <v>7</v>
      </c>
      <c r="E1124" s="14">
        <v>0.75</v>
      </c>
      <c r="F1124" s="11" t="s">
        <v>51</v>
      </c>
      <c r="G1124" s="11">
        <v>123</v>
      </c>
      <c r="H1124" s="15" t="s">
        <v>29</v>
      </c>
      <c r="I1124" s="11">
        <v>7.8</v>
      </c>
      <c r="J1124" s="11" t="s">
        <v>19</v>
      </c>
      <c r="K1124" s="11" t="s">
        <v>20</v>
      </c>
      <c r="L1124" s="11" t="s">
        <v>41</v>
      </c>
      <c r="M1124" s="11" t="s">
        <v>27</v>
      </c>
      <c r="N1124" s="11" t="s">
        <v>24</v>
      </c>
      <c r="O1124" s="16" t="s">
        <v>29</v>
      </c>
      <c r="P1124" s="15">
        <v>209</v>
      </c>
      <c r="Q1124" s="8"/>
      <c r="R1124">
        <v>11.48</v>
      </c>
      <c r="S1124">
        <v>1511.33</v>
      </c>
      <c r="T1124">
        <v>5.16</v>
      </c>
      <c r="U1124">
        <v>8.24</v>
      </c>
      <c r="V1124">
        <v>114.76</v>
      </c>
      <c r="W1124" s="8"/>
      <c r="X1124" s="8"/>
      <c r="Y1124" s="8"/>
      <c r="Z1124" s="8"/>
    </row>
    <row r="1125" spans="1:26" ht="12.75" customHeight="1" x14ac:dyDescent="0.2">
      <c r="A1125" s="15">
        <v>61</v>
      </c>
      <c r="B1125" s="15">
        <v>2007</v>
      </c>
      <c r="C1125" s="15">
        <v>28</v>
      </c>
      <c r="D1125" s="15">
        <v>7</v>
      </c>
      <c r="E1125" s="14">
        <v>0.75</v>
      </c>
      <c r="F1125" s="11" t="s">
        <v>51</v>
      </c>
      <c r="G1125" s="11">
        <v>156</v>
      </c>
      <c r="H1125" s="15" t="s">
        <v>29</v>
      </c>
      <c r="I1125" s="11">
        <v>16</v>
      </c>
      <c r="J1125" s="11" t="s">
        <v>19</v>
      </c>
      <c r="K1125" s="11" t="s">
        <v>20</v>
      </c>
      <c r="L1125" s="11" t="s">
        <v>21</v>
      </c>
      <c r="M1125" s="11" t="s">
        <v>47</v>
      </c>
      <c r="N1125" s="11" t="s">
        <v>24</v>
      </c>
      <c r="O1125" s="16" t="s">
        <v>29</v>
      </c>
      <c r="P1125" s="15">
        <v>209</v>
      </c>
      <c r="Q1125" s="8"/>
      <c r="R1125">
        <v>14.55</v>
      </c>
      <c r="S1125">
        <v>3083.32</v>
      </c>
      <c r="T1125">
        <v>5.19</v>
      </c>
      <c r="U1125">
        <v>10.45</v>
      </c>
      <c r="V1125">
        <v>145.55000000000001</v>
      </c>
      <c r="W1125" s="317">
        <v>3.9</v>
      </c>
      <c r="X1125" s="190">
        <f>I1125*W1125</f>
        <v>62.4</v>
      </c>
      <c r="Y1125" s="8"/>
      <c r="Z1125" s="8"/>
    </row>
    <row r="1126" spans="1:26" ht="12.75" customHeight="1" x14ac:dyDescent="0.2">
      <c r="A1126" s="15">
        <v>62</v>
      </c>
      <c r="B1126" s="15">
        <v>2007</v>
      </c>
      <c r="C1126" s="15">
        <v>28</v>
      </c>
      <c r="D1126" s="15">
        <v>7</v>
      </c>
      <c r="E1126" s="14">
        <v>0.75</v>
      </c>
      <c r="F1126" s="11" t="s">
        <v>51</v>
      </c>
      <c r="G1126" s="11">
        <v>161</v>
      </c>
      <c r="H1126" s="15" t="s">
        <v>29</v>
      </c>
      <c r="I1126" s="11">
        <v>14.8</v>
      </c>
      <c r="J1126" s="11" t="s">
        <v>19</v>
      </c>
      <c r="K1126" s="11" t="s">
        <v>20</v>
      </c>
      <c r="L1126" s="11" t="s">
        <v>30</v>
      </c>
      <c r="M1126" s="11" t="s">
        <v>27</v>
      </c>
      <c r="N1126" s="11" t="s">
        <v>33</v>
      </c>
      <c r="O1126" s="16" t="s">
        <v>29</v>
      </c>
      <c r="P1126" s="15">
        <v>209</v>
      </c>
      <c r="Q1126" s="8"/>
      <c r="R1126">
        <v>15.02</v>
      </c>
      <c r="S1126">
        <v>3389.4</v>
      </c>
      <c r="T1126">
        <v>4.37</v>
      </c>
      <c r="U1126">
        <v>10.79</v>
      </c>
      <c r="V1126">
        <v>150.21</v>
      </c>
      <c r="W1126" s="317">
        <v>4.5999999999999996</v>
      </c>
      <c r="X1126" s="190">
        <f>I1126*W1126</f>
        <v>68.08</v>
      </c>
      <c r="Y1126" s="8"/>
      <c r="Z1126" s="8"/>
    </row>
    <row r="1127" spans="1:26" ht="12.75" customHeight="1" x14ac:dyDescent="0.2">
      <c r="A1127" s="15">
        <v>63</v>
      </c>
      <c r="B1127" s="15">
        <v>2007</v>
      </c>
      <c r="C1127" s="15">
        <v>28</v>
      </c>
      <c r="D1127" s="15">
        <v>7</v>
      </c>
      <c r="E1127" s="14">
        <v>0.75</v>
      </c>
      <c r="F1127" s="11" t="s">
        <v>51</v>
      </c>
      <c r="G1127" s="11">
        <v>133</v>
      </c>
      <c r="H1127" s="15" t="s">
        <v>29</v>
      </c>
      <c r="I1127" s="11">
        <v>12.2</v>
      </c>
      <c r="J1127" s="11" t="s">
        <v>19</v>
      </c>
      <c r="K1127" s="11" t="s">
        <v>20</v>
      </c>
      <c r="L1127" s="11" t="s">
        <v>30</v>
      </c>
      <c r="M1127" s="11" t="s">
        <v>46</v>
      </c>
      <c r="N1127" s="11" t="s">
        <v>23</v>
      </c>
      <c r="O1127" s="16" t="s">
        <v>29</v>
      </c>
      <c r="P1127" s="15">
        <v>209</v>
      </c>
      <c r="Q1127" s="8"/>
      <c r="R1127">
        <v>12.41</v>
      </c>
      <c r="S1127">
        <v>1910.73</v>
      </c>
      <c r="T1127">
        <v>6.38</v>
      </c>
      <c r="U1127">
        <v>8.91</v>
      </c>
      <c r="V1127">
        <v>124.09</v>
      </c>
      <c r="W1127" s="317">
        <v>4.5999999999999996</v>
      </c>
      <c r="X1127" s="190">
        <f>I1127*W1127</f>
        <v>56.11999999999999</v>
      </c>
      <c r="Y1127" s="8"/>
      <c r="Z1127" s="8"/>
    </row>
    <row r="1128" spans="1:26" ht="12.75" customHeight="1" x14ac:dyDescent="0.2">
      <c r="A1128" s="15">
        <v>64</v>
      </c>
      <c r="B1128" s="15">
        <v>2007</v>
      </c>
      <c r="C1128" s="15">
        <v>28</v>
      </c>
      <c r="D1128" s="15">
        <v>7</v>
      </c>
      <c r="E1128" s="14">
        <v>0.75</v>
      </c>
      <c r="F1128" s="11" t="s">
        <v>51</v>
      </c>
      <c r="G1128" s="11">
        <v>146</v>
      </c>
      <c r="H1128" s="15" t="s">
        <v>29</v>
      </c>
      <c r="I1128" s="11">
        <v>13.2</v>
      </c>
      <c r="J1128" s="11" t="s">
        <v>19</v>
      </c>
      <c r="K1128" s="11" t="s">
        <v>20</v>
      </c>
      <c r="L1128" s="11" t="s">
        <v>21</v>
      </c>
      <c r="M1128" s="11" t="s">
        <v>46</v>
      </c>
      <c r="N1128" s="11" t="s">
        <v>25</v>
      </c>
      <c r="O1128" s="16" t="s">
        <v>29</v>
      </c>
      <c r="P1128" s="15">
        <v>209</v>
      </c>
      <c r="Q1128" s="8"/>
      <c r="R1128">
        <v>13.62</v>
      </c>
      <c r="S1128">
        <v>2527.5700000000002</v>
      </c>
      <c r="T1128">
        <v>5.22</v>
      </c>
      <c r="U1128">
        <v>9.7799999999999994</v>
      </c>
      <c r="V1128">
        <v>136.22</v>
      </c>
      <c r="W1128" s="317">
        <v>3.9</v>
      </c>
      <c r="X1128" s="190">
        <f>I1128*W1128</f>
        <v>51.48</v>
      </c>
      <c r="Y1128" s="8"/>
      <c r="Z1128" s="8"/>
    </row>
    <row r="1129" spans="1:26" ht="12.75" customHeight="1" x14ac:dyDescent="0.2">
      <c r="A1129" s="15">
        <v>65</v>
      </c>
      <c r="B1129" s="15">
        <v>2007</v>
      </c>
      <c r="C1129" s="15">
        <v>28</v>
      </c>
      <c r="D1129" s="15">
        <v>7</v>
      </c>
      <c r="E1129" s="14">
        <v>0.75</v>
      </c>
      <c r="F1129" s="11" t="s">
        <v>28</v>
      </c>
      <c r="G1129" s="11" t="s">
        <v>29</v>
      </c>
      <c r="H1129" s="15" t="s">
        <v>29</v>
      </c>
      <c r="I1129" s="25" t="s">
        <v>29</v>
      </c>
      <c r="J1129" s="11" t="s">
        <v>19</v>
      </c>
      <c r="K1129" s="11" t="s">
        <v>20</v>
      </c>
      <c r="L1129" s="11" t="s">
        <v>41</v>
      </c>
      <c r="M1129" s="11" t="s">
        <v>29</v>
      </c>
      <c r="N1129" s="11" t="s">
        <v>29</v>
      </c>
      <c r="O1129" s="16" t="s">
        <v>29</v>
      </c>
      <c r="P1129" s="15">
        <v>209</v>
      </c>
      <c r="Q1129" s="8"/>
      <c r="W1129" s="8"/>
      <c r="X1129" s="8"/>
      <c r="Y1129" s="8"/>
      <c r="Z1129" s="8"/>
    </row>
    <row r="1130" spans="1:26" ht="12.75" customHeight="1" x14ac:dyDescent="0.2">
      <c r="A1130" s="15">
        <v>66</v>
      </c>
      <c r="B1130" s="15">
        <v>2007</v>
      </c>
      <c r="C1130" s="15">
        <v>28</v>
      </c>
      <c r="D1130" s="15">
        <v>7</v>
      </c>
      <c r="E1130" s="14">
        <v>0.75</v>
      </c>
      <c r="F1130" s="11" t="s">
        <v>51</v>
      </c>
      <c r="G1130" s="11">
        <v>133</v>
      </c>
      <c r="H1130" s="15" t="s">
        <v>29</v>
      </c>
      <c r="I1130" s="11">
        <v>8</v>
      </c>
      <c r="J1130" s="11" t="s">
        <v>19</v>
      </c>
      <c r="K1130" s="11" t="s">
        <v>20</v>
      </c>
      <c r="L1130" s="11" t="s">
        <v>21</v>
      </c>
      <c r="M1130" s="11" t="s">
        <v>45</v>
      </c>
      <c r="N1130" s="11" t="s">
        <v>23</v>
      </c>
      <c r="O1130" s="16" t="s">
        <v>29</v>
      </c>
      <c r="P1130" s="15">
        <v>209</v>
      </c>
      <c r="Q1130" s="8"/>
      <c r="R1130">
        <v>12.41</v>
      </c>
      <c r="S1130">
        <v>1910.73</v>
      </c>
      <c r="T1130">
        <v>4.1900000000000004</v>
      </c>
      <c r="U1130">
        <v>8.91</v>
      </c>
      <c r="V1130">
        <v>124.09</v>
      </c>
      <c r="W1130" s="317">
        <v>3.9</v>
      </c>
      <c r="X1130" s="190">
        <f t="shared" ref="X1130:X1137" si="41">I1130*W1130</f>
        <v>31.2</v>
      </c>
      <c r="Y1130" s="8"/>
      <c r="Z1130" s="8"/>
    </row>
    <row r="1131" spans="1:26" ht="12.75" customHeight="1" x14ac:dyDescent="0.2">
      <c r="A1131" s="15">
        <v>67</v>
      </c>
      <c r="B1131" s="15">
        <v>2007</v>
      </c>
      <c r="C1131" s="15">
        <v>28</v>
      </c>
      <c r="D1131" s="15">
        <v>7</v>
      </c>
      <c r="E1131" s="14">
        <v>0.75</v>
      </c>
      <c r="F1131" s="11" t="s">
        <v>51</v>
      </c>
      <c r="G1131" s="11">
        <v>134</v>
      </c>
      <c r="H1131" s="15" t="s">
        <v>29</v>
      </c>
      <c r="I1131" s="11">
        <v>8</v>
      </c>
      <c r="J1131" s="11" t="s">
        <v>19</v>
      </c>
      <c r="K1131" s="11" t="s">
        <v>20</v>
      </c>
      <c r="L1131" s="11" t="s">
        <v>35</v>
      </c>
      <c r="M1131" s="11" t="s">
        <v>46</v>
      </c>
      <c r="N1131" s="11" t="s">
        <v>25</v>
      </c>
      <c r="O1131" s="16" t="s">
        <v>29</v>
      </c>
      <c r="P1131" s="15">
        <v>209</v>
      </c>
      <c r="Q1131" s="8"/>
      <c r="R1131">
        <v>12.5</v>
      </c>
      <c r="S1131">
        <v>1954.16</v>
      </c>
      <c r="T1131">
        <v>4.09</v>
      </c>
      <c r="U1131">
        <v>8.98</v>
      </c>
      <c r="V1131">
        <v>125.02</v>
      </c>
      <c r="W1131" s="317">
        <v>3.9</v>
      </c>
      <c r="X1131" s="190">
        <f t="shared" si="41"/>
        <v>31.2</v>
      </c>
      <c r="Y1131" s="8"/>
      <c r="Z1131" s="8"/>
    </row>
    <row r="1132" spans="1:26" ht="12.75" customHeight="1" x14ac:dyDescent="0.2">
      <c r="A1132" s="15">
        <v>68</v>
      </c>
      <c r="B1132" s="15">
        <v>2007</v>
      </c>
      <c r="C1132" s="15">
        <v>28</v>
      </c>
      <c r="D1132" s="15">
        <v>7</v>
      </c>
      <c r="E1132" s="14">
        <v>0.75</v>
      </c>
      <c r="F1132" s="11" t="s">
        <v>51</v>
      </c>
      <c r="G1132" s="11">
        <v>147</v>
      </c>
      <c r="H1132" s="15" t="s">
        <v>29</v>
      </c>
      <c r="I1132" s="11">
        <v>9.5</v>
      </c>
      <c r="J1132" s="11" t="s">
        <v>19</v>
      </c>
      <c r="K1132" s="11" t="s">
        <v>20</v>
      </c>
      <c r="L1132" s="11" t="s">
        <v>21</v>
      </c>
      <c r="M1132" s="11" t="s">
        <v>46</v>
      </c>
      <c r="N1132" s="11" t="s">
        <v>25</v>
      </c>
      <c r="O1132" s="16" t="s">
        <v>29</v>
      </c>
      <c r="P1132" s="15">
        <v>209</v>
      </c>
      <c r="Q1132" s="8"/>
      <c r="R1132">
        <v>13.72</v>
      </c>
      <c r="S1132">
        <v>2579.86</v>
      </c>
      <c r="T1132">
        <v>3.68</v>
      </c>
      <c r="U1132">
        <v>9.85</v>
      </c>
      <c r="V1132">
        <v>137.15</v>
      </c>
      <c r="W1132" s="317">
        <v>3.9</v>
      </c>
      <c r="X1132" s="190">
        <f t="shared" si="41"/>
        <v>37.049999999999997</v>
      </c>
      <c r="Y1132" s="8"/>
      <c r="Z1132" s="8"/>
    </row>
    <row r="1133" spans="1:26" ht="12.75" customHeight="1" x14ac:dyDescent="0.2">
      <c r="A1133" s="15">
        <v>69</v>
      </c>
      <c r="B1133" s="15">
        <v>2007</v>
      </c>
      <c r="C1133" s="15">
        <v>28</v>
      </c>
      <c r="D1133" s="15">
        <v>7</v>
      </c>
      <c r="E1133" s="14">
        <v>0.75</v>
      </c>
      <c r="F1133" s="11" t="s">
        <v>51</v>
      </c>
      <c r="G1133" s="11">
        <v>130</v>
      </c>
      <c r="H1133" s="15" t="s">
        <v>29</v>
      </c>
      <c r="I1133" s="11">
        <v>8.1999999999999993</v>
      </c>
      <c r="J1133" s="11" t="s">
        <v>19</v>
      </c>
      <c r="K1133" s="11" t="s">
        <v>20</v>
      </c>
      <c r="L1133" s="11" t="s">
        <v>21</v>
      </c>
      <c r="M1133" s="11" t="s">
        <v>46</v>
      </c>
      <c r="N1133" s="11" t="s">
        <v>23</v>
      </c>
      <c r="O1133" s="16" t="s">
        <v>29</v>
      </c>
      <c r="P1133" s="15">
        <v>209</v>
      </c>
      <c r="Q1133" s="8"/>
      <c r="R1133">
        <v>12.13</v>
      </c>
      <c r="S1133">
        <v>1784.33</v>
      </c>
      <c r="T1133">
        <v>4.5999999999999996</v>
      </c>
      <c r="U1133">
        <v>8.7100000000000009</v>
      </c>
      <c r="V1133">
        <v>121.29</v>
      </c>
      <c r="W1133" s="317">
        <v>3.9</v>
      </c>
      <c r="X1133" s="190">
        <f t="shared" si="41"/>
        <v>31.979999999999997</v>
      </c>
      <c r="Y1133" s="8"/>
      <c r="Z1133" s="8"/>
    </row>
    <row r="1134" spans="1:26" ht="12.75" customHeight="1" x14ac:dyDescent="0.2">
      <c r="A1134" s="15">
        <v>70</v>
      </c>
      <c r="B1134" s="15">
        <v>2007</v>
      </c>
      <c r="C1134" s="15">
        <v>28</v>
      </c>
      <c r="D1134" s="15">
        <v>7</v>
      </c>
      <c r="E1134" s="14">
        <v>0.75</v>
      </c>
      <c r="F1134" s="11" t="s">
        <v>51</v>
      </c>
      <c r="G1134" s="11">
        <v>155</v>
      </c>
      <c r="H1134" s="15" t="s">
        <v>29</v>
      </c>
      <c r="I1134" s="11">
        <v>16.100000000000001</v>
      </c>
      <c r="J1134" s="11" t="s">
        <v>19</v>
      </c>
      <c r="K1134" s="11" t="s">
        <v>20</v>
      </c>
      <c r="L1134" s="11" t="s">
        <v>21</v>
      </c>
      <c r="M1134" s="11" t="s">
        <v>46</v>
      </c>
      <c r="N1134" s="11" t="s">
        <v>23</v>
      </c>
      <c r="O1134" s="16" t="s">
        <v>29</v>
      </c>
      <c r="P1134" s="15">
        <v>209</v>
      </c>
      <c r="Q1134" s="8"/>
      <c r="R1134">
        <v>14.46</v>
      </c>
      <c r="S1134">
        <v>3024.41</v>
      </c>
      <c r="T1134">
        <v>5.32</v>
      </c>
      <c r="U1134">
        <v>10.39</v>
      </c>
      <c r="V1134">
        <v>144.62</v>
      </c>
      <c r="W1134" s="317">
        <v>3.9</v>
      </c>
      <c r="X1134" s="190">
        <f t="shared" si="41"/>
        <v>62.790000000000006</v>
      </c>
      <c r="Y1134" s="8"/>
      <c r="Z1134" s="8"/>
    </row>
    <row r="1135" spans="1:26" ht="12.75" customHeight="1" x14ac:dyDescent="0.2">
      <c r="A1135" s="15">
        <v>71</v>
      </c>
      <c r="B1135" s="15">
        <v>2007</v>
      </c>
      <c r="C1135" s="15">
        <v>28</v>
      </c>
      <c r="D1135" s="15">
        <v>7</v>
      </c>
      <c r="E1135" s="14">
        <v>0.75</v>
      </c>
      <c r="F1135" s="11" t="s">
        <v>51</v>
      </c>
      <c r="G1135" s="11">
        <v>160</v>
      </c>
      <c r="H1135" s="15" t="s">
        <v>29</v>
      </c>
      <c r="I1135" s="11">
        <v>14.8</v>
      </c>
      <c r="J1135" s="11" t="s">
        <v>19</v>
      </c>
      <c r="K1135" s="11" t="s">
        <v>20</v>
      </c>
      <c r="L1135" s="11" t="s">
        <v>21</v>
      </c>
      <c r="M1135" s="11" t="s">
        <v>47</v>
      </c>
      <c r="N1135" s="11" t="s">
        <v>23</v>
      </c>
      <c r="O1135" s="16" t="s">
        <v>29</v>
      </c>
      <c r="P1135" s="15">
        <v>209</v>
      </c>
      <c r="Q1135" s="8"/>
      <c r="R1135">
        <v>14.93</v>
      </c>
      <c r="S1135">
        <v>3326.63</v>
      </c>
      <c r="T1135">
        <v>4.45</v>
      </c>
      <c r="U1135">
        <v>10.72</v>
      </c>
      <c r="V1135">
        <v>149.28</v>
      </c>
      <c r="W1135" s="317">
        <v>3.9</v>
      </c>
      <c r="X1135" s="190">
        <f t="shared" si="41"/>
        <v>57.72</v>
      </c>
      <c r="Y1135" s="8"/>
      <c r="Z1135" s="8"/>
    </row>
    <row r="1136" spans="1:26" ht="12.75" customHeight="1" x14ac:dyDescent="0.2">
      <c r="A1136" s="15">
        <v>72</v>
      </c>
      <c r="B1136" s="15">
        <v>2007</v>
      </c>
      <c r="C1136" s="15">
        <v>28</v>
      </c>
      <c r="D1136" s="15">
        <v>7</v>
      </c>
      <c r="E1136" s="14">
        <v>0.75</v>
      </c>
      <c r="F1136" s="11" t="s">
        <v>51</v>
      </c>
      <c r="G1136" s="11">
        <v>127</v>
      </c>
      <c r="H1136" s="15" t="s">
        <v>29</v>
      </c>
      <c r="I1136" s="11">
        <v>7.6</v>
      </c>
      <c r="J1136" s="11" t="s">
        <v>19</v>
      </c>
      <c r="K1136" s="11" t="s">
        <v>20</v>
      </c>
      <c r="L1136" s="11" t="s">
        <v>21</v>
      </c>
      <c r="M1136" s="11" t="s">
        <v>46</v>
      </c>
      <c r="N1136" s="11" t="s">
        <v>23</v>
      </c>
      <c r="O1136" s="16" t="s">
        <v>29</v>
      </c>
      <c r="P1136" s="15">
        <v>209</v>
      </c>
      <c r="Q1136" s="8"/>
      <c r="R1136">
        <v>11.85</v>
      </c>
      <c r="S1136">
        <v>1663.63</v>
      </c>
      <c r="T1136">
        <v>4.57</v>
      </c>
      <c r="U1136">
        <v>8.51</v>
      </c>
      <c r="V1136">
        <v>118.49</v>
      </c>
      <c r="W1136" s="317">
        <v>3.9</v>
      </c>
      <c r="X1136" s="190">
        <f t="shared" si="41"/>
        <v>29.639999999999997</v>
      </c>
      <c r="Y1136" s="8"/>
      <c r="Z1136" s="8"/>
    </row>
    <row r="1137" spans="1:26" ht="12.75" customHeight="1" x14ac:dyDescent="0.2">
      <c r="A1137" s="15">
        <v>73</v>
      </c>
      <c r="B1137" s="15">
        <v>2007</v>
      </c>
      <c r="C1137" s="15">
        <v>28</v>
      </c>
      <c r="D1137" s="15">
        <v>7</v>
      </c>
      <c r="E1137" s="14">
        <v>0.75</v>
      </c>
      <c r="F1137" s="11" t="s">
        <v>51</v>
      </c>
      <c r="G1137" s="11">
        <v>128</v>
      </c>
      <c r="H1137" s="15" t="s">
        <v>29</v>
      </c>
      <c r="I1137" s="11">
        <v>6.8</v>
      </c>
      <c r="J1137" s="11" t="s">
        <v>19</v>
      </c>
      <c r="K1137" s="11" t="s">
        <v>20</v>
      </c>
      <c r="L1137" s="11" t="s">
        <v>21</v>
      </c>
      <c r="M1137" s="11" t="s">
        <v>27</v>
      </c>
      <c r="N1137" s="11" t="s">
        <v>25</v>
      </c>
      <c r="O1137" s="16" t="s">
        <v>29</v>
      </c>
      <c r="P1137" s="15">
        <v>209</v>
      </c>
      <c r="Q1137" s="8"/>
      <c r="R1137">
        <v>11.94</v>
      </c>
      <c r="S1137">
        <v>1703.24</v>
      </c>
      <c r="T1137">
        <v>3.99</v>
      </c>
      <c r="U1137">
        <v>8.58</v>
      </c>
      <c r="V1137">
        <v>119.42</v>
      </c>
      <c r="W1137" s="317">
        <v>3.9</v>
      </c>
      <c r="X1137" s="190">
        <f t="shared" si="41"/>
        <v>26.52</v>
      </c>
      <c r="Y1137" s="8"/>
      <c r="Z1137" s="8"/>
    </row>
    <row r="1138" spans="1:26" ht="12.75" customHeight="1" x14ac:dyDescent="0.2">
      <c r="A1138" s="15">
        <v>74</v>
      </c>
      <c r="B1138" s="15">
        <v>2007</v>
      </c>
      <c r="C1138" s="15">
        <v>28</v>
      </c>
      <c r="D1138" s="15">
        <v>7</v>
      </c>
      <c r="E1138" s="14">
        <v>0.75</v>
      </c>
      <c r="F1138" s="11" t="s">
        <v>28</v>
      </c>
      <c r="G1138" s="11" t="s">
        <v>29</v>
      </c>
      <c r="H1138" s="15" t="s">
        <v>29</v>
      </c>
      <c r="I1138" s="25" t="s">
        <v>29</v>
      </c>
      <c r="J1138" s="11" t="s">
        <v>19</v>
      </c>
      <c r="K1138" s="11" t="s">
        <v>20</v>
      </c>
      <c r="L1138" s="11" t="s">
        <v>41</v>
      </c>
      <c r="M1138" s="11" t="s">
        <v>29</v>
      </c>
      <c r="N1138" s="11" t="s">
        <v>29</v>
      </c>
      <c r="O1138" s="16" t="s">
        <v>29</v>
      </c>
      <c r="P1138" s="15">
        <v>209</v>
      </c>
      <c r="Q1138" s="8"/>
      <c r="W1138" s="8"/>
      <c r="X1138" s="8"/>
      <c r="Y1138" s="8"/>
      <c r="Z1138" s="8"/>
    </row>
    <row r="1139" spans="1:26" ht="12.75" customHeight="1" x14ac:dyDescent="0.2">
      <c r="A1139" s="15">
        <v>1</v>
      </c>
      <c r="B1139" s="15">
        <v>2007</v>
      </c>
      <c r="C1139" s="15">
        <v>27</v>
      </c>
      <c r="D1139" s="15">
        <v>7</v>
      </c>
      <c r="E1139" s="14">
        <v>0.8125</v>
      </c>
      <c r="F1139" s="11" t="s">
        <v>51</v>
      </c>
      <c r="G1139" s="15">
        <v>160</v>
      </c>
      <c r="H1139" s="15" t="s">
        <v>29</v>
      </c>
      <c r="I1139" s="25">
        <v>16.5</v>
      </c>
      <c r="J1139" s="11" t="s">
        <v>19</v>
      </c>
      <c r="K1139" s="11" t="s">
        <v>20</v>
      </c>
      <c r="L1139" s="11" t="s">
        <v>21</v>
      </c>
      <c r="M1139" s="11" t="s">
        <v>46</v>
      </c>
      <c r="N1139" s="11" t="s">
        <v>24</v>
      </c>
      <c r="O1139" s="16" t="s">
        <v>29</v>
      </c>
      <c r="P1139" s="15">
        <v>208</v>
      </c>
      <c r="Q1139" s="8"/>
      <c r="R1139">
        <v>14.93</v>
      </c>
      <c r="S1139">
        <v>3326.63</v>
      </c>
      <c r="T1139">
        <v>4.96</v>
      </c>
      <c r="U1139">
        <v>10.72</v>
      </c>
      <c r="V1139">
        <v>149</v>
      </c>
      <c r="W1139" s="317">
        <v>3.9</v>
      </c>
      <c r="X1139" s="190">
        <f t="shared" ref="X1139:X1160" si="42">I1139*W1139</f>
        <v>64.349999999999994</v>
      </c>
      <c r="Y1139" s="8"/>
      <c r="Z1139" s="8"/>
    </row>
    <row r="1140" spans="1:26" ht="12.75" customHeight="1" x14ac:dyDescent="0.2">
      <c r="A1140" s="15">
        <v>2</v>
      </c>
      <c r="B1140" s="15">
        <v>2007</v>
      </c>
      <c r="C1140" s="15">
        <v>27</v>
      </c>
      <c r="D1140" s="15">
        <v>7</v>
      </c>
      <c r="E1140" s="14">
        <v>0.8125</v>
      </c>
      <c r="F1140" s="11" t="s">
        <v>51</v>
      </c>
      <c r="G1140" s="11">
        <v>145</v>
      </c>
      <c r="H1140" s="15" t="s">
        <v>29</v>
      </c>
      <c r="I1140" s="11">
        <v>16</v>
      </c>
      <c r="J1140" s="11" t="s">
        <v>19</v>
      </c>
      <c r="K1140" s="11" t="s">
        <v>20</v>
      </c>
      <c r="L1140" s="11" t="s">
        <v>30</v>
      </c>
      <c r="M1140" s="11" t="s">
        <v>46</v>
      </c>
      <c r="N1140" s="11" t="s">
        <v>24</v>
      </c>
      <c r="O1140" s="16" t="s">
        <v>29</v>
      </c>
      <c r="P1140" s="15">
        <v>208</v>
      </c>
      <c r="Q1140" s="8"/>
      <c r="R1140">
        <v>13.53</v>
      </c>
      <c r="S1140">
        <v>2475.9899999999998</v>
      </c>
      <c r="T1140">
        <v>6.46</v>
      </c>
      <c r="U1140">
        <v>9.7200000000000006</v>
      </c>
      <c r="V1140">
        <v>135.29</v>
      </c>
      <c r="W1140" s="317">
        <v>4.5999999999999996</v>
      </c>
      <c r="X1140" s="190">
        <f t="shared" si="42"/>
        <v>73.599999999999994</v>
      </c>
      <c r="Y1140" s="8"/>
      <c r="Z1140" s="8"/>
    </row>
    <row r="1141" spans="1:26" ht="12.75" customHeight="1" x14ac:dyDescent="0.2">
      <c r="A1141" s="15">
        <v>3</v>
      </c>
      <c r="B1141" s="15">
        <v>2007</v>
      </c>
      <c r="C1141" s="15">
        <v>27</v>
      </c>
      <c r="D1141" s="15">
        <v>7</v>
      </c>
      <c r="E1141" s="14">
        <v>0.8125</v>
      </c>
      <c r="F1141" s="11" t="s">
        <v>51</v>
      </c>
      <c r="G1141" s="11">
        <v>140</v>
      </c>
      <c r="H1141" s="15" t="s">
        <v>29</v>
      </c>
      <c r="I1141" s="11">
        <v>9.1999999999999993</v>
      </c>
      <c r="J1141" s="11" t="s">
        <v>19</v>
      </c>
      <c r="K1141" s="11" t="s">
        <v>20</v>
      </c>
      <c r="L1141" s="11" t="s">
        <v>21</v>
      </c>
      <c r="M1141" s="11" t="s">
        <v>45</v>
      </c>
      <c r="N1141" s="11" t="s">
        <v>24</v>
      </c>
      <c r="O1141" s="16" t="s">
        <v>29</v>
      </c>
      <c r="P1141" s="15">
        <v>208</v>
      </c>
      <c r="Q1141" s="8"/>
      <c r="R1141">
        <v>13.06</v>
      </c>
      <c r="S1141">
        <v>2228.58</v>
      </c>
      <c r="T1141">
        <v>4.13</v>
      </c>
      <c r="U1141">
        <v>9.3800000000000008</v>
      </c>
      <c r="V1141">
        <v>130.62</v>
      </c>
      <c r="W1141" s="317">
        <v>3.9</v>
      </c>
      <c r="X1141" s="190">
        <f t="shared" si="42"/>
        <v>35.879999999999995</v>
      </c>
      <c r="Y1141" s="8"/>
      <c r="Z1141" s="8"/>
    </row>
    <row r="1142" spans="1:26" ht="12.75" customHeight="1" x14ac:dyDescent="0.2">
      <c r="A1142" s="15">
        <v>4</v>
      </c>
      <c r="B1142" s="15">
        <v>2007</v>
      </c>
      <c r="C1142" s="15">
        <v>27</v>
      </c>
      <c r="D1142" s="15">
        <v>7</v>
      </c>
      <c r="E1142" s="14">
        <v>0.8125</v>
      </c>
      <c r="F1142" s="11" t="s">
        <v>28</v>
      </c>
      <c r="G1142" s="11" t="s">
        <v>29</v>
      </c>
      <c r="H1142" s="15" t="s">
        <v>29</v>
      </c>
      <c r="I1142" s="25" t="s">
        <v>29</v>
      </c>
      <c r="J1142" s="11" t="s">
        <v>19</v>
      </c>
      <c r="K1142" s="11" t="s">
        <v>20</v>
      </c>
      <c r="L1142" s="11" t="s">
        <v>30</v>
      </c>
      <c r="M1142" s="11" t="s">
        <v>29</v>
      </c>
      <c r="N1142" s="11" t="s">
        <v>29</v>
      </c>
      <c r="O1142" s="16" t="s">
        <v>29</v>
      </c>
      <c r="P1142" s="15">
        <v>208</v>
      </c>
      <c r="Q1142" s="8"/>
      <c r="W1142" s="317">
        <v>4.5999999999999996</v>
      </c>
      <c r="X1142" s="190"/>
      <c r="Y1142" s="8"/>
      <c r="Z1142" s="8"/>
    </row>
    <row r="1143" spans="1:26" ht="12.75" customHeight="1" x14ac:dyDescent="0.2">
      <c r="A1143" s="15">
        <v>5</v>
      </c>
      <c r="B1143" s="15">
        <v>2007</v>
      </c>
      <c r="C1143" s="15">
        <v>27</v>
      </c>
      <c r="D1143" s="15">
        <v>7</v>
      </c>
      <c r="E1143" s="14">
        <v>0.8125</v>
      </c>
      <c r="F1143" s="11" t="s">
        <v>28</v>
      </c>
      <c r="G1143" s="11" t="s">
        <v>29</v>
      </c>
      <c r="H1143" s="15" t="s">
        <v>29</v>
      </c>
      <c r="I1143" s="25" t="s">
        <v>29</v>
      </c>
      <c r="J1143" s="11" t="s">
        <v>19</v>
      </c>
      <c r="K1143" s="11" t="s">
        <v>20</v>
      </c>
      <c r="L1143" s="11" t="s">
        <v>30</v>
      </c>
      <c r="M1143" s="11" t="s">
        <v>29</v>
      </c>
      <c r="N1143" s="11" t="s">
        <v>29</v>
      </c>
      <c r="O1143" s="16" t="s">
        <v>29</v>
      </c>
      <c r="P1143" s="15">
        <v>208</v>
      </c>
      <c r="Q1143" s="8"/>
      <c r="W1143" s="317">
        <v>4.5999999999999996</v>
      </c>
      <c r="X1143" s="190"/>
      <c r="Y1143" s="8"/>
      <c r="Z1143" s="8"/>
    </row>
    <row r="1144" spans="1:26" ht="12.75" customHeight="1" x14ac:dyDescent="0.2">
      <c r="A1144" s="15">
        <v>6</v>
      </c>
      <c r="B1144" s="15">
        <v>2007</v>
      </c>
      <c r="C1144" s="15">
        <v>27</v>
      </c>
      <c r="D1144" s="15">
        <v>7</v>
      </c>
      <c r="E1144" s="14">
        <v>0.8125</v>
      </c>
      <c r="F1144" s="11" t="s">
        <v>51</v>
      </c>
      <c r="G1144" s="11">
        <v>174</v>
      </c>
      <c r="H1144" s="15" t="s">
        <v>29</v>
      </c>
      <c r="I1144" s="11">
        <v>21</v>
      </c>
      <c r="J1144" s="11" t="s">
        <v>19</v>
      </c>
      <c r="K1144" s="11" t="s">
        <v>20</v>
      </c>
      <c r="L1144" s="11" t="s">
        <v>21</v>
      </c>
      <c r="M1144" s="11" t="s">
        <v>46</v>
      </c>
      <c r="N1144" s="11" t="s">
        <v>24</v>
      </c>
      <c r="O1144" s="16" t="s">
        <v>29</v>
      </c>
      <c r="P1144" s="15">
        <v>208</v>
      </c>
      <c r="Q1144" s="8"/>
      <c r="R1144">
        <v>16.23</v>
      </c>
      <c r="S1144">
        <v>4278.51</v>
      </c>
      <c r="T1144">
        <v>4.91</v>
      </c>
      <c r="U1144">
        <v>11.66</v>
      </c>
      <c r="V1144">
        <v>162.34</v>
      </c>
      <c r="W1144" s="317">
        <v>3.9</v>
      </c>
      <c r="X1144" s="190">
        <f t="shared" si="42"/>
        <v>81.899999999999991</v>
      </c>
      <c r="Y1144" s="8"/>
      <c r="Z1144" s="8"/>
    </row>
    <row r="1145" spans="1:26" ht="12.75" customHeight="1" x14ac:dyDescent="0.2">
      <c r="A1145" s="15">
        <v>7</v>
      </c>
      <c r="B1145" s="15">
        <v>2007</v>
      </c>
      <c r="C1145" s="15">
        <v>27</v>
      </c>
      <c r="D1145" s="15">
        <v>7</v>
      </c>
      <c r="E1145" s="14">
        <v>0.8125</v>
      </c>
      <c r="F1145" s="11" t="s">
        <v>51</v>
      </c>
      <c r="G1145" s="11">
        <v>160</v>
      </c>
      <c r="H1145" s="15" t="s">
        <v>29</v>
      </c>
      <c r="I1145" s="11">
        <v>15.5</v>
      </c>
      <c r="J1145" s="11" t="s">
        <v>19</v>
      </c>
      <c r="K1145" s="11" t="s">
        <v>20</v>
      </c>
      <c r="L1145" s="11" t="s">
        <v>21</v>
      </c>
      <c r="M1145" s="11" t="s">
        <v>46</v>
      </c>
      <c r="N1145" s="11" t="s">
        <v>24</v>
      </c>
      <c r="O1145" s="16" t="s">
        <v>29</v>
      </c>
      <c r="P1145" s="15">
        <v>208</v>
      </c>
      <c r="Q1145" s="8"/>
      <c r="R1145">
        <v>14.93</v>
      </c>
      <c r="S1145">
        <v>3326.63</v>
      </c>
      <c r="T1145">
        <v>4.66</v>
      </c>
      <c r="U1145">
        <v>10.72</v>
      </c>
      <c r="V1145">
        <v>149.28</v>
      </c>
      <c r="W1145" s="317">
        <v>3.9</v>
      </c>
      <c r="X1145" s="190">
        <f t="shared" si="42"/>
        <v>60.449999999999996</v>
      </c>
      <c r="Y1145" s="8"/>
      <c r="Z1145" s="8"/>
    </row>
    <row r="1146" spans="1:26" ht="12.75" customHeight="1" x14ac:dyDescent="0.2">
      <c r="A1146" s="15">
        <v>8</v>
      </c>
      <c r="B1146" s="15">
        <v>2007</v>
      </c>
      <c r="C1146" s="15">
        <v>27</v>
      </c>
      <c r="D1146" s="15">
        <v>7</v>
      </c>
      <c r="E1146" s="14">
        <v>0.8125</v>
      </c>
      <c r="F1146" s="11" t="s">
        <v>51</v>
      </c>
      <c r="G1146" s="11">
        <v>143</v>
      </c>
      <c r="H1146" s="15" t="s">
        <v>29</v>
      </c>
      <c r="I1146" s="11">
        <v>15.5</v>
      </c>
      <c r="J1146" s="11" t="s">
        <v>19</v>
      </c>
      <c r="K1146" s="11" t="s">
        <v>20</v>
      </c>
      <c r="L1146" s="11" t="s">
        <v>30</v>
      </c>
      <c r="M1146" s="11" t="s">
        <v>46</v>
      </c>
      <c r="N1146" s="11" t="s">
        <v>24</v>
      </c>
      <c r="O1146" s="16" t="s">
        <v>29</v>
      </c>
      <c r="P1146" s="15">
        <v>208</v>
      </c>
      <c r="Q1146" s="8"/>
      <c r="R1146">
        <v>13.34</v>
      </c>
      <c r="S1146">
        <v>2374.94</v>
      </c>
      <c r="T1146">
        <v>6.53</v>
      </c>
      <c r="U1146">
        <v>9.58</v>
      </c>
      <c r="V1146">
        <v>133.41999999999999</v>
      </c>
      <c r="W1146" s="317">
        <v>4.5999999999999996</v>
      </c>
      <c r="X1146" s="190">
        <f t="shared" si="42"/>
        <v>71.3</v>
      </c>
      <c r="Y1146" s="8"/>
      <c r="Z1146" s="8"/>
    </row>
    <row r="1147" spans="1:26" ht="12.75" customHeight="1" x14ac:dyDescent="0.2">
      <c r="A1147" s="15">
        <v>9</v>
      </c>
      <c r="B1147" s="15">
        <v>2007</v>
      </c>
      <c r="C1147" s="15">
        <v>27</v>
      </c>
      <c r="D1147" s="15">
        <v>7</v>
      </c>
      <c r="E1147" s="14">
        <v>0.8125</v>
      </c>
      <c r="F1147" s="11" t="s">
        <v>51</v>
      </c>
      <c r="G1147" s="11">
        <v>161</v>
      </c>
      <c r="H1147" s="15" t="s">
        <v>29</v>
      </c>
      <c r="I1147" s="11">
        <v>19.399999999999999</v>
      </c>
      <c r="J1147" s="11" t="s">
        <v>19</v>
      </c>
      <c r="K1147" s="11" t="s">
        <v>20</v>
      </c>
      <c r="L1147" s="11" t="s">
        <v>30</v>
      </c>
      <c r="M1147" s="11" t="s">
        <v>46</v>
      </c>
      <c r="N1147" s="11" t="s">
        <v>24</v>
      </c>
      <c r="O1147" s="16" t="s">
        <v>29</v>
      </c>
      <c r="P1147" s="15">
        <v>208</v>
      </c>
      <c r="Q1147" s="8"/>
      <c r="R1147">
        <v>15.02</v>
      </c>
      <c r="S1147">
        <v>3389.4</v>
      </c>
      <c r="T1147">
        <v>5.72</v>
      </c>
      <c r="U1147">
        <v>10.79</v>
      </c>
      <c r="V1147">
        <v>150.21</v>
      </c>
      <c r="W1147" s="317">
        <v>4.5999999999999996</v>
      </c>
      <c r="X1147" s="190">
        <f t="shared" si="42"/>
        <v>89.239999999999981</v>
      </c>
      <c r="Y1147" s="8"/>
      <c r="Z1147" s="8"/>
    </row>
    <row r="1148" spans="1:26" ht="12.75" customHeight="1" x14ac:dyDescent="0.2">
      <c r="A1148" s="15">
        <v>10</v>
      </c>
      <c r="B1148" s="15">
        <v>2007</v>
      </c>
      <c r="C1148" s="15">
        <v>27</v>
      </c>
      <c r="D1148" s="15">
        <v>7</v>
      </c>
      <c r="E1148" s="14">
        <v>0.8125</v>
      </c>
      <c r="F1148" s="11" t="s">
        <v>51</v>
      </c>
      <c r="G1148" s="11">
        <v>159</v>
      </c>
      <c r="H1148" s="15" t="s">
        <v>29</v>
      </c>
      <c r="I1148" s="11">
        <v>15.5</v>
      </c>
      <c r="J1148" s="11" t="s">
        <v>19</v>
      </c>
      <c r="K1148" s="11" t="s">
        <v>20</v>
      </c>
      <c r="L1148" s="11" t="s">
        <v>21</v>
      </c>
      <c r="M1148" s="11" t="s">
        <v>46</v>
      </c>
      <c r="N1148" s="11" t="s">
        <v>23</v>
      </c>
      <c r="O1148" s="16" t="s">
        <v>29</v>
      </c>
      <c r="P1148" s="15">
        <v>208</v>
      </c>
      <c r="Q1148" s="8"/>
      <c r="R1148">
        <v>14.83</v>
      </c>
      <c r="S1148">
        <v>3264.65</v>
      </c>
      <c r="T1148">
        <v>4.75</v>
      </c>
      <c r="U1148">
        <v>10.65</v>
      </c>
      <c r="V1148">
        <v>148.35</v>
      </c>
      <c r="W1148" s="317">
        <v>3.9</v>
      </c>
      <c r="X1148" s="190">
        <f t="shared" si="42"/>
        <v>60.449999999999996</v>
      </c>
      <c r="Y1148" s="8"/>
      <c r="Z1148" s="8"/>
    </row>
    <row r="1149" spans="1:26" ht="12.75" customHeight="1" x14ac:dyDescent="0.2">
      <c r="A1149" s="15">
        <v>11</v>
      </c>
      <c r="B1149" s="15">
        <v>2007</v>
      </c>
      <c r="C1149" s="15">
        <v>27</v>
      </c>
      <c r="D1149" s="15">
        <v>7</v>
      </c>
      <c r="E1149" s="14">
        <v>0.8125</v>
      </c>
      <c r="F1149" s="11" t="s">
        <v>51</v>
      </c>
      <c r="G1149" s="11">
        <v>144</v>
      </c>
      <c r="H1149" s="15" t="s">
        <v>29</v>
      </c>
      <c r="I1149" s="11">
        <v>9.5</v>
      </c>
      <c r="J1149" s="11" t="s">
        <v>19</v>
      </c>
      <c r="K1149" s="11" t="s">
        <v>20</v>
      </c>
      <c r="L1149" s="11" t="s">
        <v>30</v>
      </c>
      <c r="M1149" s="11" t="s">
        <v>27</v>
      </c>
      <c r="N1149" s="11" t="s">
        <v>24</v>
      </c>
      <c r="O1149" s="16" t="s">
        <v>29</v>
      </c>
      <c r="P1149" s="15">
        <v>208</v>
      </c>
      <c r="Q1149" s="8"/>
      <c r="R1149">
        <v>13.44</v>
      </c>
      <c r="S1149">
        <v>2425.12</v>
      </c>
      <c r="T1149">
        <v>3.92</v>
      </c>
      <c r="U1149">
        <v>9.65</v>
      </c>
      <c r="V1149">
        <v>134.35</v>
      </c>
      <c r="W1149" s="317">
        <v>4.5999999999999996</v>
      </c>
      <c r="X1149" s="190">
        <f t="shared" si="42"/>
        <v>43.699999999999996</v>
      </c>
      <c r="Y1149" s="8"/>
      <c r="Z1149" s="8"/>
    </row>
    <row r="1150" spans="1:26" ht="12.75" customHeight="1" x14ac:dyDescent="0.2">
      <c r="A1150" s="15">
        <v>12</v>
      </c>
      <c r="B1150" s="15">
        <v>2007</v>
      </c>
      <c r="C1150" s="15">
        <v>27</v>
      </c>
      <c r="D1150" s="15">
        <v>7</v>
      </c>
      <c r="E1150" s="14">
        <v>0.8125</v>
      </c>
      <c r="F1150" s="11" t="s">
        <v>51</v>
      </c>
      <c r="G1150" s="11">
        <v>169</v>
      </c>
      <c r="H1150" s="15" t="s">
        <v>29</v>
      </c>
      <c r="I1150" s="11">
        <v>16.3</v>
      </c>
      <c r="J1150" s="11" t="s">
        <v>19</v>
      </c>
      <c r="K1150" s="11" t="s">
        <v>20</v>
      </c>
      <c r="L1150" s="11" t="s">
        <v>30</v>
      </c>
      <c r="M1150" s="11" t="s">
        <v>46</v>
      </c>
      <c r="N1150" s="11" t="s">
        <v>24</v>
      </c>
      <c r="O1150" s="16" t="s">
        <v>29</v>
      </c>
      <c r="P1150" s="15">
        <v>208</v>
      </c>
      <c r="Q1150" s="8"/>
      <c r="R1150">
        <v>15.77</v>
      </c>
      <c r="S1150">
        <v>3920.17</v>
      </c>
      <c r="T1150">
        <v>4.16</v>
      </c>
      <c r="U1150">
        <v>11.32</v>
      </c>
      <c r="V1150">
        <v>157.68</v>
      </c>
      <c r="W1150" s="317">
        <v>4.5999999999999996</v>
      </c>
      <c r="X1150" s="190">
        <f t="shared" si="42"/>
        <v>74.98</v>
      </c>
      <c r="Y1150" s="8"/>
      <c r="Z1150" s="8"/>
    </row>
    <row r="1151" spans="1:26" ht="12.75" customHeight="1" x14ac:dyDescent="0.2">
      <c r="A1151" s="15">
        <v>13</v>
      </c>
      <c r="B1151" s="15">
        <v>2007</v>
      </c>
      <c r="C1151" s="15">
        <v>27</v>
      </c>
      <c r="D1151" s="15">
        <v>7</v>
      </c>
      <c r="E1151" s="14">
        <v>0.8125</v>
      </c>
      <c r="F1151" s="11" t="s">
        <v>51</v>
      </c>
      <c r="G1151" s="11">
        <v>140</v>
      </c>
      <c r="H1151" s="15" t="s">
        <v>29</v>
      </c>
      <c r="I1151" s="11">
        <v>12</v>
      </c>
      <c r="J1151" s="11" t="s">
        <v>19</v>
      </c>
      <c r="K1151" s="11" t="s">
        <v>20</v>
      </c>
      <c r="L1151" s="11" t="s">
        <v>30</v>
      </c>
      <c r="M1151" s="11" t="s">
        <v>29</v>
      </c>
      <c r="N1151" s="11" t="s">
        <v>25</v>
      </c>
      <c r="O1151" s="16" t="s">
        <v>29</v>
      </c>
      <c r="P1151" s="15">
        <v>208</v>
      </c>
      <c r="Q1151" s="8"/>
      <c r="R1151">
        <v>13.06</v>
      </c>
      <c r="S1151">
        <v>2228.58</v>
      </c>
      <c r="T1151">
        <v>5.38</v>
      </c>
      <c r="U1151">
        <v>9.3800000000000008</v>
      </c>
      <c r="V1151">
        <v>130.62</v>
      </c>
      <c r="W1151" s="317">
        <v>4.5999999999999996</v>
      </c>
      <c r="X1151" s="190">
        <f t="shared" si="42"/>
        <v>55.199999999999996</v>
      </c>
      <c r="Y1151" s="8"/>
      <c r="Z1151" s="8"/>
    </row>
    <row r="1152" spans="1:26" ht="12.75" customHeight="1" x14ac:dyDescent="0.2">
      <c r="A1152" s="15">
        <v>14</v>
      </c>
      <c r="B1152" s="15">
        <v>2007</v>
      </c>
      <c r="C1152" s="15">
        <v>27</v>
      </c>
      <c r="D1152" s="15">
        <v>7</v>
      </c>
      <c r="E1152" s="14">
        <v>0.8125</v>
      </c>
      <c r="F1152" s="11" t="s">
        <v>51</v>
      </c>
      <c r="G1152" s="11">
        <v>125</v>
      </c>
      <c r="H1152" s="15" t="s">
        <v>29</v>
      </c>
      <c r="I1152" s="11">
        <v>9</v>
      </c>
      <c r="J1152" s="11" t="s">
        <v>19</v>
      </c>
      <c r="K1152" s="11" t="s">
        <v>20</v>
      </c>
      <c r="L1152" s="11" t="s">
        <v>30</v>
      </c>
      <c r="M1152" s="11" t="s">
        <v>46</v>
      </c>
      <c r="N1152" s="11" t="s">
        <v>24</v>
      </c>
      <c r="O1152" s="16" t="s">
        <v>29</v>
      </c>
      <c r="P1152" s="15">
        <v>208</v>
      </c>
      <c r="Q1152" s="8"/>
      <c r="R1152">
        <v>11.66</v>
      </c>
      <c r="S1152">
        <v>1586.26</v>
      </c>
      <c r="T1152">
        <v>5.67</v>
      </c>
      <c r="U1152">
        <v>8.3800000000000008</v>
      </c>
      <c r="V1152">
        <v>116.63</v>
      </c>
      <c r="W1152" s="317">
        <v>4.5999999999999996</v>
      </c>
      <c r="X1152" s="190">
        <f t="shared" si="42"/>
        <v>41.4</v>
      </c>
      <c r="Y1152" s="8"/>
      <c r="Z1152" s="8"/>
    </row>
    <row r="1153" spans="1:26" ht="12.75" customHeight="1" x14ac:dyDescent="0.2">
      <c r="A1153" s="15">
        <v>15</v>
      </c>
      <c r="B1153" s="15">
        <v>2007</v>
      </c>
      <c r="C1153" s="15">
        <v>27</v>
      </c>
      <c r="D1153" s="15">
        <v>7</v>
      </c>
      <c r="E1153" s="14">
        <v>0.8125</v>
      </c>
      <c r="F1153" s="11" t="s">
        <v>51</v>
      </c>
      <c r="G1153" s="11">
        <v>135</v>
      </c>
      <c r="H1153" s="15" t="s">
        <v>29</v>
      </c>
      <c r="I1153" s="11">
        <v>8</v>
      </c>
      <c r="J1153" s="11" t="s">
        <v>19</v>
      </c>
      <c r="K1153" s="11" t="s">
        <v>20</v>
      </c>
      <c r="L1153" s="11" t="s">
        <v>21</v>
      </c>
      <c r="M1153" s="11" t="s">
        <v>27</v>
      </c>
      <c r="N1153" s="11" t="s">
        <v>24</v>
      </c>
      <c r="O1153" s="16" t="s">
        <v>29</v>
      </c>
      <c r="P1153" s="15">
        <v>208</v>
      </c>
      <c r="Q1153" s="8"/>
      <c r="R1153">
        <v>12.6</v>
      </c>
      <c r="S1153">
        <v>1998.23</v>
      </c>
      <c r="T1153">
        <v>4</v>
      </c>
      <c r="U1153">
        <v>9.0500000000000007</v>
      </c>
      <c r="V1153">
        <v>125.96</v>
      </c>
      <c r="W1153" s="317">
        <v>3.9</v>
      </c>
      <c r="X1153" s="190">
        <f t="shared" si="42"/>
        <v>31.2</v>
      </c>
      <c r="Y1153" s="8"/>
      <c r="Z1153" s="8"/>
    </row>
    <row r="1154" spans="1:26" ht="12.75" customHeight="1" x14ac:dyDescent="0.2">
      <c r="A1154" s="15">
        <v>16</v>
      </c>
      <c r="B1154" s="15">
        <v>2007</v>
      </c>
      <c r="C1154" s="15">
        <v>27</v>
      </c>
      <c r="D1154" s="15">
        <v>7</v>
      </c>
      <c r="E1154" s="14">
        <v>0.8125</v>
      </c>
      <c r="F1154" s="11" t="s">
        <v>51</v>
      </c>
      <c r="G1154" s="11">
        <v>146</v>
      </c>
      <c r="H1154" s="15" t="s">
        <v>29</v>
      </c>
      <c r="I1154" s="11">
        <v>11</v>
      </c>
      <c r="J1154" s="11" t="s">
        <v>19</v>
      </c>
      <c r="K1154" s="11" t="s">
        <v>20</v>
      </c>
      <c r="L1154" s="11" t="s">
        <v>21</v>
      </c>
      <c r="M1154" s="11" t="s">
        <v>29</v>
      </c>
      <c r="N1154" s="11" t="s">
        <v>23</v>
      </c>
      <c r="O1154" s="16" t="s">
        <v>29</v>
      </c>
      <c r="P1154" s="15">
        <v>208</v>
      </c>
      <c r="Q1154" s="8"/>
      <c r="R1154">
        <v>13.62</v>
      </c>
      <c r="S1154">
        <v>2527.5700000000002</v>
      </c>
      <c r="T1154">
        <v>4.3499999999999996</v>
      </c>
      <c r="U1154">
        <v>9.7799999999999994</v>
      </c>
      <c r="V1154">
        <v>136.22</v>
      </c>
      <c r="W1154" s="317">
        <v>3.9</v>
      </c>
      <c r="X1154" s="190">
        <f t="shared" si="42"/>
        <v>42.9</v>
      </c>
      <c r="Y1154" s="8"/>
      <c r="Z1154" s="8"/>
    </row>
    <row r="1155" spans="1:26" ht="12.75" customHeight="1" x14ac:dyDescent="0.2">
      <c r="A1155" s="15">
        <v>17</v>
      </c>
      <c r="B1155" s="15">
        <v>2007</v>
      </c>
      <c r="C1155" s="15">
        <v>27</v>
      </c>
      <c r="D1155" s="15">
        <v>7</v>
      </c>
      <c r="E1155" s="14">
        <v>0.8125</v>
      </c>
      <c r="F1155" s="11" t="s">
        <v>51</v>
      </c>
      <c r="G1155" s="11">
        <v>160</v>
      </c>
      <c r="H1155" s="15" t="s">
        <v>29</v>
      </c>
      <c r="I1155" s="11">
        <v>15.5</v>
      </c>
      <c r="J1155" s="11" t="s">
        <v>19</v>
      </c>
      <c r="K1155" s="11" t="s">
        <v>20</v>
      </c>
      <c r="L1155" s="11" t="s">
        <v>21</v>
      </c>
      <c r="M1155" s="11" t="s">
        <v>27</v>
      </c>
      <c r="N1155" s="11" t="s">
        <v>23</v>
      </c>
      <c r="O1155" s="16" t="s">
        <v>29</v>
      </c>
      <c r="P1155" s="15">
        <v>208</v>
      </c>
      <c r="Q1155" s="8"/>
      <c r="R1155">
        <v>14.93</v>
      </c>
      <c r="S1155">
        <v>3326.63</v>
      </c>
      <c r="T1155">
        <v>4.66</v>
      </c>
      <c r="U1155">
        <v>10.72</v>
      </c>
      <c r="V1155">
        <v>149.28</v>
      </c>
      <c r="W1155" s="317">
        <v>3.9</v>
      </c>
      <c r="X1155" s="190">
        <f t="shared" si="42"/>
        <v>60.449999999999996</v>
      </c>
      <c r="Y1155" s="8"/>
      <c r="Z1155" s="8"/>
    </row>
    <row r="1156" spans="1:26" ht="12.75" customHeight="1" x14ac:dyDescent="0.2">
      <c r="A1156" s="15">
        <v>18</v>
      </c>
      <c r="B1156" s="15">
        <v>2007</v>
      </c>
      <c r="C1156" s="15">
        <v>27</v>
      </c>
      <c r="D1156" s="15">
        <v>7</v>
      </c>
      <c r="E1156" s="14">
        <v>0.8125</v>
      </c>
      <c r="F1156" s="11" t="s">
        <v>51</v>
      </c>
      <c r="G1156" s="11">
        <v>139</v>
      </c>
      <c r="H1156" s="15" t="s">
        <v>29</v>
      </c>
      <c r="I1156" s="11">
        <v>10</v>
      </c>
      <c r="J1156" s="11" t="s">
        <v>19</v>
      </c>
      <c r="K1156" s="11" t="s">
        <v>20</v>
      </c>
      <c r="L1156" s="11" t="s">
        <v>21</v>
      </c>
      <c r="M1156" s="11" t="s">
        <v>46</v>
      </c>
      <c r="N1156" s="11" t="s">
        <v>24</v>
      </c>
      <c r="O1156" s="16" t="s">
        <v>29</v>
      </c>
      <c r="P1156" s="15">
        <v>208</v>
      </c>
      <c r="Q1156" s="8"/>
      <c r="R1156">
        <v>12.97</v>
      </c>
      <c r="S1156">
        <v>2181.17</v>
      </c>
      <c r="T1156">
        <v>4.58</v>
      </c>
      <c r="U1156">
        <v>9.31</v>
      </c>
      <c r="V1156">
        <v>129.69</v>
      </c>
      <c r="W1156" s="317">
        <v>3.9</v>
      </c>
      <c r="X1156" s="190">
        <f t="shared" si="42"/>
        <v>39</v>
      </c>
      <c r="Y1156" s="8"/>
      <c r="Z1156" s="8"/>
    </row>
    <row r="1157" spans="1:26" ht="12.75" customHeight="1" x14ac:dyDescent="0.2">
      <c r="A1157" s="15">
        <v>19</v>
      </c>
      <c r="B1157" s="15">
        <v>2007</v>
      </c>
      <c r="C1157" s="15">
        <v>27</v>
      </c>
      <c r="D1157" s="15">
        <v>7</v>
      </c>
      <c r="E1157" s="14">
        <v>0.8125</v>
      </c>
      <c r="F1157" s="11" t="s">
        <v>51</v>
      </c>
      <c r="G1157" s="11">
        <v>137</v>
      </c>
      <c r="H1157" s="15" t="s">
        <v>29</v>
      </c>
      <c r="I1157" s="11">
        <v>8</v>
      </c>
      <c r="J1157" s="11" t="s">
        <v>19</v>
      </c>
      <c r="K1157" s="11" t="s">
        <v>20</v>
      </c>
      <c r="L1157" s="11" t="s">
        <v>21</v>
      </c>
      <c r="M1157" s="11" t="s">
        <v>46</v>
      </c>
      <c r="N1157" s="11" t="s">
        <v>33</v>
      </c>
      <c r="O1157" s="16" t="s">
        <v>29</v>
      </c>
      <c r="P1157" s="15">
        <v>208</v>
      </c>
      <c r="Q1157" s="8"/>
      <c r="R1157">
        <v>12.78</v>
      </c>
      <c r="S1157">
        <v>2088.37</v>
      </c>
      <c r="T1157">
        <v>3.83</v>
      </c>
      <c r="U1157">
        <v>9.18</v>
      </c>
      <c r="V1157">
        <v>127.82</v>
      </c>
      <c r="W1157" s="317">
        <v>3.9</v>
      </c>
      <c r="X1157" s="190">
        <f t="shared" si="42"/>
        <v>31.2</v>
      </c>
      <c r="Y1157" s="8"/>
      <c r="Z1157" s="8"/>
    </row>
    <row r="1158" spans="1:26" ht="12.75" customHeight="1" x14ac:dyDescent="0.2">
      <c r="A1158" s="15">
        <v>20</v>
      </c>
      <c r="B1158" s="15">
        <v>2007</v>
      </c>
      <c r="C1158" s="15">
        <v>27</v>
      </c>
      <c r="D1158" s="15">
        <v>7</v>
      </c>
      <c r="E1158" s="14">
        <v>0.8125</v>
      </c>
      <c r="F1158" s="11" t="s">
        <v>51</v>
      </c>
      <c r="G1158" s="11">
        <v>155</v>
      </c>
      <c r="H1158" s="15" t="s">
        <v>29</v>
      </c>
      <c r="I1158" s="11">
        <v>12.5</v>
      </c>
      <c r="J1158" s="11" t="s">
        <v>19</v>
      </c>
      <c r="K1158" s="11" t="s">
        <v>20</v>
      </c>
      <c r="L1158" s="11" t="s">
        <v>21</v>
      </c>
      <c r="M1158" s="11" t="s">
        <v>27</v>
      </c>
      <c r="N1158" s="11" t="s">
        <v>25</v>
      </c>
      <c r="O1158" s="16" t="s">
        <v>29</v>
      </c>
      <c r="P1158" s="15">
        <v>208</v>
      </c>
      <c r="Q1158" s="8"/>
      <c r="R1158">
        <v>14.46</v>
      </c>
      <c r="S1158">
        <v>3024.41</v>
      </c>
      <c r="T1158">
        <v>4.13</v>
      </c>
      <c r="U1158">
        <v>10.39</v>
      </c>
      <c r="V1158">
        <v>144.62</v>
      </c>
      <c r="W1158" s="317">
        <v>3.9</v>
      </c>
      <c r="X1158" s="190">
        <f t="shared" si="42"/>
        <v>48.75</v>
      </c>
      <c r="Y1158" s="8"/>
      <c r="Z1158" s="8"/>
    </row>
    <row r="1159" spans="1:26" ht="12.75" customHeight="1" x14ac:dyDescent="0.2">
      <c r="A1159" s="15">
        <v>21</v>
      </c>
      <c r="B1159" s="15">
        <v>2007</v>
      </c>
      <c r="C1159" s="15">
        <v>27</v>
      </c>
      <c r="D1159" s="15">
        <v>7</v>
      </c>
      <c r="E1159" s="14">
        <v>0.8125</v>
      </c>
      <c r="F1159" s="11" t="s">
        <v>51</v>
      </c>
      <c r="G1159" s="11">
        <v>149</v>
      </c>
      <c r="H1159" s="15" t="s">
        <v>29</v>
      </c>
      <c r="I1159" s="11">
        <v>14.5</v>
      </c>
      <c r="J1159" s="11" t="s">
        <v>19</v>
      </c>
      <c r="K1159" s="11" t="s">
        <v>20</v>
      </c>
      <c r="L1159" s="11" t="s">
        <v>21</v>
      </c>
      <c r="M1159" s="11" t="s">
        <v>27</v>
      </c>
      <c r="N1159" s="11" t="s">
        <v>23</v>
      </c>
      <c r="O1159" s="16" t="s">
        <v>29</v>
      </c>
      <c r="P1159" s="15">
        <v>208</v>
      </c>
      <c r="Q1159" s="8"/>
      <c r="R1159">
        <v>13.9</v>
      </c>
      <c r="S1159">
        <v>2686.6</v>
      </c>
      <c r="T1159">
        <v>5.4</v>
      </c>
      <c r="U1159">
        <v>9.98</v>
      </c>
      <c r="V1159">
        <v>139.02000000000001</v>
      </c>
      <c r="W1159" s="317">
        <v>3.9</v>
      </c>
      <c r="X1159" s="190">
        <f t="shared" si="42"/>
        <v>56.55</v>
      </c>
      <c r="Y1159" s="8"/>
      <c r="Z1159" s="8"/>
    </row>
    <row r="1160" spans="1:26" ht="12.75" customHeight="1" x14ac:dyDescent="0.2">
      <c r="A1160" s="15">
        <v>22</v>
      </c>
      <c r="B1160" s="15">
        <v>2007</v>
      </c>
      <c r="C1160" s="15">
        <v>27</v>
      </c>
      <c r="D1160" s="15">
        <v>7</v>
      </c>
      <c r="E1160" s="14">
        <v>0.8125</v>
      </c>
      <c r="F1160" s="11" t="s">
        <v>51</v>
      </c>
      <c r="G1160" s="11">
        <v>145</v>
      </c>
      <c r="H1160" s="15" t="s">
        <v>29</v>
      </c>
      <c r="I1160" s="11">
        <v>11.5</v>
      </c>
      <c r="J1160" s="11" t="s">
        <v>19</v>
      </c>
      <c r="K1160" s="11" t="s">
        <v>20</v>
      </c>
      <c r="L1160" s="11" t="s">
        <v>21</v>
      </c>
      <c r="M1160" s="11" t="s">
        <v>46</v>
      </c>
      <c r="N1160" s="11" t="s">
        <v>23</v>
      </c>
      <c r="O1160" s="16" t="s">
        <v>29</v>
      </c>
      <c r="P1160" s="15">
        <v>208</v>
      </c>
      <c r="Q1160" s="8"/>
      <c r="R1160">
        <v>13.53</v>
      </c>
      <c r="S1160">
        <v>2475.9899999999998</v>
      </c>
      <c r="T1160">
        <v>4.6399999999999997</v>
      </c>
      <c r="U1160">
        <v>9.7200000000000006</v>
      </c>
      <c r="V1160">
        <v>135.29</v>
      </c>
      <c r="W1160" s="317">
        <v>3.9</v>
      </c>
      <c r="X1160" s="190">
        <f t="shared" si="42"/>
        <v>44.85</v>
      </c>
      <c r="Y1160" s="8"/>
      <c r="Z1160" s="8"/>
    </row>
    <row r="1161" spans="1:26" ht="12.75" customHeight="1" x14ac:dyDescent="0.2">
      <c r="A1161" s="15">
        <v>27</v>
      </c>
      <c r="B1161" s="15">
        <v>2006</v>
      </c>
      <c r="C1161" s="15">
        <v>13</v>
      </c>
      <c r="D1161" s="15">
        <v>8</v>
      </c>
      <c r="E1161" s="26" t="s">
        <v>17</v>
      </c>
      <c r="F1161" s="11" t="s">
        <v>28</v>
      </c>
      <c r="G1161" s="11" t="s">
        <v>29</v>
      </c>
      <c r="H1161" s="15" t="s">
        <v>29</v>
      </c>
      <c r="I1161" s="25" t="s">
        <v>29</v>
      </c>
      <c r="J1161" s="11" t="s">
        <v>19</v>
      </c>
      <c r="K1161" s="19" t="s">
        <v>34</v>
      </c>
      <c r="L1161" s="11" t="s">
        <v>41</v>
      </c>
      <c r="M1161" s="11" t="s">
        <v>29</v>
      </c>
      <c r="N1161" s="11" t="s">
        <v>29</v>
      </c>
      <c r="O1161" s="27" t="s">
        <v>29</v>
      </c>
      <c r="P1161" s="15">
        <v>224</v>
      </c>
      <c r="Q1161" s="8"/>
      <c r="W1161" s="317">
        <v>3.8</v>
      </c>
      <c r="X1161" s="190"/>
      <c r="Y1161" s="8"/>
      <c r="Z1161" s="8"/>
    </row>
    <row r="1162" spans="1:26" ht="12.75" customHeight="1" x14ac:dyDescent="0.2">
      <c r="A1162" s="15">
        <v>28</v>
      </c>
      <c r="B1162" s="15">
        <v>2006</v>
      </c>
      <c r="C1162" s="15">
        <v>13</v>
      </c>
      <c r="D1162" s="15">
        <v>8</v>
      </c>
      <c r="E1162" s="26" t="s">
        <v>17</v>
      </c>
      <c r="F1162" s="11" t="s">
        <v>28</v>
      </c>
      <c r="G1162" s="11" t="s">
        <v>29</v>
      </c>
      <c r="H1162" s="15" t="s">
        <v>29</v>
      </c>
      <c r="I1162" s="25" t="s">
        <v>29</v>
      </c>
      <c r="J1162" s="11" t="s">
        <v>19</v>
      </c>
      <c r="K1162" s="19" t="s">
        <v>20</v>
      </c>
      <c r="L1162" s="19" t="s">
        <v>35</v>
      </c>
      <c r="M1162" s="11" t="s">
        <v>29</v>
      </c>
      <c r="N1162" s="11" t="s">
        <v>29</v>
      </c>
      <c r="O1162" s="27" t="s">
        <v>29</v>
      </c>
      <c r="P1162" s="15">
        <v>224</v>
      </c>
      <c r="Q1162" s="8"/>
      <c r="W1162" s="317">
        <v>3.9</v>
      </c>
      <c r="X1162" s="190"/>
      <c r="Y1162" s="8"/>
      <c r="Z1162" s="8"/>
    </row>
    <row r="1163" spans="1:26" ht="12.75" customHeight="1" x14ac:dyDescent="0.2">
      <c r="A1163" s="15">
        <v>29</v>
      </c>
      <c r="B1163" s="15">
        <v>2006</v>
      </c>
      <c r="C1163" s="15">
        <v>13</v>
      </c>
      <c r="D1163" s="15">
        <v>8</v>
      </c>
      <c r="E1163" s="26" t="s">
        <v>17</v>
      </c>
      <c r="F1163" s="11" t="s">
        <v>28</v>
      </c>
      <c r="G1163" s="11" t="s">
        <v>29</v>
      </c>
      <c r="H1163" s="15" t="s">
        <v>29</v>
      </c>
      <c r="I1163" s="25" t="s">
        <v>29</v>
      </c>
      <c r="J1163" s="11" t="s">
        <v>19</v>
      </c>
      <c r="K1163" s="19" t="s">
        <v>20</v>
      </c>
      <c r="L1163" s="11" t="s">
        <v>41</v>
      </c>
      <c r="M1163" s="11" t="s">
        <v>29</v>
      </c>
      <c r="N1163" s="11" t="s">
        <v>29</v>
      </c>
      <c r="O1163" s="27" t="s">
        <v>29</v>
      </c>
      <c r="P1163" s="15">
        <v>224</v>
      </c>
      <c r="Q1163" s="8"/>
      <c r="W1163" s="8"/>
      <c r="X1163" s="8"/>
      <c r="Y1163" s="8"/>
      <c r="Z1163" s="8"/>
    </row>
    <row r="1164" spans="1:26" ht="12.75" customHeight="1" x14ac:dyDescent="0.2">
      <c r="A1164" s="15">
        <v>26</v>
      </c>
      <c r="B1164" s="15">
        <v>2006</v>
      </c>
      <c r="C1164" s="15">
        <v>12</v>
      </c>
      <c r="D1164" s="15">
        <v>8</v>
      </c>
      <c r="E1164" s="26" t="s">
        <v>17</v>
      </c>
      <c r="F1164" s="11" t="s">
        <v>51</v>
      </c>
      <c r="G1164" s="19">
        <v>141</v>
      </c>
      <c r="H1164" s="15" t="s">
        <v>29</v>
      </c>
      <c r="I1164" s="19">
        <v>9.3000000000000007</v>
      </c>
      <c r="J1164" s="11" t="s">
        <v>19</v>
      </c>
      <c r="K1164" s="19" t="s">
        <v>20</v>
      </c>
      <c r="L1164" s="11" t="s">
        <v>21</v>
      </c>
      <c r="M1164" s="19" t="s">
        <v>46</v>
      </c>
      <c r="N1164" s="11" t="s">
        <v>23</v>
      </c>
      <c r="O1164" s="27" t="s">
        <v>29</v>
      </c>
      <c r="P1164" s="15">
        <v>224</v>
      </c>
      <c r="Q1164" s="8"/>
      <c r="R1164">
        <v>13.16</v>
      </c>
      <c r="S1164">
        <v>2276.6799999999998</v>
      </c>
      <c r="T1164">
        <v>4.08</v>
      </c>
      <c r="U1164">
        <v>9.4499999999999993</v>
      </c>
      <c r="V1164">
        <v>131.55000000000001</v>
      </c>
      <c r="W1164" s="317">
        <v>3.9</v>
      </c>
      <c r="X1164" s="190">
        <f t="shared" ref="X1164:X1169" si="43">I1164*W1164</f>
        <v>36.270000000000003</v>
      </c>
      <c r="Y1164" s="8"/>
      <c r="Z1164" s="8"/>
    </row>
    <row r="1165" spans="1:26" ht="12.75" customHeight="1" x14ac:dyDescent="0.2">
      <c r="A1165" s="15">
        <v>11</v>
      </c>
      <c r="B1165" s="15">
        <v>2006</v>
      </c>
      <c r="C1165" s="15">
        <v>11</v>
      </c>
      <c r="D1165" s="15">
        <v>8</v>
      </c>
      <c r="E1165" s="28">
        <v>0.79166666666666663</v>
      </c>
      <c r="F1165" s="11" t="s">
        <v>51</v>
      </c>
      <c r="G1165" s="19">
        <v>160</v>
      </c>
      <c r="H1165" s="15" t="s">
        <v>29</v>
      </c>
      <c r="I1165" s="19">
        <v>12</v>
      </c>
      <c r="J1165" s="11" t="s">
        <v>19</v>
      </c>
      <c r="K1165" s="19" t="s">
        <v>20</v>
      </c>
      <c r="L1165" s="11" t="s">
        <v>21</v>
      </c>
      <c r="M1165" s="19" t="s">
        <v>46</v>
      </c>
      <c r="N1165" s="11" t="s">
        <v>24</v>
      </c>
      <c r="O1165" s="16" t="s">
        <v>29</v>
      </c>
      <c r="P1165" s="15">
        <v>223</v>
      </c>
      <c r="Q1165" s="8"/>
      <c r="R1165">
        <v>14.93</v>
      </c>
      <c r="S1165">
        <v>3326.63</v>
      </c>
      <c r="T1165">
        <v>3.61</v>
      </c>
      <c r="U1165">
        <v>10.72</v>
      </c>
      <c r="V1165">
        <v>149.28</v>
      </c>
      <c r="W1165" s="317">
        <v>3.9</v>
      </c>
      <c r="X1165" s="190">
        <f t="shared" si="43"/>
        <v>46.8</v>
      </c>
      <c r="Y1165" s="8"/>
      <c r="Z1165" s="8"/>
    </row>
    <row r="1166" spans="1:26" ht="12.75" customHeight="1" x14ac:dyDescent="0.2">
      <c r="A1166" s="15">
        <v>12</v>
      </c>
      <c r="B1166" s="15">
        <v>2006</v>
      </c>
      <c r="C1166" s="15">
        <v>11</v>
      </c>
      <c r="D1166" s="15">
        <v>8</v>
      </c>
      <c r="E1166" s="28">
        <v>0.79166666666666663</v>
      </c>
      <c r="F1166" s="11" t="s">
        <v>51</v>
      </c>
      <c r="G1166" s="19">
        <v>132</v>
      </c>
      <c r="H1166" s="15" t="s">
        <v>29</v>
      </c>
      <c r="I1166" s="19">
        <v>7.3</v>
      </c>
      <c r="J1166" s="11" t="s">
        <v>19</v>
      </c>
      <c r="K1166" s="19" t="s">
        <v>20</v>
      </c>
      <c r="L1166" s="11" t="s">
        <v>21</v>
      </c>
      <c r="M1166" s="19" t="s">
        <v>27</v>
      </c>
      <c r="N1166" s="11" t="s">
        <v>23</v>
      </c>
      <c r="O1166" s="16" t="s">
        <v>29</v>
      </c>
      <c r="P1166" s="15">
        <v>223</v>
      </c>
      <c r="Q1166" s="8"/>
      <c r="R1166">
        <v>12.32</v>
      </c>
      <c r="S1166">
        <v>1867.96</v>
      </c>
      <c r="T1166">
        <v>3.91</v>
      </c>
      <c r="U1166">
        <v>8.84</v>
      </c>
      <c r="V1166">
        <v>123.16</v>
      </c>
      <c r="W1166" s="317">
        <v>3.9</v>
      </c>
      <c r="X1166" s="190">
        <f t="shared" si="43"/>
        <v>28.47</v>
      </c>
      <c r="Y1166" s="8"/>
      <c r="Z1166" s="8"/>
    </row>
    <row r="1167" spans="1:26" ht="12.75" customHeight="1" x14ac:dyDescent="0.2">
      <c r="A1167" s="15">
        <v>13</v>
      </c>
      <c r="B1167" s="15">
        <v>2006</v>
      </c>
      <c r="C1167" s="15">
        <v>11</v>
      </c>
      <c r="D1167" s="15">
        <v>8</v>
      </c>
      <c r="E1167" s="28">
        <v>0.79166666666666663</v>
      </c>
      <c r="F1167" s="11" t="s">
        <v>51</v>
      </c>
      <c r="G1167" s="19">
        <v>138</v>
      </c>
      <c r="H1167" s="15" t="s">
        <v>29</v>
      </c>
      <c r="I1167" s="19">
        <v>9.1999999999999993</v>
      </c>
      <c r="J1167" s="11" t="s">
        <v>19</v>
      </c>
      <c r="K1167" s="19" t="s">
        <v>20</v>
      </c>
      <c r="L1167" s="11" t="s">
        <v>21</v>
      </c>
      <c r="M1167" s="19" t="s">
        <v>45</v>
      </c>
      <c r="N1167" s="11" t="s">
        <v>25</v>
      </c>
      <c r="O1167" s="16" t="s">
        <v>29</v>
      </c>
      <c r="P1167" s="15">
        <v>223</v>
      </c>
      <c r="Q1167" s="8"/>
      <c r="R1167">
        <v>12.88</v>
      </c>
      <c r="S1167">
        <v>2134.4299999999998</v>
      </c>
      <c r="T1167">
        <v>4.3099999999999996</v>
      </c>
      <c r="U1167">
        <v>9.25</v>
      </c>
      <c r="V1167">
        <v>128.75</v>
      </c>
      <c r="W1167" s="317">
        <v>3.9</v>
      </c>
      <c r="X1167" s="190">
        <f t="shared" si="43"/>
        <v>35.879999999999995</v>
      </c>
      <c r="Y1167" s="8"/>
      <c r="Z1167" s="8"/>
    </row>
    <row r="1168" spans="1:26" ht="12.75" customHeight="1" x14ac:dyDescent="0.2">
      <c r="A1168" s="15">
        <v>14</v>
      </c>
      <c r="B1168" s="15">
        <v>2006</v>
      </c>
      <c r="C1168" s="15">
        <v>11</v>
      </c>
      <c r="D1168" s="15">
        <v>8</v>
      </c>
      <c r="E1168" s="28">
        <v>0.79166666666666663</v>
      </c>
      <c r="F1168" s="11" t="s">
        <v>51</v>
      </c>
      <c r="G1168" s="19">
        <v>123</v>
      </c>
      <c r="H1168" s="15" t="s">
        <v>29</v>
      </c>
      <c r="I1168" s="19">
        <v>5.5</v>
      </c>
      <c r="J1168" s="11" t="s">
        <v>19</v>
      </c>
      <c r="K1168" s="19" t="s">
        <v>20</v>
      </c>
      <c r="L1168" s="19" t="s">
        <v>35</v>
      </c>
      <c r="M1168" s="19" t="s">
        <v>27</v>
      </c>
      <c r="N1168" s="11" t="s">
        <v>197</v>
      </c>
      <c r="O1168" s="16" t="s">
        <v>29</v>
      </c>
      <c r="P1168" s="15">
        <v>223</v>
      </c>
      <c r="Q1168" s="8"/>
      <c r="R1168">
        <v>11.48</v>
      </c>
      <c r="S1168">
        <v>1511.33</v>
      </c>
      <c r="T1168">
        <v>3.64</v>
      </c>
      <c r="U1168">
        <v>8.24</v>
      </c>
      <c r="V1168">
        <v>114.76</v>
      </c>
      <c r="W1168" s="317">
        <v>3.9</v>
      </c>
      <c r="X1168" s="190">
        <f t="shared" si="43"/>
        <v>21.45</v>
      </c>
      <c r="Y1168" s="8"/>
      <c r="Z1168" s="8"/>
    </row>
    <row r="1169" spans="1:26" ht="12.75" customHeight="1" x14ac:dyDescent="0.2">
      <c r="A1169" s="15">
        <v>15</v>
      </c>
      <c r="B1169" s="15">
        <v>2006</v>
      </c>
      <c r="C1169" s="15">
        <v>11</v>
      </c>
      <c r="D1169" s="15">
        <v>8</v>
      </c>
      <c r="E1169" s="28">
        <v>0.79166666666666663</v>
      </c>
      <c r="F1169" s="11" t="s">
        <v>51</v>
      </c>
      <c r="G1169" s="19">
        <v>147</v>
      </c>
      <c r="H1169" s="15" t="s">
        <v>29</v>
      </c>
      <c r="I1169" s="19">
        <v>9.6999999999999993</v>
      </c>
      <c r="J1169" s="11" t="s">
        <v>19</v>
      </c>
      <c r="K1169" s="19" t="s">
        <v>20</v>
      </c>
      <c r="L1169" s="11" t="s">
        <v>21</v>
      </c>
      <c r="M1169" s="19" t="s">
        <v>27</v>
      </c>
      <c r="N1169" s="11" t="s">
        <v>197</v>
      </c>
      <c r="O1169" s="16" t="s">
        <v>29</v>
      </c>
      <c r="P1169" s="15">
        <v>223</v>
      </c>
      <c r="Q1169" s="8"/>
      <c r="R1169">
        <v>13.72</v>
      </c>
      <c r="S1169">
        <v>2579.86</v>
      </c>
      <c r="T1169">
        <v>3.76</v>
      </c>
      <c r="U1169">
        <v>9.85</v>
      </c>
      <c r="V1169">
        <v>137.15</v>
      </c>
      <c r="W1169" s="317">
        <v>3.9</v>
      </c>
      <c r="X1169" s="190">
        <f t="shared" si="43"/>
        <v>37.83</v>
      </c>
      <c r="Y1169" s="8"/>
      <c r="Z1169" s="8"/>
    </row>
    <row r="1170" spans="1:26" ht="12.75" customHeight="1" x14ac:dyDescent="0.2">
      <c r="A1170" s="15">
        <v>16</v>
      </c>
      <c r="B1170" s="15">
        <v>2006</v>
      </c>
      <c r="C1170" s="15">
        <v>11</v>
      </c>
      <c r="D1170" s="15">
        <v>8</v>
      </c>
      <c r="E1170" s="28">
        <v>0.79166666666666663</v>
      </c>
      <c r="F1170" s="11" t="s">
        <v>51</v>
      </c>
      <c r="G1170" s="19">
        <v>223</v>
      </c>
      <c r="H1170" s="15" t="s">
        <v>29</v>
      </c>
      <c r="I1170" s="19">
        <v>24.5</v>
      </c>
      <c r="J1170" s="11" t="s">
        <v>32</v>
      </c>
      <c r="K1170" s="11" t="s">
        <v>29</v>
      </c>
      <c r="L1170" s="11" t="s">
        <v>29</v>
      </c>
      <c r="M1170" s="19" t="s">
        <v>46</v>
      </c>
      <c r="N1170" s="11" t="s">
        <v>24</v>
      </c>
      <c r="O1170" s="27" t="s">
        <v>29</v>
      </c>
      <c r="P1170" s="15">
        <v>223</v>
      </c>
      <c r="Q1170" s="8"/>
      <c r="R1170">
        <v>20.81</v>
      </c>
      <c r="S1170">
        <v>9006.57</v>
      </c>
      <c r="T1170">
        <v>2.72</v>
      </c>
      <c r="U1170">
        <v>14.94</v>
      </c>
      <c r="V1170">
        <v>208.06</v>
      </c>
      <c r="W1170" s="8"/>
      <c r="X1170" s="8"/>
      <c r="Y1170" s="8"/>
      <c r="Z1170" s="8"/>
    </row>
    <row r="1171" spans="1:26" ht="12.75" customHeight="1" x14ac:dyDescent="0.2">
      <c r="A1171" s="15">
        <v>17</v>
      </c>
      <c r="B1171" s="15">
        <v>2006</v>
      </c>
      <c r="C1171" s="15">
        <v>11</v>
      </c>
      <c r="D1171" s="15">
        <v>8</v>
      </c>
      <c r="E1171" s="28">
        <v>0.79166666666666663</v>
      </c>
      <c r="F1171" s="11" t="s">
        <v>51</v>
      </c>
      <c r="G1171" s="19">
        <v>137</v>
      </c>
      <c r="H1171" s="15" t="s">
        <v>29</v>
      </c>
      <c r="I1171" s="19">
        <v>11.2</v>
      </c>
      <c r="J1171" s="11" t="s">
        <v>19</v>
      </c>
      <c r="K1171" s="19" t="s">
        <v>20</v>
      </c>
      <c r="L1171" s="19" t="s">
        <v>30</v>
      </c>
      <c r="M1171" s="19" t="s">
        <v>46</v>
      </c>
      <c r="N1171" s="11" t="s">
        <v>24</v>
      </c>
      <c r="O1171" s="27" t="s">
        <v>29</v>
      </c>
      <c r="P1171" s="15">
        <v>223</v>
      </c>
      <c r="Q1171" s="8"/>
      <c r="R1171">
        <v>12.78</v>
      </c>
      <c r="S1171">
        <v>2088.37</v>
      </c>
      <c r="T1171">
        <v>5.36</v>
      </c>
      <c r="U1171">
        <v>9.18</v>
      </c>
      <c r="V1171">
        <v>127.82</v>
      </c>
      <c r="W1171" s="317">
        <v>4.5999999999999996</v>
      </c>
      <c r="X1171" s="190">
        <f>I1171*W1171</f>
        <v>51.519999999999996</v>
      </c>
      <c r="Y1171" s="8"/>
      <c r="Z1171" s="8"/>
    </row>
    <row r="1172" spans="1:26" ht="12.75" customHeight="1" x14ac:dyDescent="0.2">
      <c r="A1172" s="15">
        <v>18</v>
      </c>
      <c r="B1172" s="15">
        <v>2006</v>
      </c>
      <c r="C1172" s="15">
        <v>11</v>
      </c>
      <c r="D1172" s="15">
        <v>8</v>
      </c>
      <c r="E1172" s="28">
        <v>0.79166666666666663</v>
      </c>
      <c r="F1172" s="11" t="s">
        <v>51</v>
      </c>
      <c r="G1172" s="19">
        <v>163</v>
      </c>
      <c r="H1172" s="15" t="s">
        <v>29</v>
      </c>
      <c r="I1172" s="19">
        <v>19.8</v>
      </c>
      <c r="J1172" s="11" t="s">
        <v>19</v>
      </c>
      <c r="K1172" s="19" t="s">
        <v>34</v>
      </c>
      <c r="L1172" s="19"/>
      <c r="M1172" s="19" t="s">
        <v>46</v>
      </c>
      <c r="N1172" s="11" t="s">
        <v>24</v>
      </c>
      <c r="O1172" s="27" t="s">
        <v>29</v>
      </c>
      <c r="P1172" s="15">
        <v>223</v>
      </c>
      <c r="Q1172" s="8"/>
      <c r="R1172">
        <v>15.21</v>
      </c>
      <c r="S1172">
        <v>3517.29</v>
      </c>
      <c r="T1172">
        <v>5.63</v>
      </c>
      <c r="U1172">
        <v>10.92</v>
      </c>
      <c r="V1172">
        <v>152.08000000000001</v>
      </c>
      <c r="W1172" s="317">
        <v>3.8</v>
      </c>
      <c r="X1172" s="190">
        <f>I1172*W1172</f>
        <v>75.239999999999995</v>
      </c>
      <c r="Y1172" s="8"/>
      <c r="Z1172" s="8"/>
    </row>
    <row r="1173" spans="1:26" ht="12.75" customHeight="1" x14ac:dyDescent="0.2">
      <c r="A1173" s="15">
        <v>19</v>
      </c>
      <c r="B1173" s="15">
        <v>2006</v>
      </c>
      <c r="C1173" s="15">
        <v>11</v>
      </c>
      <c r="D1173" s="15">
        <v>8</v>
      </c>
      <c r="E1173" s="28">
        <v>0.79166666666666663</v>
      </c>
      <c r="F1173" s="11" t="s">
        <v>51</v>
      </c>
      <c r="G1173" s="19">
        <v>151</v>
      </c>
      <c r="H1173" s="15" t="s">
        <v>29</v>
      </c>
      <c r="I1173" s="19">
        <v>13.3</v>
      </c>
      <c r="J1173" s="11" t="s">
        <v>19</v>
      </c>
      <c r="K1173" s="19" t="s">
        <v>20</v>
      </c>
      <c r="L1173" s="11" t="s">
        <v>21</v>
      </c>
      <c r="M1173" s="19" t="s">
        <v>46</v>
      </c>
      <c r="N1173" s="11" t="s">
        <v>23</v>
      </c>
      <c r="O1173" s="27" t="s">
        <v>29</v>
      </c>
      <c r="P1173" s="15">
        <v>223</v>
      </c>
      <c r="Q1173" s="8"/>
      <c r="R1173">
        <v>14.09</v>
      </c>
      <c r="S1173">
        <v>2796.25</v>
      </c>
      <c r="T1173">
        <v>4.76</v>
      </c>
      <c r="U1173">
        <v>10.119999999999999</v>
      </c>
      <c r="V1173">
        <v>140.88</v>
      </c>
      <c r="W1173" s="317">
        <v>3.9</v>
      </c>
      <c r="X1173" s="190">
        <f t="shared" ref="X1173:X1178" si="44">I1173*W1173</f>
        <v>51.870000000000005</v>
      </c>
      <c r="Y1173" s="8"/>
      <c r="Z1173" s="8"/>
    </row>
    <row r="1174" spans="1:26" ht="12.75" customHeight="1" x14ac:dyDescent="0.2">
      <c r="A1174" s="15">
        <v>20</v>
      </c>
      <c r="B1174" s="15">
        <v>2006</v>
      </c>
      <c r="C1174" s="15">
        <v>11</v>
      </c>
      <c r="D1174" s="15">
        <v>8</v>
      </c>
      <c r="E1174" s="28">
        <v>0.79166666666666663</v>
      </c>
      <c r="F1174" s="11" t="s">
        <v>51</v>
      </c>
      <c r="G1174" s="19">
        <v>130</v>
      </c>
      <c r="H1174" s="15" t="s">
        <v>29</v>
      </c>
      <c r="I1174" s="19">
        <v>6</v>
      </c>
      <c r="J1174" s="11" t="s">
        <v>19</v>
      </c>
      <c r="K1174" s="19" t="s">
        <v>20</v>
      </c>
      <c r="L1174" s="19" t="s">
        <v>35</v>
      </c>
      <c r="M1174" s="19" t="s">
        <v>46</v>
      </c>
      <c r="N1174" s="11" t="s">
        <v>24</v>
      </c>
      <c r="O1174" s="27" t="s">
        <v>29</v>
      </c>
      <c r="P1174" s="15">
        <v>223</v>
      </c>
      <c r="Q1174" s="8"/>
      <c r="R1174">
        <v>12.13</v>
      </c>
      <c r="S1174">
        <v>1784.33</v>
      </c>
      <c r="T1174">
        <v>3.36</v>
      </c>
      <c r="U1174">
        <v>8.7100000000000009</v>
      </c>
      <c r="V1174">
        <v>121.29</v>
      </c>
      <c r="W1174" s="317">
        <v>3.9</v>
      </c>
      <c r="X1174" s="190">
        <f t="shared" si="44"/>
        <v>23.4</v>
      </c>
      <c r="Y1174" s="8"/>
      <c r="Z1174" s="8"/>
    </row>
    <row r="1175" spans="1:26" ht="12.75" customHeight="1" x14ac:dyDescent="0.2">
      <c r="A1175" s="15">
        <v>21</v>
      </c>
      <c r="B1175" s="15">
        <v>2006</v>
      </c>
      <c r="C1175" s="15">
        <v>11</v>
      </c>
      <c r="D1175" s="15">
        <v>8</v>
      </c>
      <c r="E1175" s="28">
        <v>0.79166666666666663</v>
      </c>
      <c r="F1175" s="11" t="s">
        <v>51</v>
      </c>
      <c r="G1175" s="19">
        <v>163</v>
      </c>
      <c r="H1175" s="15" t="s">
        <v>29</v>
      </c>
      <c r="I1175" s="19">
        <v>11.9</v>
      </c>
      <c r="J1175" s="11" t="s">
        <v>19</v>
      </c>
      <c r="K1175" s="19" t="s">
        <v>20</v>
      </c>
      <c r="L1175" s="11" t="s">
        <v>21</v>
      </c>
      <c r="M1175" s="19" t="s">
        <v>27</v>
      </c>
      <c r="N1175" s="11" t="s">
        <v>24</v>
      </c>
      <c r="O1175" s="27" t="s">
        <v>29</v>
      </c>
      <c r="P1175" s="15">
        <v>223</v>
      </c>
      <c r="Q1175" s="8"/>
      <c r="R1175">
        <v>15.21</v>
      </c>
      <c r="S1175">
        <v>3517.29</v>
      </c>
      <c r="T1175">
        <v>3.38</v>
      </c>
      <c r="U1175">
        <v>10.92</v>
      </c>
      <c r="V1175">
        <v>152.08000000000001</v>
      </c>
      <c r="W1175" s="317">
        <v>3.9</v>
      </c>
      <c r="X1175" s="190">
        <f t="shared" si="44"/>
        <v>46.410000000000004</v>
      </c>
      <c r="Y1175" s="8"/>
      <c r="Z1175" s="8"/>
    </row>
    <row r="1176" spans="1:26" ht="12.75" customHeight="1" x14ac:dyDescent="0.2">
      <c r="A1176" s="15">
        <v>22</v>
      </c>
      <c r="B1176" s="15">
        <v>2006</v>
      </c>
      <c r="C1176" s="15">
        <v>11</v>
      </c>
      <c r="D1176" s="15">
        <v>8</v>
      </c>
      <c r="E1176" s="28">
        <v>0.79166666666666663</v>
      </c>
      <c r="F1176" s="11" t="s">
        <v>51</v>
      </c>
      <c r="G1176" s="19">
        <v>145</v>
      </c>
      <c r="H1176" s="15" t="s">
        <v>29</v>
      </c>
      <c r="I1176" s="19">
        <v>9.5</v>
      </c>
      <c r="J1176" s="11" t="s">
        <v>19</v>
      </c>
      <c r="K1176" s="19" t="s">
        <v>20</v>
      </c>
      <c r="L1176" s="11" t="s">
        <v>21</v>
      </c>
      <c r="M1176" s="19" t="s">
        <v>27</v>
      </c>
      <c r="N1176" s="11" t="s">
        <v>24</v>
      </c>
      <c r="O1176" s="27" t="s">
        <v>29</v>
      </c>
      <c r="P1176" s="15">
        <v>223</v>
      </c>
      <c r="Q1176" s="8"/>
      <c r="R1176">
        <v>13.53</v>
      </c>
      <c r="S1176">
        <v>2475.9899999999998</v>
      </c>
      <c r="T1176">
        <v>3.84</v>
      </c>
      <c r="U1176">
        <v>9.7200000000000006</v>
      </c>
      <c r="V1176">
        <v>135.29</v>
      </c>
      <c r="W1176" s="317">
        <v>3.9</v>
      </c>
      <c r="X1176" s="190">
        <f t="shared" si="44"/>
        <v>37.049999999999997</v>
      </c>
      <c r="Y1176" s="8"/>
      <c r="Z1176" s="8"/>
    </row>
    <row r="1177" spans="1:26" ht="12.75" customHeight="1" x14ac:dyDescent="0.2">
      <c r="A1177" s="15">
        <v>23</v>
      </c>
      <c r="B1177" s="15">
        <v>2006</v>
      </c>
      <c r="C1177" s="15">
        <v>11</v>
      </c>
      <c r="D1177" s="15">
        <v>8</v>
      </c>
      <c r="E1177" s="28">
        <v>0.79166666666666663</v>
      </c>
      <c r="F1177" s="11" t="s">
        <v>51</v>
      </c>
      <c r="G1177" s="19">
        <v>156</v>
      </c>
      <c r="H1177" s="15" t="s">
        <v>29</v>
      </c>
      <c r="I1177" s="19">
        <v>10.8</v>
      </c>
      <c r="J1177" s="11" t="s">
        <v>19</v>
      </c>
      <c r="K1177" s="19" t="s">
        <v>20</v>
      </c>
      <c r="L1177" s="11" t="s">
        <v>21</v>
      </c>
      <c r="M1177" s="19" t="s">
        <v>46</v>
      </c>
      <c r="N1177" s="11" t="s">
        <v>24</v>
      </c>
      <c r="O1177" s="27" t="s">
        <v>29</v>
      </c>
      <c r="P1177" s="15">
        <v>223</v>
      </c>
      <c r="Q1177" s="8"/>
      <c r="R1177">
        <v>14.55</v>
      </c>
      <c r="S1177">
        <v>3083.32</v>
      </c>
      <c r="T1177">
        <v>3.5</v>
      </c>
      <c r="U1177">
        <v>10.45</v>
      </c>
      <c r="V1177">
        <v>145.55000000000001</v>
      </c>
      <c r="W1177" s="317">
        <v>3.9</v>
      </c>
      <c r="X1177" s="190">
        <f t="shared" si="44"/>
        <v>42.120000000000005</v>
      </c>
      <c r="Y1177" s="8"/>
      <c r="Z1177" s="8"/>
    </row>
    <row r="1178" spans="1:26" ht="12.75" customHeight="1" x14ac:dyDescent="0.2">
      <c r="A1178" s="15">
        <v>24</v>
      </c>
      <c r="B1178" s="15">
        <v>2006</v>
      </c>
      <c r="C1178" s="15">
        <v>11</v>
      </c>
      <c r="D1178" s="15">
        <v>8</v>
      </c>
      <c r="E1178" s="28">
        <v>0.79166666666666663</v>
      </c>
      <c r="F1178" s="11" t="s">
        <v>51</v>
      </c>
      <c r="G1178" s="19">
        <v>134</v>
      </c>
      <c r="H1178" s="15" t="s">
        <v>29</v>
      </c>
      <c r="I1178" s="19">
        <v>6.8</v>
      </c>
      <c r="J1178" s="11" t="s">
        <v>19</v>
      </c>
      <c r="K1178" s="19" t="s">
        <v>20</v>
      </c>
      <c r="L1178" s="11" t="s">
        <v>21</v>
      </c>
      <c r="M1178" s="19" t="s">
        <v>45</v>
      </c>
      <c r="N1178" s="11" t="s">
        <v>24</v>
      </c>
      <c r="O1178" s="27" t="s">
        <v>29</v>
      </c>
      <c r="P1178" s="15">
        <v>223</v>
      </c>
      <c r="Q1178" s="8"/>
      <c r="R1178">
        <v>12.5</v>
      </c>
      <c r="S1178">
        <v>1954.16</v>
      </c>
      <c r="T1178">
        <v>3.48</v>
      </c>
      <c r="U1178">
        <v>8.98</v>
      </c>
      <c r="V1178">
        <v>125.02</v>
      </c>
      <c r="W1178" s="317">
        <v>3.9</v>
      </c>
      <c r="X1178" s="190">
        <f t="shared" si="44"/>
        <v>26.52</v>
      </c>
      <c r="Y1178" s="8"/>
      <c r="Z1178" s="8"/>
    </row>
    <row r="1179" spans="1:26" ht="12.75" customHeight="1" x14ac:dyDescent="0.2">
      <c r="A1179" s="15">
        <v>25</v>
      </c>
      <c r="B1179" s="15">
        <v>2006</v>
      </c>
      <c r="C1179" s="15">
        <v>11</v>
      </c>
      <c r="D1179" s="15">
        <v>8</v>
      </c>
      <c r="E1179" s="28">
        <v>0.79166666666666663</v>
      </c>
      <c r="F1179" s="11" t="s">
        <v>51</v>
      </c>
      <c r="G1179" s="19">
        <v>126</v>
      </c>
      <c r="H1179" s="15" t="s">
        <v>29</v>
      </c>
      <c r="I1179" s="19">
        <v>5.6</v>
      </c>
      <c r="J1179" s="11" t="s">
        <v>19</v>
      </c>
      <c r="K1179" s="11" t="s">
        <v>41</v>
      </c>
      <c r="L1179" s="19" t="s">
        <v>35</v>
      </c>
      <c r="M1179" s="19" t="s">
        <v>45</v>
      </c>
      <c r="N1179" s="11" t="s">
        <v>24</v>
      </c>
      <c r="O1179" s="27" t="s">
        <v>29</v>
      </c>
      <c r="P1179" s="15">
        <v>223</v>
      </c>
      <c r="Q1179" s="8"/>
      <c r="R1179">
        <v>11.76</v>
      </c>
      <c r="S1179">
        <v>1624.64</v>
      </c>
      <c r="T1179">
        <v>3.45</v>
      </c>
      <c r="U1179">
        <v>8.44</v>
      </c>
      <c r="V1179">
        <v>117.56</v>
      </c>
      <c r="W1179" s="317"/>
      <c r="X1179" s="8"/>
      <c r="Y1179" s="8"/>
      <c r="Z1179" s="8"/>
    </row>
    <row r="1180" spans="1:26" ht="12.75" customHeight="1" x14ac:dyDescent="0.2">
      <c r="A1180" s="15">
        <v>2</v>
      </c>
      <c r="B1180" s="15">
        <v>2006</v>
      </c>
      <c r="C1180" s="15">
        <v>8</v>
      </c>
      <c r="D1180" s="15">
        <v>8</v>
      </c>
      <c r="E1180" s="26" t="s">
        <v>17</v>
      </c>
      <c r="F1180" s="11" t="s">
        <v>51</v>
      </c>
      <c r="G1180" s="19">
        <v>162</v>
      </c>
      <c r="H1180" s="15" t="s">
        <v>29</v>
      </c>
      <c r="I1180" s="19">
        <v>13.5</v>
      </c>
      <c r="J1180" s="11" t="s">
        <v>19</v>
      </c>
      <c r="K1180" s="19" t="s">
        <v>20</v>
      </c>
      <c r="L1180" s="11" t="s">
        <v>21</v>
      </c>
      <c r="M1180" s="19" t="s">
        <v>46</v>
      </c>
      <c r="N1180" s="11" t="s">
        <v>29</v>
      </c>
      <c r="O1180" s="16" t="s">
        <v>29</v>
      </c>
      <c r="P1180" s="15">
        <v>220</v>
      </c>
      <c r="Q1180" s="8"/>
      <c r="R1180">
        <v>15.11</v>
      </c>
      <c r="S1180">
        <v>3452.95</v>
      </c>
      <c r="T1180">
        <v>3.91</v>
      </c>
      <c r="U1180">
        <v>10.85</v>
      </c>
      <c r="V1180">
        <v>151.15</v>
      </c>
      <c r="W1180" s="317">
        <v>3.9</v>
      </c>
      <c r="X1180" s="190">
        <f>I1180*W1180</f>
        <v>52.65</v>
      </c>
      <c r="Y1180" s="8"/>
      <c r="Z1180" s="8"/>
    </row>
    <row r="1181" spans="1:26" ht="12.75" customHeight="1" x14ac:dyDescent="0.2">
      <c r="A1181" s="15">
        <v>3</v>
      </c>
      <c r="B1181" s="15">
        <v>2006</v>
      </c>
      <c r="C1181" s="15">
        <v>8</v>
      </c>
      <c r="D1181" s="15">
        <v>8</v>
      </c>
      <c r="E1181" s="26" t="s">
        <v>17</v>
      </c>
      <c r="F1181" s="11" t="s">
        <v>51</v>
      </c>
      <c r="G1181" s="19">
        <v>129</v>
      </c>
      <c r="H1181" s="15" t="s">
        <v>29</v>
      </c>
      <c r="I1181" s="19">
        <v>6.1</v>
      </c>
      <c r="J1181" s="11" t="s">
        <v>19</v>
      </c>
      <c r="K1181" s="11" t="s">
        <v>41</v>
      </c>
      <c r="L1181" s="19" t="s">
        <v>35</v>
      </c>
      <c r="M1181" s="19" t="s">
        <v>27</v>
      </c>
      <c r="N1181" s="11" t="s">
        <v>25</v>
      </c>
      <c r="O1181" s="16" t="s">
        <v>29</v>
      </c>
      <c r="P1181" s="15">
        <v>220</v>
      </c>
      <c r="Q1181" s="8"/>
      <c r="R1181">
        <v>12.04</v>
      </c>
      <c r="S1181">
        <v>1743.47</v>
      </c>
      <c r="T1181">
        <v>3.5</v>
      </c>
      <c r="U1181">
        <v>8.64</v>
      </c>
      <c r="V1181">
        <v>120.36</v>
      </c>
      <c r="W1181" s="317"/>
      <c r="X1181" s="8"/>
      <c r="Y1181" s="8"/>
      <c r="Z1181" s="8"/>
    </row>
    <row r="1182" spans="1:26" ht="12.75" customHeight="1" x14ac:dyDescent="0.2">
      <c r="A1182" s="15">
        <v>4</v>
      </c>
      <c r="B1182" s="15">
        <v>2006</v>
      </c>
      <c r="C1182" s="15">
        <v>8</v>
      </c>
      <c r="D1182" s="15">
        <v>8</v>
      </c>
      <c r="E1182" s="26" t="s">
        <v>17</v>
      </c>
      <c r="F1182" s="11" t="s">
        <v>51</v>
      </c>
      <c r="G1182" s="19">
        <v>148</v>
      </c>
      <c r="H1182" s="15" t="s">
        <v>29</v>
      </c>
      <c r="I1182" s="19">
        <v>6.8</v>
      </c>
      <c r="J1182" s="11" t="s">
        <v>19</v>
      </c>
      <c r="K1182" s="19" t="s">
        <v>20</v>
      </c>
      <c r="L1182" s="11" t="s">
        <v>21</v>
      </c>
      <c r="M1182" s="19" t="s">
        <v>27</v>
      </c>
      <c r="N1182" s="11" t="s">
        <v>39</v>
      </c>
      <c r="O1182" s="16" t="s">
        <v>29</v>
      </c>
      <c r="P1182" s="15">
        <v>220</v>
      </c>
      <c r="Q1182" s="8"/>
      <c r="R1182">
        <v>13.81</v>
      </c>
      <c r="S1182">
        <v>2632.87</v>
      </c>
      <c r="T1182">
        <v>2.58</v>
      </c>
      <c r="U1182">
        <v>9.92</v>
      </c>
      <c r="V1182">
        <v>138.08000000000001</v>
      </c>
      <c r="W1182" s="317">
        <v>3.9</v>
      </c>
      <c r="X1182" s="190">
        <f t="shared" ref="X1182:X1200" si="45">I1182*W1182</f>
        <v>26.52</v>
      </c>
      <c r="Y1182" s="8"/>
      <c r="Z1182" s="8"/>
    </row>
    <row r="1183" spans="1:26" ht="12.75" customHeight="1" x14ac:dyDescent="0.2">
      <c r="A1183" s="15">
        <v>5</v>
      </c>
      <c r="B1183" s="15">
        <v>2006</v>
      </c>
      <c r="C1183" s="15">
        <v>8</v>
      </c>
      <c r="D1183" s="15">
        <v>8</v>
      </c>
      <c r="E1183" s="26" t="s">
        <v>17</v>
      </c>
      <c r="F1183" s="11" t="s">
        <v>51</v>
      </c>
      <c r="G1183" s="19">
        <v>142</v>
      </c>
      <c r="H1183" s="15" t="s">
        <v>29</v>
      </c>
      <c r="I1183" s="19">
        <v>9.3000000000000007</v>
      </c>
      <c r="J1183" s="11" t="s">
        <v>19</v>
      </c>
      <c r="K1183" s="19" t="s">
        <v>20</v>
      </c>
      <c r="L1183" s="11" t="s">
        <v>21</v>
      </c>
      <c r="M1183" s="19" t="s">
        <v>45</v>
      </c>
      <c r="N1183" s="11" t="s">
        <v>24</v>
      </c>
      <c r="O1183" s="16" t="s">
        <v>29</v>
      </c>
      <c r="P1183" s="15">
        <v>220</v>
      </c>
      <c r="Q1183" s="8"/>
      <c r="R1183">
        <v>13.25</v>
      </c>
      <c r="S1183">
        <v>2325.4699999999998</v>
      </c>
      <c r="T1183">
        <v>4</v>
      </c>
      <c r="U1183">
        <v>9.51</v>
      </c>
      <c r="V1183">
        <v>132.49</v>
      </c>
      <c r="W1183" s="317">
        <v>3.9</v>
      </c>
      <c r="X1183" s="190">
        <f t="shared" si="45"/>
        <v>36.270000000000003</v>
      </c>
      <c r="Y1183" s="8"/>
      <c r="Z1183" s="8"/>
    </row>
    <row r="1184" spans="1:26" ht="12.75" customHeight="1" x14ac:dyDescent="0.2">
      <c r="A1184" s="15">
        <v>6</v>
      </c>
      <c r="B1184" s="15">
        <v>2006</v>
      </c>
      <c r="C1184" s="15">
        <v>8</v>
      </c>
      <c r="D1184" s="15">
        <v>8</v>
      </c>
      <c r="E1184" s="26" t="s">
        <v>17</v>
      </c>
      <c r="F1184" s="11" t="s">
        <v>51</v>
      </c>
      <c r="G1184" s="19">
        <v>127</v>
      </c>
      <c r="H1184" s="15" t="s">
        <v>29</v>
      </c>
      <c r="I1184" s="19">
        <v>5.5</v>
      </c>
      <c r="J1184" s="11" t="s">
        <v>19</v>
      </c>
      <c r="K1184" s="19" t="s">
        <v>20</v>
      </c>
      <c r="L1184" s="11" t="s">
        <v>21</v>
      </c>
      <c r="M1184" s="19" t="s">
        <v>46</v>
      </c>
      <c r="N1184" s="11" t="s">
        <v>24</v>
      </c>
      <c r="O1184" s="16" t="s">
        <v>29</v>
      </c>
      <c r="P1184" s="15">
        <v>220</v>
      </c>
      <c r="Q1184" s="8"/>
      <c r="R1184">
        <v>11.85</v>
      </c>
      <c r="S1184">
        <v>1663.63</v>
      </c>
      <c r="T1184">
        <v>3.31</v>
      </c>
      <c r="U1184">
        <v>8.51</v>
      </c>
      <c r="V1184">
        <v>118.49</v>
      </c>
      <c r="W1184" s="317">
        <v>3.9</v>
      </c>
      <c r="X1184" s="190">
        <f t="shared" si="45"/>
        <v>21.45</v>
      </c>
      <c r="Y1184" s="8"/>
      <c r="Z1184" s="8"/>
    </row>
    <row r="1185" spans="1:26" ht="12.75" customHeight="1" x14ac:dyDescent="0.2">
      <c r="A1185" s="15">
        <v>7</v>
      </c>
      <c r="B1185" s="15">
        <v>2006</v>
      </c>
      <c r="C1185" s="15">
        <v>8</v>
      </c>
      <c r="D1185" s="15">
        <v>8</v>
      </c>
      <c r="E1185" s="26" t="s">
        <v>17</v>
      </c>
      <c r="F1185" s="11" t="s">
        <v>51</v>
      </c>
      <c r="G1185" s="19">
        <v>142</v>
      </c>
      <c r="H1185" s="15" t="s">
        <v>29</v>
      </c>
      <c r="I1185" s="19">
        <v>6.6</v>
      </c>
      <c r="J1185" s="11" t="s">
        <v>19</v>
      </c>
      <c r="K1185" s="19" t="s">
        <v>20</v>
      </c>
      <c r="L1185" s="11" t="s">
        <v>21</v>
      </c>
      <c r="M1185" s="19" t="s">
        <v>27</v>
      </c>
      <c r="N1185" s="11" t="s">
        <v>23</v>
      </c>
      <c r="O1185" s="16" t="s">
        <v>29</v>
      </c>
      <c r="P1185" s="15">
        <v>220</v>
      </c>
      <c r="Q1185" s="8"/>
      <c r="R1185">
        <v>13.25</v>
      </c>
      <c r="S1185">
        <v>2325.4699999999998</v>
      </c>
      <c r="T1185">
        <v>2.84</v>
      </c>
      <c r="U1185">
        <v>9.51</v>
      </c>
      <c r="V1185">
        <v>132.49</v>
      </c>
      <c r="W1185" s="317">
        <v>3.9</v>
      </c>
      <c r="X1185" s="190">
        <f t="shared" si="45"/>
        <v>25.74</v>
      </c>
      <c r="Y1185" s="8"/>
      <c r="Z1185" s="8"/>
    </row>
    <row r="1186" spans="1:26" ht="12.75" customHeight="1" x14ac:dyDescent="0.2">
      <c r="A1186" s="15">
        <v>8</v>
      </c>
      <c r="B1186" s="15">
        <v>2006</v>
      </c>
      <c r="C1186" s="15">
        <v>8</v>
      </c>
      <c r="D1186" s="15">
        <v>8</v>
      </c>
      <c r="E1186" s="26" t="s">
        <v>17</v>
      </c>
      <c r="F1186" s="11" t="s">
        <v>51</v>
      </c>
      <c r="G1186" s="19">
        <v>144</v>
      </c>
      <c r="H1186" s="15" t="s">
        <v>29</v>
      </c>
      <c r="I1186" s="19">
        <v>7.9</v>
      </c>
      <c r="J1186" s="11" t="s">
        <v>19</v>
      </c>
      <c r="K1186" s="19" t="s">
        <v>20</v>
      </c>
      <c r="L1186" s="11" t="s">
        <v>21</v>
      </c>
      <c r="M1186" s="19" t="s">
        <v>46</v>
      </c>
      <c r="N1186" s="11" t="s">
        <v>24</v>
      </c>
      <c r="O1186" s="16" t="s">
        <v>29</v>
      </c>
      <c r="P1186" s="15">
        <v>220</v>
      </c>
      <c r="Q1186" s="8"/>
      <c r="R1186">
        <v>13.44</v>
      </c>
      <c r="S1186">
        <v>2425.12</v>
      </c>
      <c r="T1186">
        <v>3.26</v>
      </c>
      <c r="U1186">
        <v>9.65</v>
      </c>
      <c r="V1186">
        <v>134.35</v>
      </c>
      <c r="W1186" s="317">
        <v>3.9</v>
      </c>
      <c r="X1186" s="190">
        <f t="shared" si="45"/>
        <v>30.810000000000002</v>
      </c>
      <c r="Y1186" s="8"/>
      <c r="Z1186" s="8"/>
    </row>
    <row r="1187" spans="1:26" ht="12.75" customHeight="1" x14ac:dyDescent="0.2">
      <c r="A1187" s="15">
        <v>9</v>
      </c>
      <c r="B1187" s="15">
        <v>2006</v>
      </c>
      <c r="C1187" s="15">
        <v>8</v>
      </c>
      <c r="D1187" s="15">
        <v>8</v>
      </c>
      <c r="E1187" s="26" t="s">
        <v>17</v>
      </c>
      <c r="F1187" s="11" t="s">
        <v>51</v>
      </c>
      <c r="G1187" s="19">
        <v>137</v>
      </c>
      <c r="H1187" s="15" t="s">
        <v>29</v>
      </c>
      <c r="I1187" s="19">
        <v>9.1999999999999993</v>
      </c>
      <c r="J1187" s="11" t="s">
        <v>19</v>
      </c>
      <c r="K1187" s="19" t="s">
        <v>20</v>
      </c>
      <c r="L1187" s="11" t="s">
        <v>21</v>
      </c>
      <c r="M1187" s="19" t="s">
        <v>27</v>
      </c>
      <c r="N1187" s="11" t="s">
        <v>25</v>
      </c>
      <c r="O1187" s="16" t="s">
        <v>29</v>
      </c>
      <c r="P1187" s="15">
        <v>220</v>
      </c>
      <c r="Q1187" s="8"/>
      <c r="R1187">
        <v>12.78</v>
      </c>
      <c r="S1187">
        <v>2088.37</v>
      </c>
      <c r="T1187">
        <v>4.41</v>
      </c>
      <c r="U1187">
        <v>9.18</v>
      </c>
      <c r="V1187">
        <v>127.82</v>
      </c>
      <c r="W1187" s="317">
        <v>3.9</v>
      </c>
      <c r="X1187" s="190">
        <f t="shared" si="45"/>
        <v>35.879999999999995</v>
      </c>
      <c r="Y1187" s="8"/>
      <c r="Z1187" s="8"/>
    </row>
    <row r="1188" spans="1:26" ht="12.75" customHeight="1" x14ac:dyDescent="0.2">
      <c r="A1188" s="15">
        <v>10</v>
      </c>
      <c r="B1188" s="15">
        <v>2006</v>
      </c>
      <c r="C1188" s="15">
        <v>8</v>
      </c>
      <c r="D1188" s="15">
        <v>8</v>
      </c>
      <c r="E1188" s="26" t="s">
        <v>17</v>
      </c>
      <c r="F1188" s="11" t="s">
        <v>51</v>
      </c>
      <c r="G1188" s="19">
        <v>152</v>
      </c>
      <c r="H1188" s="15" t="s">
        <v>29</v>
      </c>
      <c r="I1188" s="19">
        <v>11.5</v>
      </c>
      <c r="J1188" s="11" t="s">
        <v>19</v>
      </c>
      <c r="K1188" s="19" t="s">
        <v>20</v>
      </c>
      <c r="L1188" s="11" t="s">
        <v>21</v>
      </c>
      <c r="M1188" s="19" t="s">
        <v>27</v>
      </c>
      <c r="N1188" s="11" t="s">
        <v>24</v>
      </c>
      <c r="O1188" s="16" t="s">
        <v>29</v>
      </c>
      <c r="P1188" s="15">
        <v>220</v>
      </c>
      <c r="Q1188" s="8"/>
      <c r="R1188">
        <v>14.18</v>
      </c>
      <c r="S1188">
        <v>2852.17</v>
      </c>
      <c r="T1188">
        <v>4.03</v>
      </c>
      <c r="U1188">
        <v>10.18</v>
      </c>
      <c r="V1188">
        <v>141.82</v>
      </c>
      <c r="W1188" s="317">
        <v>3.9</v>
      </c>
      <c r="X1188" s="190">
        <f t="shared" si="45"/>
        <v>44.85</v>
      </c>
      <c r="Y1188" s="8"/>
      <c r="Z1188" s="8"/>
    </row>
    <row r="1189" spans="1:26" ht="12.75" customHeight="1" x14ac:dyDescent="0.2">
      <c r="A1189" s="15">
        <v>1</v>
      </c>
      <c r="B1189" s="15">
        <v>2006</v>
      </c>
      <c r="C1189" s="15">
        <v>7</v>
      </c>
      <c r="D1189" s="15">
        <v>8</v>
      </c>
      <c r="E1189" s="26" t="s">
        <v>17</v>
      </c>
      <c r="F1189" s="11" t="s">
        <v>51</v>
      </c>
      <c r="G1189" s="19">
        <v>146</v>
      </c>
      <c r="H1189" s="15" t="s">
        <v>29</v>
      </c>
      <c r="I1189" s="19">
        <v>8.9</v>
      </c>
      <c r="J1189" s="11" t="s">
        <v>19</v>
      </c>
      <c r="K1189" s="19" t="s">
        <v>20</v>
      </c>
      <c r="L1189" s="11" t="s">
        <v>21</v>
      </c>
      <c r="M1189" s="19" t="s">
        <v>45</v>
      </c>
      <c r="N1189" s="11" t="s">
        <v>23</v>
      </c>
      <c r="O1189" s="16" t="s">
        <v>29</v>
      </c>
      <c r="P1189" s="15">
        <v>219</v>
      </c>
      <c r="Q1189" s="8"/>
      <c r="R1189">
        <v>13.62</v>
      </c>
      <c r="S1189">
        <v>2527.5700000000002</v>
      </c>
      <c r="T1189">
        <v>3.52</v>
      </c>
      <c r="U1189">
        <v>9.7799999999999994</v>
      </c>
      <c r="V1189">
        <v>136.22</v>
      </c>
      <c r="W1189" s="317">
        <v>3.9</v>
      </c>
      <c r="X1189" s="190">
        <f t="shared" si="45"/>
        <v>34.71</v>
      </c>
      <c r="Y1189" s="8"/>
      <c r="Z1189" s="8"/>
    </row>
    <row r="1190" spans="1:26" ht="25.5" customHeight="1" x14ac:dyDescent="0.2">
      <c r="A1190" s="15">
        <v>1</v>
      </c>
      <c r="B1190" s="15">
        <v>2005</v>
      </c>
      <c r="C1190" s="15">
        <v>9</v>
      </c>
      <c r="D1190" s="15">
        <v>8</v>
      </c>
      <c r="E1190" s="29" t="s">
        <v>198</v>
      </c>
      <c r="F1190" s="11" t="s">
        <v>51</v>
      </c>
      <c r="G1190" s="20">
        <v>150</v>
      </c>
      <c r="H1190" s="15" t="s">
        <v>29</v>
      </c>
      <c r="I1190" s="25" t="s">
        <v>29</v>
      </c>
      <c r="J1190" s="11" t="s">
        <v>19</v>
      </c>
      <c r="K1190" s="20" t="s">
        <v>20</v>
      </c>
      <c r="L1190" s="11" t="s">
        <v>21</v>
      </c>
      <c r="M1190" s="20" t="s">
        <v>27</v>
      </c>
      <c r="N1190" s="20" t="s">
        <v>23</v>
      </c>
      <c r="O1190" s="27" t="s">
        <v>29</v>
      </c>
      <c r="P1190" s="15">
        <v>221</v>
      </c>
      <c r="Q1190" s="8"/>
      <c r="R1190">
        <v>14</v>
      </c>
      <c r="S1190">
        <v>2741.06</v>
      </c>
      <c r="U1190">
        <v>10.050000000000001</v>
      </c>
      <c r="V1190">
        <v>139.94999999999999</v>
      </c>
      <c r="W1190" s="317">
        <v>3.9</v>
      </c>
      <c r="X1190" s="190"/>
      <c r="Y1190" s="8"/>
      <c r="Z1190" s="8"/>
    </row>
    <row r="1191" spans="1:26" ht="25.5" customHeight="1" x14ac:dyDescent="0.2">
      <c r="A1191" s="15">
        <v>2</v>
      </c>
      <c r="B1191" s="15">
        <v>2005</v>
      </c>
      <c r="C1191" s="15">
        <v>9</v>
      </c>
      <c r="D1191" s="15">
        <v>8</v>
      </c>
      <c r="E1191" s="29" t="s">
        <v>198</v>
      </c>
      <c r="F1191" s="11" t="s">
        <v>51</v>
      </c>
      <c r="G1191" s="20">
        <v>146</v>
      </c>
      <c r="H1191" s="15" t="s">
        <v>29</v>
      </c>
      <c r="I1191" s="25" t="s">
        <v>29</v>
      </c>
      <c r="J1191" s="11" t="s">
        <v>19</v>
      </c>
      <c r="K1191" s="20" t="s">
        <v>20</v>
      </c>
      <c r="L1191" s="11" t="s">
        <v>21</v>
      </c>
      <c r="M1191" s="20" t="s">
        <v>46</v>
      </c>
      <c r="N1191" s="20" t="s">
        <v>24</v>
      </c>
      <c r="O1191" s="27" t="s">
        <v>29</v>
      </c>
      <c r="P1191" s="15">
        <v>221</v>
      </c>
      <c r="Q1191" s="8"/>
      <c r="R1191">
        <v>13.62</v>
      </c>
      <c r="S1191">
        <v>2527.5700000000002</v>
      </c>
      <c r="U1191">
        <v>9.7799999999999994</v>
      </c>
      <c r="V1191">
        <v>136.22</v>
      </c>
      <c r="W1191" s="317">
        <v>3.9</v>
      </c>
      <c r="X1191" s="190"/>
      <c r="Y1191" s="8"/>
      <c r="Z1191" s="8"/>
    </row>
    <row r="1192" spans="1:26" ht="25.5" customHeight="1" x14ac:dyDescent="0.2">
      <c r="A1192" s="15">
        <v>3</v>
      </c>
      <c r="B1192" s="15">
        <v>2005</v>
      </c>
      <c r="C1192" s="15">
        <v>9</v>
      </c>
      <c r="D1192" s="15">
        <v>8</v>
      </c>
      <c r="E1192" s="29" t="s">
        <v>198</v>
      </c>
      <c r="F1192" s="11" t="s">
        <v>51</v>
      </c>
      <c r="G1192" s="20">
        <v>135</v>
      </c>
      <c r="H1192" s="15" t="s">
        <v>29</v>
      </c>
      <c r="I1192" s="25" t="s">
        <v>29</v>
      </c>
      <c r="J1192" s="11" t="s">
        <v>19</v>
      </c>
      <c r="K1192" s="20" t="s">
        <v>20</v>
      </c>
      <c r="L1192" s="11" t="s">
        <v>21</v>
      </c>
      <c r="M1192" s="11" t="s">
        <v>29</v>
      </c>
      <c r="N1192" s="20" t="s">
        <v>23</v>
      </c>
      <c r="O1192" s="27" t="s">
        <v>29</v>
      </c>
      <c r="P1192" s="15">
        <v>221</v>
      </c>
      <c r="Q1192" s="8"/>
      <c r="R1192">
        <v>12.6</v>
      </c>
      <c r="S1192">
        <v>1998.23</v>
      </c>
      <c r="U1192">
        <v>9.0500000000000007</v>
      </c>
      <c r="V1192">
        <v>125.96</v>
      </c>
      <c r="W1192" s="317">
        <v>3.9</v>
      </c>
      <c r="X1192" s="190"/>
      <c r="Y1192" s="8"/>
      <c r="Z1192" s="8"/>
    </row>
    <row r="1193" spans="1:26" ht="25.5" customHeight="1" x14ac:dyDescent="0.2">
      <c r="A1193" s="15">
        <v>4</v>
      </c>
      <c r="B1193" s="15">
        <v>2005</v>
      </c>
      <c r="C1193" s="15">
        <v>9</v>
      </c>
      <c r="D1193" s="15">
        <v>8</v>
      </c>
      <c r="E1193" s="29" t="s">
        <v>199</v>
      </c>
      <c r="F1193" s="11" t="s">
        <v>51</v>
      </c>
      <c r="G1193" s="20">
        <v>157</v>
      </c>
      <c r="H1193" s="15" t="s">
        <v>29</v>
      </c>
      <c r="I1193" s="20">
        <v>18.5</v>
      </c>
      <c r="J1193" s="11" t="s">
        <v>19</v>
      </c>
      <c r="K1193" s="20" t="s">
        <v>20</v>
      </c>
      <c r="L1193" s="11" t="s">
        <v>21</v>
      </c>
      <c r="M1193" s="20" t="s">
        <v>45</v>
      </c>
      <c r="N1193" s="20" t="s">
        <v>24</v>
      </c>
      <c r="O1193" s="27" t="s">
        <v>29</v>
      </c>
      <c r="P1193" s="15">
        <v>221</v>
      </c>
      <c r="Q1193" s="8"/>
      <c r="R1193">
        <v>14.65</v>
      </c>
      <c r="S1193">
        <v>3143</v>
      </c>
      <c r="T1193">
        <v>5.89</v>
      </c>
      <c r="U1193">
        <v>10.52</v>
      </c>
      <c r="V1193">
        <v>146.47999999999999</v>
      </c>
      <c r="W1193" s="317">
        <v>3.9</v>
      </c>
      <c r="X1193" s="190">
        <f t="shared" si="45"/>
        <v>72.149999999999991</v>
      </c>
      <c r="Y1193" s="8"/>
      <c r="Z1193" s="8"/>
    </row>
    <row r="1194" spans="1:26" ht="25.5" customHeight="1" x14ac:dyDescent="0.2">
      <c r="A1194" s="15">
        <v>5</v>
      </c>
      <c r="B1194" s="15">
        <v>2005</v>
      </c>
      <c r="C1194" s="15">
        <v>9</v>
      </c>
      <c r="D1194" s="15">
        <v>8</v>
      </c>
      <c r="E1194" s="29" t="s">
        <v>199</v>
      </c>
      <c r="F1194" s="11" t="s">
        <v>51</v>
      </c>
      <c r="G1194" s="20">
        <v>158</v>
      </c>
      <c r="H1194" s="15" t="s">
        <v>29</v>
      </c>
      <c r="I1194" s="20">
        <v>11.3</v>
      </c>
      <c r="J1194" s="11" t="s">
        <v>19</v>
      </c>
      <c r="K1194" s="20" t="s">
        <v>20</v>
      </c>
      <c r="L1194" s="11" t="s">
        <v>21</v>
      </c>
      <c r="M1194" s="20" t="s">
        <v>27</v>
      </c>
      <c r="N1194" s="20" t="s">
        <v>24</v>
      </c>
      <c r="O1194" s="27" t="s">
        <v>29</v>
      </c>
      <c r="P1194" s="15">
        <v>221</v>
      </c>
      <c r="Q1194" s="8"/>
      <c r="R1194">
        <v>14.74</v>
      </c>
      <c r="S1194">
        <v>3203.44</v>
      </c>
      <c r="T1194">
        <v>3.53</v>
      </c>
      <c r="U1194">
        <v>10.59</v>
      </c>
      <c r="V1194">
        <v>147.41</v>
      </c>
      <c r="W1194" s="317">
        <v>3.9</v>
      </c>
      <c r="X1194" s="190">
        <f t="shared" si="45"/>
        <v>44.07</v>
      </c>
      <c r="Y1194" s="8"/>
      <c r="Z1194" s="8"/>
    </row>
    <row r="1195" spans="1:26" ht="25.5" customHeight="1" x14ac:dyDescent="0.2">
      <c r="A1195" s="15">
        <v>6</v>
      </c>
      <c r="B1195" s="15">
        <v>2005</v>
      </c>
      <c r="C1195" s="15">
        <v>9</v>
      </c>
      <c r="D1195" s="15">
        <v>8</v>
      </c>
      <c r="E1195" s="29" t="s">
        <v>199</v>
      </c>
      <c r="F1195" s="11" t="s">
        <v>51</v>
      </c>
      <c r="G1195" s="20">
        <v>145</v>
      </c>
      <c r="H1195" s="15" t="s">
        <v>29</v>
      </c>
      <c r="I1195" s="20">
        <v>9</v>
      </c>
      <c r="J1195" s="11" t="s">
        <v>19</v>
      </c>
      <c r="K1195" s="20" t="s">
        <v>20</v>
      </c>
      <c r="L1195" s="11" t="s">
        <v>21</v>
      </c>
      <c r="M1195" s="20" t="s">
        <v>27</v>
      </c>
      <c r="N1195" s="20" t="s">
        <v>24</v>
      </c>
      <c r="O1195" s="27" t="s">
        <v>29</v>
      </c>
      <c r="P1195" s="15">
        <v>221</v>
      </c>
      <c r="Q1195" s="8"/>
      <c r="R1195">
        <v>13.53</v>
      </c>
      <c r="S1195">
        <v>2475.9899999999998</v>
      </c>
      <c r="T1195">
        <v>3.63</v>
      </c>
      <c r="U1195">
        <v>9.7200000000000006</v>
      </c>
      <c r="V1195">
        <v>135.29</v>
      </c>
      <c r="W1195" s="317">
        <v>3.9</v>
      </c>
      <c r="X1195" s="190">
        <f t="shared" si="45"/>
        <v>35.1</v>
      </c>
      <c r="Y1195" s="8"/>
      <c r="Z1195" s="8"/>
    </row>
    <row r="1196" spans="1:26" ht="25.5" customHeight="1" x14ac:dyDescent="0.2">
      <c r="A1196" s="15">
        <v>7</v>
      </c>
      <c r="B1196" s="15">
        <v>2005</v>
      </c>
      <c r="C1196" s="15">
        <v>9</v>
      </c>
      <c r="D1196" s="15">
        <v>8</v>
      </c>
      <c r="E1196" s="29" t="s">
        <v>199</v>
      </c>
      <c r="F1196" s="11" t="s">
        <v>51</v>
      </c>
      <c r="G1196" s="20">
        <v>135</v>
      </c>
      <c r="H1196" s="15" t="s">
        <v>29</v>
      </c>
      <c r="I1196" s="20">
        <v>8</v>
      </c>
      <c r="J1196" s="11" t="s">
        <v>19</v>
      </c>
      <c r="K1196" s="20" t="s">
        <v>20</v>
      </c>
      <c r="L1196" s="11" t="s">
        <v>21</v>
      </c>
      <c r="M1196" s="20" t="s">
        <v>27</v>
      </c>
      <c r="N1196" s="20" t="s">
        <v>24</v>
      </c>
      <c r="O1196" s="27" t="s">
        <v>29</v>
      </c>
      <c r="P1196" s="15">
        <v>221</v>
      </c>
      <c r="Q1196" s="8"/>
      <c r="R1196">
        <v>12.6</v>
      </c>
      <c r="S1196">
        <v>1998.23</v>
      </c>
      <c r="T1196">
        <v>4</v>
      </c>
      <c r="U1196">
        <v>9.0500000000000007</v>
      </c>
      <c r="V1196">
        <v>125.96</v>
      </c>
      <c r="W1196" s="317">
        <v>3.9</v>
      </c>
      <c r="X1196" s="190">
        <f t="shared" si="45"/>
        <v>31.2</v>
      </c>
      <c r="Y1196" s="8"/>
      <c r="Z1196" s="8"/>
    </row>
    <row r="1197" spans="1:26" ht="25.5" customHeight="1" x14ac:dyDescent="0.2">
      <c r="A1197" s="15">
        <v>8</v>
      </c>
      <c r="B1197" s="15">
        <v>2005</v>
      </c>
      <c r="C1197" s="15">
        <v>9</v>
      </c>
      <c r="D1197" s="15">
        <v>8</v>
      </c>
      <c r="E1197" s="29" t="s">
        <v>199</v>
      </c>
      <c r="F1197" s="11" t="s">
        <v>51</v>
      </c>
      <c r="G1197" s="20">
        <v>148</v>
      </c>
      <c r="H1197" s="15" t="s">
        <v>29</v>
      </c>
      <c r="I1197" s="20">
        <v>10</v>
      </c>
      <c r="J1197" s="11" t="s">
        <v>19</v>
      </c>
      <c r="K1197" s="20" t="s">
        <v>20</v>
      </c>
      <c r="L1197" s="11" t="s">
        <v>21</v>
      </c>
      <c r="M1197" s="20" t="s">
        <v>27</v>
      </c>
      <c r="N1197" s="20" t="s">
        <v>24</v>
      </c>
      <c r="O1197" s="27" t="s">
        <v>29</v>
      </c>
      <c r="P1197" s="15">
        <v>221</v>
      </c>
      <c r="Q1197" s="8"/>
      <c r="R1197">
        <v>13.81</v>
      </c>
      <c r="S1197">
        <v>2632.87</v>
      </c>
      <c r="T1197">
        <v>3.8</v>
      </c>
      <c r="U1197">
        <v>9.92</v>
      </c>
      <c r="V1197">
        <v>138.08000000000001</v>
      </c>
      <c r="W1197" s="317">
        <v>3.9</v>
      </c>
      <c r="X1197" s="190">
        <f t="shared" si="45"/>
        <v>39</v>
      </c>
      <c r="Y1197" s="8"/>
      <c r="Z1197" s="8"/>
    </row>
    <row r="1198" spans="1:26" ht="25.5" customHeight="1" x14ac:dyDescent="0.2">
      <c r="A1198" s="15">
        <v>9</v>
      </c>
      <c r="B1198" s="15">
        <v>2005</v>
      </c>
      <c r="C1198" s="15">
        <v>9</v>
      </c>
      <c r="D1198" s="15">
        <v>8</v>
      </c>
      <c r="E1198" s="29" t="s">
        <v>199</v>
      </c>
      <c r="F1198" s="11" t="s">
        <v>51</v>
      </c>
      <c r="G1198" s="20">
        <v>149</v>
      </c>
      <c r="H1198" s="15" t="s">
        <v>29</v>
      </c>
      <c r="I1198" s="20">
        <v>14.5</v>
      </c>
      <c r="J1198" s="11" t="s">
        <v>19</v>
      </c>
      <c r="K1198" s="20" t="s">
        <v>20</v>
      </c>
      <c r="L1198" s="11" t="s">
        <v>21</v>
      </c>
      <c r="M1198" s="20" t="s">
        <v>45</v>
      </c>
      <c r="N1198" s="20" t="s">
        <v>24</v>
      </c>
      <c r="O1198" s="27" t="s">
        <v>29</v>
      </c>
      <c r="P1198" s="15">
        <v>221</v>
      </c>
      <c r="Q1198" s="8"/>
      <c r="R1198">
        <v>13.9</v>
      </c>
      <c r="S1198">
        <v>2686.6</v>
      </c>
      <c r="T1198">
        <v>5.4</v>
      </c>
      <c r="U1198">
        <v>9.98</v>
      </c>
      <c r="V1198">
        <v>139.02000000000001</v>
      </c>
      <c r="W1198" s="317">
        <v>3.9</v>
      </c>
      <c r="X1198" s="190">
        <f t="shared" si="45"/>
        <v>56.55</v>
      </c>
      <c r="Y1198" s="8"/>
      <c r="Z1198" s="8"/>
    </row>
    <row r="1199" spans="1:26" ht="25.5" customHeight="1" x14ac:dyDescent="0.2">
      <c r="A1199" s="15">
        <v>10</v>
      </c>
      <c r="B1199" s="15">
        <v>2005</v>
      </c>
      <c r="C1199" s="15">
        <v>9</v>
      </c>
      <c r="D1199" s="15">
        <v>8</v>
      </c>
      <c r="E1199" s="29" t="s">
        <v>199</v>
      </c>
      <c r="F1199" s="11" t="s">
        <v>51</v>
      </c>
      <c r="G1199" s="20">
        <v>130</v>
      </c>
      <c r="H1199" s="15" t="s">
        <v>29</v>
      </c>
      <c r="I1199" s="20">
        <v>7.5</v>
      </c>
      <c r="J1199" s="11" t="s">
        <v>19</v>
      </c>
      <c r="K1199" s="20" t="s">
        <v>20</v>
      </c>
      <c r="L1199" s="20" t="s">
        <v>35</v>
      </c>
      <c r="M1199" s="20" t="s">
        <v>27</v>
      </c>
      <c r="N1199" s="20" t="s">
        <v>33</v>
      </c>
      <c r="O1199" s="27" t="s">
        <v>29</v>
      </c>
      <c r="P1199" s="15">
        <v>221</v>
      </c>
      <c r="Q1199" s="8"/>
      <c r="R1199">
        <v>12.13</v>
      </c>
      <c r="S1199">
        <v>1784.33</v>
      </c>
      <c r="T1199">
        <v>4.2</v>
      </c>
      <c r="U1199">
        <v>8.7100000000000009</v>
      </c>
      <c r="V1199">
        <v>121.29</v>
      </c>
      <c r="W1199" s="317">
        <v>3.9</v>
      </c>
      <c r="X1199" s="190">
        <f t="shared" si="45"/>
        <v>29.25</v>
      </c>
      <c r="Y1199" s="8"/>
      <c r="Z1199" s="8"/>
    </row>
    <row r="1200" spans="1:26" ht="25.5" customHeight="1" x14ac:dyDescent="0.2">
      <c r="A1200" s="15">
        <v>11</v>
      </c>
      <c r="B1200" s="15">
        <v>2005</v>
      </c>
      <c r="C1200" s="15">
        <v>9</v>
      </c>
      <c r="D1200" s="15">
        <v>8</v>
      </c>
      <c r="E1200" s="29" t="s">
        <v>199</v>
      </c>
      <c r="F1200" s="11" t="s">
        <v>51</v>
      </c>
      <c r="G1200" s="20">
        <v>136</v>
      </c>
      <c r="H1200" s="15" t="s">
        <v>29</v>
      </c>
      <c r="I1200" s="20">
        <v>7.5</v>
      </c>
      <c r="J1200" s="11" t="s">
        <v>19</v>
      </c>
      <c r="K1200" s="20" t="s">
        <v>20</v>
      </c>
      <c r="L1200" s="11" t="s">
        <v>21</v>
      </c>
      <c r="M1200" s="20" t="s">
        <v>27</v>
      </c>
      <c r="N1200" s="20" t="s">
        <v>24</v>
      </c>
      <c r="O1200" s="27" t="s">
        <v>29</v>
      </c>
      <c r="P1200" s="15">
        <v>221</v>
      </c>
      <c r="Q1200" s="8"/>
      <c r="R1200">
        <v>12.69</v>
      </c>
      <c r="S1200">
        <v>2042.97</v>
      </c>
      <c r="T1200">
        <v>3.67</v>
      </c>
      <c r="U1200">
        <v>9.11</v>
      </c>
      <c r="V1200">
        <v>126.89</v>
      </c>
      <c r="W1200" s="317">
        <v>3.9</v>
      </c>
      <c r="X1200" s="190">
        <f t="shared" si="45"/>
        <v>29.25</v>
      </c>
      <c r="Y1200" s="8"/>
      <c r="Z1200" s="8"/>
    </row>
    <row r="1201" spans="1:26" ht="25.5" customHeight="1" x14ac:dyDescent="0.2">
      <c r="A1201" s="15">
        <v>12</v>
      </c>
      <c r="B1201" s="15">
        <v>2005</v>
      </c>
      <c r="C1201" s="15">
        <v>9</v>
      </c>
      <c r="D1201" s="15">
        <v>8</v>
      </c>
      <c r="E1201" s="29" t="s">
        <v>199</v>
      </c>
      <c r="F1201" s="11" t="s">
        <v>28</v>
      </c>
      <c r="G1201" s="11" t="s">
        <v>29</v>
      </c>
      <c r="H1201" s="15" t="s">
        <v>29</v>
      </c>
      <c r="I1201" s="25" t="s">
        <v>29</v>
      </c>
      <c r="J1201" s="11" t="s">
        <v>19</v>
      </c>
      <c r="K1201" s="20" t="s">
        <v>20</v>
      </c>
      <c r="L1201" s="11" t="s">
        <v>41</v>
      </c>
      <c r="M1201" s="20" t="s">
        <v>47</v>
      </c>
      <c r="N1201" s="11" t="s">
        <v>29</v>
      </c>
      <c r="O1201" s="27" t="s">
        <v>29</v>
      </c>
      <c r="P1201" s="15">
        <v>221</v>
      </c>
      <c r="Q1201" s="8"/>
      <c r="W1201" s="8"/>
      <c r="X1201" s="8"/>
      <c r="Y1201" s="8"/>
      <c r="Z1201" s="8"/>
    </row>
    <row r="1202" spans="1:26" ht="25.5" customHeight="1" x14ac:dyDescent="0.2">
      <c r="A1202" s="15">
        <v>13</v>
      </c>
      <c r="B1202" s="15">
        <v>2005</v>
      </c>
      <c r="C1202" s="15">
        <v>9</v>
      </c>
      <c r="D1202" s="15">
        <v>8</v>
      </c>
      <c r="E1202" s="29" t="s">
        <v>199</v>
      </c>
      <c r="F1202" s="11" t="s">
        <v>51</v>
      </c>
      <c r="G1202" s="20">
        <v>130</v>
      </c>
      <c r="H1202" s="15" t="s">
        <v>29</v>
      </c>
      <c r="I1202" s="20">
        <v>9.5</v>
      </c>
      <c r="J1202" s="11" t="s">
        <v>19</v>
      </c>
      <c r="K1202" s="20" t="s">
        <v>20</v>
      </c>
      <c r="L1202" s="20" t="s">
        <v>30</v>
      </c>
      <c r="M1202" s="20" t="s">
        <v>46</v>
      </c>
      <c r="N1202" s="20" t="s">
        <v>24</v>
      </c>
      <c r="O1202" s="27" t="s">
        <v>29</v>
      </c>
      <c r="P1202" s="15">
        <v>221</v>
      </c>
      <c r="Q1202" s="8"/>
      <c r="R1202">
        <v>12.13</v>
      </c>
      <c r="S1202">
        <v>1784.33</v>
      </c>
      <c r="T1202">
        <v>5.32</v>
      </c>
      <c r="U1202">
        <v>8.7100000000000009</v>
      </c>
      <c r="V1202">
        <v>121.29</v>
      </c>
      <c r="W1202" s="317">
        <v>4.5999999999999996</v>
      </c>
      <c r="X1202" s="190">
        <f t="shared" ref="X1202:X1220" si="46">I1202*W1202</f>
        <v>43.699999999999996</v>
      </c>
      <c r="Y1202" s="8"/>
      <c r="Z1202" s="8"/>
    </row>
    <row r="1203" spans="1:26" ht="25.5" customHeight="1" x14ac:dyDescent="0.2">
      <c r="A1203" s="15">
        <v>14</v>
      </c>
      <c r="B1203" s="15">
        <v>2005</v>
      </c>
      <c r="C1203" s="15">
        <v>9</v>
      </c>
      <c r="D1203" s="15">
        <v>8</v>
      </c>
      <c r="E1203" s="29" t="s">
        <v>199</v>
      </c>
      <c r="F1203" s="11" t="s">
        <v>51</v>
      </c>
      <c r="G1203" s="20">
        <v>141</v>
      </c>
      <c r="H1203" s="15" t="s">
        <v>29</v>
      </c>
      <c r="I1203" s="20">
        <v>9.5</v>
      </c>
      <c r="J1203" s="11" t="s">
        <v>19</v>
      </c>
      <c r="K1203" s="20" t="s">
        <v>20</v>
      </c>
      <c r="L1203" s="11" t="s">
        <v>21</v>
      </c>
      <c r="M1203" s="20" t="s">
        <v>45</v>
      </c>
      <c r="N1203" s="20" t="s">
        <v>23</v>
      </c>
      <c r="O1203" s="27" t="s">
        <v>29</v>
      </c>
      <c r="P1203" s="15">
        <v>221</v>
      </c>
      <c r="Q1203" s="8"/>
      <c r="R1203">
        <v>13.16</v>
      </c>
      <c r="S1203">
        <v>2276.6799999999998</v>
      </c>
      <c r="T1203">
        <v>4.17</v>
      </c>
      <c r="U1203">
        <v>9.4499999999999993</v>
      </c>
      <c r="V1203">
        <v>131.55000000000001</v>
      </c>
      <c r="W1203" s="317">
        <v>3.9</v>
      </c>
      <c r="X1203" s="190">
        <f t="shared" si="46"/>
        <v>37.049999999999997</v>
      </c>
      <c r="Y1203" s="8"/>
      <c r="Z1203" s="8"/>
    </row>
    <row r="1204" spans="1:26" ht="25.5" customHeight="1" x14ac:dyDescent="0.2">
      <c r="A1204" s="15">
        <v>15</v>
      </c>
      <c r="B1204" s="15">
        <v>2005</v>
      </c>
      <c r="C1204" s="15">
        <v>9</v>
      </c>
      <c r="D1204" s="15">
        <v>8</v>
      </c>
      <c r="E1204" s="29" t="s">
        <v>199</v>
      </c>
      <c r="F1204" s="11" t="s">
        <v>51</v>
      </c>
      <c r="G1204" s="20">
        <v>145</v>
      </c>
      <c r="H1204" s="15" t="s">
        <v>29</v>
      </c>
      <c r="I1204" s="20">
        <v>8.5</v>
      </c>
      <c r="J1204" s="11" t="s">
        <v>19</v>
      </c>
      <c r="K1204" s="20" t="s">
        <v>20</v>
      </c>
      <c r="L1204" s="11" t="s">
        <v>21</v>
      </c>
      <c r="M1204" s="20" t="s">
        <v>27</v>
      </c>
      <c r="N1204" s="20" t="s">
        <v>39</v>
      </c>
      <c r="O1204" s="27" t="s">
        <v>29</v>
      </c>
      <c r="P1204" s="15">
        <v>221</v>
      </c>
      <c r="Q1204" s="8"/>
      <c r="R1204">
        <v>13.53</v>
      </c>
      <c r="S1204">
        <v>2475.9899999999998</v>
      </c>
      <c r="T1204">
        <v>3.43</v>
      </c>
      <c r="U1204">
        <v>9.7200000000000006</v>
      </c>
      <c r="V1204">
        <v>135.29</v>
      </c>
      <c r="W1204" s="317">
        <v>3.9</v>
      </c>
      <c r="X1204" s="190">
        <f t="shared" si="46"/>
        <v>33.15</v>
      </c>
      <c r="Y1204" s="8"/>
      <c r="Z1204" s="8"/>
    </row>
    <row r="1205" spans="1:26" ht="25.5" customHeight="1" x14ac:dyDescent="0.2">
      <c r="A1205" s="15">
        <v>16</v>
      </c>
      <c r="B1205" s="15">
        <v>2005</v>
      </c>
      <c r="C1205" s="15">
        <v>9</v>
      </c>
      <c r="D1205" s="15">
        <v>8</v>
      </c>
      <c r="E1205" s="29" t="s">
        <v>199</v>
      </c>
      <c r="F1205" s="11" t="s">
        <v>51</v>
      </c>
      <c r="G1205" s="20">
        <v>149</v>
      </c>
      <c r="H1205" s="15" t="s">
        <v>29</v>
      </c>
      <c r="I1205" s="20">
        <v>8.5</v>
      </c>
      <c r="J1205" s="11" t="s">
        <v>19</v>
      </c>
      <c r="K1205" s="20" t="s">
        <v>20</v>
      </c>
      <c r="L1205" s="11" t="s">
        <v>21</v>
      </c>
      <c r="M1205" s="20" t="s">
        <v>27</v>
      </c>
      <c r="N1205" s="20" t="s">
        <v>39</v>
      </c>
      <c r="O1205" s="27" t="s">
        <v>29</v>
      </c>
      <c r="P1205" s="15">
        <v>221</v>
      </c>
      <c r="Q1205" s="8"/>
      <c r="R1205">
        <v>13.9</v>
      </c>
      <c r="S1205">
        <v>2686.6</v>
      </c>
      <c r="T1205">
        <v>3.16</v>
      </c>
      <c r="U1205">
        <v>9.98</v>
      </c>
      <c r="V1205">
        <v>139.02000000000001</v>
      </c>
      <c r="W1205" s="317">
        <v>3.9</v>
      </c>
      <c r="X1205" s="190">
        <f t="shared" si="46"/>
        <v>33.15</v>
      </c>
      <c r="Y1205" s="8"/>
      <c r="Z1205" s="8"/>
    </row>
    <row r="1206" spans="1:26" ht="25.5" customHeight="1" x14ac:dyDescent="0.2">
      <c r="A1206" s="15">
        <v>17</v>
      </c>
      <c r="B1206" s="15">
        <v>2005</v>
      </c>
      <c r="C1206" s="15">
        <v>9</v>
      </c>
      <c r="D1206" s="15">
        <v>8</v>
      </c>
      <c r="E1206" s="29" t="s">
        <v>199</v>
      </c>
      <c r="F1206" s="11" t="s">
        <v>51</v>
      </c>
      <c r="G1206" s="20">
        <v>107</v>
      </c>
      <c r="H1206" s="15" t="s">
        <v>29</v>
      </c>
      <c r="I1206" s="20">
        <v>7</v>
      </c>
      <c r="J1206" s="11" t="s">
        <v>19</v>
      </c>
      <c r="K1206" s="20" t="s">
        <v>20</v>
      </c>
      <c r="L1206" s="11" t="s">
        <v>21</v>
      </c>
      <c r="M1206" s="20" t="s">
        <v>27</v>
      </c>
      <c r="N1206" s="20" t="s">
        <v>25</v>
      </c>
      <c r="O1206" s="27" t="s">
        <v>29</v>
      </c>
      <c r="P1206" s="15">
        <v>221</v>
      </c>
      <c r="Q1206" s="8"/>
      <c r="R1206">
        <v>9.98</v>
      </c>
      <c r="S1206">
        <v>994.94</v>
      </c>
      <c r="T1206">
        <v>7.04</v>
      </c>
      <c r="U1206">
        <v>7.17</v>
      </c>
      <c r="V1206">
        <v>99.83</v>
      </c>
      <c r="W1206" s="317">
        <v>3.9</v>
      </c>
      <c r="X1206" s="190">
        <f t="shared" si="46"/>
        <v>27.3</v>
      </c>
      <c r="Y1206" s="8"/>
      <c r="Z1206" s="8"/>
    </row>
    <row r="1207" spans="1:26" ht="25.5" customHeight="1" x14ac:dyDescent="0.2">
      <c r="A1207" s="15">
        <v>18</v>
      </c>
      <c r="B1207" s="15">
        <v>2005</v>
      </c>
      <c r="C1207" s="15">
        <v>9</v>
      </c>
      <c r="D1207" s="15">
        <v>8</v>
      </c>
      <c r="E1207" s="29" t="s">
        <v>199</v>
      </c>
      <c r="F1207" s="11" t="s">
        <v>51</v>
      </c>
      <c r="G1207" s="20">
        <v>130</v>
      </c>
      <c r="H1207" s="15" t="s">
        <v>29</v>
      </c>
      <c r="I1207" s="20">
        <v>7.5</v>
      </c>
      <c r="J1207" s="11" t="s">
        <v>19</v>
      </c>
      <c r="K1207" s="20" t="s">
        <v>20</v>
      </c>
      <c r="L1207" s="11" t="s">
        <v>21</v>
      </c>
      <c r="M1207" s="20" t="s">
        <v>47</v>
      </c>
      <c r="N1207" s="20" t="s">
        <v>39</v>
      </c>
      <c r="O1207" s="27" t="s">
        <v>29</v>
      </c>
      <c r="P1207" s="15">
        <v>221</v>
      </c>
      <c r="Q1207" s="8"/>
      <c r="R1207">
        <v>12.13</v>
      </c>
      <c r="S1207">
        <v>1784.33</v>
      </c>
      <c r="T1207">
        <v>4.2</v>
      </c>
      <c r="U1207">
        <v>8.7100000000000009</v>
      </c>
      <c r="V1207">
        <v>121.29</v>
      </c>
      <c r="W1207" s="317">
        <v>3.9</v>
      </c>
      <c r="X1207" s="190">
        <f t="shared" si="46"/>
        <v>29.25</v>
      </c>
      <c r="Y1207" s="8"/>
      <c r="Z1207" s="8"/>
    </row>
    <row r="1208" spans="1:26" ht="12.75" customHeight="1" x14ac:dyDescent="0.2">
      <c r="A1208" s="15">
        <v>19</v>
      </c>
      <c r="B1208" s="15">
        <v>2005</v>
      </c>
      <c r="C1208" s="15">
        <v>9</v>
      </c>
      <c r="D1208" s="15">
        <v>8</v>
      </c>
      <c r="E1208" s="30">
        <v>0.66666666666666663</v>
      </c>
      <c r="F1208" s="11" t="s">
        <v>51</v>
      </c>
      <c r="G1208" s="20">
        <v>141</v>
      </c>
      <c r="H1208" s="15" t="s">
        <v>29</v>
      </c>
      <c r="I1208" s="20">
        <v>9.5</v>
      </c>
      <c r="J1208" s="11" t="s">
        <v>19</v>
      </c>
      <c r="K1208" s="20" t="s">
        <v>20</v>
      </c>
      <c r="L1208" s="11" t="s">
        <v>21</v>
      </c>
      <c r="M1208" s="20" t="s">
        <v>46</v>
      </c>
      <c r="N1208" s="20" t="s">
        <v>24</v>
      </c>
      <c r="O1208" s="27" t="s">
        <v>29</v>
      </c>
      <c r="P1208" s="15">
        <v>221</v>
      </c>
      <c r="Q1208" s="8"/>
      <c r="R1208">
        <v>13.16</v>
      </c>
      <c r="S1208">
        <v>2276.6799999999998</v>
      </c>
      <c r="T1208">
        <v>4.17</v>
      </c>
      <c r="U1208">
        <v>9.4499999999999993</v>
      </c>
      <c r="V1208">
        <v>131.55000000000001</v>
      </c>
      <c r="W1208" s="317">
        <v>3.9</v>
      </c>
      <c r="X1208" s="190">
        <f t="shared" si="46"/>
        <v>37.049999999999997</v>
      </c>
      <c r="Y1208" s="8"/>
      <c r="Z1208" s="8"/>
    </row>
    <row r="1209" spans="1:26" ht="12.75" customHeight="1" x14ac:dyDescent="0.2">
      <c r="A1209" s="15">
        <v>20</v>
      </c>
      <c r="B1209" s="15">
        <v>2005</v>
      </c>
      <c r="C1209" s="15">
        <v>9</v>
      </c>
      <c r="D1209" s="15">
        <v>8</v>
      </c>
      <c r="E1209" s="30">
        <v>0.66666666666666663</v>
      </c>
      <c r="F1209" s="11" t="s">
        <v>51</v>
      </c>
      <c r="G1209" s="20">
        <v>142</v>
      </c>
      <c r="H1209" s="15" t="s">
        <v>29</v>
      </c>
      <c r="I1209" s="20">
        <v>7</v>
      </c>
      <c r="J1209" s="11" t="s">
        <v>19</v>
      </c>
      <c r="K1209" s="20" t="s">
        <v>20</v>
      </c>
      <c r="L1209" s="11" t="s">
        <v>21</v>
      </c>
      <c r="M1209" s="20" t="s">
        <v>27</v>
      </c>
      <c r="N1209" s="20" t="s">
        <v>39</v>
      </c>
      <c r="O1209" s="27" t="s">
        <v>29</v>
      </c>
      <c r="P1209" s="15">
        <v>221</v>
      </c>
      <c r="Q1209" s="8"/>
      <c r="R1209">
        <v>13.25</v>
      </c>
      <c r="S1209">
        <v>2325.4699999999998</v>
      </c>
      <c r="T1209">
        <v>3.01</v>
      </c>
      <c r="U1209">
        <v>9.51</v>
      </c>
      <c r="V1209">
        <v>132.49</v>
      </c>
      <c r="W1209" s="317">
        <v>3.9</v>
      </c>
      <c r="X1209" s="190">
        <f t="shared" si="46"/>
        <v>27.3</v>
      </c>
      <c r="Y1209" s="8"/>
      <c r="Z1209" s="8"/>
    </row>
    <row r="1210" spans="1:26" ht="12.75" customHeight="1" x14ac:dyDescent="0.2">
      <c r="A1210" s="15">
        <v>21</v>
      </c>
      <c r="B1210" s="15">
        <v>2005</v>
      </c>
      <c r="C1210" s="15">
        <v>9</v>
      </c>
      <c r="D1210" s="15">
        <v>8</v>
      </c>
      <c r="E1210" s="30">
        <v>0.66666666666666663</v>
      </c>
      <c r="F1210" s="11" t="s">
        <v>51</v>
      </c>
      <c r="G1210" s="20">
        <v>168</v>
      </c>
      <c r="H1210" s="15" t="s">
        <v>29</v>
      </c>
      <c r="I1210" s="20">
        <v>14.1</v>
      </c>
      <c r="J1210" s="11" t="s">
        <v>19</v>
      </c>
      <c r="K1210" s="20" t="s">
        <v>20</v>
      </c>
      <c r="L1210" s="11" t="s">
        <v>21</v>
      </c>
      <c r="M1210" s="20" t="s">
        <v>45</v>
      </c>
      <c r="N1210" s="20" t="s">
        <v>24</v>
      </c>
      <c r="O1210" s="27" t="s">
        <v>29</v>
      </c>
      <c r="P1210" s="15">
        <v>221</v>
      </c>
      <c r="Q1210" s="8"/>
      <c r="R1210">
        <v>15.67</v>
      </c>
      <c r="S1210">
        <v>3850.99</v>
      </c>
      <c r="T1210">
        <v>3.66</v>
      </c>
      <c r="U1210">
        <v>11.26</v>
      </c>
      <c r="V1210">
        <v>156.74</v>
      </c>
      <c r="W1210" s="317">
        <v>3.9</v>
      </c>
      <c r="X1210" s="190">
        <f t="shared" si="46"/>
        <v>54.989999999999995</v>
      </c>
      <c r="Y1210" s="8"/>
      <c r="Z1210" s="8"/>
    </row>
    <row r="1211" spans="1:26" ht="12.75" customHeight="1" x14ac:dyDescent="0.2">
      <c r="A1211" s="15">
        <v>22</v>
      </c>
      <c r="B1211" s="15">
        <v>2005</v>
      </c>
      <c r="C1211" s="15">
        <v>9</v>
      </c>
      <c r="D1211" s="15">
        <v>8</v>
      </c>
      <c r="E1211" s="30">
        <v>0.66666666666666663</v>
      </c>
      <c r="F1211" s="11" t="s">
        <v>51</v>
      </c>
      <c r="G1211" s="20">
        <v>149</v>
      </c>
      <c r="H1211" s="15" t="s">
        <v>29</v>
      </c>
      <c r="I1211" s="20">
        <v>14.6</v>
      </c>
      <c r="J1211" s="11" t="s">
        <v>19</v>
      </c>
      <c r="K1211" s="20" t="s">
        <v>20</v>
      </c>
      <c r="L1211" s="11" t="s">
        <v>21</v>
      </c>
      <c r="M1211" s="20" t="s">
        <v>46</v>
      </c>
      <c r="N1211" s="20" t="s">
        <v>23</v>
      </c>
      <c r="O1211" s="27" t="s">
        <v>29</v>
      </c>
      <c r="P1211" s="15">
        <v>221</v>
      </c>
      <c r="Q1211" s="8"/>
      <c r="R1211">
        <v>13.9</v>
      </c>
      <c r="S1211">
        <v>2686.6</v>
      </c>
      <c r="T1211">
        <v>5.43</v>
      </c>
      <c r="U1211">
        <v>9.98</v>
      </c>
      <c r="V1211">
        <v>139.02000000000001</v>
      </c>
      <c r="W1211" s="317">
        <v>3.9</v>
      </c>
      <c r="X1211" s="190">
        <f t="shared" si="46"/>
        <v>56.94</v>
      </c>
      <c r="Y1211" s="8"/>
      <c r="Z1211" s="8"/>
    </row>
    <row r="1212" spans="1:26" ht="12.75" customHeight="1" x14ac:dyDescent="0.2">
      <c r="A1212" s="15">
        <v>23</v>
      </c>
      <c r="B1212" s="15">
        <v>2005</v>
      </c>
      <c r="C1212" s="15">
        <v>9</v>
      </c>
      <c r="D1212" s="15">
        <v>8</v>
      </c>
      <c r="E1212" s="30">
        <v>0.66666666666666663</v>
      </c>
      <c r="F1212" s="11" t="s">
        <v>51</v>
      </c>
      <c r="G1212" s="20">
        <v>159</v>
      </c>
      <c r="H1212" s="15" t="s">
        <v>29</v>
      </c>
      <c r="I1212" s="20">
        <v>16</v>
      </c>
      <c r="J1212" s="11" t="s">
        <v>19</v>
      </c>
      <c r="K1212" s="20" t="s">
        <v>20</v>
      </c>
      <c r="L1212" s="11" t="s">
        <v>21</v>
      </c>
      <c r="M1212" s="20" t="s">
        <v>46</v>
      </c>
      <c r="N1212" s="20" t="s">
        <v>23</v>
      </c>
      <c r="O1212" s="27" t="s">
        <v>29</v>
      </c>
      <c r="P1212" s="15">
        <v>221</v>
      </c>
      <c r="Q1212" s="8"/>
      <c r="R1212">
        <v>14.83</v>
      </c>
      <c r="S1212">
        <v>3264.65</v>
      </c>
      <c r="T1212">
        <v>4.9000000000000004</v>
      </c>
      <c r="U1212">
        <v>10.65</v>
      </c>
      <c r="V1212">
        <v>148.35</v>
      </c>
      <c r="W1212" s="317">
        <v>3.9</v>
      </c>
      <c r="X1212" s="190">
        <f t="shared" si="46"/>
        <v>62.4</v>
      </c>
      <c r="Y1212" s="8"/>
      <c r="Z1212" s="8"/>
    </row>
    <row r="1213" spans="1:26" ht="12.75" customHeight="1" x14ac:dyDescent="0.2">
      <c r="A1213" s="15">
        <v>24</v>
      </c>
      <c r="B1213" s="15">
        <v>2005</v>
      </c>
      <c r="C1213" s="15">
        <v>9</v>
      </c>
      <c r="D1213" s="15">
        <v>8</v>
      </c>
      <c r="E1213" s="30">
        <v>0.66666666666666663</v>
      </c>
      <c r="F1213" s="11" t="s">
        <v>51</v>
      </c>
      <c r="G1213" s="20">
        <v>143</v>
      </c>
      <c r="H1213" s="15" t="s">
        <v>29</v>
      </c>
      <c r="I1213" s="20">
        <v>9.1</v>
      </c>
      <c r="J1213" s="11" t="s">
        <v>19</v>
      </c>
      <c r="K1213" s="20" t="s">
        <v>20</v>
      </c>
      <c r="L1213" s="11" t="s">
        <v>21</v>
      </c>
      <c r="M1213" s="20" t="s">
        <v>27</v>
      </c>
      <c r="N1213" s="20" t="s">
        <v>24</v>
      </c>
      <c r="O1213" s="27" t="s">
        <v>29</v>
      </c>
      <c r="P1213" s="15">
        <v>221</v>
      </c>
      <c r="Q1213" s="8"/>
      <c r="R1213">
        <v>13.34</v>
      </c>
      <c r="S1213">
        <v>2374.94</v>
      </c>
      <c r="T1213">
        <v>3.83</v>
      </c>
      <c r="U1213">
        <v>9.58</v>
      </c>
      <c r="V1213">
        <v>133.41999999999999</v>
      </c>
      <c r="W1213" s="317">
        <v>3.9</v>
      </c>
      <c r="X1213" s="190">
        <f t="shared" si="46"/>
        <v>35.489999999999995</v>
      </c>
      <c r="Y1213" s="8"/>
      <c r="Z1213" s="8"/>
    </row>
    <row r="1214" spans="1:26" ht="12.75" customHeight="1" x14ac:dyDescent="0.2">
      <c r="A1214" s="15">
        <v>25</v>
      </c>
      <c r="B1214" s="15">
        <v>2005</v>
      </c>
      <c r="C1214" s="15">
        <v>9</v>
      </c>
      <c r="D1214" s="15">
        <v>8</v>
      </c>
      <c r="E1214" s="30">
        <v>0.66666666666666663</v>
      </c>
      <c r="F1214" s="11" t="s">
        <v>51</v>
      </c>
      <c r="G1214" s="20">
        <v>144</v>
      </c>
      <c r="H1214" s="15" t="s">
        <v>29</v>
      </c>
      <c r="I1214" s="20">
        <v>8.5</v>
      </c>
      <c r="J1214" s="11" t="s">
        <v>19</v>
      </c>
      <c r="K1214" s="20" t="s">
        <v>20</v>
      </c>
      <c r="L1214" s="11" t="s">
        <v>21</v>
      </c>
      <c r="M1214" s="20" t="s">
        <v>46</v>
      </c>
      <c r="N1214" s="20" t="s">
        <v>24</v>
      </c>
      <c r="O1214" s="27" t="s">
        <v>29</v>
      </c>
      <c r="P1214" s="15">
        <v>221</v>
      </c>
      <c r="Q1214" s="8"/>
      <c r="R1214">
        <v>13.44</v>
      </c>
      <c r="S1214">
        <v>2425.12</v>
      </c>
      <c r="T1214">
        <v>3.5</v>
      </c>
      <c r="U1214">
        <v>9.65</v>
      </c>
      <c r="V1214">
        <v>134.35</v>
      </c>
      <c r="W1214" s="317">
        <v>3.9</v>
      </c>
      <c r="X1214" s="190">
        <f t="shared" si="46"/>
        <v>33.15</v>
      </c>
      <c r="Y1214" s="8"/>
      <c r="Z1214" s="8"/>
    </row>
    <row r="1215" spans="1:26" ht="12.75" customHeight="1" x14ac:dyDescent="0.2">
      <c r="A1215" s="15">
        <v>26</v>
      </c>
      <c r="B1215" s="15">
        <v>2005</v>
      </c>
      <c r="C1215" s="15">
        <v>9</v>
      </c>
      <c r="D1215" s="15">
        <v>8</v>
      </c>
      <c r="E1215" s="30">
        <v>0.66666666666666663</v>
      </c>
      <c r="F1215" s="11" t="s">
        <v>51</v>
      </c>
      <c r="G1215" s="20">
        <v>145</v>
      </c>
      <c r="H1215" s="15" t="s">
        <v>29</v>
      </c>
      <c r="I1215" s="20">
        <v>8.1999999999999993</v>
      </c>
      <c r="J1215" s="11" t="s">
        <v>19</v>
      </c>
      <c r="K1215" s="20" t="s">
        <v>20</v>
      </c>
      <c r="L1215" s="11" t="s">
        <v>21</v>
      </c>
      <c r="M1215" s="20" t="s">
        <v>46</v>
      </c>
      <c r="N1215" s="20" t="s">
        <v>24</v>
      </c>
      <c r="O1215" s="27" t="s">
        <v>29</v>
      </c>
      <c r="P1215" s="15">
        <v>221</v>
      </c>
      <c r="Q1215" s="8"/>
      <c r="R1215">
        <v>13.53</v>
      </c>
      <c r="S1215">
        <v>2475.9899999999998</v>
      </c>
      <c r="T1215">
        <v>3.31</v>
      </c>
      <c r="U1215">
        <v>9.7200000000000006</v>
      </c>
      <c r="V1215">
        <v>135.29</v>
      </c>
      <c r="W1215" s="317">
        <v>3.9</v>
      </c>
      <c r="X1215" s="190">
        <f t="shared" si="46"/>
        <v>31.979999999999997</v>
      </c>
      <c r="Y1215" s="8"/>
      <c r="Z1215" s="8"/>
    </row>
    <row r="1216" spans="1:26" ht="12.75" customHeight="1" x14ac:dyDescent="0.2">
      <c r="A1216" s="15">
        <v>27</v>
      </c>
      <c r="B1216" s="15">
        <v>2005</v>
      </c>
      <c r="C1216" s="15">
        <v>9</v>
      </c>
      <c r="D1216" s="15">
        <v>8</v>
      </c>
      <c r="E1216" s="30">
        <v>0.66666666666666663</v>
      </c>
      <c r="F1216" s="11" t="s">
        <v>51</v>
      </c>
      <c r="G1216" s="20">
        <v>152</v>
      </c>
      <c r="H1216" s="15" t="s">
        <v>29</v>
      </c>
      <c r="I1216" s="20">
        <v>13</v>
      </c>
      <c r="J1216" s="11" t="s">
        <v>19</v>
      </c>
      <c r="K1216" s="20" t="s">
        <v>20</v>
      </c>
      <c r="L1216" s="11" t="s">
        <v>21</v>
      </c>
      <c r="M1216" s="20" t="s">
        <v>46</v>
      </c>
      <c r="N1216" s="20" t="s">
        <v>24</v>
      </c>
      <c r="O1216" s="27" t="s">
        <v>29</v>
      </c>
      <c r="P1216" s="15">
        <v>221</v>
      </c>
      <c r="Q1216" s="8"/>
      <c r="R1216">
        <v>14.18</v>
      </c>
      <c r="S1216">
        <v>2852.17</v>
      </c>
      <c r="T1216">
        <v>4.5599999999999996</v>
      </c>
      <c r="U1216">
        <v>10.18</v>
      </c>
      <c r="V1216">
        <v>141.82</v>
      </c>
      <c r="W1216" s="317">
        <v>3.9</v>
      </c>
      <c r="X1216" s="190">
        <f t="shared" si="46"/>
        <v>50.699999999999996</v>
      </c>
      <c r="Y1216" s="8"/>
      <c r="Z1216" s="8"/>
    </row>
    <row r="1217" spans="1:26" ht="12.75" customHeight="1" x14ac:dyDescent="0.2">
      <c r="A1217" s="15">
        <v>28</v>
      </c>
      <c r="B1217" s="15">
        <v>2005</v>
      </c>
      <c r="C1217" s="15">
        <v>9</v>
      </c>
      <c r="D1217" s="15">
        <v>8</v>
      </c>
      <c r="E1217" s="30">
        <v>0.66666666666666663</v>
      </c>
      <c r="F1217" s="11" t="s">
        <v>51</v>
      </c>
      <c r="G1217" s="20">
        <v>139</v>
      </c>
      <c r="H1217" s="15" t="s">
        <v>29</v>
      </c>
      <c r="I1217" s="20">
        <v>7</v>
      </c>
      <c r="J1217" s="11" t="s">
        <v>19</v>
      </c>
      <c r="K1217" s="20" t="s">
        <v>20</v>
      </c>
      <c r="L1217" s="11" t="s">
        <v>21</v>
      </c>
      <c r="M1217" s="20" t="s">
        <v>27</v>
      </c>
      <c r="N1217" s="20" t="s">
        <v>23</v>
      </c>
      <c r="O1217" s="27" t="s">
        <v>29</v>
      </c>
      <c r="P1217" s="15">
        <v>221</v>
      </c>
      <c r="Q1217" s="8"/>
      <c r="R1217">
        <v>12.97</v>
      </c>
      <c r="S1217">
        <v>2181.17</v>
      </c>
      <c r="T1217">
        <v>3.21</v>
      </c>
      <c r="U1217">
        <v>9.31</v>
      </c>
      <c r="V1217">
        <v>129.69</v>
      </c>
      <c r="W1217" s="317">
        <v>3.9</v>
      </c>
      <c r="X1217" s="190">
        <f t="shared" si="46"/>
        <v>27.3</v>
      </c>
      <c r="Y1217" s="8"/>
      <c r="Z1217" s="8"/>
    </row>
    <row r="1218" spans="1:26" ht="12.75" customHeight="1" x14ac:dyDescent="0.2">
      <c r="A1218" s="15">
        <v>29</v>
      </c>
      <c r="B1218" s="15">
        <v>2005</v>
      </c>
      <c r="C1218" s="15">
        <v>9</v>
      </c>
      <c r="D1218" s="15">
        <v>8</v>
      </c>
      <c r="E1218" s="30">
        <v>0.66666666666666663</v>
      </c>
      <c r="F1218" s="11" t="s">
        <v>51</v>
      </c>
      <c r="G1218" s="20">
        <v>128</v>
      </c>
      <c r="H1218" s="15" t="s">
        <v>29</v>
      </c>
      <c r="I1218" s="20">
        <v>9</v>
      </c>
      <c r="J1218" s="11" t="s">
        <v>19</v>
      </c>
      <c r="K1218" s="20" t="s">
        <v>20</v>
      </c>
      <c r="L1218" s="11" t="s">
        <v>21</v>
      </c>
      <c r="M1218" s="20" t="s">
        <v>46</v>
      </c>
      <c r="N1218" s="20" t="s">
        <v>24</v>
      </c>
      <c r="O1218" s="27" t="s">
        <v>29</v>
      </c>
      <c r="P1218" s="15">
        <v>221</v>
      </c>
      <c r="Q1218" s="8"/>
      <c r="R1218">
        <v>11.94</v>
      </c>
      <c r="S1218">
        <v>1703.24</v>
      </c>
      <c r="T1218">
        <v>5.28</v>
      </c>
      <c r="U1218">
        <v>8.58</v>
      </c>
      <c r="V1218">
        <v>119.42</v>
      </c>
      <c r="W1218" s="317">
        <v>3.9</v>
      </c>
      <c r="X1218" s="190">
        <f t="shared" si="46"/>
        <v>35.1</v>
      </c>
      <c r="Y1218" s="8"/>
      <c r="Z1218" s="8"/>
    </row>
    <row r="1219" spans="1:26" ht="12.75" customHeight="1" x14ac:dyDescent="0.2">
      <c r="A1219" s="15">
        <v>30</v>
      </c>
      <c r="B1219" s="15">
        <v>2005</v>
      </c>
      <c r="C1219" s="15">
        <v>9</v>
      </c>
      <c r="D1219" s="15">
        <v>8</v>
      </c>
      <c r="E1219" s="30">
        <v>0.66666666666666663</v>
      </c>
      <c r="F1219" s="11" t="s">
        <v>51</v>
      </c>
      <c r="G1219" s="20">
        <v>136</v>
      </c>
      <c r="H1219" s="15" t="s">
        <v>29</v>
      </c>
      <c r="I1219" s="20">
        <v>6.5</v>
      </c>
      <c r="J1219" s="11" t="s">
        <v>19</v>
      </c>
      <c r="K1219" s="20" t="s">
        <v>20</v>
      </c>
      <c r="L1219" s="11" t="s">
        <v>21</v>
      </c>
      <c r="M1219" s="20" t="s">
        <v>46</v>
      </c>
      <c r="N1219" s="20" t="s">
        <v>24</v>
      </c>
      <c r="O1219" s="27" t="s">
        <v>29</v>
      </c>
      <c r="P1219" s="15">
        <v>221</v>
      </c>
      <c r="Q1219" s="8"/>
      <c r="R1219">
        <v>12.69</v>
      </c>
      <c r="S1219">
        <v>2042.97</v>
      </c>
      <c r="T1219">
        <v>3.18</v>
      </c>
      <c r="U1219">
        <v>9.11</v>
      </c>
      <c r="V1219">
        <v>126.89</v>
      </c>
      <c r="W1219" s="317">
        <v>3.9</v>
      </c>
      <c r="X1219" s="190">
        <f t="shared" si="46"/>
        <v>25.349999999999998</v>
      </c>
      <c r="Y1219" s="8"/>
      <c r="Z1219" s="8"/>
    </row>
    <row r="1220" spans="1:26" ht="25.5" customHeight="1" x14ac:dyDescent="0.2">
      <c r="A1220" s="15">
        <v>31</v>
      </c>
      <c r="B1220" s="15">
        <v>2005</v>
      </c>
      <c r="C1220" s="15">
        <v>8</v>
      </c>
      <c r="D1220" s="15">
        <v>8</v>
      </c>
      <c r="E1220" s="29" t="s">
        <v>200</v>
      </c>
      <c r="F1220" s="11" t="s">
        <v>51</v>
      </c>
      <c r="G1220" s="20">
        <v>145</v>
      </c>
      <c r="H1220" s="15" t="s">
        <v>29</v>
      </c>
      <c r="I1220" s="20">
        <v>8</v>
      </c>
      <c r="J1220" s="11" t="s">
        <v>19</v>
      </c>
      <c r="K1220" s="20" t="s">
        <v>20</v>
      </c>
      <c r="L1220" s="11" t="s">
        <v>21</v>
      </c>
      <c r="M1220" s="20" t="s">
        <v>45</v>
      </c>
      <c r="N1220" s="20" t="s">
        <v>25</v>
      </c>
      <c r="O1220" s="27" t="s">
        <v>29</v>
      </c>
      <c r="P1220" s="15">
        <v>220</v>
      </c>
      <c r="Q1220" s="8"/>
      <c r="R1220">
        <v>13.53</v>
      </c>
      <c r="S1220">
        <v>2475.9899999999998</v>
      </c>
      <c r="T1220">
        <v>3.23</v>
      </c>
      <c r="U1220">
        <v>9.7200000000000006</v>
      </c>
      <c r="V1220">
        <v>135.29</v>
      </c>
      <c r="W1220" s="317">
        <v>3.9</v>
      </c>
      <c r="X1220" s="190">
        <f t="shared" si="46"/>
        <v>31.2</v>
      </c>
      <c r="Y1220" s="8"/>
      <c r="Z1220" s="8"/>
    </row>
    <row r="1221" spans="1:26" ht="25.5" customHeight="1" x14ac:dyDescent="0.2">
      <c r="A1221" s="15">
        <v>32</v>
      </c>
      <c r="B1221" s="15">
        <v>2005</v>
      </c>
      <c r="C1221" s="15">
        <v>8</v>
      </c>
      <c r="D1221" s="15">
        <v>8</v>
      </c>
      <c r="E1221" s="29" t="s">
        <v>200</v>
      </c>
      <c r="F1221" s="11" t="s">
        <v>51</v>
      </c>
      <c r="G1221" s="20">
        <v>151</v>
      </c>
      <c r="H1221" s="15" t="s">
        <v>29</v>
      </c>
      <c r="I1221" s="20">
        <v>12.5</v>
      </c>
      <c r="J1221" s="11" t="s">
        <v>19</v>
      </c>
      <c r="K1221" s="20" t="s">
        <v>20</v>
      </c>
      <c r="L1221" s="11" t="s">
        <v>41</v>
      </c>
      <c r="M1221" s="20" t="s">
        <v>45</v>
      </c>
      <c r="N1221" s="20" t="s">
        <v>33</v>
      </c>
      <c r="O1221" s="27" t="s">
        <v>29</v>
      </c>
      <c r="P1221" s="15">
        <v>220</v>
      </c>
      <c r="Q1221" s="8"/>
      <c r="R1221">
        <v>14.09</v>
      </c>
      <c r="S1221">
        <v>2796.25</v>
      </c>
      <c r="T1221">
        <v>4.47</v>
      </c>
      <c r="U1221">
        <v>10.119999999999999</v>
      </c>
      <c r="V1221">
        <v>140.88</v>
      </c>
      <c r="W1221" s="8"/>
      <c r="X1221" s="8"/>
      <c r="Y1221" s="8"/>
      <c r="Z1221" s="8"/>
    </row>
    <row r="1222" spans="1:26" ht="25.5" customHeight="1" x14ac:dyDescent="0.2">
      <c r="A1222" s="15">
        <v>33</v>
      </c>
      <c r="B1222" s="15">
        <v>2005</v>
      </c>
      <c r="C1222" s="15">
        <v>8</v>
      </c>
      <c r="D1222" s="15">
        <v>8</v>
      </c>
      <c r="E1222" s="29" t="s">
        <v>200</v>
      </c>
      <c r="F1222" s="11" t="s">
        <v>51</v>
      </c>
      <c r="G1222" s="20">
        <v>101</v>
      </c>
      <c r="H1222" s="15" t="s">
        <v>29</v>
      </c>
      <c r="I1222" s="20">
        <v>3.5</v>
      </c>
      <c r="J1222" s="11" t="s">
        <v>19</v>
      </c>
      <c r="K1222" s="11" t="s">
        <v>41</v>
      </c>
      <c r="L1222" s="20" t="s">
        <v>35</v>
      </c>
      <c r="M1222" s="11" t="s">
        <v>29</v>
      </c>
      <c r="N1222" s="20" t="s">
        <v>24</v>
      </c>
      <c r="O1222" s="27" t="s">
        <v>29</v>
      </c>
      <c r="P1222" s="15">
        <v>220</v>
      </c>
      <c r="Q1222" s="8"/>
      <c r="R1222">
        <v>9.42</v>
      </c>
      <c r="S1222">
        <v>836.78</v>
      </c>
      <c r="T1222">
        <v>4.18</v>
      </c>
      <c r="U1222">
        <v>6.77</v>
      </c>
      <c r="V1222">
        <v>94.23</v>
      </c>
      <c r="W1222" s="317">
        <v>3.9</v>
      </c>
      <c r="X1222" s="8"/>
      <c r="Y1222" s="8"/>
      <c r="Z1222" s="8"/>
    </row>
    <row r="1223" spans="1:26" ht="25.5" customHeight="1" x14ac:dyDescent="0.2">
      <c r="A1223" s="15">
        <v>34</v>
      </c>
      <c r="B1223" s="15">
        <v>2005</v>
      </c>
      <c r="C1223" s="15">
        <v>8</v>
      </c>
      <c r="D1223" s="15">
        <v>8</v>
      </c>
      <c r="E1223" s="29" t="s">
        <v>200</v>
      </c>
      <c r="F1223" s="11" t="s">
        <v>51</v>
      </c>
      <c r="G1223" s="20">
        <v>135</v>
      </c>
      <c r="H1223" s="15" t="s">
        <v>29</v>
      </c>
      <c r="I1223" s="20">
        <v>9.5</v>
      </c>
      <c r="J1223" s="11" t="s">
        <v>19</v>
      </c>
      <c r="K1223" s="20" t="s">
        <v>20</v>
      </c>
      <c r="L1223" s="11" t="s">
        <v>41</v>
      </c>
      <c r="M1223" s="20" t="s">
        <v>46</v>
      </c>
      <c r="N1223" s="20" t="s">
        <v>24</v>
      </c>
      <c r="O1223" s="27" t="s">
        <v>29</v>
      </c>
      <c r="P1223" s="15">
        <v>220</v>
      </c>
      <c r="Q1223" s="8"/>
      <c r="R1223">
        <v>12.6</v>
      </c>
      <c r="S1223">
        <v>1998.23</v>
      </c>
      <c r="T1223">
        <v>4.75</v>
      </c>
      <c r="U1223">
        <v>9.0500000000000007</v>
      </c>
      <c r="V1223">
        <v>125.96</v>
      </c>
      <c r="W1223" s="8"/>
      <c r="X1223" s="8"/>
      <c r="Y1223" s="8"/>
      <c r="Z1223" s="8"/>
    </row>
    <row r="1224" spans="1:26" ht="25.5" customHeight="1" x14ac:dyDescent="0.2">
      <c r="A1224" s="15">
        <v>35</v>
      </c>
      <c r="B1224" s="15">
        <v>2005</v>
      </c>
      <c r="C1224" s="15">
        <v>8</v>
      </c>
      <c r="D1224" s="15">
        <v>8</v>
      </c>
      <c r="E1224" s="29" t="s">
        <v>200</v>
      </c>
      <c r="F1224" s="11" t="s">
        <v>51</v>
      </c>
      <c r="G1224" s="20">
        <v>150</v>
      </c>
      <c r="H1224" s="15" t="s">
        <v>29</v>
      </c>
      <c r="I1224" s="20">
        <v>11.5</v>
      </c>
      <c r="J1224" s="11" t="s">
        <v>19</v>
      </c>
      <c r="K1224" s="20" t="s">
        <v>20</v>
      </c>
      <c r="L1224" s="11" t="s">
        <v>21</v>
      </c>
      <c r="M1224" s="20" t="s">
        <v>27</v>
      </c>
      <c r="N1224" s="20" t="s">
        <v>24</v>
      </c>
      <c r="O1224" s="27" t="s">
        <v>29</v>
      </c>
      <c r="P1224" s="15">
        <v>220</v>
      </c>
      <c r="Q1224" s="8"/>
      <c r="R1224">
        <v>14</v>
      </c>
      <c r="S1224">
        <v>2741.06</v>
      </c>
      <c r="T1224">
        <v>4.2</v>
      </c>
      <c r="U1224">
        <v>10.050000000000001</v>
      </c>
      <c r="V1224">
        <v>139.94999999999999</v>
      </c>
      <c r="W1224" s="317">
        <v>3.9</v>
      </c>
      <c r="X1224" s="190">
        <f>I1224*W1224</f>
        <v>44.85</v>
      </c>
      <c r="Y1224" s="8"/>
      <c r="Z1224" s="8"/>
    </row>
    <row r="1225" spans="1:26" ht="25.5" customHeight="1" x14ac:dyDescent="0.2">
      <c r="A1225" s="15">
        <v>36</v>
      </c>
      <c r="B1225" s="15">
        <v>2005</v>
      </c>
      <c r="C1225" s="15">
        <v>8</v>
      </c>
      <c r="D1225" s="15">
        <v>8</v>
      </c>
      <c r="E1225" s="29" t="s">
        <v>200</v>
      </c>
      <c r="F1225" s="11" t="s">
        <v>51</v>
      </c>
      <c r="G1225" s="20">
        <v>140</v>
      </c>
      <c r="H1225" s="15" t="s">
        <v>29</v>
      </c>
      <c r="I1225" s="20">
        <v>10</v>
      </c>
      <c r="J1225" s="11" t="s">
        <v>19</v>
      </c>
      <c r="K1225" s="20" t="s">
        <v>20</v>
      </c>
      <c r="L1225" s="11" t="s">
        <v>21</v>
      </c>
      <c r="M1225" s="20" t="s">
        <v>47</v>
      </c>
      <c r="N1225" s="20" t="s">
        <v>23</v>
      </c>
      <c r="O1225" s="27" t="s">
        <v>29</v>
      </c>
      <c r="P1225" s="15">
        <v>220</v>
      </c>
      <c r="Q1225" s="8"/>
      <c r="R1225">
        <v>13.06</v>
      </c>
      <c r="S1225">
        <v>2228.58</v>
      </c>
      <c r="T1225">
        <v>4.49</v>
      </c>
      <c r="U1225">
        <v>9.3800000000000008</v>
      </c>
      <c r="V1225">
        <v>130.62</v>
      </c>
      <c r="W1225" s="317">
        <v>3.9</v>
      </c>
      <c r="X1225" s="190">
        <f>I1225*W1225</f>
        <v>39</v>
      </c>
      <c r="Y1225" s="8"/>
      <c r="Z1225" s="8"/>
    </row>
    <row r="1226" spans="1:26" ht="25.5" customHeight="1" x14ac:dyDescent="0.2">
      <c r="A1226" s="15">
        <v>37</v>
      </c>
      <c r="B1226" s="15">
        <v>2005</v>
      </c>
      <c r="C1226" s="15">
        <v>8</v>
      </c>
      <c r="D1226" s="15">
        <v>8</v>
      </c>
      <c r="E1226" s="29" t="s">
        <v>200</v>
      </c>
      <c r="F1226" s="11" t="s">
        <v>51</v>
      </c>
      <c r="G1226" s="20">
        <v>131</v>
      </c>
      <c r="H1226" s="15" t="s">
        <v>29</v>
      </c>
      <c r="I1226" s="20">
        <v>7</v>
      </c>
      <c r="J1226" s="11" t="s">
        <v>19</v>
      </c>
      <c r="K1226" s="20" t="s">
        <v>20</v>
      </c>
      <c r="L1226" s="20" t="s">
        <v>30</v>
      </c>
      <c r="M1226" s="20" t="s">
        <v>27</v>
      </c>
      <c r="N1226" s="20" t="s">
        <v>33</v>
      </c>
      <c r="O1226" s="27" t="s">
        <v>29</v>
      </c>
      <c r="P1226" s="15">
        <v>220</v>
      </c>
      <c r="Q1226" s="8"/>
      <c r="R1226">
        <v>12.22</v>
      </c>
      <c r="S1226">
        <v>1825.82</v>
      </c>
      <c r="T1226">
        <v>3.83</v>
      </c>
      <c r="U1226">
        <v>8.7799999999999994</v>
      </c>
      <c r="V1226">
        <v>122.22</v>
      </c>
      <c r="W1226" s="317">
        <v>4.5999999999999996</v>
      </c>
      <c r="X1226" s="190">
        <f>I1226*W1226</f>
        <v>32.199999999999996</v>
      </c>
      <c r="Y1226" s="8"/>
      <c r="Z1226" s="8"/>
    </row>
    <row r="1227" spans="1:26" ht="25.5" customHeight="1" x14ac:dyDescent="0.2">
      <c r="A1227" s="15">
        <v>38</v>
      </c>
      <c r="B1227" s="15">
        <v>2005</v>
      </c>
      <c r="C1227" s="15">
        <v>8</v>
      </c>
      <c r="D1227" s="15">
        <v>8</v>
      </c>
      <c r="E1227" s="29" t="s">
        <v>200</v>
      </c>
      <c r="F1227" s="11" t="s">
        <v>51</v>
      </c>
      <c r="G1227" s="20">
        <v>142</v>
      </c>
      <c r="H1227" s="15" t="s">
        <v>29</v>
      </c>
      <c r="I1227" s="20">
        <v>9</v>
      </c>
      <c r="J1227" s="11" t="s">
        <v>19</v>
      </c>
      <c r="K1227" s="20" t="s">
        <v>20</v>
      </c>
      <c r="L1227" s="11" t="s">
        <v>21</v>
      </c>
      <c r="M1227" s="20" t="s">
        <v>27</v>
      </c>
      <c r="N1227" s="20" t="s">
        <v>24</v>
      </c>
      <c r="O1227" s="27" t="s">
        <v>29</v>
      </c>
      <c r="P1227" s="15">
        <v>220</v>
      </c>
      <c r="Q1227" s="8"/>
      <c r="R1227">
        <v>13.25</v>
      </c>
      <c r="S1227">
        <v>2325.4699999999998</v>
      </c>
      <c r="T1227">
        <v>3.87</v>
      </c>
      <c r="U1227">
        <v>9.51</v>
      </c>
      <c r="V1227">
        <v>132.49</v>
      </c>
      <c r="W1227" s="317">
        <v>3.9</v>
      </c>
      <c r="X1227" s="190">
        <f>I1227*W1227</f>
        <v>35.1</v>
      </c>
      <c r="Y1227" s="8"/>
      <c r="Z1227" s="8"/>
    </row>
    <row r="1228" spans="1:26" ht="25.5" customHeight="1" x14ac:dyDescent="0.2">
      <c r="A1228" s="15">
        <v>39</v>
      </c>
      <c r="B1228" s="15">
        <v>2005</v>
      </c>
      <c r="C1228" s="15">
        <v>8</v>
      </c>
      <c r="D1228" s="15">
        <v>8</v>
      </c>
      <c r="E1228" s="29" t="s">
        <v>200</v>
      </c>
      <c r="F1228" s="11" t="s">
        <v>51</v>
      </c>
      <c r="G1228" s="20">
        <v>132</v>
      </c>
      <c r="H1228" s="15" t="s">
        <v>29</v>
      </c>
      <c r="I1228" s="20">
        <v>7.5</v>
      </c>
      <c r="J1228" s="11" t="s">
        <v>19</v>
      </c>
      <c r="K1228" s="20" t="s">
        <v>20</v>
      </c>
      <c r="L1228" s="11" t="s">
        <v>41</v>
      </c>
      <c r="M1228" s="20" t="s">
        <v>27</v>
      </c>
      <c r="N1228" s="20" t="s">
        <v>24</v>
      </c>
      <c r="O1228" s="27" t="s">
        <v>29</v>
      </c>
      <c r="P1228" s="15">
        <v>220</v>
      </c>
      <c r="Q1228" s="8"/>
      <c r="R1228">
        <v>12.32</v>
      </c>
      <c r="S1228">
        <v>1867.96</v>
      </c>
      <c r="T1228">
        <v>4.0199999999999996</v>
      </c>
      <c r="U1228">
        <v>8.84</v>
      </c>
      <c r="V1228">
        <v>123.16</v>
      </c>
      <c r="W1228" s="8"/>
      <c r="X1228" s="8"/>
      <c r="Y1228" s="8"/>
      <c r="Z1228" s="8"/>
    </row>
    <row r="1229" spans="1:26" ht="25.5" customHeight="1" x14ac:dyDescent="0.2">
      <c r="A1229" s="15">
        <v>40</v>
      </c>
      <c r="B1229" s="15">
        <v>2005</v>
      </c>
      <c r="C1229" s="15">
        <v>8</v>
      </c>
      <c r="D1229" s="15">
        <v>8</v>
      </c>
      <c r="E1229" s="29" t="s">
        <v>200</v>
      </c>
      <c r="F1229" s="11" t="s">
        <v>51</v>
      </c>
      <c r="G1229" s="20">
        <v>145</v>
      </c>
      <c r="H1229" s="15" t="s">
        <v>29</v>
      </c>
      <c r="I1229" s="20">
        <v>12.5</v>
      </c>
      <c r="J1229" s="11" t="s">
        <v>19</v>
      </c>
      <c r="K1229" s="20" t="s">
        <v>20</v>
      </c>
      <c r="L1229" s="11" t="s">
        <v>21</v>
      </c>
      <c r="M1229" s="20" t="s">
        <v>46</v>
      </c>
      <c r="N1229" s="20" t="s">
        <v>33</v>
      </c>
      <c r="O1229" s="27" t="s">
        <v>29</v>
      </c>
      <c r="P1229" s="15">
        <v>220</v>
      </c>
      <c r="Q1229" s="8"/>
      <c r="R1229">
        <v>13.53</v>
      </c>
      <c r="S1229">
        <v>2475.9899999999998</v>
      </c>
      <c r="T1229">
        <v>5.05</v>
      </c>
      <c r="U1229">
        <v>9.7200000000000006</v>
      </c>
      <c r="V1229">
        <v>135.29</v>
      </c>
      <c r="W1229" s="317">
        <v>3.9</v>
      </c>
      <c r="X1229" s="190">
        <f>I1229*W1229</f>
        <v>48.75</v>
      </c>
      <c r="Y1229" s="8"/>
      <c r="Z1229" s="8"/>
    </row>
    <row r="1230" spans="1:26" ht="25.5" customHeight="1" x14ac:dyDescent="0.2">
      <c r="A1230" s="15">
        <v>41</v>
      </c>
      <c r="B1230" s="15">
        <v>2005</v>
      </c>
      <c r="C1230" s="15">
        <v>8</v>
      </c>
      <c r="D1230" s="15">
        <v>8</v>
      </c>
      <c r="E1230" s="29" t="s">
        <v>200</v>
      </c>
      <c r="F1230" s="11" t="s">
        <v>51</v>
      </c>
      <c r="G1230" s="20">
        <v>150</v>
      </c>
      <c r="H1230" s="15" t="s">
        <v>29</v>
      </c>
      <c r="I1230" s="20">
        <v>10.5</v>
      </c>
      <c r="J1230" s="11" t="s">
        <v>19</v>
      </c>
      <c r="K1230" s="20" t="s">
        <v>20</v>
      </c>
      <c r="L1230" s="11" t="s">
        <v>21</v>
      </c>
      <c r="M1230" s="20" t="s">
        <v>27</v>
      </c>
      <c r="N1230" s="20" t="s">
        <v>33</v>
      </c>
      <c r="O1230" s="27" t="s">
        <v>29</v>
      </c>
      <c r="P1230" s="15">
        <v>220</v>
      </c>
      <c r="Q1230" s="8"/>
      <c r="R1230">
        <v>14</v>
      </c>
      <c r="S1230">
        <v>2741.06</v>
      </c>
      <c r="T1230">
        <v>3.83</v>
      </c>
      <c r="U1230">
        <v>10.050000000000001</v>
      </c>
      <c r="V1230">
        <v>139.94999999999999</v>
      </c>
      <c r="W1230" s="317">
        <v>3.9</v>
      </c>
      <c r="X1230" s="190">
        <f>I1230*W1230</f>
        <v>40.949999999999996</v>
      </c>
      <c r="Y1230" s="8"/>
      <c r="Z1230" s="8"/>
    </row>
    <row r="1231" spans="1:26" ht="25.5" customHeight="1" x14ac:dyDescent="0.2">
      <c r="A1231" s="15">
        <v>42</v>
      </c>
      <c r="B1231" s="15">
        <v>2005</v>
      </c>
      <c r="C1231" s="15">
        <v>8</v>
      </c>
      <c r="D1231" s="15">
        <v>8</v>
      </c>
      <c r="E1231" s="29" t="s">
        <v>200</v>
      </c>
      <c r="F1231" s="11" t="s">
        <v>51</v>
      </c>
      <c r="G1231" s="20">
        <v>160</v>
      </c>
      <c r="H1231" s="15" t="s">
        <v>29</v>
      </c>
      <c r="I1231" s="20">
        <v>12.5</v>
      </c>
      <c r="J1231" s="11" t="s">
        <v>19</v>
      </c>
      <c r="K1231" s="20" t="s">
        <v>20</v>
      </c>
      <c r="L1231" s="11" t="s">
        <v>21</v>
      </c>
      <c r="M1231" s="20" t="s">
        <v>45</v>
      </c>
      <c r="N1231" s="20" t="s">
        <v>33</v>
      </c>
      <c r="O1231" s="27" t="s">
        <v>29</v>
      </c>
      <c r="P1231" s="15">
        <v>220</v>
      </c>
      <c r="Q1231" s="8"/>
      <c r="R1231">
        <v>14.93</v>
      </c>
      <c r="S1231">
        <v>3326.63</v>
      </c>
      <c r="T1231">
        <v>3.76</v>
      </c>
      <c r="U1231">
        <v>10.72</v>
      </c>
      <c r="V1231">
        <v>149.28</v>
      </c>
      <c r="W1231" s="317">
        <v>3.9</v>
      </c>
      <c r="X1231" s="190">
        <f>I1231*W1231</f>
        <v>48.75</v>
      </c>
      <c r="Y1231" s="8"/>
      <c r="Z1231" s="8"/>
    </row>
    <row r="1232" spans="1:26" ht="25.5" customHeight="1" x14ac:dyDescent="0.2">
      <c r="A1232" s="15">
        <v>43</v>
      </c>
      <c r="B1232" s="15">
        <v>2005</v>
      </c>
      <c r="C1232" s="15">
        <v>8</v>
      </c>
      <c r="D1232" s="15">
        <v>8</v>
      </c>
      <c r="E1232" s="29" t="s">
        <v>200</v>
      </c>
      <c r="F1232" s="11" t="s">
        <v>51</v>
      </c>
      <c r="G1232" s="20">
        <v>140</v>
      </c>
      <c r="H1232" s="15" t="s">
        <v>29</v>
      </c>
      <c r="I1232" s="20">
        <v>9.5</v>
      </c>
      <c r="J1232" s="11" t="s">
        <v>19</v>
      </c>
      <c r="K1232" s="20" t="s">
        <v>20</v>
      </c>
      <c r="L1232" s="11" t="s">
        <v>21</v>
      </c>
      <c r="M1232" s="20" t="s">
        <v>27</v>
      </c>
      <c r="N1232" s="20" t="s">
        <v>25</v>
      </c>
      <c r="O1232" s="27" t="s">
        <v>29</v>
      </c>
      <c r="P1232" s="15">
        <v>220</v>
      </c>
      <c r="Q1232" s="8"/>
      <c r="R1232">
        <v>13.06</v>
      </c>
      <c r="S1232">
        <v>2228.58</v>
      </c>
      <c r="T1232">
        <v>4.26</v>
      </c>
      <c r="U1232">
        <v>9.3800000000000008</v>
      </c>
      <c r="V1232">
        <v>130.62</v>
      </c>
      <c r="W1232" s="317">
        <v>3.9</v>
      </c>
      <c r="X1232" s="190">
        <f>I1232*W1232</f>
        <v>37.049999999999997</v>
      </c>
      <c r="Y1232" s="8"/>
      <c r="Z1232" s="8"/>
    </row>
    <row r="1233" spans="1:26" ht="25.5" customHeight="1" x14ac:dyDescent="0.2">
      <c r="A1233" s="15">
        <v>44</v>
      </c>
      <c r="B1233" s="15">
        <v>2005</v>
      </c>
      <c r="C1233" s="15">
        <v>8</v>
      </c>
      <c r="D1233" s="15">
        <v>8</v>
      </c>
      <c r="E1233" s="29" t="s">
        <v>200</v>
      </c>
      <c r="F1233" s="11" t="s">
        <v>51</v>
      </c>
      <c r="G1233" s="20">
        <v>111</v>
      </c>
      <c r="H1233" s="15" t="s">
        <v>29</v>
      </c>
      <c r="I1233" s="20">
        <v>7</v>
      </c>
      <c r="J1233" s="11" t="s">
        <v>19</v>
      </c>
      <c r="K1233" s="20" t="s">
        <v>20</v>
      </c>
      <c r="L1233" s="11" t="s">
        <v>41</v>
      </c>
      <c r="M1233" s="20" t="s">
        <v>27</v>
      </c>
      <c r="N1233" s="20" t="s">
        <v>24</v>
      </c>
      <c r="O1233" s="27" t="s">
        <v>29</v>
      </c>
      <c r="P1233" s="15">
        <v>220</v>
      </c>
      <c r="Q1233" s="8"/>
      <c r="R1233">
        <v>10.36</v>
      </c>
      <c r="S1233">
        <v>1110.74</v>
      </c>
      <c r="T1233">
        <v>6.3</v>
      </c>
      <c r="U1233">
        <v>7.44</v>
      </c>
      <c r="V1233">
        <v>103.56</v>
      </c>
      <c r="W1233" s="8"/>
      <c r="X1233" s="8"/>
      <c r="Y1233" s="8"/>
      <c r="Z1233" s="8"/>
    </row>
    <row r="1234" spans="1:26" ht="25.5" customHeight="1" x14ac:dyDescent="0.2">
      <c r="A1234" s="15">
        <v>45</v>
      </c>
      <c r="B1234" s="15">
        <v>2005</v>
      </c>
      <c r="C1234" s="15">
        <v>8</v>
      </c>
      <c r="D1234" s="15">
        <v>8</v>
      </c>
      <c r="E1234" s="29" t="s">
        <v>200</v>
      </c>
      <c r="F1234" s="11" t="s">
        <v>51</v>
      </c>
      <c r="G1234" s="20">
        <v>132</v>
      </c>
      <c r="H1234" s="15" t="s">
        <v>29</v>
      </c>
      <c r="I1234" s="20">
        <v>9</v>
      </c>
      <c r="J1234" s="11" t="s">
        <v>19</v>
      </c>
      <c r="K1234" s="20" t="s">
        <v>20</v>
      </c>
      <c r="L1234" s="11" t="s">
        <v>21</v>
      </c>
      <c r="M1234" s="20" t="s">
        <v>27</v>
      </c>
      <c r="N1234" s="20" t="s">
        <v>24</v>
      </c>
      <c r="O1234" s="27" t="s">
        <v>29</v>
      </c>
      <c r="P1234" s="15">
        <v>220</v>
      </c>
      <c r="Q1234" s="8"/>
      <c r="R1234">
        <v>12.32</v>
      </c>
      <c r="S1234">
        <v>1867.96</v>
      </c>
      <c r="T1234">
        <v>4.82</v>
      </c>
      <c r="U1234">
        <v>8.84</v>
      </c>
      <c r="V1234">
        <v>123.16</v>
      </c>
      <c r="W1234" s="317">
        <v>3.9</v>
      </c>
      <c r="X1234" s="190">
        <f>I1234*W1234</f>
        <v>35.1</v>
      </c>
      <c r="Y1234" s="8"/>
      <c r="Z1234" s="8"/>
    </row>
    <row r="1235" spans="1:26" ht="25.5" customHeight="1" x14ac:dyDescent="0.2">
      <c r="A1235" s="15">
        <v>46</v>
      </c>
      <c r="B1235" s="15">
        <v>2005</v>
      </c>
      <c r="C1235" s="15">
        <v>8</v>
      </c>
      <c r="D1235" s="15">
        <v>8</v>
      </c>
      <c r="E1235" s="29" t="s">
        <v>200</v>
      </c>
      <c r="F1235" s="11" t="s">
        <v>51</v>
      </c>
      <c r="G1235" s="20">
        <v>125</v>
      </c>
      <c r="H1235" s="15" t="s">
        <v>29</v>
      </c>
      <c r="I1235" s="20">
        <v>5</v>
      </c>
      <c r="J1235" s="11" t="s">
        <v>19</v>
      </c>
      <c r="K1235" s="20" t="s">
        <v>20</v>
      </c>
      <c r="L1235" s="11" t="s">
        <v>21</v>
      </c>
      <c r="M1235" s="20" t="s">
        <v>45</v>
      </c>
      <c r="N1235" s="20" t="s">
        <v>33</v>
      </c>
      <c r="O1235" s="27" t="s">
        <v>29</v>
      </c>
      <c r="P1235" s="15">
        <v>220</v>
      </c>
      <c r="Q1235" s="8"/>
      <c r="R1235">
        <v>11.66</v>
      </c>
      <c r="S1235">
        <v>1586.26</v>
      </c>
      <c r="T1235">
        <v>3.15</v>
      </c>
      <c r="U1235">
        <v>8.3800000000000008</v>
      </c>
      <c r="V1235">
        <v>116.63</v>
      </c>
      <c r="W1235" s="317">
        <v>3.9</v>
      </c>
      <c r="X1235" s="190">
        <f>I1235*W1235</f>
        <v>19.5</v>
      </c>
      <c r="Y1235" s="8"/>
      <c r="Z1235" s="8"/>
    </row>
    <row r="1236" spans="1:26" ht="25.5" customHeight="1" x14ac:dyDescent="0.2">
      <c r="A1236" s="15">
        <v>47</v>
      </c>
      <c r="B1236" s="15">
        <v>2005</v>
      </c>
      <c r="C1236" s="15">
        <v>8</v>
      </c>
      <c r="D1236" s="15">
        <v>8</v>
      </c>
      <c r="E1236" s="29" t="s">
        <v>200</v>
      </c>
      <c r="F1236" s="11" t="s">
        <v>51</v>
      </c>
      <c r="G1236" s="20">
        <v>142</v>
      </c>
      <c r="H1236" s="15" t="s">
        <v>29</v>
      </c>
      <c r="I1236" s="20">
        <v>7.5</v>
      </c>
      <c r="J1236" s="11" t="s">
        <v>19</v>
      </c>
      <c r="K1236" s="20" t="s">
        <v>20</v>
      </c>
      <c r="L1236" s="11" t="s">
        <v>21</v>
      </c>
      <c r="M1236" s="20" t="s">
        <v>27</v>
      </c>
      <c r="N1236" s="20" t="s">
        <v>23</v>
      </c>
      <c r="O1236" s="27" t="s">
        <v>29</v>
      </c>
      <c r="P1236" s="15">
        <v>220</v>
      </c>
      <c r="Q1236" s="8"/>
      <c r="R1236">
        <v>13.25</v>
      </c>
      <c r="S1236">
        <v>2325.4699999999998</v>
      </c>
      <c r="T1236">
        <v>3.23</v>
      </c>
      <c r="U1236">
        <v>9.51</v>
      </c>
      <c r="V1236">
        <v>132.49</v>
      </c>
      <c r="W1236" s="317">
        <v>3.9</v>
      </c>
      <c r="X1236" s="190">
        <f>I1236*W1236</f>
        <v>29.25</v>
      </c>
      <c r="Y1236" s="8"/>
      <c r="Z1236" s="8"/>
    </row>
    <row r="1237" spans="1:26" ht="25.5" customHeight="1" x14ac:dyDescent="0.2">
      <c r="A1237" s="15">
        <v>48</v>
      </c>
      <c r="B1237" s="15">
        <v>2005</v>
      </c>
      <c r="C1237" s="15">
        <v>8</v>
      </c>
      <c r="D1237" s="15">
        <v>8</v>
      </c>
      <c r="E1237" s="29" t="s">
        <v>200</v>
      </c>
      <c r="F1237" s="11" t="s">
        <v>51</v>
      </c>
      <c r="G1237" s="20">
        <v>130</v>
      </c>
      <c r="H1237" s="15" t="s">
        <v>29</v>
      </c>
      <c r="I1237" s="20">
        <v>7</v>
      </c>
      <c r="J1237" s="11" t="s">
        <v>19</v>
      </c>
      <c r="K1237" s="20" t="s">
        <v>20</v>
      </c>
      <c r="L1237" s="11" t="s">
        <v>41</v>
      </c>
      <c r="M1237" s="20" t="s">
        <v>27</v>
      </c>
      <c r="N1237" s="20" t="s">
        <v>33</v>
      </c>
      <c r="O1237" s="27" t="s">
        <v>29</v>
      </c>
      <c r="P1237" s="15">
        <v>220</v>
      </c>
      <c r="Q1237" s="8"/>
      <c r="R1237">
        <v>12.13</v>
      </c>
      <c r="S1237">
        <v>1784.33</v>
      </c>
      <c r="T1237">
        <v>3.92</v>
      </c>
      <c r="U1237">
        <v>8.7100000000000009</v>
      </c>
      <c r="V1237">
        <v>121.29</v>
      </c>
      <c r="W1237" s="8"/>
      <c r="X1237" s="8"/>
      <c r="Y1237" s="8"/>
      <c r="Z1237" s="8"/>
    </row>
    <row r="1238" spans="1:26" ht="25.5" customHeight="1" x14ac:dyDescent="0.2">
      <c r="A1238" s="15">
        <v>49</v>
      </c>
      <c r="B1238" s="15">
        <v>2005</v>
      </c>
      <c r="C1238" s="15">
        <v>8</v>
      </c>
      <c r="D1238" s="15">
        <v>8</v>
      </c>
      <c r="E1238" s="29" t="s">
        <v>200</v>
      </c>
      <c r="F1238" s="11" t="s">
        <v>51</v>
      </c>
      <c r="G1238" s="20">
        <v>131</v>
      </c>
      <c r="H1238" s="15" t="s">
        <v>29</v>
      </c>
      <c r="I1238" s="20">
        <v>7</v>
      </c>
      <c r="J1238" s="11" t="s">
        <v>19</v>
      </c>
      <c r="K1238" s="20" t="s">
        <v>20</v>
      </c>
      <c r="L1238" s="11" t="s">
        <v>21</v>
      </c>
      <c r="M1238" s="20" t="s">
        <v>27</v>
      </c>
      <c r="N1238" s="20" t="s">
        <v>33</v>
      </c>
      <c r="O1238" s="27" t="s">
        <v>29</v>
      </c>
      <c r="P1238" s="15">
        <v>220</v>
      </c>
      <c r="Q1238" s="8"/>
      <c r="R1238">
        <v>12.22</v>
      </c>
      <c r="S1238">
        <v>1825.82</v>
      </c>
      <c r="T1238">
        <v>3.83</v>
      </c>
      <c r="U1238">
        <v>8.7799999999999994</v>
      </c>
      <c r="V1238">
        <v>122.22</v>
      </c>
      <c r="W1238" s="317">
        <v>3.9</v>
      </c>
      <c r="X1238" s="190">
        <f>I1238*W1238</f>
        <v>27.3</v>
      </c>
      <c r="Y1238" s="8"/>
      <c r="Z1238" s="8"/>
    </row>
    <row r="1239" spans="1:26" ht="25.5" customHeight="1" x14ac:dyDescent="0.2">
      <c r="A1239" s="15">
        <v>50</v>
      </c>
      <c r="B1239" s="15">
        <v>2005</v>
      </c>
      <c r="C1239" s="15">
        <v>8</v>
      </c>
      <c r="D1239" s="15">
        <v>8</v>
      </c>
      <c r="E1239" s="29" t="s">
        <v>200</v>
      </c>
      <c r="F1239" s="11" t="s">
        <v>51</v>
      </c>
      <c r="G1239" s="20">
        <v>139</v>
      </c>
      <c r="H1239" s="15" t="s">
        <v>29</v>
      </c>
      <c r="I1239" s="20">
        <v>7.5</v>
      </c>
      <c r="J1239" s="11" t="s">
        <v>19</v>
      </c>
      <c r="K1239" s="20" t="s">
        <v>20</v>
      </c>
      <c r="L1239" s="11" t="s">
        <v>21</v>
      </c>
      <c r="M1239" s="20" t="s">
        <v>27</v>
      </c>
      <c r="N1239" s="20" t="s">
        <v>23</v>
      </c>
      <c r="O1239" s="27" t="s">
        <v>29</v>
      </c>
      <c r="P1239" s="15">
        <v>220</v>
      </c>
      <c r="Q1239" s="8"/>
      <c r="R1239">
        <v>12.97</v>
      </c>
      <c r="S1239">
        <v>2181.17</v>
      </c>
      <c r="T1239">
        <v>3.44</v>
      </c>
      <c r="U1239">
        <v>9.31</v>
      </c>
      <c r="V1239">
        <v>129.69</v>
      </c>
      <c r="W1239" s="317">
        <v>3.9</v>
      </c>
      <c r="X1239" s="190">
        <f>I1239*W1239</f>
        <v>29.25</v>
      </c>
      <c r="Y1239" s="8"/>
      <c r="Z1239" s="8"/>
    </row>
    <row r="1240" spans="1:26" ht="25.5" customHeight="1" x14ac:dyDescent="0.2">
      <c r="A1240" s="15">
        <v>51</v>
      </c>
      <c r="B1240" s="15">
        <v>2005</v>
      </c>
      <c r="C1240" s="15">
        <v>8</v>
      </c>
      <c r="D1240" s="15">
        <v>8</v>
      </c>
      <c r="E1240" s="29" t="s">
        <v>200</v>
      </c>
      <c r="F1240" s="11" t="s">
        <v>51</v>
      </c>
      <c r="G1240" s="20">
        <v>139</v>
      </c>
      <c r="H1240" s="15" t="s">
        <v>29</v>
      </c>
      <c r="I1240" s="20">
        <v>7.5</v>
      </c>
      <c r="J1240" s="11" t="s">
        <v>19</v>
      </c>
      <c r="K1240" s="20" t="s">
        <v>20</v>
      </c>
      <c r="L1240" s="11" t="s">
        <v>21</v>
      </c>
      <c r="M1240" s="20" t="s">
        <v>45</v>
      </c>
      <c r="N1240" s="20" t="s">
        <v>25</v>
      </c>
      <c r="O1240" s="27" t="s">
        <v>29</v>
      </c>
      <c r="P1240" s="15">
        <v>220</v>
      </c>
      <c r="Q1240" s="8"/>
      <c r="R1240">
        <v>12.97</v>
      </c>
      <c r="S1240">
        <v>2181.17</v>
      </c>
      <c r="T1240">
        <v>3.44</v>
      </c>
      <c r="U1240">
        <v>9.31</v>
      </c>
      <c r="V1240">
        <v>129.69</v>
      </c>
      <c r="W1240" s="317">
        <v>3.9</v>
      </c>
      <c r="X1240" s="190">
        <f>I1240*W1240</f>
        <v>29.25</v>
      </c>
      <c r="Y1240" s="8"/>
      <c r="Z1240" s="8"/>
    </row>
    <row r="1241" spans="1:26" ht="25.5" customHeight="1" x14ac:dyDescent="0.2">
      <c r="A1241" s="15">
        <v>52</v>
      </c>
      <c r="B1241" s="15">
        <v>2005</v>
      </c>
      <c r="C1241" s="15">
        <v>8</v>
      </c>
      <c r="D1241" s="15">
        <v>8</v>
      </c>
      <c r="E1241" s="29" t="s">
        <v>200</v>
      </c>
      <c r="F1241" s="11" t="s">
        <v>51</v>
      </c>
      <c r="G1241" s="20">
        <v>125</v>
      </c>
      <c r="H1241" s="15" t="s">
        <v>29</v>
      </c>
      <c r="I1241" s="20">
        <v>5.5</v>
      </c>
      <c r="J1241" s="11" t="s">
        <v>19</v>
      </c>
      <c r="K1241" s="20" t="s">
        <v>20</v>
      </c>
      <c r="L1241" s="11" t="s">
        <v>41</v>
      </c>
      <c r="M1241" s="20" t="s">
        <v>27</v>
      </c>
      <c r="N1241" s="20" t="s">
        <v>33</v>
      </c>
      <c r="O1241" s="27" t="s">
        <v>29</v>
      </c>
      <c r="P1241" s="15">
        <v>220</v>
      </c>
      <c r="Q1241" s="8"/>
      <c r="R1241">
        <v>11.66</v>
      </c>
      <c r="S1241">
        <v>1586.26</v>
      </c>
      <c r="T1241">
        <v>3.47</v>
      </c>
      <c r="U1241">
        <v>8.3800000000000008</v>
      </c>
      <c r="V1241">
        <v>116.63</v>
      </c>
      <c r="W1241" s="8"/>
      <c r="X1241" s="8"/>
      <c r="Y1241" s="8"/>
      <c r="Z1241" s="8"/>
    </row>
    <row r="1242" spans="1:26" ht="25.5" customHeight="1" x14ac:dyDescent="0.2">
      <c r="A1242" s="15">
        <v>53</v>
      </c>
      <c r="B1242" s="15">
        <v>2005</v>
      </c>
      <c r="C1242" s="15">
        <v>8</v>
      </c>
      <c r="D1242" s="15">
        <v>8</v>
      </c>
      <c r="E1242" s="29" t="s">
        <v>200</v>
      </c>
      <c r="F1242" s="11" t="s">
        <v>51</v>
      </c>
      <c r="G1242" s="20">
        <v>143</v>
      </c>
      <c r="H1242" s="15" t="s">
        <v>29</v>
      </c>
      <c r="I1242" s="20">
        <v>8.5</v>
      </c>
      <c r="J1242" s="11" t="s">
        <v>19</v>
      </c>
      <c r="K1242" s="20" t="s">
        <v>20</v>
      </c>
      <c r="L1242" s="11" t="s">
        <v>21</v>
      </c>
      <c r="M1242" s="20" t="s">
        <v>46</v>
      </c>
      <c r="N1242" s="20" t="s">
        <v>24</v>
      </c>
      <c r="O1242" s="27" t="s">
        <v>29</v>
      </c>
      <c r="P1242" s="15">
        <v>220</v>
      </c>
      <c r="Q1242" s="8"/>
      <c r="R1242">
        <v>13.34</v>
      </c>
      <c r="S1242">
        <v>2374.94</v>
      </c>
      <c r="T1242">
        <v>3.58</v>
      </c>
      <c r="U1242">
        <v>9.58</v>
      </c>
      <c r="V1242">
        <v>133.41999999999999</v>
      </c>
      <c r="W1242" s="317">
        <v>3.9</v>
      </c>
      <c r="X1242" s="190">
        <f>I1242*W1242</f>
        <v>33.15</v>
      </c>
      <c r="Y1242" s="8"/>
      <c r="Z1242" s="8"/>
    </row>
    <row r="1243" spans="1:26" ht="25.5" customHeight="1" x14ac:dyDescent="0.2">
      <c r="A1243" s="15">
        <v>54</v>
      </c>
      <c r="B1243" s="15">
        <v>2005</v>
      </c>
      <c r="C1243" s="15">
        <v>8</v>
      </c>
      <c r="D1243" s="15">
        <v>8</v>
      </c>
      <c r="E1243" s="29" t="s">
        <v>200</v>
      </c>
      <c r="F1243" s="11" t="s">
        <v>51</v>
      </c>
      <c r="G1243" s="20">
        <v>124</v>
      </c>
      <c r="H1243" s="15" t="s">
        <v>29</v>
      </c>
      <c r="I1243" s="20">
        <v>6.5</v>
      </c>
      <c r="J1243" s="11" t="s">
        <v>19</v>
      </c>
      <c r="K1243" s="20" t="s">
        <v>20</v>
      </c>
      <c r="L1243" s="11" t="s">
        <v>41</v>
      </c>
      <c r="M1243" s="20" t="s">
        <v>46</v>
      </c>
      <c r="N1243" s="20" t="s">
        <v>33</v>
      </c>
      <c r="O1243" s="27" t="s">
        <v>29</v>
      </c>
      <c r="P1243" s="15">
        <v>220</v>
      </c>
      <c r="Q1243" s="8"/>
      <c r="R1243">
        <v>11.57</v>
      </c>
      <c r="S1243">
        <v>1548.5</v>
      </c>
      <c r="T1243">
        <v>4.2</v>
      </c>
      <c r="U1243">
        <v>8.31</v>
      </c>
      <c r="V1243">
        <v>115.69</v>
      </c>
      <c r="W1243" s="8"/>
      <c r="X1243" s="8"/>
      <c r="Y1243" s="8"/>
      <c r="Z1243" s="8"/>
    </row>
    <row r="1244" spans="1:26" ht="25.5" customHeight="1" x14ac:dyDescent="0.2">
      <c r="A1244" s="15">
        <v>55</v>
      </c>
      <c r="B1244" s="15">
        <v>2005</v>
      </c>
      <c r="C1244" s="15">
        <v>8</v>
      </c>
      <c r="D1244" s="15">
        <v>8</v>
      </c>
      <c r="E1244" s="29" t="s">
        <v>200</v>
      </c>
      <c r="F1244" s="11" t="s">
        <v>51</v>
      </c>
      <c r="G1244" s="20">
        <v>154</v>
      </c>
      <c r="H1244" s="15" t="s">
        <v>29</v>
      </c>
      <c r="I1244" s="20">
        <v>14</v>
      </c>
      <c r="J1244" s="11" t="s">
        <v>19</v>
      </c>
      <c r="K1244" s="20" t="s">
        <v>20</v>
      </c>
      <c r="L1244" s="11" t="s">
        <v>21</v>
      </c>
      <c r="M1244" s="20" t="s">
        <v>46</v>
      </c>
      <c r="N1244" s="20" t="s">
        <v>24</v>
      </c>
      <c r="O1244" s="27" t="s">
        <v>29</v>
      </c>
      <c r="P1244" s="15">
        <v>220</v>
      </c>
      <c r="Q1244" s="8"/>
      <c r="R1244">
        <v>14.37</v>
      </c>
      <c r="S1244">
        <v>2966.25</v>
      </c>
      <c r="T1244">
        <v>4.72</v>
      </c>
      <c r="U1244">
        <v>10.32</v>
      </c>
      <c r="V1244">
        <v>143.68</v>
      </c>
      <c r="W1244" s="317">
        <v>3.9</v>
      </c>
      <c r="X1244" s="190">
        <f>I1244*W1244</f>
        <v>54.6</v>
      </c>
      <c r="Y1244" s="8"/>
      <c r="Z1244" s="8"/>
    </row>
    <row r="1245" spans="1:26" ht="25.5" customHeight="1" x14ac:dyDescent="0.2">
      <c r="A1245" s="15">
        <v>56</v>
      </c>
      <c r="B1245" s="15">
        <v>2005</v>
      </c>
      <c r="C1245" s="15">
        <v>8</v>
      </c>
      <c r="D1245" s="15">
        <v>8</v>
      </c>
      <c r="E1245" s="29" t="s">
        <v>200</v>
      </c>
      <c r="F1245" s="11" t="s">
        <v>51</v>
      </c>
      <c r="G1245" s="20">
        <v>153</v>
      </c>
      <c r="H1245" s="15" t="s">
        <v>29</v>
      </c>
      <c r="I1245" s="20">
        <v>12.5</v>
      </c>
      <c r="J1245" s="11" t="s">
        <v>19</v>
      </c>
      <c r="K1245" s="20" t="s">
        <v>20</v>
      </c>
      <c r="L1245" s="11" t="s">
        <v>41</v>
      </c>
      <c r="M1245" s="20" t="s">
        <v>46</v>
      </c>
      <c r="N1245" s="20" t="s">
        <v>23</v>
      </c>
      <c r="O1245" s="27" t="s">
        <v>29</v>
      </c>
      <c r="P1245" s="15">
        <v>220</v>
      </c>
      <c r="Q1245" s="8"/>
      <c r="R1245">
        <v>14.27</v>
      </c>
      <c r="S1245">
        <v>2908.84</v>
      </c>
      <c r="T1245">
        <v>4.3</v>
      </c>
      <c r="U1245">
        <v>10.25</v>
      </c>
      <c r="V1245">
        <v>142.75</v>
      </c>
      <c r="W1245" s="8"/>
      <c r="X1245" s="8"/>
      <c r="Y1245" s="8"/>
      <c r="Z1245" s="8"/>
    </row>
    <row r="1246" spans="1:26" ht="25.5" customHeight="1" x14ac:dyDescent="0.2">
      <c r="A1246" s="15">
        <v>57</v>
      </c>
      <c r="B1246" s="15">
        <v>2005</v>
      </c>
      <c r="C1246" s="15">
        <v>8</v>
      </c>
      <c r="D1246" s="15">
        <v>8</v>
      </c>
      <c r="E1246" s="29" t="s">
        <v>200</v>
      </c>
      <c r="F1246" s="11" t="s">
        <v>51</v>
      </c>
      <c r="G1246" s="20">
        <v>160</v>
      </c>
      <c r="H1246" s="15" t="s">
        <v>29</v>
      </c>
      <c r="I1246" s="20">
        <v>9.3000000000000007</v>
      </c>
      <c r="J1246" s="11" t="s">
        <v>19</v>
      </c>
      <c r="K1246" s="20" t="s">
        <v>20</v>
      </c>
      <c r="L1246" s="20" t="s">
        <v>30</v>
      </c>
      <c r="M1246" s="20" t="s">
        <v>46</v>
      </c>
      <c r="N1246" s="20" t="s">
        <v>33</v>
      </c>
      <c r="O1246" s="27" t="s">
        <v>29</v>
      </c>
      <c r="P1246" s="15">
        <v>220</v>
      </c>
      <c r="Q1246" s="8"/>
      <c r="R1246">
        <v>14.93</v>
      </c>
      <c r="S1246">
        <v>3326.63</v>
      </c>
      <c r="T1246">
        <v>2.8</v>
      </c>
      <c r="U1246">
        <v>10.72</v>
      </c>
      <c r="V1246">
        <v>149.28</v>
      </c>
      <c r="W1246" s="317">
        <v>4.5999999999999996</v>
      </c>
      <c r="X1246" s="190">
        <f>I1246*W1246</f>
        <v>42.78</v>
      </c>
      <c r="Y1246" s="8"/>
      <c r="Z1246" s="8"/>
    </row>
    <row r="1247" spans="1:26" ht="25.5" customHeight="1" x14ac:dyDescent="0.2">
      <c r="A1247" s="15">
        <v>58</v>
      </c>
      <c r="B1247" s="15">
        <v>2005</v>
      </c>
      <c r="C1247" s="15">
        <v>8</v>
      </c>
      <c r="D1247" s="15">
        <v>8</v>
      </c>
      <c r="E1247" s="29" t="s">
        <v>200</v>
      </c>
      <c r="F1247" s="11" t="s">
        <v>51</v>
      </c>
      <c r="G1247" s="20">
        <v>141</v>
      </c>
      <c r="H1247" s="15" t="s">
        <v>29</v>
      </c>
      <c r="I1247" s="20">
        <v>9.1999999999999993</v>
      </c>
      <c r="J1247" s="11" t="s">
        <v>19</v>
      </c>
      <c r="K1247" s="20" t="s">
        <v>20</v>
      </c>
      <c r="L1247" s="11" t="s">
        <v>21</v>
      </c>
      <c r="M1247" s="20" t="s">
        <v>46</v>
      </c>
      <c r="N1247" s="20" t="s">
        <v>24</v>
      </c>
      <c r="O1247" s="27" t="s">
        <v>29</v>
      </c>
      <c r="P1247" s="15">
        <v>220</v>
      </c>
      <c r="Q1247" s="8"/>
      <c r="R1247">
        <v>13.16</v>
      </c>
      <c r="S1247">
        <v>2276.6799999999998</v>
      </c>
      <c r="T1247">
        <v>4.04</v>
      </c>
      <c r="U1247">
        <v>9.4499999999999993</v>
      </c>
      <c r="V1247">
        <v>131.55000000000001</v>
      </c>
      <c r="W1247" s="317">
        <v>3.9</v>
      </c>
      <c r="X1247" s="190">
        <f>I1247*W1247</f>
        <v>35.879999999999995</v>
      </c>
      <c r="Y1247" s="8"/>
      <c r="Z1247" s="8"/>
    </row>
    <row r="1248" spans="1:26" ht="25.5" customHeight="1" x14ac:dyDescent="0.2">
      <c r="A1248" s="15">
        <v>59</v>
      </c>
      <c r="B1248" s="15">
        <v>2005</v>
      </c>
      <c r="C1248" s="15">
        <v>8</v>
      </c>
      <c r="D1248" s="15">
        <v>8</v>
      </c>
      <c r="E1248" s="29" t="s">
        <v>200</v>
      </c>
      <c r="F1248" s="11" t="s">
        <v>51</v>
      </c>
      <c r="G1248" s="20">
        <v>55</v>
      </c>
      <c r="H1248" s="15" t="s">
        <v>29</v>
      </c>
      <c r="I1248" s="20">
        <v>6</v>
      </c>
      <c r="J1248" s="11" t="s">
        <v>19</v>
      </c>
      <c r="K1248" s="20" t="s">
        <v>20</v>
      </c>
      <c r="L1248" s="11" t="s">
        <v>21</v>
      </c>
      <c r="M1248" s="20" t="s">
        <v>27</v>
      </c>
      <c r="N1248" s="20" t="s">
        <v>25</v>
      </c>
      <c r="O1248" s="27" t="s">
        <v>29</v>
      </c>
      <c r="P1248" s="15">
        <v>220</v>
      </c>
      <c r="Q1248" s="8"/>
      <c r="R1248">
        <v>5.13</v>
      </c>
      <c r="S1248">
        <v>135.12</v>
      </c>
      <c r="T1248">
        <v>44.4</v>
      </c>
      <c r="U1248">
        <v>3.69</v>
      </c>
      <c r="V1248">
        <v>51.32</v>
      </c>
      <c r="W1248" s="317">
        <v>3.9</v>
      </c>
      <c r="X1248" s="190">
        <f>I1248*W1248</f>
        <v>23.4</v>
      </c>
      <c r="Y1248" s="8"/>
      <c r="Z1248" s="8"/>
    </row>
    <row r="1249" spans="1:26" ht="25.5" customHeight="1" x14ac:dyDescent="0.2">
      <c r="A1249" s="15">
        <v>60</v>
      </c>
      <c r="B1249" s="15">
        <v>2005</v>
      </c>
      <c r="C1249" s="15">
        <v>8</v>
      </c>
      <c r="D1249" s="15">
        <v>8</v>
      </c>
      <c r="E1249" s="29" t="s">
        <v>200</v>
      </c>
      <c r="F1249" s="11" t="s">
        <v>51</v>
      </c>
      <c r="G1249" s="20">
        <v>116</v>
      </c>
      <c r="H1249" s="15" t="s">
        <v>29</v>
      </c>
      <c r="I1249" s="20">
        <v>5</v>
      </c>
      <c r="J1249" s="11" t="s">
        <v>19</v>
      </c>
      <c r="K1249" s="20" t="s">
        <v>20</v>
      </c>
      <c r="L1249" s="11" t="s">
        <v>41</v>
      </c>
      <c r="M1249" s="20" t="s">
        <v>27</v>
      </c>
      <c r="N1249" s="20" t="s">
        <v>25</v>
      </c>
      <c r="O1249" s="27" t="s">
        <v>29</v>
      </c>
      <c r="P1249" s="15">
        <v>220</v>
      </c>
      <c r="Q1249" s="8"/>
      <c r="R1249">
        <v>10.82</v>
      </c>
      <c r="S1249">
        <v>1267.71</v>
      </c>
      <c r="T1249">
        <v>3.94</v>
      </c>
      <c r="U1249">
        <v>7.77</v>
      </c>
      <c r="V1249">
        <v>108.23</v>
      </c>
      <c r="W1249" s="8"/>
      <c r="X1249" s="8"/>
      <c r="Y1249" s="8"/>
      <c r="Z1249" s="8"/>
    </row>
    <row r="1250" spans="1:26" ht="25.5" customHeight="1" x14ac:dyDescent="0.2">
      <c r="A1250" s="15">
        <v>61</v>
      </c>
      <c r="B1250" s="15">
        <v>2005</v>
      </c>
      <c r="C1250" s="15">
        <v>8</v>
      </c>
      <c r="D1250" s="15">
        <v>8</v>
      </c>
      <c r="E1250" s="29" t="s">
        <v>200</v>
      </c>
      <c r="F1250" s="11" t="s">
        <v>51</v>
      </c>
      <c r="G1250" s="20">
        <v>128</v>
      </c>
      <c r="H1250" s="15" t="s">
        <v>29</v>
      </c>
      <c r="I1250" s="20">
        <v>5.5</v>
      </c>
      <c r="J1250" s="11" t="s">
        <v>19</v>
      </c>
      <c r="K1250" s="20" t="s">
        <v>20</v>
      </c>
      <c r="L1250" s="11" t="s">
        <v>21</v>
      </c>
      <c r="M1250" s="20" t="s">
        <v>27</v>
      </c>
      <c r="N1250" s="20" t="s">
        <v>25</v>
      </c>
      <c r="O1250" s="27" t="s">
        <v>29</v>
      </c>
      <c r="P1250" s="15">
        <v>220</v>
      </c>
      <c r="Q1250" s="8"/>
      <c r="R1250">
        <v>11.94</v>
      </c>
      <c r="S1250">
        <v>1703.24</v>
      </c>
      <c r="T1250">
        <v>3.23</v>
      </c>
      <c r="U1250">
        <v>8.58</v>
      </c>
      <c r="V1250">
        <v>119.42</v>
      </c>
      <c r="W1250" s="317">
        <v>3.9</v>
      </c>
      <c r="X1250" s="190">
        <f t="shared" ref="X1250:X1275" si="47">I1250*W1250</f>
        <v>21.45</v>
      </c>
      <c r="Y1250" s="8"/>
      <c r="Z1250" s="8"/>
    </row>
    <row r="1251" spans="1:26" ht="25.5" customHeight="1" x14ac:dyDescent="0.2">
      <c r="A1251" s="15">
        <v>62</v>
      </c>
      <c r="B1251" s="15">
        <v>2005</v>
      </c>
      <c r="C1251" s="15">
        <v>8</v>
      </c>
      <c r="D1251" s="15">
        <v>8</v>
      </c>
      <c r="E1251" s="29" t="s">
        <v>200</v>
      </c>
      <c r="F1251" s="11" t="s">
        <v>51</v>
      </c>
      <c r="G1251" s="20">
        <v>160</v>
      </c>
      <c r="H1251" s="15" t="s">
        <v>29</v>
      </c>
      <c r="I1251" s="20">
        <v>13.5</v>
      </c>
      <c r="J1251" s="11" t="s">
        <v>19</v>
      </c>
      <c r="K1251" s="20" t="s">
        <v>20</v>
      </c>
      <c r="L1251" s="11" t="s">
        <v>21</v>
      </c>
      <c r="M1251" s="20" t="s">
        <v>45</v>
      </c>
      <c r="N1251" s="20" t="s">
        <v>24</v>
      </c>
      <c r="O1251" s="27" t="s">
        <v>29</v>
      </c>
      <c r="P1251" s="15">
        <v>220</v>
      </c>
      <c r="Q1251" s="8"/>
      <c r="R1251">
        <v>14.93</v>
      </c>
      <c r="S1251">
        <v>3326.63</v>
      </c>
      <c r="T1251">
        <v>4.0599999999999996</v>
      </c>
      <c r="U1251">
        <v>10.72</v>
      </c>
      <c r="V1251">
        <v>149.28</v>
      </c>
      <c r="W1251" s="317">
        <v>3.9</v>
      </c>
      <c r="X1251" s="190">
        <f t="shared" si="47"/>
        <v>52.65</v>
      </c>
      <c r="Y1251" s="8"/>
      <c r="Z1251" s="8"/>
    </row>
    <row r="1252" spans="1:26" ht="25.5" customHeight="1" x14ac:dyDescent="0.2">
      <c r="A1252" s="15">
        <v>63</v>
      </c>
      <c r="B1252" s="15">
        <v>2005</v>
      </c>
      <c r="C1252" s="15">
        <v>8</v>
      </c>
      <c r="D1252" s="15">
        <v>8</v>
      </c>
      <c r="E1252" s="29" t="s">
        <v>200</v>
      </c>
      <c r="F1252" s="11" t="s">
        <v>51</v>
      </c>
      <c r="G1252" s="20">
        <v>130</v>
      </c>
      <c r="H1252" s="15" t="s">
        <v>29</v>
      </c>
      <c r="I1252" s="20">
        <v>6</v>
      </c>
      <c r="J1252" s="11" t="s">
        <v>19</v>
      </c>
      <c r="K1252" s="20" t="s">
        <v>20</v>
      </c>
      <c r="L1252" s="11" t="s">
        <v>21</v>
      </c>
      <c r="M1252" s="20" t="s">
        <v>46</v>
      </c>
      <c r="N1252" s="20" t="s">
        <v>23</v>
      </c>
      <c r="O1252" s="27" t="s">
        <v>29</v>
      </c>
      <c r="P1252" s="15">
        <v>220</v>
      </c>
      <c r="Q1252" s="8"/>
      <c r="R1252">
        <v>12.13</v>
      </c>
      <c r="S1252">
        <v>1784.33</v>
      </c>
      <c r="T1252">
        <v>3.36</v>
      </c>
      <c r="U1252">
        <v>8.7100000000000009</v>
      </c>
      <c r="V1252">
        <v>121.29</v>
      </c>
      <c r="W1252" s="317">
        <v>3.9</v>
      </c>
      <c r="X1252" s="190">
        <f t="shared" si="47"/>
        <v>23.4</v>
      </c>
      <c r="Y1252" s="8"/>
      <c r="Z1252" s="8"/>
    </row>
    <row r="1253" spans="1:26" ht="25.5" customHeight="1" x14ac:dyDescent="0.2">
      <c r="A1253" s="15">
        <v>64</v>
      </c>
      <c r="B1253" s="15">
        <v>2005</v>
      </c>
      <c r="C1253" s="15">
        <v>8</v>
      </c>
      <c r="D1253" s="15">
        <v>8</v>
      </c>
      <c r="E1253" s="29" t="s">
        <v>200</v>
      </c>
      <c r="F1253" s="11" t="s">
        <v>51</v>
      </c>
      <c r="G1253" s="20">
        <v>147</v>
      </c>
      <c r="H1253" s="15" t="s">
        <v>29</v>
      </c>
      <c r="I1253" s="20">
        <v>9.5</v>
      </c>
      <c r="J1253" s="11" t="s">
        <v>19</v>
      </c>
      <c r="K1253" s="20" t="s">
        <v>20</v>
      </c>
      <c r="L1253" s="11" t="s">
        <v>21</v>
      </c>
      <c r="M1253" s="20" t="s">
        <v>27</v>
      </c>
      <c r="N1253" s="20" t="s">
        <v>24</v>
      </c>
      <c r="O1253" s="27" t="s">
        <v>29</v>
      </c>
      <c r="P1253" s="15">
        <v>220</v>
      </c>
      <c r="Q1253" s="8"/>
      <c r="R1253">
        <v>13.72</v>
      </c>
      <c r="S1253">
        <v>2579.86</v>
      </c>
      <c r="T1253">
        <v>3.68</v>
      </c>
      <c r="U1253">
        <v>9.85</v>
      </c>
      <c r="V1253">
        <v>137.15</v>
      </c>
      <c r="W1253" s="317">
        <v>3.9</v>
      </c>
      <c r="X1253" s="190">
        <f t="shared" si="47"/>
        <v>37.049999999999997</v>
      </c>
      <c r="Y1253" s="8"/>
      <c r="Z1253" s="8"/>
    </row>
    <row r="1254" spans="1:26" ht="25.5" customHeight="1" x14ac:dyDescent="0.2">
      <c r="A1254" s="15">
        <v>65</v>
      </c>
      <c r="B1254" s="15">
        <v>2005</v>
      </c>
      <c r="C1254" s="15">
        <v>8</v>
      </c>
      <c r="D1254" s="15">
        <v>8</v>
      </c>
      <c r="E1254" s="29" t="s">
        <v>200</v>
      </c>
      <c r="F1254" s="11" t="s">
        <v>51</v>
      </c>
      <c r="G1254" s="20">
        <v>150</v>
      </c>
      <c r="H1254" s="15" t="s">
        <v>29</v>
      </c>
      <c r="I1254" s="20">
        <v>8.5</v>
      </c>
      <c r="J1254" s="11" t="s">
        <v>19</v>
      </c>
      <c r="K1254" s="20" t="s">
        <v>20</v>
      </c>
      <c r="L1254" s="11" t="s">
        <v>21</v>
      </c>
      <c r="M1254" s="20" t="s">
        <v>27</v>
      </c>
      <c r="N1254" s="20" t="s">
        <v>24</v>
      </c>
      <c r="O1254" s="27" t="s">
        <v>29</v>
      </c>
      <c r="P1254" s="15">
        <v>220</v>
      </c>
      <c r="Q1254" s="8"/>
      <c r="R1254">
        <v>14</v>
      </c>
      <c r="S1254">
        <v>2741.06</v>
      </c>
      <c r="T1254">
        <v>3.1</v>
      </c>
      <c r="U1254">
        <v>10.050000000000001</v>
      </c>
      <c r="V1254">
        <v>139.94999999999999</v>
      </c>
      <c r="W1254" s="317">
        <v>3.9</v>
      </c>
      <c r="X1254" s="190">
        <f t="shared" si="47"/>
        <v>33.15</v>
      </c>
      <c r="Y1254" s="8"/>
      <c r="Z1254" s="8"/>
    </row>
    <row r="1255" spans="1:26" ht="25.5" customHeight="1" x14ac:dyDescent="0.2">
      <c r="A1255" s="15">
        <v>66</v>
      </c>
      <c r="B1255" s="15">
        <v>2005</v>
      </c>
      <c r="C1255" s="15">
        <v>8</v>
      </c>
      <c r="D1255" s="15">
        <v>8</v>
      </c>
      <c r="E1255" s="29" t="s">
        <v>200</v>
      </c>
      <c r="F1255" s="11" t="s">
        <v>51</v>
      </c>
      <c r="G1255" s="20">
        <v>150</v>
      </c>
      <c r="H1255" s="15" t="s">
        <v>29</v>
      </c>
      <c r="I1255" s="20">
        <v>9.5</v>
      </c>
      <c r="J1255" s="11" t="s">
        <v>19</v>
      </c>
      <c r="K1255" s="20" t="s">
        <v>20</v>
      </c>
      <c r="L1255" s="11" t="s">
        <v>21</v>
      </c>
      <c r="M1255" s="20" t="s">
        <v>27</v>
      </c>
      <c r="N1255" s="20" t="s">
        <v>23</v>
      </c>
      <c r="O1255" s="27" t="s">
        <v>29</v>
      </c>
      <c r="P1255" s="15">
        <v>220</v>
      </c>
      <c r="Q1255" s="8"/>
      <c r="R1255">
        <v>14</v>
      </c>
      <c r="S1255">
        <v>2741.06</v>
      </c>
      <c r="T1255">
        <v>3.47</v>
      </c>
      <c r="U1255">
        <v>10.050000000000001</v>
      </c>
      <c r="V1255">
        <v>139.94999999999999</v>
      </c>
      <c r="W1255" s="317">
        <v>3.9</v>
      </c>
      <c r="X1255" s="190">
        <f t="shared" si="47"/>
        <v>37.049999999999997</v>
      </c>
      <c r="Y1255" s="8"/>
      <c r="Z1255" s="8"/>
    </row>
    <row r="1256" spans="1:26" ht="25.5" customHeight="1" x14ac:dyDescent="0.2">
      <c r="A1256" s="15">
        <v>67</v>
      </c>
      <c r="B1256" s="15">
        <v>2005</v>
      </c>
      <c r="C1256" s="15">
        <v>8</v>
      </c>
      <c r="D1256" s="15">
        <v>8</v>
      </c>
      <c r="E1256" s="29" t="s">
        <v>200</v>
      </c>
      <c r="F1256" s="11" t="s">
        <v>51</v>
      </c>
      <c r="G1256" s="20">
        <v>145</v>
      </c>
      <c r="H1256" s="15" t="s">
        <v>29</v>
      </c>
      <c r="I1256" s="20">
        <v>8</v>
      </c>
      <c r="J1256" s="11" t="s">
        <v>19</v>
      </c>
      <c r="K1256" s="20" t="s">
        <v>20</v>
      </c>
      <c r="L1256" s="11" t="s">
        <v>21</v>
      </c>
      <c r="M1256" s="20" t="s">
        <v>45</v>
      </c>
      <c r="N1256" s="20" t="s">
        <v>24</v>
      </c>
      <c r="O1256" s="27" t="s">
        <v>29</v>
      </c>
      <c r="P1256" s="15">
        <v>220</v>
      </c>
      <c r="Q1256" s="8"/>
      <c r="R1256">
        <v>13.53</v>
      </c>
      <c r="S1256">
        <v>2475.9899999999998</v>
      </c>
      <c r="T1256">
        <v>3.23</v>
      </c>
      <c r="U1256">
        <v>9.7200000000000006</v>
      </c>
      <c r="V1256">
        <v>135.29</v>
      </c>
      <c r="W1256" s="317">
        <v>3.9</v>
      </c>
      <c r="X1256" s="190">
        <f t="shared" si="47"/>
        <v>31.2</v>
      </c>
      <c r="Y1256" s="8"/>
      <c r="Z1256" s="8"/>
    </row>
    <row r="1257" spans="1:26" ht="25.5" customHeight="1" x14ac:dyDescent="0.2">
      <c r="A1257" s="15">
        <v>68</v>
      </c>
      <c r="B1257" s="15">
        <v>2005</v>
      </c>
      <c r="C1257" s="15">
        <v>8</v>
      </c>
      <c r="D1257" s="15">
        <v>8</v>
      </c>
      <c r="E1257" s="29" t="s">
        <v>201</v>
      </c>
      <c r="F1257" s="11" t="s">
        <v>51</v>
      </c>
      <c r="G1257" s="20">
        <v>146</v>
      </c>
      <c r="H1257" s="15" t="s">
        <v>29</v>
      </c>
      <c r="I1257" s="20">
        <v>11.8</v>
      </c>
      <c r="J1257" s="11" t="s">
        <v>19</v>
      </c>
      <c r="K1257" s="20" t="s">
        <v>20</v>
      </c>
      <c r="L1257" s="11" t="s">
        <v>21</v>
      </c>
      <c r="M1257" s="20" t="s">
        <v>45</v>
      </c>
      <c r="N1257" s="20" t="s">
        <v>24</v>
      </c>
      <c r="O1257" s="27" t="s">
        <v>29</v>
      </c>
      <c r="P1257" s="15">
        <v>220</v>
      </c>
      <c r="Q1257" s="8"/>
      <c r="R1257">
        <v>13.62</v>
      </c>
      <c r="S1257">
        <v>2527.5700000000002</v>
      </c>
      <c r="T1257">
        <v>4.67</v>
      </c>
      <c r="U1257">
        <v>9.7799999999999994</v>
      </c>
      <c r="V1257">
        <v>136.22</v>
      </c>
      <c r="W1257" s="317">
        <v>3.9</v>
      </c>
      <c r="X1257" s="190">
        <f t="shared" si="47"/>
        <v>46.02</v>
      </c>
      <c r="Y1257" s="8"/>
      <c r="Z1257" s="8"/>
    </row>
    <row r="1258" spans="1:26" ht="25.5" customHeight="1" x14ac:dyDescent="0.2">
      <c r="A1258" s="15">
        <v>69</v>
      </c>
      <c r="B1258" s="15">
        <v>2005</v>
      </c>
      <c r="C1258" s="15">
        <v>8</v>
      </c>
      <c r="D1258" s="15">
        <v>8</v>
      </c>
      <c r="E1258" s="29" t="s">
        <v>201</v>
      </c>
      <c r="F1258" s="11" t="s">
        <v>51</v>
      </c>
      <c r="G1258" s="20">
        <v>167</v>
      </c>
      <c r="H1258" s="15" t="s">
        <v>29</v>
      </c>
      <c r="I1258" s="20">
        <v>13.5</v>
      </c>
      <c r="J1258" s="11" t="s">
        <v>19</v>
      </c>
      <c r="K1258" s="20" t="s">
        <v>20</v>
      </c>
      <c r="L1258" s="11" t="s">
        <v>21</v>
      </c>
      <c r="M1258" s="20" t="s">
        <v>27</v>
      </c>
      <c r="N1258" s="20" t="s">
        <v>24</v>
      </c>
      <c r="O1258" s="27" t="s">
        <v>29</v>
      </c>
      <c r="P1258" s="15">
        <v>220</v>
      </c>
      <c r="Q1258" s="8"/>
      <c r="R1258">
        <v>15.58</v>
      </c>
      <c r="S1258">
        <v>3782.63</v>
      </c>
      <c r="T1258">
        <v>3.57</v>
      </c>
      <c r="U1258">
        <v>11.19</v>
      </c>
      <c r="V1258">
        <v>155.81</v>
      </c>
      <c r="W1258" s="317">
        <v>3.9</v>
      </c>
      <c r="X1258" s="190">
        <f t="shared" si="47"/>
        <v>52.65</v>
      </c>
      <c r="Y1258" s="8"/>
      <c r="Z1258" s="8"/>
    </row>
    <row r="1259" spans="1:26" ht="25.5" customHeight="1" x14ac:dyDescent="0.2">
      <c r="A1259" s="15">
        <v>70</v>
      </c>
      <c r="B1259" s="15">
        <v>2005</v>
      </c>
      <c r="C1259" s="15">
        <v>8</v>
      </c>
      <c r="D1259" s="15">
        <v>8</v>
      </c>
      <c r="E1259" s="29" t="s">
        <v>201</v>
      </c>
      <c r="F1259" s="11" t="s">
        <v>51</v>
      </c>
      <c r="G1259" s="20">
        <v>153</v>
      </c>
      <c r="H1259" s="15" t="s">
        <v>29</v>
      </c>
      <c r="I1259" s="20">
        <v>14</v>
      </c>
      <c r="J1259" s="11" t="s">
        <v>19</v>
      </c>
      <c r="K1259" s="20" t="s">
        <v>20</v>
      </c>
      <c r="L1259" s="11" t="s">
        <v>21</v>
      </c>
      <c r="M1259" s="20" t="s">
        <v>27</v>
      </c>
      <c r="N1259" s="20" t="s">
        <v>24</v>
      </c>
      <c r="O1259" s="27" t="s">
        <v>29</v>
      </c>
      <c r="P1259" s="15">
        <v>220</v>
      </c>
      <c r="Q1259" s="8"/>
      <c r="R1259">
        <v>14.27</v>
      </c>
      <c r="S1259">
        <v>2908.84</v>
      </c>
      <c r="T1259">
        <v>4.8099999999999996</v>
      </c>
      <c r="U1259">
        <v>10.25</v>
      </c>
      <c r="V1259">
        <v>142.75</v>
      </c>
      <c r="W1259" s="317">
        <v>3.9</v>
      </c>
      <c r="X1259" s="190">
        <f t="shared" si="47"/>
        <v>54.6</v>
      </c>
      <c r="Y1259" s="8"/>
      <c r="Z1259" s="8"/>
    </row>
    <row r="1260" spans="1:26" ht="25.5" customHeight="1" x14ac:dyDescent="0.2">
      <c r="A1260" s="15">
        <v>71</v>
      </c>
      <c r="B1260" s="15">
        <v>2005</v>
      </c>
      <c r="C1260" s="15">
        <v>8</v>
      </c>
      <c r="D1260" s="15">
        <v>8</v>
      </c>
      <c r="E1260" s="29" t="s">
        <v>201</v>
      </c>
      <c r="F1260" s="11" t="s">
        <v>51</v>
      </c>
      <c r="G1260" s="20">
        <v>146</v>
      </c>
      <c r="H1260" s="15" t="s">
        <v>29</v>
      </c>
      <c r="I1260" s="20">
        <v>10.5</v>
      </c>
      <c r="J1260" s="11" t="s">
        <v>19</v>
      </c>
      <c r="K1260" s="20" t="s">
        <v>20</v>
      </c>
      <c r="L1260" s="11" t="s">
        <v>21</v>
      </c>
      <c r="M1260" s="20" t="s">
        <v>27</v>
      </c>
      <c r="N1260" s="20" t="s">
        <v>24</v>
      </c>
      <c r="O1260" s="27" t="s">
        <v>29</v>
      </c>
      <c r="P1260" s="15">
        <v>220</v>
      </c>
      <c r="Q1260" s="8"/>
      <c r="R1260">
        <v>13.62</v>
      </c>
      <c r="S1260">
        <v>2527.5700000000002</v>
      </c>
      <c r="T1260">
        <v>4.1500000000000004</v>
      </c>
      <c r="U1260">
        <v>9.7799999999999994</v>
      </c>
      <c r="V1260">
        <v>136.22</v>
      </c>
      <c r="W1260" s="317">
        <v>3.9</v>
      </c>
      <c r="X1260" s="190">
        <f t="shared" si="47"/>
        <v>40.949999999999996</v>
      </c>
      <c r="Y1260" s="8"/>
      <c r="Z1260" s="8"/>
    </row>
    <row r="1261" spans="1:26" ht="25.5" customHeight="1" x14ac:dyDescent="0.2">
      <c r="A1261" s="15">
        <v>72</v>
      </c>
      <c r="B1261" s="15">
        <v>2005</v>
      </c>
      <c r="C1261" s="15">
        <v>8</v>
      </c>
      <c r="D1261" s="15">
        <v>8</v>
      </c>
      <c r="E1261" s="29" t="s">
        <v>201</v>
      </c>
      <c r="F1261" s="11" t="s">
        <v>51</v>
      </c>
      <c r="G1261" s="20">
        <v>131</v>
      </c>
      <c r="H1261" s="15" t="s">
        <v>29</v>
      </c>
      <c r="I1261" s="20">
        <v>8.5</v>
      </c>
      <c r="J1261" s="11" t="s">
        <v>19</v>
      </c>
      <c r="K1261" s="20" t="s">
        <v>20</v>
      </c>
      <c r="L1261" s="11" t="s">
        <v>21</v>
      </c>
      <c r="M1261" s="20" t="s">
        <v>27</v>
      </c>
      <c r="N1261" s="20" t="s">
        <v>24</v>
      </c>
      <c r="O1261" s="27" t="s">
        <v>29</v>
      </c>
      <c r="P1261" s="15">
        <v>220</v>
      </c>
      <c r="Q1261" s="8"/>
      <c r="R1261">
        <v>12.22</v>
      </c>
      <c r="S1261">
        <v>1825.82</v>
      </c>
      <c r="T1261">
        <v>4.66</v>
      </c>
      <c r="U1261">
        <v>8.7799999999999994</v>
      </c>
      <c r="V1261">
        <v>122.22</v>
      </c>
      <c r="W1261" s="317">
        <v>3.9</v>
      </c>
      <c r="X1261" s="190">
        <f t="shared" si="47"/>
        <v>33.15</v>
      </c>
      <c r="Y1261" s="8"/>
      <c r="Z1261" s="8"/>
    </row>
    <row r="1262" spans="1:26" ht="25.5" customHeight="1" x14ac:dyDescent="0.2">
      <c r="A1262" s="15">
        <v>73</v>
      </c>
      <c r="B1262" s="15">
        <v>2005</v>
      </c>
      <c r="C1262" s="15">
        <v>8</v>
      </c>
      <c r="D1262" s="15">
        <v>8</v>
      </c>
      <c r="E1262" s="29" t="s">
        <v>201</v>
      </c>
      <c r="F1262" s="11" t="s">
        <v>51</v>
      </c>
      <c r="G1262" s="20">
        <v>144</v>
      </c>
      <c r="H1262" s="15" t="s">
        <v>29</v>
      </c>
      <c r="I1262" s="20">
        <v>7.5</v>
      </c>
      <c r="J1262" s="11" t="s">
        <v>19</v>
      </c>
      <c r="K1262" s="20" t="s">
        <v>20</v>
      </c>
      <c r="L1262" s="11" t="s">
        <v>21</v>
      </c>
      <c r="M1262" s="20" t="s">
        <v>46</v>
      </c>
      <c r="N1262" s="20" t="s">
        <v>24</v>
      </c>
      <c r="O1262" s="27" t="s">
        <v>29</v>
      </c>
      <c r="P1262" s="15">
        <v>220</v>
      </c>
      <c r="Q1262" s="8"/>
      <c r="R1262">
        <v>13.44</v>
      </c>
      <c r="S1262">
        <v>2425.12</v>
      </c>
      <c r="T1262">
        <v>3.09</v>
      </c>
      <c r="U1262">
        <v>9.65</v>
      </c>
      <c r="V1262">
        <v>134.35</v>
      </c>
      <c r="W1262" s="317">
        <v>3.9</v>
      </c>
      <c r="X1262" s="190">
        <f t="shared" si="47"/>
        <v>29.25</v>
      </c>
      <c r="Y1262" s="8"/>
      <c r="Z1262" s="8"/>
    </row>
    <row r="1263" spans="1:26" ht="25.5" customHeight="1" x14ac:dyDescent="0.2">
      <c r="A1263" s="15">
        <v>74</v>
      </c>
      <c r="B1263" s="15">
        <v>2005</v>
      </c>
      <c r="C1263" s="15">
        <v>8</v>
      </c>
      <c r="D1263" s="15">
        <v>8</v>
      </c>
      <c r="E1263" s="29" t="s">
        <v>201</v>
      </c>
      <c r="F1263" s="11" t="s">
        <v>51</v>
      </c>
      <c r="G1263" s="20">
        <v>141</v>
      </c>
      <c r="H1263" s="15" t="s">
        <v>29</v>
      </c>
      <c r="I1263" s="20">
        <v>8</v>
      </c>
      <c r="J1263" s="11" t="s">
        <v>19</v>
      </c>
      <c r="K1263" s="20" t="s">
        <v>20</v>
      </c>
      <c r="L1263" s="11" t="s">
        <v>21</v>
      </c>
      <c r="M1263" s="20" t="s">
        <v>27</v>
      </c>
      <c r="N1263" s="20" t="s">
        <v>23</v>
      </c>
      <c r="O1263" s="27" t="s">
        <v>29</v>
      </c>
      <c r="P1263" s="15">
        <v>220</v>
      </c>
      <c r="Q1263" s="8"/>
      <c r="R1263">
        <v>13.16</v>
      </c>
      <c r="S1263">
        <v>2276.6799999999998</v>
      </c>
      <c r="T1263">
        <v>3.51</v>
      </c>
      <c r="U1263">
        <v>9.4499999999999993</v>
      </c>
      <c r="V1263">
        <v>131.55000000000001</v>
      </c>
      <c r="W1263" s="317">
        <v>3.9</v>
      </c>
      <c r="X1263" s="190">
        <f t="shared" si="47"/>
        <v>31.2</v>
      </c>
      <c r="Y1263" s="8"/>
      <c r="Z1263" s="8"/>
    </row>
    <row r="1264" spans="1:26" ht="25.5" customHeight="1" x14ac:dyDescent="0.2">
      <c r="A1264" s="15">
        <v>75</v>
      </c>
      <c r="B1264" s="15">
        <v>2005</v>
      </c>
      <c r="C1264" s="15">
        <v>3</v>
      </c>
      <c r="D1264" s="15">
        <v>8</v>
      </c>
      <c r="E1264" s="29" t="s">
        <v>202</v>
      </c>
      <c r="F1264" s="11" t="s">
        <v>51</v>
      </c>
      <c r="G1264" s="20">
        <v>162</v>
      </c>
      <c r="H1264" s="15" t="s">
        <v>29</v>
      </c>
      <c r="I1264" s="20">
        <v>11.7</v>
      </c>
      <c r="J1264" s="11" t="s">
        <v>19</v>
      </c>
      <c r="K1264" s="20" t="s">
        <v>20</v>
      </c>
      <c r="L1264" s="20" t="s">
        <v>35</v>
      </c>
      <c r="M1264" s="20" t="s">
        <v>46</v>
      </c>
      <c r="N1264" s="20" t="s">
        <v>23</v>
      </c>
      <c r="O1264" s="27" t="s">
        <v>29</v>
      </c>
      <c r="P1264" s="15">
        <v>215</v>
      </c>
      <c r="Q1264" s="8"/>
      <c r="R1264">
        <v>15.11</v>
      </c>
      <c r="S1264">
        <v>3452.95</v>
      </c>
      <c r="T1264">
        <v>3.39</v>
      </c>
      <c r="U1264">
        <v>10.85</v>
      </c>
      <c r="V1264">
        <v>151.15</v>
      </c>
      <c r="W1264" s="317">
        <v>3.9</v>
      </c>
      <c r="X1264" s="190">
        <f t="shared" si="47"/>
        <v>45.629999999999995</v>
      </c>
      <c r="Y1264" s="8"/>
      <c r="Z1264" s="8"/>
    </row>
    <row r="1265" spans="1:26" ht="25.5" customHeight="1" x14ac:dyDescent="0.2">
      <c r="A1265" s="15">
        <v>76</v>
      </c>
      <c r="B1265" s="15">
        <v>2005</v>
      </c>
      <c r="C1265" s="15">
        <v>3</v>
      </c>
      <c r="D1265" s="15">
        <v>8</v>
      </c>
      <c r="E1265" s="29" t="s">
        <v>202</v>
      </c>
      <c r="F1265" s="11" t="s">
        <v>51</v>
      </c>
      <c r="G1265" s="20">
        <v>165</v>
      </c>
      <c r="H1265" s="15" t="s">
        <v>29</v>
      </c>
      <c r="I1265" s="20">
        <v>12.1</v>
      </c>
      <c r="J1265" s="11" t="s">
        <v>19</v>
      </c>
      <c r="K1265" s="20" t="s">
        <v>20</v>
      </c>
      <c r="L1265" s="20" t="s">
        <v>35</v>
      </c>
      <c r="M1265" s="20" t="s">
        <v>45</v>
      </c>
      <c r="N1265" s="20" t="s">
        <v>23</v>
      </c>
      <c r="O1265" s="27" t="s">
        <v>29</v>
      </c>
      <c r="P1265" s="15">
        <v>215</v>
      </c>
      <c r="Q1265" s="8"/>
      <c r="R1265">
        <v>15.39</v>
      </c>
      <c r="S1265">
        <v>3648.35</v>
      </c>
      <c r="T1265">
        <v>3.32</v>
      </c>
      <c r="U1265">
        <v>11.06</v>
      </c>
      <c r="V1265">
        <v>153.94999999999999</v>
      </c>
      <c r="W1265" s="317">
        <v>3.9</v>
      </c>
      <c r="X1265" s="190">
        <f t="shared" si="47"/>
        <v>47.19</v>
      </c>
      <c r="Y1265" s="8"/>
      <c r="Z1265" s="8"/>
    </row>
    <row r="1266" spans="1:26" ht="25.5" customHeight="1" x14ac:dyDescent="0.2">
      <c r="A1266" s="15">
        <v>77</v>
      </c>
      <c r="B1266" s="15">
        <v>2005</v>
      </c>
      <c r="C1266" s="15">
        <v>3</v>
      </c>
      <c r="D1266" s="15">
        <v>8</v>
      </c>
      <c r="E1266" s="29" t="s">
        <v>202</v>
      </c>
      <c r="F1266" s="11" t="s">
        <v>51</v>
      </c>
      <c r="G1266" s="20">
        <v>156</v>
      </c>
      <c r="H1266" s="15" t="s">
        <v>29</v>
      </c>
      <c r="I1266" s="20">
        <v>12</v>
      </c>
      <c r="J1266" s="11" t="s">
        <v>19</v>
      </c>
      <c r="K1266" s="20" t="s">
        <v>20</v>
      </c>
      <c r="L1266" s="20" t="s">
        <v>35</v>
      </c>
      <c r="M1266" s="20" t="s">
        <v>45</v>
      </c>
      <c r="N1266" s="20" t="s">
        <v>23</v>
      </c>
      <c r="O1266" s="27" t="s">
        <v>29</v>
      </c>
      <c r="P1266" s="15">
        <v>215</v>
      </c>
      <c r="Q1266" s="8"/>
      <c r="R1266">
        <v>14.55</v>
      </c>
      <c r="S1266">
        <v>3083.32</v>
      </c>
      <c r="T1266">
        <v>3.89</v>
      </c>
      <c r="U1266">
        <v>10.45</v>
      </c>
      <c r="V1266">
        <v>145.55000000000001</v>
      </c>
      <c r="W1266" s="317">
        <v>3.9</v>
      </c>
      <c r="X1266" s="190">
        <f t="shared" si="47"/>
        <v>46.8</v>
      </c>
      <c r="Y1266" s="8"/>
      <c r="Z1266" s="8"/>
    </row>
    <row r="1267" spans="1:26" ht="25.5" customHeight="1" x14ac:dyDescent="0.2">
      <c r="A1267" s="15">
        <v>78</v>
      </c>
      <c r="B1267" s="15">
        <v>2005</v>
      </c>
      <c r="C1267" s="15">
        <v>3</v>
      </c>
      <c r="D1267" s="15">
        <v>8</v>
      </c>
      <c r="E1267" s="29" t="s">
        <v>202</v>
      </c>
      <c r="F1267" s="11" t="s">
        <v>51</v>
      </c>
      <c r="G1267" s="20">
        <v>132</v>
      </c>
      <c r="H1267" s="15" t="s">
        <v>29</v>
      </c>
      <c r="I1267" s="20">
        <v>7</v>
      </c>
      <c r="J1267" s="11" t="s">
        <v>19</v>
      </c>
      <c r="K1267" s="20" t="s">
        <v>20</v>
      </c>
      <c r="L1267" s="11" t="s">
        <v>21</v>
      </c>
      <c r="M1267" s="20" t="s">
        <v>45</v>
      </c>
      <c r="N1267" s="20" t="s">
        <v>24</v>
      </c>
      <c r="O1267" s="27" t="s">
        <v>29</v>
      </c>
      <c r="P1267" s="15">
        <v>215</v>
      </c>
      <c r="Q1267" s="8"/>
      <c r="R1267">
        <v>12.32</v>
      </c>
      <c r="S1267">
        <v>1867.96</v>
      </c>
      <c r="T1267">
        <v>3.75</v>
      </c>
      <c r="U1267">
        <v>8.84</v>
      </c>
      <c r="V1267">
        <v>123.16</v>
      </c>
      <c r="W1267" s="317">
        <v>3.9</v>
      </c>
      <c r="X1267" s="190">
        <f t="shared" si="47"/>
        <v>27.3</v>
      </c>
      <c r="Y1267" s="8"/>
      <c r="Z1267" s="8"/>
    </row>
    <row r="1268" spans="1:26" ht="25.5" customHeight="1" x14ac:dyDescent="0.2">
      <c r="A1268" s="15">
        <v>79</v>
      </c>
      <c r="B1268" s="15">
        <v>2005</v>
      </c>
      <c r="C1268" s="15">
        <v>3</v>
      </c>
      <c r="D1268" s="15">
        <v>8</v>
      </c>
      <c r="E1268" s="29" t="s">
        <v>202</v>
      </c>
      <c r="F1268" s="11" t="s">
        <v>51</v>
      </c>
      <c r="G1268" s="20">
        <v>176</v>
      </c>
      <c r="H1268" s="15" t="s">
        <v>29</v>
      </c>
      <c r="I1268" s="20">
        <v>13.5</v>
      </c>
      <c r="J1268" s="11" t="s">
        <v>19</v>
      </c>
      <c r="K1268" s="20" t="s">
        <v>20</v>
      </c>
      <c r="L1268" s="11" t="s">
        <v>21</v>
      </c>
      <c r="M1268" s="20" t="s">
        <v>45</v>
      </c>
      <c r="N1268" s="20" t="s">
        <v>33</v>
      </c>
      <c r="O1268" s="27" t="s">
        <v>29</v>
      </c>
      <c r="P1268" s="15">
        <v>215</v>
      </c>
      <c r="Q1268" s="8"/>
      <c r="R1268">
        <v>16.420000000000002</v>
      </c>
      <c r="S1268">
        <v>4427.75</v>
      </c>
      <c r="T1268">
        <v>3.05</v>
      </c>
      <c r="U1268">
        <v>11.79</v>
      </c>
      <c r="V1268">
        <v>164.21</v>
      </c>
      <c r="W1268" s="317">
        <v>3.9</v>
      </c>
      <c r="X1268" s="190">
        <f t="shared" si="47"/>
        <v>52.65</v>
      </c>
      <c r="Y1268" s="8"/>
      <c r="Z1268" s="8"/>
    </row>
    <row r="1269" spans="1:26" ht="25.5" customHeight="1" x14ac:dyDescent="0.2">
      <c r="A1269" s="15">
        <v>80</v>
      </c>
      <c r="B1269" s="15">
        <v>2005</v>
      </c>
      <c r="C1269" s="15">
        <v>3</v>
      </c>
      <c r="D1269" s="15">
        <v>8</v>
      </c>
      <c r="E1269" s="29" t="s">
        <v>202</v>
      </c>
      <c r="F1269" s="11" t="s">
        <v>51</v>
      </c>
      <c r="G1269" s="20">
        <v>155</v>
      </c>
      <c r="H1269" s="15" t="s">
        <v>29</v>
      </c>
      <c r="I1269" s="20">
        <v>9.6999999999999993</v>
      </c>
      <c r="J1269" s="11" t="s">
        <v>19</v>
      </c>
      <c r="K1269" s="20" t="s">
        <v>20</v>
      </c>
      <c r="L1269" s="20" t="s">
        <v>35</v>
      </c>
      <c r="M1269" s="20" t="s">
        <v>45</v>
      </c>
      <c r="N1269" s="20" t="s">
        <v>24</v>
      </c>
      <c r="O1269" s="27" t="s">
        <v>29</v>
      </c>
      <c r="P1269" s="15">
        <v>215</v>
      </c>
      <c r="Q1269" s="8"/>
      <c r="R1269">
        <v>14.46</v>
      </c>
      <c r="S1269">
        <v>3024.41</v>
      </c>
      <c r="T1269">
        <v>3.21</v>
      </c>
      <c r="U1269">
        <v>10.39</v>
      </c>
      <c r="V1269">
        <v>144.62</v>
      </c>
      <c r="W1269" s="317">
        <v>3.9</v>
      </c>
      <c r="X1269" s="190">
        <f t="shared" si="47"/>
        <v>37.83</v>
      </c>
      <c r="Y1269" s="8"/>
      <c r="Z1269" s="8"/>
    </row>
    <row r="1270" spans="1:26" ht="25.5" customHeight="1" x14ac:dyDescent="0.2">
      <c r="A1270" s="15">
        <v>81</v>
      </c>
      <c r="B1270" s="15">
        <v>2005</v>
      </c>
      <c r="C1270" s="15">
        <v>3</v>
      </c>
      <c r="D1270" s="15">
        <v>8</v>
      </c>
      <c r="E1270" s="29" t="s">
        <v>202</v>
      </c>
      <c r="F1270" s="11" t="s">
        <v>51</v>
      </c>
      <c r="G1270" s="20">
        <v>158</v>
      </c>
      <c r="H1270" s="15" t="s">
        <v>29</v>
      </c>
      <c r="I1270" s="20">
        <v>10.4</v>
      </c>
      <c r="J1270" s="11" t="s">
        <v>19</v>
      </c>
      <c r="K1270" s="20" t="s">
        <v>20</v>
      </c>
      <c r="L1270" s="20" t="s">
        <v>35</v>
      </c>
      <c r="M1270" s="20" t="s">
        <v>46</v>
      </c>
      <c r="N1270" s="20" t="s">
        <v>24</v>
      </c>
      <c r="O1270" s="27" t="s">
        <v>29</v>
      </c>
      <c r="P1270" s="15">
        <v>215</v>
      </c>
      <c r="Q1270" s="8"/>
      <c r="R1270">
        <v>14.74</v>
      </c>
      <c r="S1270">
        <v>3203.44</v>
      </c>
      <c r="T1270">
        <v>3.25</v>
      </c>
      <c r="U1270">
        <v>10.59</v>
      </c>
      <c r="V1270">
        <v>147.41</v>
      </c>
      <c r="W1270" s="317">
        <v>3.9</v>
      </c>
      <c r="X1270" s="190">
        <f t="shared" si="47"/>
        <v>40.56</v>
      </c>
      <c r="Y1270" s="8"/>
      <c r="Z1270" s="8"/>
    </row>
    <row r="1271" spans="1:26" ht="25.5" customHeight="1" x14ac:dyDescent="0.2">
      <c r="A1271" s="15">
        <v>82</v>
      </c>
      <c r="B1271" s="15">
        <v>2005</v>
      </c>
      <c r="C1271" s="15">
        <v>3</v>
      </c>
      <c r="D1271" s="15">
        <v>8</v>
      </c>
      <c r="E1271" s="29" t="s">
        <v>202</v>
      </c>
      <c r="F1271" s="11" t="s">
        <v>51</v>
      </c>
      <c r="G1271" s="20">
        <v>151</v>
      </c>
      <c r="H1271" s="15" t="s">
        <v>29</v>
      </c>
      <c r="I1271" s="20">
        <v>10.6</v>
      </c>
      <c r="J1271" s="11" t="s">
        <v>19</v>
      </c>
      <c r="K1271" s="20" t="s">
        <v>20</v>
      </c>
      <c r="L1271" s="11" t="s">
        <v>21</v>
      </c>
      <c r="M1271" s="20" t="s">
        <v>45</v>
      </c>
      <c r="N1271" s="20" t="s">
        <v>25</v>
      </c>
      <c r="O1271" s="27" t="s">
        <v>29</v>
      </c>
      <c r="P1271" s="15">
        <v>215</v>
      </c>
      <c r="Q1271" s="8"/>
      <c r="R1271">
        <v>14.09</v>
      </c>
      <c r="S1271">
        <v>2796.25</v>
      </c>
      <c r="T1271">
        <v>3.79</v>
      </c>
      <c r="U1271">
        <v>10.119999999999999</v>
      </c>
      <c r="V1271">
        <v>140.88</v>
      </c>
      <c r="W1271" s="317">
        <v>3.9</v>
      </c>
      <c r="X1271" s="190">
        <f t="shared" si="47"/>
        <v>41.339999999999996</v>
      </c>
      <c r="Y1271" s="8"/>
      <c r="Z1271" s="8"/>
    </row>
    <row r="1272" spans="1:26" ht="25.5" customHeight="1" x14ac:dyDescent="0.2">
      <c r="A1272" s="15">
        <v>83</v>
      </c>
      <c r="B1272" s="15">
        <v>2005</v>
      </c>
      <c r="C1272" s="15">
        <v>3</v>
      </c>
      <c r="D1272" s="15">
        <v>8</v>
      </c>
      <c r="E1272" s="29" t="s">
        <v>202</v>
      </c>
      <c r="F1272" s="11" t="s">
        <v>51</v>
      </c>
      <c r="G1272" s="20">
        <v>168</v>
      </c>
      <c r="H1272" s="15" t="s">
        <v>29</v>
      </c>
      <c r="I1272" s="20">
        <v>12.5</v>
      </c>
      <c r="J1272" s="11" t="s">
        <v>19</v>
      </c>
      <c r="K1272" s="20" t="s">
        <v>20</v>
      </c>
      <c r="L1272" s="11" t="s">
        <v>21</v>
      </c>
      <c r="M1272" s="20" t="s">
        <v>46</v>
      </c>
      <c r="N1272" s="20" t="s">
        <v>24</v>
      </c>
      <c r="O1272" s="27" t="s">
        <v>29</v>
      </c>
      <c r="P1272" s="15">
        <v>215</v>
      </c>
      <c r="Q1272" s="8"/>
      <c r="R1272">
        <v>15.67</v>
      </c>
      <c r="S1272">
        <v>3850.99</v>
      </c>
      <c r="T1272">
        <v>3.25</v>
      </c>
      <c r="U1272">
        <v>11.26</v>
      </c>
      <c r="V1272">
        <v>156.74</v>
      </c>
      <c r="W1272" s="317">
        <v>3.9</v>
      </c>
      <c r="X1272" s="190">
        <f t="shared" si="47"/>
        <v>48.75</v>
      </c>
      <c r="Y1272" s="8"/>
      <c r="Z1272" s="8"/>
    </row>
    <row r="1273" spans="1:26" ht="25.5" customHeight="1" x14ac:dyDescent="0.2">
      <c r="A1273" s="15">
        <v>84</v>
      </c>
      <c r="B1273" s="15">
        <v>2005</v>
      </c>
      <c r="C1273" s="15">
        <v>3</v>
      </c>
      <c r="D1273" s="15">
        <v>8</v>
      </c>
      <c r="E1273" s="29" t="s">
        <v>202</v>
      </c>
      <c r="F1273" s="11" t="s">
        <v>51</v>
      </c>
      <c r="G1273" s="20">
        <v>148</v>
      </c>
      <c r="H1273" s="15" t="s">
        <v>29</v>
      </c>
      <c r="I1273" s="20">
        <v>9.5</v>
      </c>
      <c r="J1273" s="11" t="s">
        <v>19</v>
      </c>
      <c r="K1273" s="20" t="s">
        <v>20</v>
      </c>
      <c r="L1273" s="11" t="s">
        <v>21</v>
      </c>
      <c r="M1273" s="20" t="s">
        <v>45</v>
      </c>
      <c r="N1273" s="20" t="s">
        <v>23</v>
      </c>
      <c r="O1273" s="27" t="s">
        <v>29</v>
      </c>
      <c r="P1273" s="15">
        <v>215</v>
      </c>
      <c r="Q1273" s="8"/>
      <c r="R1273">
        <v>13.81</v>
      </c>
      <c r="S1273">
        <v>2632.87</v>
      </c>
      <c r="T1273">
        <v>3.61</v>
      </c>
      <c r="U1273">
        <v>9.92</v>
      </c>
      <c r="V1273">
        <v>138.08000000000001</v>
      </c>
      <c r="W1273" s="317">
        <v>3.9</v>
      </c>
      <c r="X1273" s="190">
        <f t="shared" si="47"/>
        <v>37.049999999999997</v>
      </c>
      <c r="Y1273" s="8"/>
      <c r="Z1273" s="8"/>
    </row>
    <row r="1274" spans="1:26" ht="25.5" customHeight="1" x14ac:dyDescent="0.2">
      <c r="A1274" s="15">
        <v>85</v>
      </c>
      <c r="B1274" s="15">
        <v>2005</v>
      </c>
      <c r="C1274" s="15">
        <v>3</v>
      </c>
      <c r="D1274" s="15">
        <v>8</v>
      </c>
      <c r="E1274" s="29" t="s">
        <v>202</v>
      </c>
      <c r="F1274" s="11" t="s">
        <v>51</v>
      </c>
      <c r="G1274" s="20">
        <v>173</v>
      </c>
      <c r="H1274" s="15" t="s">
        <v>29</v>
      </c>
      <c r="I1274" s="20">
        <v>12.5</v>
      </c>
      <c r="J1274" s="11" t="s">
        <v>19</v>
      </c>
      <c r="K1274" s="20" t="s">
        <v>20</v>
      </c>
      <c r="L1274" s="11" t="s">
        <v>21</v>
      </c>
      <c r="M1274" s="20" t="s">
        <v>45</v>
      </c>
      <c r="N1274" s="20" t="s">
        <v>33</v>
      </c>
      <c r="O1274" s="27" t="s">
        <v>29</v>
      </c>
      <c r="P1274" s="15">
        <v>215</v>
      </c>
      <c r="Q1274" s="8"/>
      <c r="R1274">
        <v>16.14</v>
      </c>
      <c r="S1274">
        <v>4205.17</v>
      </c>
      <c r="T1274">
        <v>2.97</v>
      </c>
      <c r="U1274">
        <v>11.59</v>
      </c>
      <c r="V1274">
        <v>161.41</v>
      </c>
      <c r="W1274" s="317">
        <v>3.9</v>
      </c>
      <c r="X1274" s="190">
        <f t="shared" si="47"/>
        <v>48.75</v>
      </c>
      <c r="Y1274" s="8"/>
      <c r="Z1274" s="8"/>
    </row>
    <row r="1275" spans="1:26" ht="25.5" customHeight="1" x14ac:dyDescent="0.2">
      <c r="A1275" s="15">
        <v>86</v>
      </c>
      <c r="B1275" s="15">
        <v>2005</v>
      </c>
      <c r="C1275" s="15">
        <v>3</v>
      </c>
      <c r="D1275" s="15">
        <v>8</v>
      </c>
      <c r="E1275" s="29" t="s">
        <v>202</v>
      </c>
      <c r="F1275" s="11" t="s">
        <v>51</v>
      </c>
      <c r="G1275" s="20">
        <v>171</v>
      </c>
      <c r="H1275" s="15" t="s">
        <v>29</v>
      </c>
      <c r="I1275" s="20">
        <v>19.5</v>
      </c>
      <c r="J1275" s="11" t="s">
        <v>19</v>
      </c>
      <c r="K1275" s="20" t="s">
        <v>34</v>
      </c>
      <c r="L1275" s="11" t="s">
        <v>41</v>
      </c>
      <c r="M1275" s="20" t="s">
        <v>45</v>
      </c>
      <c r="N1275" s="20" t="s">
        <v>39</v>
      </c>
      <c r="O1275" s="27" t="s">
        <v>29</v>
      </c>
      <c r="P1275" s="15">
        <v>215</v>
      </c>
      <c r="Q1275" s="8"/>
      <c r="R1275">
        <v>15.95</v>
      </c>
      <c r="S1275">
        <v>4061</v>
      </c>
      <c r="T1275">
        <v>4.8</v>
      </c>
      <c r="U1275">
        <v>11.46</v>
      </c>
      <c r="V1275">
        <v>159.54</v>
      </c>
      <c r="W1275" s="317">
        <v>3.8</v>
      </c>
      <c r="X1275" s="190">
        <f t="shared" si="47"/>
        <v>74.099999999999994</v>
      </c>
      <c r="Y1275" s="8"/>
      <c r="Z1275" s="8"/>
    </row>
    <row r="1276" spans="1:26" ht="25.5" customHeight="1" x14ac:dyDescent="0.2">
      <c r="A1276" s="15">
        <v>87</v>
      </c>
      <c r="B1276" s="15">
        <v>2005</v>
      </c>
      <c r="C1276" s="15">
        <v>3</v>
      </c>
      <c r="D1276" s="15">
        <v>8</v>
      </c>
      <c r="E1276" s="29" t="s">
        <v>202</v>
      </c>
      <c r="F1276" s="11" t="s">
        <v>51</v>
      </c>
      <c r="G1276" s="20">
        <v>166</v>
      </c>
      <c r="H1276" s="15" t="s">
        <v>29</v>
      </c>
      <c r="I1276" s="20">
        <v>15.3</v>
      </c>
      <c r="J1276" s="11" t="s">
        <v>19</v>
      </c>
      <c r="K1276" s="20" t="s">
        <v>20</v>
      </c>
      <c r="L1276" s="11" t="s">
        <v>21</v>
      </c>
      <c r="M1276" s="20" t="s">
        <v>46</v>
      </c>
      <c r="N1276" s="20" t="s">
        <v>33</v>
      </c>
      <c r="O1276" s="27" t="s">
        <v>29</v>
      </c>
      <c r="P1276" s="15">
        <v>215</v>
      </c>
      <c r="Q1276" s="8"/>
      <c r="R1276">
        <v>15.49</v>
      </c>
      <c r="S1276">
        <v>3715.09</v>
      </c>
      <c r="T1276">
        <v>4.12</v>
      </c>
      <c r="U1276">
        <v>11.12</v>
      </c>
      <c r="V1276">
        <v>154.88</v>
      </c>
      <c r="W1276" s="317">
        <v>3.9</v>
      </c>
      <c r="X1276" s="190">
        <f t="shared" ref="X1276:X1284" si="48">I1276*W1276</f>
        <v>59.67</v>
      </c>
      <c r="Y1276" s="8"/>
      <c r="Z1276" s="8"/>
    </row>
    <row r="1277" spans="1:26" ht="25.5" customHeight="1" x14ac:dyDescent="0.2">
      <c r="A1277" s="15">
        <v>88</v>
      </c>
      <c r="B1277" s="15">
        <v>2005</v>
      </c>
      <c r="C1277" s="15">
        <v>3</v>
      </c>
      <c r="D1277" s="15">
        <v>8</v>
      </c>
      <c r="E1277" s="29" t="s">
        <v>202</v>
      </c>
      <c r="F1277" s="11" t="s">
        <v>51</v>
      </c>
      <c r="G1277" s="20">
        <v>147</v>
      </c>
      <c r="H1277" s="15" t="s">
        <v>29</v>
      </c>
      <c r="I1277" s="20">
        <v>12.5</v>
      </c>
      <c r="J1277" s="11" t="s">
        <v>19</v>
      </c>
      <c r="K1277" s="20" t="s">
        <v>20</v>
      </c>
      <c r="L1277" s="11" t="s">
        <v>21</v>
      </c>
      <c r="M1277" s="20" t="s">
        <v>45</v>
      </c>
      <c r="N1277" s="20" t="s">
        <v>203</v>
      </c>
      <c r="O1277" s="27" t="s">
        <v>29</v>
      </c>
      <c r="P1277" s="15">
        <v>215</v>
      </c>
      <c r="Q1277" s="8"/>
      <c r="R1277">
        <v>13.72</v>
      </c>
      <c r="S1277">
        <v>2579.86</v>
      </c>
      <c r="T1277">
        <v>4.8499999999999996</v>
      </c>
      <c r="U1277">
        <v>9.85</v>
      </c>
      <c r="V1277">
        <v>137.15</v>
      </c>
      <c r="W1277" s="317">
        <v>3.9</v>
      </c>
      <c r="X1277" s="190">
        <f t="shared" si="48"/>
        <v>48.75</v>
      </c>
      <c r="Y1277" s="8"/>
      <c r="Z1277" s="8"/>
    </row>
    <row r="1278" spans="1:26" ht="25.5" customHeight="1" x14ac:dyDescent="0.2">
      <c r="A1278" s="15">
        <v>89</v>
      </c>
      <c r="B1278" s="15">
        <v>2005</v>
      </c>
      <c r="C1278" s="15">
        <v>3</v>
      </c>
      <c r="D1278" s="15">
        <v>8</v>
      </c>
      <c r="E1278" s="29" t="s">
        <v>202</v>
      </c>
      <c r="F1278" s="11" t="s">
        <v>28</v>
      </c>
      <c r="G1278" s="11" t="s">
        <v>29</v>
      </c>
      <c r="H1278" s="15" t="s">
        <v>29</v>
      </c>
      <c r="I1278" s="25" t="s">
        <v>29</v>
      </c>
      <c r="J1278" s="11" t="s">
        <v>19</v>
      </c>
      <c r="K1278" s="20" t="s">
        <v>20</v>
      </c>
      <c r="L1278" s="11" t="s">
        <v>21</v>
      </c>
      <c r="M1278" s="11" t="s">
        <v>29</v>
      </c>
      <c r="N1278" s="20" t="s">
        <v>25</v>
      </c>
      <c r="O1278" s="27" t="s">
        <v>29</v>
      </c>
      <c r="P1278" s="15">
        <v>215</v>
      </c>
      <c r="Q1278" s="8"/>
      <c r="W1278" s="317">
        <v>3.9</v>
      </c>
      <c r="X1278" s="190"/>
      <c r="Y1278" s="8"/>
      <c r="Z1278" s="8"/>
    </row>
    <row r="1279" spans="1:26" ht="25.5" customHeight="1" x14ac:dyDescent="0.2">
      <c r="A1279" s="15">
        <v>90</v>
      </c>
      <c r="B1279" s="15">
        <v>2005</v>
      </c>
      <c r="C1279" s="15">
        <v>3</v>
      </c>
      <c r="D1279" s="15">
        <v>8</v>
      </c>
      <c r="E1279" s="29" t="s">
        <v>202</v>
      </c>
      <c r="F1279" s="11" t="s">
        <v>51</v>
      </c>
      <c r="G1279" s="20">
        <v>141</v>
      </c>
      <c r="H1279" s="15" t="s">
        <v>29</v>
      </c>
      <c r="I1279" s="20">
        <v>9</v>
      </c>
      <c r="J1279" s="11" t="s">
        <v>19</v>
      </c>
      <c r="K1279" s="20" t="s">
        <v>20</v>
      </c>
      <c r="L1279" s="11" t="s">
        <v>21</v>
      </c>
      <c r="M1279" s="11" t="s">
        <v>29</v>
      </c>
      <c r="N1279" s="20" t="s">
        <v>23</v>
      </c>
      <c r="O1279" s="27" t="s">
        <v>29</v>
      </c>
      <c r="P1279" s="15">
        <v>215</v>
      </c>
      <c r="Q1279" s="8"/>
      <c r="R1279">
        <v>13.16</v>
      </c>
      <c r="S1279">
        <v>2276.6799999999998</v>
      </c>
      <c r="T1279">
        <v>3.95</v>
      </c>
      <c r="U1279">
        <v>9.4499999999999993</v>
      </c>
      <c r="V1279">
        <v>131.55000000000001</v>
      </c>
      <c r="W1279" s="317">
        <v>3.9</v>
      </c>
      <c r="X1279" s="190">
        <f t="shared" si="48"/>
        <v>35.1</v>
      </c>
      <c r="Y1279" s="8"/>
      <c r="Z1279" s="8"/>
    </row>
    <row r="1280" spans="1:26" ht="25.5" customHeight="1" x14ac:dyDescent="0.2">
      <c r="A1280" s="15">
        <v>91</v>
      </c>
      <c r="B1280" s="15">
        <v>2005</v>
      </c>
      <c r="C1280" s="15">
        <v>3</v>
      </c>
      <c r="D1280" s="15">
        <v>8</v>
      </c>
      <c r="E1280" s="29" t="s">
        <v>202</v>
      </c>
      <c r="F1280" s="11" t="s">
        <v>51</v>
      </c>
      <c r="G1280" s="20">
        <v>111</v>
      </c>
      <c r="H1280" s="15" t="s">
        <v>29</v>
      </c>
      <c r="I1280" s="20">
        <v>4.5999999999999996</v>
      </c>
      <c r="J1280" s="11" t="s">
        <v>19</v>
      </c>
      <c r="K1280" s="20" t="s">
        <v>20</v>
      </c>
      <c r="L1280" s="20" t="s">
        <v>35</v>
      </c>
      <c r="M1280" s="20" t="s">
        <v>45</v>
      </c>
      <c r="N1280" s="20" t="s">
        <v>24</v>
      </c>
      <c r="O1280" s="27" t="s">
        <v>29</v>
      </c>
      <c r="P1280" s="15">
        <v>215</v>
      </c>
      <c r="Q1280" s="8"/>
      <c r="R1280">
        <v>10.36</v>
      </c>
      <c r="S1280">
        <v>1110.74</v>
      </c>
      <c r="T1280">
        <v>4.1399999999999997</v>
      </c>
      <c r="U1280">
        <v>7.44</v>
      </c>
      <c r="V1280">
        <v>103.56</v>
      </c>
      <c r="W1280" s="317">
        <v>3.9</v>
      </c>
      <c r="X1280" s="190">
        <f t="shared" si="48"/>
        <v>17.939999999999998</v>
      </c>
      <c r="Y1280" s="8"/>
      <c r="Z1280" s="8"/>
    </row>
    <row r="1281" spans="1:26" ht="25.5" customHeight="1" x14ac:dyDescent="0.2">
      <c r="A1281" s="15">
        <v>92</v>
      </c>
      <c r="B1281" s="15">
        <v>2005</v>
      </c>
      <c r="C1281" s="15">
        <v>3</v>
      </c>
      <c r="D1281" s="15">
        <v>8</v>
      </c>
      <c r="E1281" s="29" t="s">
        <v>202</v>
      </c>
      <c r="F1281" s="11" t="s">
        <v>51</v>
      </c>
      <c r="G1281" s="20">
        <v>145</v>
      </c>
      <c r="H1281" s="15" t="s">
        <v>29</v>
      </c>
      <c r="I1281" s="20">
        <v>10.5</v>
      </c>
      <c r="J1281" s="11" t="s">
        <v>19</v>
      </c>
      <c r="K1281" s="20" t="s">
        <v>20</v>
      </c>
      <c r="L1281" s="11" t="s">
        <v>21</v>
      </c>
      <c r="M1281" s="20" t="s">
        <v>46</v>
      </c>
      <c r="N1281" s="20" t="s">
        <v>25</v>
      </c>
      <c r="O1281" s="27" t="s">
        <v>29</v>
      </c>
      <c r="P1281" s="15">
        <v>215</v>
      </c>
      <c r="Q1281" s="8"/>
      <c r="R1281">
        <v>13.53</v>
      </c>
      <c r="S1281">
        <v>2475.9899999999998</v>
      </c>
      <c r="T1281">
        <v>4.24</v>
      </c>
      <c r="U1281">
        <v>9.7200000000000006</v>
      </c>
      <c r="V1281">
        <v>135.29</v>
      </c>
      <c r="W1281" s="317">
        <v>3.9</v>
      </c>
      <c r="X1281" s="190">
        <f t="shared" si="48"/>
        <v>40.949999999999996</v>
      </c>
      <c r="Y1281" s="8"/>
      <c r="Z1281" s="8"/>
    </row>
    <row r="1282" spans="1:26" ht="25.5" customHeight="1" x14ac:dyDescent="0.2">
      <c r="A1282" s="15">
        <v>93</v>
      </c>
      <c r="B1282" s="15">
        <v>2005</v>
      </c>
      <c r="C1282" s="15">
        <v>3</v>
      </c>
      <c r="D1282" s="15">
        <v>8</v>
      </c>
      <c r="E1282" s="29" t="s">
        <v>202</v>
      </c>
      <c r="F1282" s="11" t="s">
        <v>51</v>
      </c>
      <c r="G1282" s="20">
        <v>119</v>
      </c>
      <c r="H1282" s="15" t="s">
        <v>29</v>
      </c>
      <c r="I1282" s="20">
        <v>6.4</v>
      </c>
      <c r="J1282" s="11" t="s">
        <v>19</v>
      </c>
      <c r="K1282" s="20" t="s">
        <v>20</v>
      </c>
      <c r="L1282" s="20" t="s">
        <v>35</v>
      </c>
      <c r="M1282" s="20" t="s">
        <v>45</v>
      </c>
      <c r="N1282" s="20" t="s">
        <v>24</v>
      </c>
      <c r="O1282" s="27" t="s">
        <v>29</v>
      </c>
      <c r="P1282" s="15">
        <v>215</v>
      </c>
      <c r="Q1282" s="8"/>
      <c r="R1282">
        <v>11.1</v>
      </c>
      <c r="S1282">
        <v>1368.63</v>
      </c>
      <c r="T1282">
        <v>4.68</v>
      </c>
      <c r="U1282">
        <v>7.97</v>
      </c>
      <c r="V1282">
        <v>111.03</v>
      </c>
      <c r="W1282" s="317">
        <v>3.9</v>
      </c>
      <c r="X1282" s="190">
        <f t="shared" si="48"/>
        <v>24.96</v>
      </c>
      <c r="Y1282" s="8"/>
      <c r="Z1282" s="8"/>
    </row>
    <row r="1283" spans="1:26" ht="25.5" customHeight="1" x14ac:dyDescent="0.2">
      <c r="A1283" s="15">
        <v>94</v>
      </c>
      <c r="B1283" s="15">
        <v>2005</v>
      </c>
      <c r="C1283" s="15">
        <v>3</v>
      </c>
      <c r="D1283" s="15">
        <v>8</v>
      </c>
      <c r="E1283" s="29" t="s">
        <v>202</v>
      </c>
      <c r="F1283" s="11" t="s">
        <v>51</v>
      </c>
      <c r="G1283" s="20">
        <v>146</v>
      </c>
      <c r="H1283" s="15" t="s">
        <v>29</v>
      </c>
      <c r="I1283" s="20">
        <v>10</v>
      </c>
      <c r="J1283" s="11" t="s">
        <v>19</v>
      </c>
      <c r="K1283" s="20" t="s">
        <v>20</v>
      </c>
      <c r="L1283" s="11" t="s">
        <v>21</v>
      </c>
      <c r="M1283" s="20" t="s">
        <v>46</v>
      </c>
      <c r="N1283" s="20" t="s">
        <v>24</v>
      </c>
      <c r="O1283" s="27" t="s">
        <v>29</v>
      </c>
      <c r="P1283" s="15">
        <v>215</v>
      </c>
      <c r="Q1283" s="8"/>
      <c r="R1283">
        <v>13.62</v>
      </c>
      <c r="S1283">
        <v>2527.5700000000002</v>
      </c>
      <c r="T1283">
        <v>3.96</v>
      </c>
      <c r="U1283">
        <v>9.7799999999999994</v>
      </c>
      <c r="V1283">
        <v>136.22</v>
      </c>
      <c r="W1283" s="317">
        <v>3.9</v>
      </c>
      <c r="X1283" s="190">
        <f t="shared" si="48"/>
        <v>39</v>
      </c>
      <c r="Y1283" s="8"/>
      <c r="Z1283" s="8"/>
    </row>
    <row r="1284" spans="1:26" ht="25.5" customHeight="1" x14ac:dyDescent="0.2">
      <c r="A1284" s="15">
        <v>95</v>
      </c>
      <c r="B1284" s="15">
        <v>2005</v>
      </c>
      <c r="C1284" s="15">
        <v>3</v>
      </c>
      <c r="D1284" s="15">
        <v>8</v>
      </c>
      <c r="E1284" s="29" t="s">
        <v>202</v>
      </c>
      <c r="F1284" s="11" t="s">
        <v>51</v>
      </c>
      <c r="G1284" s="20">
        <v>128</v>
      </c>
      <c r="H1284" s="15" t="s">
        <v>29</v>
      </c>
      <c r="I1284" s="20">
        <v>13.5</v>
      </c>
      <c r="J1284" s="11" t="s">
        <v>19</v>
      </c>
      <c r="K1284" s="20" t="s">
        <v>20</v>
      </c>
      <c r="L1284" s="11" t="s">
        <v>21</v>
      </c>
      <c r="M1284" s="11" t="s">
        <v>29</v>
      </c>
      <c r="N1284" s="20" t="s">
        <v>24</v>
      </c>
      <c r="O1284" s="27" t="s">
        <v>29</v>
      </c>
      <c r="P1284" s="15">
        <v>215</v>
      </c>
      <c r="Q1284" s="8"/>
      <c r="R1284">
        <v>11.94</v>
      </c>
      <c r="S1284">
        <v>1703.24</v>
      </c>
      <c r="T1284">
        <v>7.93</v>
      </c>
      <c r="U1284">
        <v>8.58</v>
      </c>
      <c r="V1284">
        <v>119.42</v>
      </c>
      <c r="W1284" s="317">
        <v>3.9</v>
      </c>
      <c r="X1284" s="190">
        <f t="shared" si="48"/>
        <v>52.65</v>
      </c>
      <c r="Y1284" s="8"/>
      <c r="Z1284" s="8"/>
    </row>
    <row r="1285" spans="1:26" ht="25.5" customHeight="1" x14ac:dyDescent="0.2">
      <c r="A1285" s="15">
        <v>96</v>
      </c>
      <c r="B1285" s="15">
        <v>2005</v>
      </c>
      <c r="C1285" s="15">
        <v>3</v>
      </c>
      <c r="D1285" s="15">
        <v>8</v>
      </c>
      <c r="E1285" s="29" t="s">
        <v>202</v>
      </c>
      <c r="F1285" s="11" t="s">
        <v>51</v>
      </c>
      <c r="G1285" s="20">
        <v>156</v>
      </c>
      <c r="H1285" s="15" t="s">
        <v>29</v>
      </c>
      <c r="I1285" s="20">
        <v>9.5</v>
      </c>
      <c r="J1285" s="11" t="s">
        <v>19</v>
      </c>
      <c r="K1285" s="20" t="s">
        <v>20</v>
      </c>
      <c r="L1285" s="11" t="s">
        <v>41</v>
      </c>
      <c r="M1285" s="20" t="s">
        <v>45</v>
      </c>
      <c r="N1285" s="20" t="s">
        <v>23</v>
      </c>
      <c r="O1285" s="27" t="s">
        <v>29</v>
      </c>
      <c r="P1285" s="15">
        <v>215</v>
      </c>
      <c r="Q1285" s="8"/>
      <c r="R1285">
        <v>14.55</v>
      </c>
      <c r="S1285">
        <v>3083.32</v>
      </c>
      <c r="T1285">
        <v>3.08</v>
      </c>
      <c r="U1285">
        <v>10.45</v>
      </c>
      <c r="V1285">
        <v>145.55000000000001</v>
      </c>
      <c r="W1285" s="8"/>
      <c r="X1285" s="8"/>
      <c r="Y1285" s="8"/>
      <c r="Z1285" s="8"/>
    </row>
    <row r="1286" spans="1:26" ht="25.5" customHeight="1" x14ac:dyDescent="0.2">
      <c r="A1286" s="15">
        <v>97</v>
      </c>
      <c r="B1286" s="15">
        <v>2005</v>
      </c>
      <c r="C1286" s="15">
        <v>3</v>
      </c>
      <c r="D1286" s="15">
        <v>8</v>
      </c>
      <c r="E1286" s="29" t="s">
        <v>202</v>
      </c>
      <c r="F1286" s="11" t="s">
        <v>51</v>
      </c>
      <c r="G1286" s="20">
        <v>151</v>
      </c>
      <c r="H1286" s="15" t="s">
        <v>29</v>
      </c>
      <c r="I1286" s="20">
        <v>13</v>
      </c>
      <c r="J1286" s="11" t="s">
        <v>19</v>
      </c>
      <c r="K1286" s="20" t="s">
        <v>20</v>
      </c>
      <c r="L1286" s="11" t="s">
        <v>41</v>
      </c>
      <c r="M1286" s="20" t="s">
        <v>46</v>
      </c>
      <c r="N1286" s="20" t="s">
        <v>25</v>
      </c>
      <c r="O1286" s="27" t="s">
        <v>29</v>
      </c>
      <c r="P1286" s="15">
        <v>215</v>
      </c>
      <c r="Q1286" s="8"/>
      <c r="R1286">
        <v>14.09</v>
      </c>
      <c r="S1286">
        <v>2796.25</v>
      </c>
      <c r="T1286">
        <v>4.6500000000000004</v>
      </c>
      <c r="U1286">
        <v>10.119999999999999</v>
      </c>
      <c r="V1286">
        <v>140.88</v>
      </c>
      <c r="W1286" s="8"/>
      <c r="X1286" s="8"/>
      <c r="Y1286" s="8"/>
      <c r="Z1286" s="8"/>
    </row>
    <row r="1287" spans="1:26" ht="25.5" customHeight="1" x14ac:dyDescent="0.2">
      <c r="A1287" s="15">
        <v>98</v>
      </c>
      <c r="B1287" s="15">
        <v>2005</v>
      </c>
      <c r="C1287" s="15">
        <v>3</v>
      </c>
      <c r="D1287" s="15">
        <v>8</v>
      </c>
      <c r="E1287" s="29" t="s">
        <v>202</v>
      </c>
      <c r="F1287" s="11" t="s">
        <v>51</v>
      </c>
      <c r="G1287" s="20">
        <v>145</v>
      </c>
      <c r="H1287" s="15" t="s">
        <v>29</v>
      </c>
      <c r="I1287" s="20">
        <v>9.5</v>
      </c>
      <c r="J1287" s="11" t="s">
        <v>19</v>
      </c>
      <c r="K1287" s="20" t="s">
        <v>20</v>
      </c>
      <c r="L1287" s="11" t="s">
        <v>41</v>
      </c>
      <c r="M1287" s="20" t="s">
        <v>45</v>
      </c>
      <c r="N1287" s="20" t="s">
        <v>24</v>
      </c>
      <c r="O1287" s="27" t="s">
        <v>29</v>
      </c>
      <c r="P1287" s="15">
        <v>215</v>
      </c>
      <c r="Q1287" s="8"/>
      <c r="R1287">
        <v>13.53</v>
      </c>
      <c r="S1287">
        <v>2475.9899999999998</v>
      </c>
      <c r="T1287">
        <v>3.84</v>
      </c>
      <c r="U1287">
        <v>9.7200000000000006</v>
      </c>
      <c r="V1287">
        <v>135.29</v>
      </c>
      <c r="W1287" s="8"/>
      <c r="X1287" s="8"/>
      <c r="Y1287" s="8"/>
      <c r="Z1287" s="8"/>
    </row>
    <row r="1288" spans="1:26" ht="25.5" customHeight="1" x14ac:dyDescent="0.2">
      <c r="A1288" s="15">
        <v>99</v>
      </c>
      <c r="B1288" s="15">
        <v>2005</v>
      </c>
      <c r="C1288" s="15">
        <v>3</v>
      </c>
      <c r="D1288" s="15">
        <v>8</v>
      </c>
      <c r="E1288" s="29" t="s">
        <v>202</v>
      </c>
      <c r="F1288" s="11" t="s">
        <v>51</v>
      </c>
      <c r="G1288" s="20">
        <v>133</v>
      </c>
      <c r="H1288" s="15" t="s">
        <v>29</v>
      </c>
      <c r="I1288" s="20">
        <v>7</v>
      </c>
      <c r="J1288" s="11" t="s">
        <v>19</v>
      </c>
      <c r="K1288" s="20" t="s">
        <v>20</v>
      </c>
      <c r="L1288" s="11" t="s">
        <v>41</v>
      </c>
      <c r="M1288" s="20" t="s">
        <v>46</v>
      </c>
      <c r="N1288" s="20" t="s">
        <v>23</v>
      </c>
      <c r="O1288" s="27" t="s">
        <v>29</v>
      </c>
      <c r="P1288" s="15">
        <v>215</v>
      </c>
      <c r="Q1288" s="8"/>
      <c r="R1288">
        <v>12.41</v>
      </c>
      <c r="S1288">
        <v>1910.73</v>
      </c>
      <c r="T1288">
        <v>3.66</v>
      </c>
      <c r="U1288">
        <v>8.91</v>
      </c>
      <c r="V1288">
        <v>124.09</v>
      </c>
      <c r="W1288" s="8"/>
      <c r="X1288" s="8"/>
      <c r="Y1288" s="8"/>
      <c r="Z1288" s="8"/>
    </row>
    <row r="1289" spans="1:26" ht="25.5" customHeight="1" x14ac:dyDescent="0.2">
      <c r="A1289" s="15">
        <v>100</v>
      </c>
      <c r="B1289" s="15">
        <v>2005</v>
      </c>
      <c r="C1289" s="15">
        <v>2</v>
      </c>
      <c r="D1289" s="15">
        <v>8</v>
      </c>
      <c r="E1289" s="29" t="s">
        <v>204</v>
      </c>
      <c r="F1289" s="11" t="s">
        <v>51</v>
      </c>
      <c r="G1289" s="20">
        <v>138</v>
      </c>
      <c r="H1289" s="15" t="s">
        <v>29</v>
      </c>
      <c r="I1289" s="20">
        <v>9</v>
      </c>
      <c r="J1289" s="11" t="s">
        <v>19</v>
      </c>
      <c r="K1289" s="20" t="s">
        <v>20</v>
      </c>
      <c r="L1289" s="11" t="s">
        <v>41</v>
      </c>
      <c r="M1289" s="20" t="s">
        <v>45</v>
      </c>
      <c r="N1289" s="20" t="s">
        <v>24</v>
      </c>
      <c r="O1289" s="27" t="s">
        <v>29</v>
      </c>
      <c r="P1289" s="15">
        <v>214</v>
      </c>
      <c r="Q1289" s="8"/>
      <c r="R1289">
        <v>12.88</v>
      </c>
      <c r="S1289">
        <v>2134.4299999999998</v>
      </c>
      <c r="T1289">
        <v>4.22</v>
      </c>
      <c r="U1289">
        <v>9.25</v>
      </c>
      <c r="V1289">
        <v>128.75</v>
      </c>
      <c r="W1289" s="8"/>
      <c r="X1289" s="8"/>
      <c r="Y1289" s="8"/>
      <c r="Z1289" s="8"/>
    </row>
    <row r="1290" spans="1:26" ht="25.5" customHeight="1" x14ac:dyDescent="0.2">
      <c r="A1290" s="15">
        <v>101</v>
      </c>
      <c r="B1290" s="15">
        <v>2005</v>
      </c>
      <c r="C1290" s="15">
        <v>2</v>
      </c>
      <c r="D1290" s="15">
        <v>8</v>
      </c>
      <c r="E1290" s="29" t="s">
        <v>204</v>
      </c>
      <c r="F1290" s="11" t="s">
        <v>51</v>
      </c>
      <c r="G1290" s="11" t="s">
        <v>29</v>
      </c>
      <c r="H1290" s="15" t="s">
        <v>29</v>
      </c>
      <c r="I1290" s="20">
        <v>12</v>
      </c>
      <c r="J1290" s="11" t="s">
        <v>19</v>
      </c>
      <c r="K1290" s="20" t="s">
        <v>20</v>
      </c>
      <c r="L1290" s="11" t="s">
        <v>21</v>
      </c>
      <c r="M1290" s="20" t="s">
        <v>45</v>
      </c>
      <c r="N1290" s="20" t="s">
        <v>25</v>
      </c>
      <c r="O1290" s="27" t="s">
        <v>29</v>
      </c>
      <c r="P1290" s="15">
        <v>214</v>
      </c>
      <c r="Q1290" s="8"/>
      <c r="W1290" s="317">
        <v>3.9</v>
      </c>
      <c r="X1290" s="190">
        <f>I1290*W1290</f>
        <v>46.8</v>
      </c>
      <c r="Y1290" s="8"/>
      <c r="Z1290" s="8"/>
    </row>
    <row r="1291" spans="1:26" ht="25.5" customHeight="1" x14ac:dyDescent="0.2">
      <c r="A1291" s="15">
        <v>102</v>
      </c>
      <c r="B1291" s="15">
        <v>2005</v>
      </c>
      <c r="C1291" s="15">
        <v>2</v>
      </c>
      <c r="D1291" s="15">
        <v>8</v>
      </c>
      <c r="E1291" s="29" t="s">
        <v>204</v>
      </c>
      <c r="F1291" s="11" t="s">
        <v>51</v>
      </c>
      <c r="G1291" s="20">
        <v>156</v>
      </c>
      <c r="H1291" s="15" t="s">
        <v>29</v>
      </c>
      <c r="I1291" s="20">
        <v>15.3</v>
      </c>
      <c r="J1291" s="11" t="s">
        <v>19</v>
      </c>
      <c r="K1291" s="20" t="s">
        <v>20</v>
      </c>
      <c r="L1291" s="20" t="s">
        <v>30</v>
      </c>
      <c r="M1291" s="20" t="s">
        <v>45</v>
      </c>
      <c r="N1291" s="20" t="s">
        <v>23</v>
      </c>
      <c r="O1291" s="27" t="s">
        <v>29</v>
      </c>
      <c r="P1291" s="15">
        <v>214</v>
      </c>
      <c r="Q1291" s="8"/>
      <c r="R1291">
        <v>14.55</v>
      </c>
      <c r="S1291">
        <v>3083.32</v>
      </c>
      <c r="T1291">
        <v>4.96</v>
      </c>
      <c r="U1291">
        <v>10.45</v>
      </c>
      <c r="V1291">
        <v>145.55000000000001</v>
      </c>
      <c r="W1291" s="317">
        <v>4.5999999999999996</v>
      </c>
      <c r="X1291" s="190">
        <f>I1291*W1291</f>
        <v>70.38</v>
      </c>
      <c r="Y1291" s="8"/>
      <c r="Z1291" s="8"/>
    </row>
    <row r="1292" spans="1:26" ht="25.5" customHeight="1" x14ac:dyDescent="0.2">
      <c r="A1292" s="15">
        <v>103</v>
      </c>
      <c r="B1292" s="15">
        <v>2005</v>
      </c>
      <c r="C1292" s="15">
        <v>2</v>
      </c>
      <c r="D1292" s="15">
        <v>8</v>
      </c>
      <c r="E1292" s="29" t="s">
        <v>204</v>
      </c>
      <c r="F1292" s="11" t="s">
        <v>28</v>
      </c>
      <c r="G1292" s="11" t="s">
        <v>29</v>
      </c>
      <c r="H1292" s="15" t="s">
        <v>29</v>
      </c>
      <c r="I1292" s="25" t="s">
        <v>29</v>
      </c>
      <c r="J1292" s="11" t="s">
        <v>19</v>
      </c>
      <c r="K1292" s="20" t="s">
        <v>34</v>
      </c>
      <c r="L1292" s="11" t="s">
        <v>41</v>
      </c>
      <c r="M1292" s="11" t="s">
        <v>29</v>
      </c>
      <c r="N1292" s="11" t="s">
        <v>29</v>
      </c>
      <c r="O1292" s="27" t="s">
        <v>29</v>
      </c>
      <c r="P1292" s="15">
        <v>214</v>
      </c>
      <c r="Q1292" s="8"/>
      <c r="W1292" s="317">
        <v>3.8</v>
      </c>
      <c r="X1292" s="190"/>
      <c r="Y1292" s="8"/>
      <c r="Z1292" s="8"/>
    </row>
    <row r="1293" spans="1:26" ht="25.5" customHeight="1" x14ac:dyDescent="0.2">
      <c r="A1293" s="15">
        <v>104</v>
      </c>
      <c r="B1293" s="15">
        <v>2005</v>
      </c>
      <c r="C1293" s="15">
        <v>2</v>
      </c>
      <c r="D1293" s="15">
        <v>8</v>
      </c>
      <c r="E1293" s="29" t="s">
        <v>204</v>
      </c>
      <c r="F1293" s="11" t="s">
        <v>51</v>
      </c>
      <c r="G1293" s="20">
        <v>146</v>
      </c>
      <c r="H1293" s="15" t="s">
        <v>29</v>
      </c>
      <c r="I1293" s="20">
        <v>11</v>
      </c>
      <c r="J1293" s="11" t="s">
        <v>19</v>
      </c>
      <c r="K1293" s="20" t="s">
        <v>34</v>
      </c>
      <c r="L1293" s="20" t="s">
        <v>35</v>
      </c>
      <c r="M1293" s="20" t="s">
        <v>27</v>
      </c>
      <c r="N1293" s="20" t="s">
        <v>24</v>
      </c>
      <c r="O1293" s="27" t="s">
        <v>29</v>
      </c>
      <c r="P1293" s="15">
        <v>214</v>
      </c>
      <c r="Q1293" s="8"/>
      <c r="R1293">
        <v>13.62</v>
      </c>
      <c r="S1293">
        <v>2527.5700000000002</v>
      </c>
      <c r="T1293">
        <v>4.3499999999999996</v>
      </c>
      <c r="U1293">
        <v>9.7799999999999994</v>
      </c>
      <c r="V1293">
        <v>136.22</v>
      </c>
      <c r="W1293" s="317">
        <v>3.8</v>
      </c>
      <c r="X1293" s="190">
        <f>I1293*W1293</f>
        <v>41.8</v>
      </c>
      <c r="Y1293" s="8"/>
      <c r="Z1293" s="8"/>
    </row>
    <row r="1294" spans="1:26" ht="25.5" customHeight="1" x14ac:dyDescent="0.2">
      <c r="A1294" s="15">
        <v>105</v>
      </c>
      <c r="B1294" s="15">
        <v>2005</v>
      </c>
      <c r="C1294" s="15">
        <v>2</v>
      </c>
      <c r="D1294" s="15">
        <v>8</v>
      </c>
      <c r="E1294" s="29" t="s">
        <v>204</v>
      </c>
      <c r="F1294" s="11" t="s">
        <v>51</v>
      </c>
      <c r="G1294" s="20">
        <v>139</v>
      </c>
      <c r="H1294" s="15" t="s">
        <v>29</v>
      </c>
      <c r="I1294" s="20">
        <v>8.4</v>
      </c>
      <c r="J1294" s="11" t="s">
        <v>19</v>
      </c>
      <c r="K1294" s="20" t="s">
        <v>34</v>
      </c>
      <c r="L1294" s="11" t="s">
        <v>41</v>
      </c>
      <c r="M1294" s="11" t="s">
        <v>29</v>
      </c>
      <c r="N1294" s="20" t="s">
        <v>24</v>
      </c>
      <c r="O1294" s="27" t="s">
        <v>29</v>
      </c>
      <c r="P1294" s="15">
        <v>214</v>
      </c>
      <c r="Q1294" s="8"/>
      <c r="R1294">
        <v>12.97</v>
      </c>
      <c r="S1294">
        <v>2181.17</v>
      </c>
      <c r="T1294">
        <v>3.85</v>
      </c>
      <c r="U1294">
        <v>9.31</v>
      </c>
      <c r="V1294">
        <v>129.69</v>
      </c>
      <c r="W1294" s="317">
        <v>3.8</v>
      </c>
      <c r="X1294" s="190">
        <f>I1294*W1294</f>
        <v>31.919999999999998</v>
      </c>
      <c r="Y1294" s="8"/>
      <c r="Z1294" s="8"/>
    </row>
    <row r="1295" spans="1:26" ht="25.5" customHeight="1" x14ac:dyDescent="0.2">
      <c r="A1295" s="15">
        <v>106</v>
      </c>
      <c r="B1295" s="15">
        <v>2005</v>
      </c>
      <c r="C1295" s="15">
        <v>2</v>
      </c>
      <c r="D1295" s="15">
        <v>8</v>
      </c>
      <c r="E1295" s="29" t="s">
        <v>204</v>
      </c>
      <c r="F1295" s="11" t="s">
        <v>51</v>
      </c>
      <c r="G1295" s="20">
        <v>137</v>
      </c>
      <c r="H1295" s="15" t="s">
        <v>29</v>
      </c>
      <c r="I1295" s="20">
        <v>12.1</v>
      </c>
      <c r="J1295" s="11" t="s">
        <v>19</v>
      </c>
      <c r="K1295" s="20" t="s">
        <v>20</v>
      </c>
      <c r="L1295" s="20" t="s">
        <v>30</v>
      </c>
      <c r="M1295" s="20" t="s">
        <v>45</v>
      </c>
      <c r="N1295" s="20" t="s">
        <v>23</v>
      </c>
      <c r="O1295" s="27" t="s">
        <v>29</v>
      </c>
      <c r="P1295" s="15">
        <v>214</v>
      </c>
      <c r="Q1295" s="8"/>
      <c r="R1295">
        <v>12.78</v>
      </c>
      <c r="S1295">
        <v>2088.37</v>
      </c>
      <c r="T1295">
        <v>5.79</v>
      </c>
      <c r="U1295">
        <v>9.18</v>
      </c>
      <c r="V1295">
        <v>127.82</v>
      </c>
      <c r="W1295" s="317">
        <v>4.5999999999999996</v>
      </c>
      <c r="X1295" s="190">
        <f>I1295*W1295</f>
        <v>55.66</v>
      </c>
      <c r="Y1295" s="8"/>
      <c r="Z1295" s="8"/>
    </row>
    <row r="1296" spans="1:26" ht="25.5" customHeight="1" x14ac:dyDescent="0.2">
      <c r="A1296" s="15">
        <v>107</v>
      </c>
      <c r="B1296" s="15">
        <v>2005</v>
      </c>
      <c r="C1296" s="15">
        <v>2</v>
      </c>
      <c r="D1296" s="15">
        <v>8</v>
      </c>
      <c r="E1296" s="29" t="s">
        <v>204</v>
      </c>
      <c r="F1296" s="11" t="s">
        <v>51</v>
      </c>
      <c r="G1296" s="20">
        <v>135</v>
      </c>
      <c r="H1296" s="15" t="s">
        <v>29</v>
      </c>
      <c r="I1296" s="20">
        <v>11</v>
      </c>
      <c r="J1296" s="11" t="s">
        <v>19</v>
      </c>
      <c r="K1296" s="20" t="s">
        <v>20</v>
      </c>
      <c r="L1296" s="11" t="s">
        <v>21</v>
      </c>
      <c r="M1296" s="20" t="s">
        <v>46</v>
      </c>
      <c r="N1296" s="20" t="s">
        <v>33</v>
      </c>
      <c r="O1296" s="27" t="s">
        <v>29</v>
      </c>
      <c r="P1296" s="15">
        <v>214</v>
      </c>
      <c r="Q1296" s="8"/>
      <c r="R1296">
        <v>12.6</v>
      </c>
      <c r="S1296">
        <v>1998.23</v>
      </c>
      <c r="T1296">
        <v>5.5</v>
      </c>
      <c r="U1296">
        <v>9.0500000000000007</v>
      </c>
      <c r="V1296">
        <v>125.96</v>
      </c>
      <c r="W1296" s="317">
        <v>3.9</v>
      </c>
      <c r="X1296" s="190">
        <f>I1296*W1296</f>
        <v>42.9</v>
      </c>
      <c r="Y1296" s="8"/>
      <c r="Z1296" s="8"/>
    </row>
    <row r="1297" spans="1:26" ht="25.5" customHeight="1" x14ac:dyDescent="0.2">
      <c r="A1297" s="15">
        <v>108</v>
      </c>
      <c r="B1297" s="15">
        <v>2005</v>
      </c>
      <c r="C1297" s="15">
        <v>2</v>
      </c>
      <c r="D1297" s="15">
        <v>8</v>
      </c>
      <c r="E1297" s="29" t="s">
        <v>204</v>
      </c>
      <c r="F1297" s="11" t="s">
        <v>51</v>
      </c>
      <c r="G1297" s="20">
        <v>157</v>
      </c>
      <c r="H1297" s="15" t="s">
        <v>29</v>
      </c>
      <c r="I1297" s="20">
        <v>13.2</v>
      </c>
      <c r="J1297" s="11" t="s">
        <v>19</v>
      </c>
      <c r="K1297" s="20" t="s">
        <v>20</v>
      </c>
      <c r="L1297" s="11" t="s">
        <v>21</v>
      </c>
      <c r="M1297" s="20" t="s">
        <v>45</v>
      </c>
      <c r="N1297" s="20" t="s">
        <v>24</v>
      </c>
      <c r="O1297" s="27" t="s">
        <v>29</v>
      </c>
      <c r="P1297" s="15">
        <v>214</v>
      </c>
      <c r="Q1297" s="8"/>
      <c r="R1297">
        <v>14.65</v>
      </c>
      <c r="S1297">
        <v>3143</v>
      </c>
      <c r="T1297">
        <v>4.2</v>
      </c>
      <c r="U1297">
        <v>10.52</v>
      </c>
      <c r="V1297">
        <v>146.47999999999999</v>
      </c>
      <c r="W1297" s="317">
        <v>3.9</v>
      </c>
      <c r="X1297" s="190">
        <f>I1297*W1297</f>
        <v>51.48</v>
      </c>
      <c r="Y1297" s="8"/>
      <c r="Z1297" s="8"/>
    </row>
    <row r="1298" spans="1:26" ht="25.5" customHeight="1" x14ac:dyDescent="0.2">
      <c r="A1298" s="15">
        <v>109</v>
      </c>
      <c r="B1298" s="15">
        <v>2005</v>
      </c>
      <c r="C1298" s="15">
        <v>2</v>
      </c>
      <c r="D1298" s="15">
        <v>8</v>
      </c>
      <c r="E1298" s="29" t="s">
        <v>204</v>
      </c>
      <c r="F1298" s="11" t="s">
        <v>28</v>
      </c>
      <c r="G1298" s="11" t="s">
        <v>29</v>
      </c>
      <c r="H1298" s="15" t="s">
        <v>29</v>
      </c>
      <c r="I1298" s="25" t="s">
        <v>29</v>
      </c>
      <c r="J1298" s="11" t="s">
        <v>19</v>
      </c>
      <c r="K1298" s="11" t="s">
        <v>41</v>
      </c>
      <c r="L1298" s="11" t="s">
        <v>41</v>
      </c>
      <c r="M1298" s="20" t="s">
        <v>46</v>
      </c>
      <c r="N1298" s="11" t="s">
        <v>29</v>
      </c>
      <c r="O1298" s="27" t="s">
        <v>29</v>
      </c>
      <c r="P1298" s="15">
        <v>214</v>
      </c>
      <c r="Q1298" s="8"/>
      <c r="W1298" s="8"/>
      <c r="X1298" s="8"/>
      <c r="Y1298" s="8"/>
      <c r="Z1298" s="8"/>
    </row>
    <row r="1299" spans="1:26" ht="25.5" customHeight="1" x14ac:dyDescent="0.2">
      <c r="A1299" s="15">
        <v>110</v>
      </c>
      <c r="B1299" s="15">
        <v>2005</v>
      </c>
      <c r="C1299" s="15">
        <v>2</v>
      </c>
      <c r="D1299" s="15">
        <v>8</v>
      </c>
      <c r="E1299" s="29" t="s">
        <v>204</v>
      </c>
      <c r="F1299" s="11" t="s">
        <v>51</v>
      </c>
      <c r="G1299" s="20">
        <v>152</v>
      </c>
      <c r="H1299" s="15" t="s">
        <v>29</v>
      </c>
      <c r="I1299" s="20">
        <v>16.100000000000001</v>
      </c>
      <c r="J1299" s="11" t="s">
        <v>19</v>
      </c>
      <c r="K1299" s="20" t="s">
        <v>20</v>
      </c>
      <c r="L1299" s="11" t="s">
        <v>21</v>
      </c>
      <c r="M1299" s="20" t="s">
        <v>46</v>
      </c>
      <c r="N1299" s="20" t="s">
        <v>25</v>
      </c>
      <c r="O1299" s="27" t="s">
        <v>29</v>
      </c>
      <c r="P1299" s="15">
        <v>214</v>
      </c>
      <c r="Q1299" s="8"/>
      <c r="R1299">
        <v>14.18</v>
      </c>
      <c r="S1299">
        <v>2852.17</v>
      </c>
      <c r="T1299">
        <v>5.64</v>
      </c>
      <c r="U1299">
        <v>10.18</v>
      </c>
      <c r="V1299">
        <v>141.82</v>
      </c>
      <c r="W1299" s="317">
        <v>3.9</v>
      </c>
      <c r="X1299" s="190">
        <f>I1299*W1299</f>
        <v>62.790000000000006</v>
      </c>
      <c r="Y1299" s="8"/>
      <c r="Z1299" s="8"/>
    </row>
    <row r="1300" spans="1:26" ht="12.75" customHeight="1" x14ac:dyDescent="0.2">
      <c r="A1300" s="15">
        <v>1</v>
      </c>
      <c r="B1300" s="15">
        <v>2004</v>
      </c>
      <c r="C1300" s="15">
        <v>2</v>
      </c>
      <c r="D1300" s="15">
        <v>8</v>
      </c>
      <c r="E1300" s="29" t="s">
        <v>17</v>
      </c>
      <c r="F1300" s="11" t="s">
        <v>51</v>
      </c>
      <c r="G1300" s="20">
        <v>130</v>
      </c>
      <c r="H1300" s="15" t="s">
        <v>29</v>
      </c>
      <c r="I1300" s="20">
        <v>10</v>
      </c>
      <c r="J1300" s="11" t="s">
        <v>19</v>
      </c>
      <c r="K1300" s="20" t="s">
        <v>20</v>
      </c>
      <c r="L1300" s="20" t="s">
        <v>30</v>
      </c>
      <c r="M1300" s="11" t="s">
        <v>29</v>
      </c>
      <c r="N1300" s="20" t="s">
        <v>24</v>
      </c>
      <c r="O1300" s="27" t="s">
        <v>29</v>
      </c>
      <c r="P1300" s="15">
        <v>215</v>
      </c>
      <c r="Q1300" s="8"/>
      <c r="R1300">
        <v>12.13</v>
      </c>
      <c r="S1300">
        <v>1784.33</v>
      </c>
      <c r="T1300">
        <v>5.6</v>
      </c>
      <c r="U1300">
        <v>8.7100000000000009</v>
      </c>
      <c r="V1300">
        <v>121.29</v>
      </c>
      <c r="W1300" s="317">
        <v>4.5999999999999996</v>
      </c>
      <c r="X1300" s="190">
        <f>I1300*W1300</f>
        <v>46</v>
      </c>
      <c r="Y1300" s="8"/>
      <c r="Z1300" s="8"/>
    </row>
    <row r="1301" spans="1:26" ht="12.75" customHeight="1" x14ac:dyDescent="0.2">
      <c r="A1301" s="15">
        <v>2</v>
      </c>
      <c r="B1301" s="15">
        <v>2004</v>
      </c>
      <c r="C1301" s="15">
        <v>2</v>
      </c>
      <c r="D1301" s="15">
        <v>8</v>
      </c>
      <c r="E1301" s="29" t="s">
        <v>17</v>
      </c>
      <c r="F1301" s="11" t="s">
        <v>28</v>
      </c>
      <c r="G1301" s="11" t="s">
        <v>29</v>
      </c>
      <c r="H1301" s="15" t="s">
        <v>29</v>
      </c>
      <c r="I1301" s="25" t="s">
        <v>29</v>
      </c>
      <c r="J1301" s="11" t="s">
        <v>19</v>
      </c>
      <c r="K1301" s="20" t="s">
        <v>20</v>
      </c>
      <c r="L1301" s="11" t="s">
        <v>41</v>
      </c>
      <c r="M1301" s="11" t="s">
        <v>29</v>
      </c>
      <c r="N1301" s="11" t="s">
        <v>29</v>
      </c>
      <c r="O1301" s="27" t="s">
        <v>29</v>
      </c>
      <c r="P1301" s="15">
        <v>215</v>
      </c>
      <c r="Q1301" s="8"/>
      <c r="W1301" s="8"/>
      <c r="X1301" s="8"/>
      <c r="Y1301" s="8"/>
      <c r="Z1301" s="8"/>
    </row>
    <row r="1302" spans="1:26" ht="12.75" customHeight="1" x14ac:dyDescent="0.2">
      <c r="A1302" s="15">
        <v>3</v>
      </c>
      <c r="B1302" s="15">
        <v>2004</v>
      </c>
      <c r="C1302" s="15">
        <v>2</v>
      </c>
      <c r="D1302" s="15">
        <v>8</v>
      </c>
      <c r="E1302" s="29" t="s">
        <v>17</v>
      </c>
      <c r="F1302" s="11" t="s">
        <v>51</v>
      </c>
      <c r="G1302" s="20">
        <v>126</v>
      </c>
      <c r="H1302" s="15" t="s">
        <v>29</v>
      </c>
      <c r="I1302" s="20">
        <v>7</v>
      </c>
      <c r="J1302" s="11" t="s">
        <v>19</v>
      </c>
      <c r="K1302" s="20" t="s">
        <v>20</v>
      </c>
      <c r="L1302" s="11" t="s">
        <v>21</v>
      </c>
      <c r="M1302" s="20" t="s">
        <v>46</v>
      </c>
      <c r="N1302" s="20" t="s">
        <v>25</v>
      </c>
      <c r="O1302" s="27" t="s">
        <v>29</v>
      </c>
      <c r="P1302" s="15">
        <v>215</v>
      </c>
      <c r="Q1302" s="8"/>
      <c r="R1302">
        <v>11.76</v>
      </c>
      <c r="S1302">
        <v>1624.64</v>
      </c>
      <c r="T1302">
        <v>4.3099999999999996</v>
      </c>
      <c r="U1302">
        <v>8.44</v>
      </c>
      <c r="V1302">
        <v>117.56</v>
      </c>
      <c r="W1302" s="317">
        <v>3.9</v>
      </c>
      <c r="X1302" s="190">
        <f t="shared" ref="X1302:X1314" si="49">I1302*W1302</f>
        <v>27.3</v>
      </c>
      <c r="Y1302" s="8"/>
      <c r="Z1302" s="8"/>
    </row>
    <row r="1303" spans="1:26" ht="12.75" customHeight="1" x14ac:dyDescent="0.2">
      <c r="A1303" s="15">
        <v>4</v>
      </c>
      <c r="B1303" s="15">
        <v>2004</v>
      </c>
      <c r="C1303" s="15">
        <v>2</v>
      </c>
      <c r="D1303" s="15">
        <v>8</v>
      </c>
      <c r="E1303" s="29" t="s">
        <v>17</v>
      </c>
      <c r="F1303" s="11" t="s">
        <v>51</v>
      </c>
      <c r="G1303" s="20">
        <v>139</v>
      </c>
      <c r="H1303" s="15" t="s">
        <v>29</v>
      </c>
      <c r="I1303" s="20">
        <v>8</v>
      </c>
      <c r="J1303" s="11" t="s">
        <v>19</v>
      </c>
      <c r="K1303" s="20" t="s">
        <v>20</v>
      </c>
      <c r="L1303" s="11" t="s">
        <v>21</v>
      </c>
      <c r="M1303" s="20" t="s">
        <v>46</v>
      </c>
      <c r="N1303" s="20" t="s">
        <v>25</v>
      </c>
      <c r="O1303" s="27" t="s">
        <v>29</v>
      </c>
      <c r="P1303" s="15">
        <v>215</v>
      </c>
      <c r="Q1303" s="8"/>
      <c r="R1303">
        <v>12.97</v>
      </c>
      <c r="S1303">
        <v>2181.17</v>
      </c>
      <c r="T1303">
        <v>3.67</v>
      </c>
      <c r="U1303">
        <v>9.31</v>
      </c>
      <c r="V1303">
        <v>129.69</v>
      </c>
      <c r="W1303" s="317">
        <v>3.9</v>
      </c>
      <c r="X1303" s="190">
        <f t="shared" si="49"/>
        <v>31.2</v>
      </c>
      <c r="Y1303" s="8"/>
      <c r="Z1303" s="8"/>
    </row>
    <row r="1304" spans="1:26" ht="12.75" customHeight="1" x14ac:dyDescent="0.2">
      <c r="A1304" s="15">
        <v>5</v>
      </c>
      <c r="B1304" s="15">
        <v>2004</v>
      </c>
      <c r="C1304" s="15">
        <v>2</v>
      </c>
      <c r="D1304" s="15">
        <v>8</v>
      </c>
      <c r="E1304" s="29" t="s">
        <v>17</v>
      </c>
      <c r="F1304" s="11" t="s">
        <v>51</v>
      </c>
      <c r="G1304" s="20">
        <v>113</v>
      </c>
      <c r="H1304" s="15" t="s">
        <v>29</v>
      </c>
      <c r="I1304" s="20">
        <v>7</v>
      </c>
      <c r="J1304" s="11" t="s">
        <v>19</v>
      </c>
      <c r="K1304" s="20" t="s">
        <v>20</v>
      </c>
      <c r="L1304" s="11" t="s">
        <v>21</v>
      </c>
      <c r="M1304" s="20" t="s">
        <v>46</v>
      </c>
      <c r="N1304" s="20" t="s">
        <v>25</v>
      </c>
      <c r="O1304" s="27" t="s">
        <v>29</v>
      </c>
      <c r="P1304" s="15">
        <v>215</v>
      </c>
      <c r="Q1304" s="8"/>
      <c r="R1304">
        <v>10.54</v>
      </c>
      <c r="S1304">
        <v>1171.8699999999999</v>
      </c>
      <c r="T1304">
        <v>5.97</v>
      </c>
      <c r="U1304">
        <v>7.57</v>
      </c>
      <c r="V1304">
        <v>105.43</v>
      </c>
      <c r="W1304" s="317">
        <v>3.9</v>
      </c>
      <c r="X1304" s="190">
        <f t="shared" si="49"/>
        <v>27.3</v>
      </c>
      <c r="Y1304" s="8"/>
      <c r="Z1304" s="8"/>
    </row>
    <row r="1305" spans="1:26" ht="12.75" customHeight="1" x14ac:dyDescent="0.2">
      <c r="A1305" s="15">
        <v>6</v>
      </c>
      <c r="B1305" s="15">
        <v>2004</v>
      </c>
      <c r="C1305" s="15">
        <v>2</v>
      </c>
      <c r="D1305" s="15">
        <v>8</v>
      </c>
      <c r="E1305" s="29" t="s">
        <v>17</v>
      </c>
      <c r="F1305" s="11" t="s">
        <v>51</v>
      </c>
      <c r="G1305" s="20">
        <v>114</v>
      </c>
      <c r="H1305" s="15" t="s">
        <v>29</v>
      </c>
      <c r="I1305" s="20">
        <v>7</v>
      </c>
      <c r="J1305" s="11" t="s">
        <v>19</v>
      </c>
      <c r="K1305" s="20" t="s">
        <v>20</v>
      </c>
      <c r="L1305" s="20" t="s">
        <v>30</v>
      </c>
      <c r="M1305" s="11" t="s">
        <v>29</v>
      </c>
      <c r="N1305" s="20" t="s">
        <v>25</v>
      </c>
      <c r="O1305" s="27" t="s">
        <v>29</v>
      </c>
      <c r="P1305" s="15">
        <v>215</v>
      </c>
      <c r="Q1305" s="8"/>
      <c r="R1305">
        <v>10.64</v>
      </c>
      <c r="S1305">
        <v>1203.26</v>
      </c>
      <c r="T1305">
        <v>5.82</v>
      </c>
      <c r="U1305">
        <v>7.64</v>
      </c>
      <c r="V1305">
        <v>106.36</v>
      </c>
      <c r="W1305" s="317">
        <v>4.5999999999999996</v>
      </c>
      <c r="X1305" s="190">
        <f t="shared" si="49"/>
        <v>32.199999999999996</v>
      </c>
      <c r="Y1305" s="8"/>
      <c r="Z1305" s="8"/>
    </row>
    <row r="1306" spans="1:26" ht="12.75" customHeight="1" x14ac:dyDescent="0.2">
      <c r="A1306" s="15">
        <v>7</v>
      </c>
      <c r="B1306" s="15">
        <v>2004</v>
      </c>
      <c r="C1306" s="15">
        <v>2</v>
      </c>
      <c r="D1306" s="15">
        <v>8</v>
      </c>
      <c r="E1306" s="29" t="s">
        <v>17</v>
      </c>
      <c r="F1306" s="11" t="s">
        <v>51</v>
      </c>
      <c r="G1306" s="20">
        <v>149</v>
      </c>
      <c r="H1306" s="15" t="s">
        <v>29</v>
      </c>
      <c r="I1306" s="20">
        <v>10.5</v>
      </c>
      <c r="J1306" s="11" t="s">
        <v>19</v>
      </c>
      <c r="K1306" s="20" t="s">
        <v>20</v>
      </c>
      <c r="L1306" s="11" t="s">
        <v>21</v>
      </c>
      <c r="M1306" s="20" t="s">
        <v>47</v>
      </c>
      <c r="N1306" s="20" t="s">
        <v>23</v>
      </c>
      <c r="O1306" s="27" t="s">
        <v>29</v>
      </c>
      <c r="P1306" s="15">
        <v>215</v>
      </c>
      <c r="Q1306" s="8"/>
      <c r="R1306">
        <v>13.9</v>
      </c>
      <c r="S1306">
        <v>2686.6</v>
      </c>
      <c r="T1306">
        <v>3.91</v>
      </c>
      <c r="U1306">
        <v>9.98</v>
      </c>
      <c r="V1306">
        <v>139.02000000000001</v>
      </c>
      <c r="W1306" s="317">
        <v>3.9</v>
      </c>
      <c r="X1306" s="190">
        <f t="shared" si="49"/>
        <v>40.949999999999996</v>
      </c>
      <c r="Y1306" s="8"/>
      <c r="Z1306" s="8"/>
    </row>
    <row r="1307" spans="1:26" ht="12.75" customHeight="1" x14ac:dyDescent="0.2">
      <c r="A1307" s="15">
        <v>8</v>
      </c>
      <c r="B1307" s="15">
        <v>2004</v>
      </c>
      <c r="C1307" s="15">
        <v>2</v>
      </c>
      <c r="D1307" s="15">
        <v>8</v>
      </c>
      <c r="E1307" s="29" t="s">
        <v>17</v>
      </c>
      <c r="F1307" s="11" t="s">
        <v>51</v>
      </c>
      <c r="G1307" s="20">
        <v>131</v>
      </c>
      <c r="H1307" s="15" t="s">
        <v>29</v>
      </c>
      <c r="I1307" s="20">
        <v>9</v>
      </c>
      <c r="J1307" s="11" t="s">
        <v>19</v>
      </c>
      <c r="K1307" s="20" t="s">
        <v>20</v>
      </c>
      <c r="L1307" s="11" t="s">
        <v>21</v>
      </c>
      <c r="M1307" s="11" t="s">
        <v>29</v>
      </c>
      <c r="N1307" s="20" t="s">
        <v>25</v>
      </c>
      <c r="O1307" s="27" t="s">
        <v>29</v>
      </c>
      <c r="P1307" s="15">
        <v>215</v>
      </c>
      <c r="Q1307" s="8"/>
      <c r="R1307">
        <v>12.22</v>
      </c>
      <c r="S1307">
        <v>1825.82</v>
      </c>
      <c r="T1307">
        <v>4.93</v>
      </c>
      <c r="U1307">
        <v>8.7799999999999994</v>
      </c>
      <c r="V1307">
        <v>122.22</v>
      </c>
      <c r="W1307" s="317">
        <v>3.9</v>
      </c>
      <c r="X1307" s="190">
        <f t="shared" si="49"/>
        <v>35.1</v>
      </c>
      <c r="Y1307" s="8"/>
      <c r="Z1307" s="8"/>
    </row>
    <row r="1308" spans="1:26" ht="12.75" customHeight="1" x14ac:dyDescent="0.2">
      <c r="A1308" s="15">
        <v>9</v>
      </c>
      <c r="B1308" s="15">
        <v>2004</v>
      </c>
      <c r="C1308" s="15">
        <v>2</v>
      </c>
      <c r="D1308" s="15">
        <v>8</v>
      </c>
      <c r="E1308" s="29" t="s">
        <v>17</v>
      </c>
      <c r="F1308" s="11" t="s">
        <v>51</v>
      </c>
      <c r="G1308" s="20">
        <v>124</v>
      </c>
      <c r="H1308" s="15" t="s">
        <v>29</v>
      </c>
      <c r="I1308" s="20">
        <v>9</v>
      </c>
      <c r="J1308" s="11" t="s">
        <v>19</v>
      </c>
      <c r="K1308" s="20" t="s">
        <v>20</v>
      </c>
      <c r="L1308" s="11" t="s">
        <v>21</v>
      </c>
      <c r="M1308" s="20" t="s">
        <v>46</v>
      </c>
      <c r="N1308" s="20" t="s">
        <v>24</v>
      </c>
      <c r="O1308" s="27" t="s">
        <v>29</v>
      </c>
      <c r="P1308" s="15">
        <v>215</v>
      </c>
      <c r="Q1308" s="8"/>
      <c r="R1308">
        <v>11.57</v>
      </c>
      <c r="S1308">
        <v>1548.5</v>
      </c>
      <c r="T1308">
        <v>5.81</v>
      </c>
      <c r="U1308">
        <v>8.31</v>
      </c>
      <c r="V1308">
        <v>115.69</v>
      </c>
      <c r="W1308" s="317">
        <v>3.9</v>
      </c>
      <c r="X1308" s="190">
        <f t="shared" si="49"/>
        <v>35.1</v>
      </c>
      <c r="Y1308" s="8"/>
      <c r="Z1308" s="8"/>
    </row>
    <row r="1309" spans="1:26" ht="12.75" customHeight="1" x14ac:dyDescent="0.2">
      <c r="A1309" s="15">
        <v>10</v>
      </c>
      <c r="B1309" s="15">
        <v>2004</v>
      </c>
      <c r="C1309" s="15">
        <v>2</v>
      </c>
      <c r="D1309" s="15">
        <v>8</v>
      </c>
      <c r="E1309" s="29" t="s">
        <v>17</v>
      </c>
      <c r="F1309" s="11" t="s">
        <v>51</v>
      </c>
      <c r="G1309" s="20">
        <v>137</v>
      </c>
      <c r="H1309" s="15" t="s">
        <v>29</v>
      </c>
      <c r="I1309" s="20">
        <v>11</v>
      </c>
      <c r="J1309" s="11" t="s">
        <v>19</v>
      </c>
      <c r="K1309" s="20" t="s">
        <v>20</v>
      </c>
      <c r="L1309" s="11" t="s">
        <v>21</v>
      </c>
      <c r="M1309" s="20" t="s">
        <v>46</v>
      </c>
      <c r="N1309" s="20" t="s">
        <v>25</v>
      </c>
      <c r="O1309" s="27" t="s">
        <v>29</v>
      </c>
      <c r="P1309" s="15">
        <v>215</v>
      </c>
      <c r="Q1309" s="8"/>
      <c r="R1309">
        <v>12.78</v>
      </c>
      <c r="S1309">
        <v>2088.37</v>
      </c>
      <c r="T1309">
        <v>5.27</v>
      </c>
      <c r="U1309">
        <v>9.18</v>
      </c>
      <c r="V1309">
        <v>127.82</v>
      </c>
      <c r="W1309" s="317">
        <v>3.9</v>
      </c>
      <c r="X1309" s="190">
        <f t="shared" si="49"/>
        <v>42.9</v>
      </c>
      <c r="Y1309" s="8"/>
      <c r="Z1309" s="8"/>
    </row>
    <row r="1310" spans="1:26" ht="12.75" customHeight="1" x14ac:dyDescent="0.2">
      <c r="A1310" s="15">
        <v>11</v>
      </c>
      <c r="B1310" s="15">
        <v>2004</v>
      </c>
      <c r="C1310" s="15">
        <v>2</v>
      </c>
      <c r="D1310" s="15">
        <v>8</v>
      </c>
      <c r="E1310" s="29" t="s">
        <v>17</v>
      </c>
      <c r="F1310" s="11" t="s">
        <v>51</v>
      </c>
      <c r="G1310" s="20">
        <v>132</v>
      </c>
      <c r="H1310" s="15" t="s">
        <v>29</v>
      </c>
      <c r="I1310" s="20">
        <v>9</v>
      </c>
      <c r="J1310" s="11" t="s">
        <v>19</v>
      </c>
      <c r="K1310" s="20" t="s">
        <v>20</v>
      </c>
      <c r="L1310" s="11" t="s">
        <v>21</v>
      </c>
      <c r="M1310" s="20" t="s">
        <v>46</v>
      </c>
      <c r="N1310" s="20" t="s">
        <v>25</v>
      </c>
      <c r="O1310" s="27" t="s">
        <v>29</v>
      </c>
      <c r="P1310" s="15">
        <v>215</v>
      </c>
      <c r="Q1310" s="8"/>
      <c r="R1310">
        <v>12.32</v>
      </c>
      <c r="S1310">
        <v>1867.96</v>
      </c>
      <c r="T1310">
        <v>4.82</v>
      </c>
      <c r="U1310">
        <v>8.84</v>
      </c>
      <c r="V1310">
        <v>123.16</v>
      </c>
      <c r="W1310" s="317">
        <v>3.9</v>
      </c>
      <c r="X1310" s="190">
        <f t="shared" si="49"/>
        <v>35.1</v>
      </c>
      <c r="Y1310" s="8"/>
      <c r="Z1310" s="8"/>
    </row>
    <row r="1311" spans="1:26" ht="12.75" customHeight="1" x14ac:dyDescent="0.2">
      <c r="A1311" s="15">
        <v>12</v>
      </c>
      <c r="B1311" s="15">
        <v>2004</v>
      </c>
      <c r="C1311" s="15">
        <v>2</v>
      </c>
      <c r="D1311" s="15">
        <v>8</v>
      </c>
      <c r="E1311" s="29" t="s">
        <v>17</v>
      </c>
      <c r="F1311" s="11" t="s">
        <v>51</v>
      </c>
      <c r="G1311" s="20">
        <v>134</v>
      </c>
      <c r="H1311" s="15" t="s">
        <v>29</v>
      </c>
      <c r="I1311" s="20">
        <v>8</v>
      </c>
      <c r="J1311" s="11" t="s">
        <v>19</v>
      </c>
      <c r="K1311" s="20" t="s">
        <v>20</v>
      </c>
      <c r="L1311" s="11" t="s">
        <v>21</v>
      </c>
      <c r="M1311" s="20" t="s">
        <v>46</v>
      </c>
      <c r="N1311" s="20" t="s">
        <v>25</v>
      </c>
      <c r="O1311" s="27" t="s">
        <v>29</v>
      </c>
      <c r="P1311" s="15">
        <v>215</v>
      </c>
      <c r="Q1311" s="8"/>
      <c r="R1311">
        <v>12.5</v>
      </c>
      <c r="S1311">
        <v>1954.16</v>
      </c>
      <c r="T1311">
        <v>4.09</v>
      </c>
      <c r="U1311">
        <v>8.98</v>
      </c>
      <c r="V1311">
        <v>125.02</v>
      </c>
      <c r="W1311" s="317">
        <v>3.9</v>
      </c>
      <c r="X1311" s="190">
        <f t="shared" si="49"/>
        <v>31.2</v>
      </c>
      <c r="Y1311" s="8"/>
      <c r="Z1311" s="8"/>
    </row>
    <row r="1312" spans="1:26" ht="12.75" customHeight="1" x14ac:dyDescent="0.2">
      <c r="A1312" s="15">
        <v>13</v>
      </c>
      <c r="B1312" s="15">
        <v>2004</v>
      </c>
      <c r="C1312" s="15">
        <v>2</v>
      </c>
      <c r="D1312" s="15">
        <v>8</v>
      </c>
      <c r="E1312" s="29" t="s">
        <v>17</v>
      </c>
      <c r="F1312" s="11" t="s">
        <v>51</v>
      </c>
      <c r="G1312" s="20">
        <v>151</v>
      </c>
      <c r="H1312" s="15" t="s">
        <v>29</v>
      </c>
      <c r="I1312" s="20">
        <v>14.5</v>
      </c>
      <c r="J1312" s="11" t="s">
        <v>19</v>
      </c>
      <c r="K1312" s="20" t="s">
        <v>20</v>
      </c>
      <c r="L1312" s="11" t="s">
        <v>21</v>
      </c>
      <c r="M1312" s="20" t="s">
        <v>46</v>
      </c>
      <c r="N1312" s="20" t="s">
        <v>25</v>
      </c>
      <c r="O1312" s="27" t="s">
        <v>29</v>
      </c>
      <c r="P1312" s="15">
        <v>215</v>
      </c>
      <c r="Q1312" s="8"/>
      <c r="R1312">
        <v>14.09</v>
      </c>
      <c r="S1312">
        <v>2796.25</v>
      </c>
      <c r="T1312">
        <v>5.19</v>
      </c>
      <c r="U1312">
        <v>10.119999999999999</v>
      </c>
      <c r="V1312">
        <v>140.88</v>
      </c>
      <c r="W1312" s="317">
        <v>3.9</v>
      </c>
      <c r="X1312" s="190">
        <f t="shared" si="49"/>
        <v>56.55</v>
      </c>
      <c r="Y1312" s="8"/>
      <c r="Z1312" s="8"/>
    </row>
    <row r="1313" spans="1:26" ht="12.75" customHeight="1" x14ac:dyDescent="0.2">
      <c r="A1313" s="15">
        <v>14</v>
      </c>
      <c r="B1313" s="15">
        <v>2004</v>
      </c>
      <c r="C1313" s="15">
        <v>2</v>
      </c>
      <c r="D1313" s="15">
        <v>8</v>
      </c>
      <c r="E1313" s="29" t="s">
        <v>17</v>
      </c>
      <c r="F1313" s="11" t="s">
        <v>51</v>
      </c>
      <c r="G1313" s="20">
        <v>126</v>
      </c>
      <c r="H1313" s="15" t="s">
        <v>29</v>
      </c>
      <c r="I1313" s="20">
        <v>10</v>
      </c>
      <c r="J1313" s="11" t="s">
        <v>19</v>
      </c>
      <c r="K1313" s="20" t="s">
        <v>20</v>
      </c>
      <c r="L1313" s="20" t="s">
        <v>30</v>
      </c>
      <c r="M1313" s="20" t="s">
        <v>27</v>
      </c>
      <c r="N1313" s="20" t="s">
        <v>24</v>
      </c>
      <c r="O1313" s="27" t="s">
        <v>29</v>
      </c>
      <c r="P1313" s="15">
        <v>215</v>
      </c>
      <c r="Q1313" s="8"/>
      <c r="R1313">
        <v>11.76</v>
      </c>
      <c r="S1313">
        <v>1624.64</v>
      </c>
      <c r="T1313">
        <v>6.16</v>
      </c>
      <c r="U1313">
        <v>8.44</v>
      </c>
      <c r="V1313">
        <v>117.56</v>
      </c>
      <c r="W1313" s="317">
        <v>4.5999999999999996</v>
      </c>
      <c r="X1313" s="190">
        <f t="shared" si="49"/>
        <v>46</v>
      </c>
      <c r="Y1313" s="8"/>
      <c r="Z1313" s="8"/>
    </row>
    <row r="1314" spans="1:26" ht="12.75" customHeight="1" x14ac:dyDescent="0.2">
      <c r="A1314" s="15">
        <v>15</v>
      </c>
      <c r="B1314" s="15">
        <v>2004</v>
      </c>
      <c r="C1314" s="15">
        <v>2</v>
      </c>
      <c r="D1314" s="15">
        <v>8</v>
      </c>
      <c r="E1314" s="29" t="s">
        <v>17</v>
      </c>
      <c r="F1314" s="11" t="s">
        <v>51</v>
      </c>
      <c r="G1314" s="20">
        <v>141</v>
      </c>
      <c r="H1314" s="15" t="s">
        <v>29</v>
      </c>
      <c r="I1314" s="20">
        <v>12.2</v>
      </c>
      <c r="J1314" s="11" t="s">
        <v>19</v>
      </c>
      <c r="K1314" s="20" t="s">
        <v>20</v>
      </c>
      <c r="L1314" s="20" t="s">
        <v>30</v>
      </c>
      <c r="M1314" s="20" t="s">
        <v>46</v>
      </c>
      <c r="N1314" s="20" t="s">
        <v>25</v>
      </c>
      <c r="O1314" s="27" t="s">
        <v>29</v>
      </c>
      <c r="P1314" s="15">
        <v>215</v>
      </c>
      <c r="Q1314" s="8"/>
      <c r="R1314">
        <v>13.16</v>
      </c>
      <c r="S1314">
        <v>2276.6799999999998</v>
      </c>
      <c r="T1314">
        <v>5.36</v>
      </c>
      <c r="U1314">
        <v>9.4499999999999993</v>
      </c>
      <c r="V1314">
        <v>131.55000000000001</v>
      </c>
      <c r="W1314" s="317">
        <v>4.5999999999999996</v>
      </c>
      <c r="X1314" s="190">
        <f t="shared" si="49"/>
        <v>56.11999999999999</v>
      </c>
      <c r="Y1314" s="8"/>
      <c r="Z1314" s="8"/>
    </row>
    <row r="1315" spans="1:26" ht="12.75" customHeight="1" x14ac:dyDescent="0.2">
      <c r="A1315" s="15">
        <v>16</v>
      </c>
      <c r="B1315" s="15">
        <v>2004</v>
      </c>
      <c r="C1315" s="15">
        <v>2</v>
      </c>
      <c r="D1315" s="15">
        <v>8</v>
      </c>
      <c r="E1315" s="29" t="s">
        <v>17</v>
      </c>
      <c r="F1315" s="11" t="s">
        <v>28</v>
      </c>
      <c r="G1315" s="11" t="s">
        <v>29</v>
      </c>
      <c r="H1315" s="15" t="s">
        <v>29</v>
      </c>
      <c r="I1315" s="25" t="s">
        <v>29</v>
      </c>
      <c r="J1315" s="11" t="s">
        <v>19</v>
      </c>
      <c r="K1315" s="20" t="s">
        <v>20</v>
      </c>
      <c r="L1315" s="11" t="s">
        <v>41</v>
      </c>
      <c r="M1315" s="11" t="s">
        <v>29</v>
      </c>
      <c r="N1315" s="11" t="s">
        <v>29</v>
      </c>
      <c r="O1315" s="27" t="s">
        <v>29</v>
      </c>
      <c r="P1315" s="15">
        <v>215</v>
      </c>
      <c r="Q1315" s="8"/>
      <c r="W1315" s="8"/>
      <c r="X1315" s="8"/>
      <c r="Y1315" s="8"/>
      <c r="Z1315" s="8"/>
    </row>
    <row r="1316" spans="1:26" ht="12.75" customHeight="1" x14ac:dyDescent="0.2">
      <c r="A1316" s="15">
        <v>17</v>
      </c>
      <c r="B1316" s="15">
        <v>2004</v>
      </c>
      <c r="C1316" s="15">
        <v>2</v>
      </c>
      <c r="D1316" s="15">
        <v>8</v>
      </c>
      <c r="E1316" s="29" t="s">
        <v>17</v>
      </c>
      <c r="F1316" s="11" t="s">
        <v>51</v>
      </c>
      <c r="G1316" s="20">
        <v>121</v>
      </c>
      <c r="H1316" s="15" t="s">
        <v>29</v>
      </c>
      <c r="I1316" s="20">
        <v>8</v>
      </c>
      <c r="J1316" s="11" t="s">
        <v>19</v>
      </c>
      <c r="K1316" s="20" t="s">
        <v>20</v>
      </c>
      <c r="L1316" s="11" t="s">
        <v>21</v>
      </c>
      <c r="M1316" s="11" t="s">
        <v>29</v>
      </c>
      <c r="N1316" s="20" t="s">
        <v>25</v>
      </c>
      <c r="O1316" s="27" t="s">
        <v>29</v>
      </c>
      <c r="P1316" s="15">
        <v>215</v>
      </c>
      <c r="Q1316" s="8"/>
      <c r="R1316">
        <v>11.29</v>
      </c>
      <c r="S1316">
        <v>1438.8</v>
      </c>
      <c r="T1316">
        <v>5.56</v>
      </c>
      <c r="U1316">
        <v>8.11</v>
      </c>
      <c r="V1316">
        <v>112.89</v>
      </c>
      <c r="W1316" s="317">
        <v>3.9</v>
      </c>
      <c r="X1316" s="190">
        <f>I1316*W1316</f>
        <v>31.2</v>
      </c>
      <c r="Y1316" s="8"/>
      <c r="Z1316" s="8"/>
    </row>
    <row r="1317" spans="1:26" ht="12.75" customHeight="1" x14ac:dyDescent="0.2">
      <c r="A1317" s="15">
        <v>18</v>
      </c>
      <c r="B1317" s="15">
        <v>2004</v>
      </c>
      <c r="C1317" s="15">
        <v>2</v>
      </c>
      <c r="D1317" s="15">
        <v>8</v>
      </c>
      <c r="E1317" s="29" t="s">
        <v>17</v>
      </c>
      <c r="F1317" s="11" t="s">
        <v>51</v>
      </c>
      <c r="G1317" s="20">
        <v>133</v>
      </c>
      <c r="H1317" s="15" t="s">
        <v>29</v>
      </c>
      <c r="I1317" s="20">
        <v>7.5</v>
      </c>
      <c r="J1317" s="11" t="s">
        <v>19</v>
      </c>
      <c r="K1317" s="20" t="s">
        <v>20</v>
      </c>
      <c r="L1317" s="20" t="s">
        <v>30</v>
      </c>
      <c r="M1317" s="20" t="s">
        <v>45</v>
      </c>
      <c r="N1317" s="20" t="s">
        <v>25</v>
      </c>
      <c r="O1317" s="27" t="s">
        <v>29</v>
      </c>
      <c r="P1317" s="15">
        <v>215</v>
      </c>
      <c r="Q1317" s="8"/>
      <c r="R1317">
        <v>12.41</v>
      </c>
      <c r="S1317">
        <v>1910.73</v>
      </c>
      <c r="T1317">
        <v>3.93</v>
      </c>
      <c r="U1317">
        <v>8.91</v>
      </c>
      <c r="V1317">
        <v>124.09</v>
      </c>
      <c r="W1317" s="317">
        <v>4.5999999999999996</v>
      </c>
      <c r="X1317" s="190">
        <f>I1317*W1317</f>
        <v>34.5</v>
      </c>
      <c r="Y1317" s="8"/>
      <c r="Z1317" s="8"/>
    </row>
    <row r="1318" spans="1:26" ht="12.75" customHeight="1" x14ac:dyDescent="0.2">
      <c r="A1318" s="15">
        <v>19</v>
      </c>
      <c r="B1318" s="15">
        <v>2004</v>
      </c>
      <c r="C1318" s="15">
        <v>2</v>
      </c>
      <c r="D1318" s="15">
        <v>8</v>
      </c>
      <c r="E1318" s="29" t="s">
        <v>17</v>
      </c>
      <c r="F1318" s="11" t="s">
        <v>51</v>
      </c>
      <c r="G1318" s="20">
        <v>136</v>
      </c>
      <c r="H1318" s="15" t="s">
        <v>29</v>
      </c>
      <c r="I1318" s="20">
        <v>7.5</v>
      </c>
      <c r="J1318" s="11" t="s">
        <v>19</v>
      </c>
      <c r="K1318" s="20" t="s">
        <v>20</v>
      </c>
      <c r="L1318" s="11" t="s">
        <v>21</v>
      </c>
      <c r="M1318" s="20" t="s">
        <v>46</v>
      </c>
      <c r="N1318" s="20" t="s">
        <v>25</v>
      </c>
      <c r="O1318" s="27" t="s">
        <v>29</v>
      </c>
      <c r="P1318" s="15">
        <v>215</v>
      </c>
      <c r="Q1318" s="8"/>
      <c r="R1318">
        <v>12.69</v>
      </c>
      <c r="S1318">
        <v>2042.97</v>
      </c>
      <c r="T1318">
        <v>3.67</v>
      </c>
      <c r="U1318">
        <v>9.11</v>
      </c>
      <c r="V1318">
        <v>126.89</v>
      </c>
      <c r="W1318" s="317">
        <v>3.9</v>
      </c>
      <c r="X1318" s="190">
        <f>I1318*W1318</f>
        <v>29.25</v>
      </c>
      <c r="Y1318" s="8"/>
      <c r="Z1318" s="8"/>
    </row>
    <row r="1319" spans="1:26" ht="12.75" customHeight="1" x14ac:dyDescent="0.2">
      <c r="A1319" s="15">
        <v>20</v>
      </c>
      <c r="B1319" s="15">
        <v>2004</v>
      </c>
      <c r="C1319" s="15">
        <v>2</v>
      </c>
      <c r="D1319" s="15">
        <v>8</v>
      </c>
      <c r="E1319" s="29" t="s">
        <v>17</v>
      </c>
      <c r="F1319" s="11" t="s">
        <v>28</v>
      </c>
      <c r="G1319" s="11" t="s">
        <v>29</v>
      </c>
      <c r="H1319" s="15" t="s">
        <v>29</v>
      </c>
      <c r="I1319" s="25" t="s">
        <v>29</v>
      </c>
      <c r="J1319" s="11" t="s">
        <v>19</v>
      </c>
      <c r="K1319" s="20" t="s">
        <v>20</v>
      </c>
      <c r="L1319" s="11" t="s">
        <v>41</v>
      </c>
      <c r="M1319" s="11" t="s">
        <v>29</v>
      </c>
      <c r="N1319" s="11" t="s">
        <v>29</v>
      </c>
      <c r="O1319" s="27" t="s">
        <v>29</v>
      </c>
      <c r="P1319" s="15">
        <v>215</v>
      </c>
      <c r="Q1319" s="8"/>
      <c r="W1319" s="8"/>
      <c r="X1319" s="8"/>
      <c r="Y1319" s="8"/>
      <c r="Z1319" s="8"/>
    </row>
    <row r="1320" spans="1:26" ht="12.75" customHeight="1" x14ac:dyDescent="0.2">
      <c r="A1320" s="15">
        <v>21</v>
      </c>
      <c r="B1320" s="15">
        <v>2004</v>
      </c>
      <c r="C1320" s="15">
        <v>2</v>
      </c>
      <c r="D1320" s="15">
        <v>8</v>
      </c>
      <c r="E1320" s="29" t="s">
        <v>17</v>
      </c>
      <c r="F1320" s="11" t="s">
        <v>51</v>
      </c>
      <c r="G1320" s="20">
        <v>131</v>
      </c>
      <c r="H1320" s="15" t="s">
        <v>29</v>
      </c>
      <c r="I1320" s="20">
        <v>6.8</v>
      </c>
      <c r="J1320" s="11" t="s">
        <v>19</v>
      </c>
      <c r="K1320" s="20" t="s">
        <v>20</v>
      </c>
      <c r="L1320" s="20" t="s">
        <v>30</v>
      </c>
      <c r="M1320" s="20" t="s">
        <v>45</v>
      </c>
      <c r="N1320" s="20" t="s">
        <v>25</v>
      </c>
      <c r="O1320" s="27" t="s">
        <v>29</v>
      </c>
      <c r="P1320" s="15">
        <v>215</v>
      </c>
      <c r="Q1320" s="8"/>
      <c r="R1320">
        <v>12.22</v>
      </c>
      <c r="S1320">
        <v>1825.82</v>
      </c>
      <c r="T1320">
        <v>3.72</v>
      </c>
      <c r="U1320">
        <v>8.7799999999999994</v>
      </c>
      <c r="V1320">
        <v>122.22</v>
      </c>
      <c r="W1320" s="317">
        <v>4.5999999999999996</v>
      </c>
      <c r="X1320" s="190">
        <f t="shared" ref="X1320:X1367" si="50">I1320*W1320</f>
        <v>31.279999999999998</v>
      </c>
      <c r="Y1320" s="8"/>
      <c r="Z1320" s="8"/>
    </row>
    <row r="1321" spans="1:26" ht="12.75" customHeight="1" x14ac:dyDescent="0.2">
      <c r="A1321" s="15">
        <v>22</v>
      </c>
      <c r="B1321" s="15">
        <v>2004</v>
      </c>
      <c r="C1321" s="15">
        <v>1</v>
      </c>
      <c r="D1321" s="15">
        <v>8</v>
      </c>
      <c r="E1321" s="30">
        <v>0.5</v>
      </c>
      <c r="F1321" s="11" t="s">
        <v>51</v>
      </c>
      <c r="G1321" s="20">
        <v>160</v>
      </c>
      <c r="H1321" s="15" t="s">
        <v>29</v>
      </c>
      <c r="I1321" s="20">
        <v>19</v>
      </c>
      <c r="J1321" s="11" t="s">
        <v>19</v>
      </c>
      <c r="K1321" s="20" t="s">
        <v>20</v>
      </c>
      <c r="L1321" s="11" t="s">
        <v>21</v>
      </c>
      <c r="M1321" s="20" t="s">
        <v>46</v>
      </c>
      <c r="N1321" s="20" t="s">
        <v>24</v>
      </c>
      <c r="O1321" s="27" t="s">
        <v>29</v>
      </c>
      <c r="P1321" s="15">
        <v>214</v>
      </c>
      <c r="Q1321" s="8"/>
      <c r="R1321">
        <v>14.93</v>
      </c>
      <c r="S1321">
        <v>3326.63</v>
      </c>
      <c r="T1321">
        <v>5.71</v>
      </c>
      <c r="U1321">
        <v>10.72</v>
      </c>
      <c r="V1321">
        <v>149.28</v>
      </c>
      <c r="W1321" s="317">
        <v>3.9</v>
      </c>
      <c r="X1321" s="190">
        <f t="shared" si="50"/>
        <v>74.099999999999994</v>
      </c>
      <c r="Y1321" s="8"/>
      <c r="Z1321" s="8"/>
    </row>
    <row r="1322" spans="1:26" ht="12.75" customHeight="1" x14ac:dyDescent="0.2">
      <c r="A1322" s="15">
        <v>23</v>
      </c>
      <c r="B1322" s="15">
        <v>2004</v>
      </c>
      <c r="C1322" s="15">
        <v>1</v>
      </c>
      <c r="D1322" s="15">
        <v>8</v>
      </c>
      <c r="E1322" s="30">
        <v>0.5</v>
      </c>
      <c r="F1322" s="11" t="s">
        <v>51</v>
      </c>
      <c r="G1322" s="20">
        <v>156</v>
      </c>
      <c r="H1322" s="15" t="s">
        <v>29</v>
      </c>
      <c r="I1322" s="20">
        <v>16.2</v>
      </c>
      <c r="J1322" s="11" t="s">
        <v>19</v>
      </c>
      <c r="K1322" s="20" t="s">
        <v>20</v>
      </c>
      <c r="L1322" s="11" t="s">
        <v>21</v>
      </c>
      <c r="M1322" s="20" t="s">
        <v>45</v>
      </c>
      <c r="N1322" s="20" t="s">
        <v>24</v>
      </c>
      <c r="O1322" s="27" t="s">
        <v>29</v>
      </c>
      <c r="P1322" s="15">
        <v>214</v>
      </c>
      <c r="Q1322" s="8"/>
      <c r="R1322">
        <v>14.55</v>
      </c>
      <c r="S1322">
        <v>3083.32</v>
      </c>
      <c r="T1322">
        <v>5.25</v>
      </c>
      <c r="U1322">
        <v>10.45</v>
      </c>
      <c r="V1322">
        <v>145.55000000000001</v>
      </c>
      <c r="W1322" s="317">
        <v>3.9</v>
      </c>
      <c r="X1322" s="190">
        <f t="shared" si="50"/>
        <v>63.179999999999993</v>
      </c>
      <c r="Y1322" s="8"/>
      <c r="Z1322" s="8"/>
    </row>
    <row r="1323" spans="1:26" ht="12.75" customHeight="1" x14ac:dyDescent="0.2">
      <c r="A1323" s="15">
        <v>24</v>
      </c>
      <c r="B1323" s="15">
        <v>2004</v>
      </c>
      <c r="C1323" s="15">
        <v>1</v>
      </c>
      <c r="D1323" s="15">
        <v>8</v>
      </c>
      <c r="E1323" s="30">
        <v>0.5</v>
      </c>
      <c r="F1323" s="11" t="s">
        <v>51</v>
      </c>
      <c r="G1323" s="20">
        <v>133</v>
      </c>
      <c r="H1323" s="15" t="s">
        <v>29</v>
      </c>
      <c r="I1323" s="20">
        <v>10</v>
      </c>
      <c r="J1323" s="11" t="s">
        <v>19</v>
      </c>
      <c r="K1323" s="20" t="s">
        <v>20</v>
      </c>
      <c r="L1323" s="11" t="s">
        <v>21</v>
      </c>
      <c r="M1323" s="20" t="s">
        <v>46</v>
      </c>
      <c r="N1323" s="20" t="s">
        <v>24</v>
      </c>
      <c r="O1323" s="27" t="s">
        <v>29</v>
      </c>
      <c r="P1323" s="15">
        <v>214</v>
      </c>
      <c r="Q1323" s="8"/>
      <c r="R1323">
        <v>12.41</v>
      </c>
      <c r="S1323">
        <v>1910.73</v>
      </c>
      <c r="T1323">
        <v>5.23</v>
      </c>
      <c r="U1323">
        <v>8.91</v>
      </c>
      <c r="V1323">
        <v>124.09</v>
      </c>
      <c r="W1323" s="317">
        <v>3.9</v>
      </c>
      <c r="X1323" s="190">
        <f t="shared" si="50"/>
        <v>39</v>
      </c>
      <c r="Y1323" s="8"/>
      <c r="Z1323" s="8"/>
    </row>
    <row r="1324" spans="1:26" ht="12.75" customHeight="1" x14ac:dyDescent="0.2">
      <c r="A1324" s="15">
        <v>25</v>
      </c>
      <c r="B1324" s="15">
        <v>2004</v>
      </c>
      <c r="C1324" s="15">
        <v>1</v>
      </c>
      <c r="D1324" s="15">
        <v>8</v>
      </c>
      <c r="E1324" s="30">
        <v>0.5</v>
      </c>
      <c r="F1324" s="11" t="s">
        <v>51</v>
      </c>
      <c r="G1324" s="20">
        <v>139</v>
      </c>
      <c r="H1324" s="15" t="s">
        <v>29</v>
      </c>
      <c r="I1324" s="20">
        <v>12</v>
      </c>
      <c r="J1324" s="11" t="s">
        <v>19</v>
      </c>
      <c r="K1324" s="20" t="s">
        <v>20</v>
      </c>
      <c r="L1324" s="11" t="s">
        <v>21</v>
      </c>
      <c r="M1324" s="20" t="s">
        <v>46</v>
      </c>
      <c r="N1324" s="20" t="s">
        <v>24</v>
      </c>
      <c r="O1324" s="27" t="s">
        <v>29</v>
      </c>
      <c r="P1324" s="15">
        <v>214</v>
      </c>
      <c r="Q1324" s="8"/>
      <c r="R1324">
        <v>12.97</v>
      </c>
      <c r="S1324">
        <v>2181.17</v>
      </c>
      <c r="T1324">
        <v>5.5</v>
      </c>
      <c r="U1324">
        <v>9.31</v>
      </c>
      <c r="V1324">
        <v>129.69</v>
      </c>
      <c r="W1324" s="317">
        <v>3.9</v>
      </c>
      <c r="X1324" s="190">
        <f t="shared" si="50"/>
        <v>46.8</v>
      </c>
      <c r="Y1324" s="8"/>
      <c r="Z1324" s="8"/>
    </row>
    <row r="1325" spans="1:26" ht="12.75" customHeight="1" x14ac:dyDescent="0.2">
      <c r="A1325" s="15">
        <v>26</v>
      </c>
      <c r="B1325" s="15">
        <v>2004</v>
      </c>
      <c r="C1325" s="15">
        <v>1</v>
      </c>
      <c r="D1325" s="15">
        <v>8</v>
      </c>
      <c r="E1325" s="30">
        <v>0.5</v>
      </c>
      <c r="F1325" s="11" t="s">
        <v>51</v>
      </c>
      <c r="G1325" s="20">
        <v>137</v>
      </c>
      <c r="H1325" s="15" t="s">
        <v>29</v>
      </c>
      <c r="I1325" s="20">
        <v>13.5</v>
      </c>
      <c r="J1325" s="11" t="s">
        <v>19</v>
      </c>
      <c r="K1325" s="20" t="s">
        <v>20</v>
      </c>
      <c r="L1325" s="20" t="s">
        <v>30</v>
      </c>
      <c r="M1325" s="20" t="s">
        <v>45</v>
      </c>
      <c r="N1325" s="20" t="s">
        <v>24</v>
      </c>
      <c r="O1325" s="27" t="s">
        <v>29</v>
      </c>
      <c r="P1325" s="15">
        <v>214</v>
      </c>
      <c r="Q1325" s="8"/>
      <c r="R1325">
        <v>12.78</v>
      </c>
      <c r="S1325">
        <v>2088.37</v>
      </c>
      <c r="T1325">
        <v>6.46</v>
      </c>
      <c r="U1325">
        <v>9.18</v>
      </c>
      <c r="V1325">
        <v>127.82</v>
      </c>
      <c r="W1325" s="317">
        <v>4.5999999999999996</v>
      </c>
      <c r="X1325" s="190">
        <f t="shared" si="50"/>
        <v>62.099999999999994</v>
      </c>
      <c r="Y1325" s="8"/>
      <c r="Z1325" s="8"/>
    </row>
    <row r="1326" spans="1:26" ht="12.75" customHeight="1" x14ac:dyDescent="0.2">
      <c r="A1326" s="15">
        <v>27</v>
      </c>
      <c r="B1326" s="15">
        <v>2004</v>
      </c>
      <c r="C1326" s="15">
        <v>1</v>
      </c>
      <c r="D1326" s="15">
        <v>8</v>
      </c>
      <c r="E1326" s="30">
        <v>0.5</v>
      </c>
      <c r="F1326" s="11" t="s">
        <v>51</v>
      </c>
      <c r="G1326" s="20">
        <v>141</v>
      </c>
      <c r="H1326" s="15" t="s">
        <v>29</v>
      </c>
      <c r="I1326" s="20">
        <v>13</v>
      </c>
      <c r="J1326" s="11" t="s">
        <v>19</v>
      </c>
      <c r="K1326" s="20" t="s">
        <v>20</v>
      </c>
      <c r="L1326" s="11" t="s">
        <v>21</v>
      </c>
      <c r="M1326" s="20" t="s">
        <v>46</v>
      </c>
      <c r="N1326" s="20" t="s">
        <v>23</v>
      </c>
      <c r="O1326" s="27" t="s">
        <v>29</v>
      </c>
      <c r="P1326" s="15">
        <v>214</v>
      </c>
      <c r="Q1326" s="8"/>
      <c r="R1326">
        <v>13.16</v>
      </c>
      <c r="S1326">
        <v>2276.6799999999998</v>
      </c>
      <c r="T1326">
        <v>5.71</v>
      </c>
      <c r="U1326">
        <v>9.4499999999999993</v>
      </c>
      <c r="V1326">
        <v>131.55000000000001</v>
      </c>
      <c r="W1326" s="317">
        <v>3.9</v>
      </c>
      <c r="X1326" s="190">
        <f t="shared" si="50"/>
        <v>50.699999999999996</v>
      </c>
      <c r="Y1326" s="8"/>
      <c r="Z1326" s="8"/>
    </row>
    <row r="1327" spans="1:26" ht="12.75" customHeight="1" x14ac:dyDescent="0.2">
      <c r="A1327" s="15">
        <v>28</v>
      </c>
      <c r="B1327" s="15">
        <v>2004</v>
      </c>
      <c r="C1327" s="15">
        <v>1</v>
      </c>
      <c r="D1327" s="15">
        <v>8</v>
      </c>
      <c r="E1327" s="30">
        <v>0.5</v>
      </c>
      <c r="F1327" s="11" t="s">
        <v>51</v>
      </c>
      <c r="G1327" s="20">
        <v>137</v>
      </c>
      <c r="H1327" s="15" t="s">
        <v>29</v>
      </c>
      <c r="I1327" s="20">
        <v>10.8</v>
      </c>
      <c r="J1327" s="11" t="s">
        <v>19</v>
      </c>
      <c r="K1327" s="20" t="s">
        <v>20</v>
      </c>
      <c r="L1327" s="11" t="s">
        <v>21</v>
      </c>
      <c r="M1327" s="20" t="s">
        <v>46</v>
      </c>
      <c r="N1327" s="20" t="s">
        <v>24</v>
      </c>
      <c r="O1327" s="27" t="s">
        <v>29</v>
      </c>
      <c r="P1327" s="15">
        <v>214</v>
      </c>
      <c r="Q1327" s="8"/>
      <c r="R1327">
        <v>12.78</v>
      </c>
      <c r="S1327">
        <v>2088.37</v>
      </c>
      <c r="T1327">
        <v>5.17</v>
      </c>
      <c r="U1327">
        <v>9.18</v>
      </c>
      <c r="V1327">
        <v>127.82</v>
      </c>
      <c r="W1327" s="317">
        <v>3.9</v>
      </c>
      <c r="X1327" s="190">
        <f t="shared" si="50"/>
        <v>42.120000000000005</v>
      </c>
      <c r="Y1327" s="8"/>
      <c r="Z1327" s="8"/>
    </row>
    <row r="1328" spans="1:26" ht="12.75" customHeight="1" x14ac:dyDescent="0.2">
      <c r="A1328" s="15">
        <v>29</v>
      </c>
      <c r="B1328" s="15">
        <v>2004</v>
      </c>
      <c r="C1328" s="15">
        <v>1</v>
      </c>
      <c r="D1328" s="15">
        <v>8</v>
      </c>
      <c r="E1328" s="30">
        <v>0.5</v>
      </c>
      <c r="F1328" s="11" t="s">
        <v>51</v>
      </c>
      <c r="G1328" s="20">
        <v>150</v>
      </c>
      <c r="H1328" s="15" t="s">
        <v>29</v>
      </c>
      <c r="I1328" s="20">
        <v>14</v>
      </c>
      <c r="J1328" s="11" t="s">
        <v>19</v>
      </c>
      <c r="K1328" s="20" t="s">
        <v>20</v>
      </c>
      <c r="L1328" s="11" t="s">
        <v>21</v>
      </c>
      <c r="M1328" s="20" t="s">
        <v>27</v>
      </c>
      <c r="N1328" s="20" t="s">
        <v>24</v>
      </c>
      <c r="O1328" s="27" t="s">
        <v>29</v>
      </c>
      <c r="P1328" s="15">
        <v>214</v>
      </c>
      <c r="Q1328" s="8"/>
      <c r="R1328">
        <v>14</v>
      </c>
      <c r="S1328">
        <v>2741.06</v>
      </c>
      <c r="T1328">
        <v>5.1100000000000003</v>
      </c>
      <c r="U1328">
        <v>10.050000000000001</v>
      </c>
      <c r="V1328">
        <v>139.94999999999999</v>
      </c>
      <c r="W1328" s="317">
        <v>3.9</v>
      </c>
      <c r="X1328" s="190">
        <f t="shared" si="50"/>
        <v>54.6</v>
      </c>
      <c r="Y1328" s="8"/>
      <c r="Z1328" s="8"/>
    </row>
    <row r="1329" spans="1:26" ht="12.75" customHeight="1" x14ac:dyDescent="0.2">
      <c r="A1329" s="15">
        <v>30</v>
      </c>
      <c r="B1329" s="15">
        <v>2004</v>
      </c>
      <c r="C1329" s="15">
        <v>1</v>
      </c>
      <c r="D1329" s="15">
        <v>8</v>
      </c>
      <c r="E1329" s="30">
        <v>0.5</v>
      </c>
      <c r="F1329" s="11" t="s">
        <v>51</v>
      </c>
      <c r="G1329" s="20">
        <v>142</v>
      </c>
      <c r="H1329" s="15" t="s">
        <v>29</v>
      </c>
      <c r="I1329" s="20">
        <v>10.199999999999999</v>
      </c>
      <c r="J1329" s="11" t="s">
        <v>19</v>
      </c>
      <c r="K1329" s="20" t="s">
        <v>20</v>
      </c>
      <c r="L1329" s="11" t="s">
        <v>21</v>
      </c>
      <c r="M1329" s="20" t="s">
        <v>27</v>
      </c>
      <c r="N1329" s="20" t="s">
        <v>39</v>
      </c>
      <c r="O1329" s="27" t="s">
        <v>29</v>
      </c>
      <c r="P1329" s="15">
        <v>214</v>
      </c>
      <c r="Q1329" s="8"/>
      <c r="R1329">
        <v>13.25</v>
      </c>
      <c r="S1329">
        <v>2325.4699999999998</v>
      </c>
      <c r="T1329">
        <v>4.3899999999999997</v>
      </c>
      <c r="U1329">
        <v>9.51</v>
      </c>
      <c r="V1329">
        <v>132.49</v>
      </c>
      <c r="W1329" s="317">
        <v>3.9</v>
      </c>
      <c r="X1329" s="190">
        <f t="shared" si="50"/>
        <v>39.779999999999994</v>
      </c>
      <c r="Y1329" s="8"/>
      <c r="Z1329" s="8"/>
    </row>
    <row r="1330" spans="1:26" ht="12.75" customHeight="1" x14ac:dyDescent="0.2">
      <c r="A1330" s="15">
        <v>31</v>
      </c>
      <c r="B1330" s="15">
        <v>2004</v>
      </c>
      <c r="C1330" s="15">
        <v>1</v>
      </c>
      <c r="D1330" s="15">
        <v>8</v>
      </c>
      <c r="E1330" s="30">
        <v>0.5</v>
      </c>
      <c r="F1330" s="11" t="s">
        <v>51</v>
      </c>
      <c r="G1330" s="20">
        <v>144</v>
      </c>
      <c r="H1330" s="15" t="s">
        <v>29</v>
      </c>
      <c r="I1330" s="20">
        <v>10.5</v>
      </c>
      <c r="J1330" s="11" t="s">
        <v>19</v>
      </c>
      <c r="K1330" s="20" t="s">
        <v>20</v>
      </c>
      <c r="L1330" s="11" t="s">
        <v>21</v>
      </c>
      <c r="M1330" s="20" t="s">
        <v>45</v>
      </c>
      <c r="N1330" s="20" t="s">
        <v>25</v>
      </c>
      <c r="O1330" s="27" t="s">
        <v>29</v>
      </c>
      <c r="P1330" s="15">
        <v>214</v>
      </c>
      <c r="Q1330" s="8"/>
      <c r="R1330">
        <v>13.44</v>
      </c>
      <c r="S1330">
        <v>2425.12</v>
      </c>
      <c r="T1330">
        <v>4.33</v>
      </c>
      <c r="U1330">
        <v>9.65</v>
      </c>
      <c r="V1330">
        <v>134.35</v>
      </c>
      <c r="W1330" s="317">
        <v>3.9</v>
      </c>
      <c r="X1330" s="190">
        <f t="shared" si="50"/>
        <v>40.949999999999996</v>
      </c>
      <c r="Y1330" s="8"/>
      <c r="Z1330" s="8"/>
    </row>
    <row r="1331" spans="1:26" ht="12.75" customHeight="1" x14ac:dyDescent="0.2">
      <c r="A1331" s="15">
        <v>32</v>
      </c>
      <c r="B1331" s="15">
        <v>2004</v>
      </c>
      <c r="C1331" s="15">
        <v>1</v>
      </c>
      <c r="D1331" s="15">
        <v>8</v>
      </c>
      <c r="E1331" s="30">
        <v>0.5</v>
      </c>
      <c r="F1331" s="11" t="s">
        <v>51</v>
      </c>
      <c r="G1331" s="20">
        <v>145</v>
      </c>
      <c r="H1331" s="15" t="s">
        <v>29</v>
      </c>
      <c r="I1331" s="20">
        <v>15</v>
      </c>
      <c r="J1331" s="11" t="s">
        <v>19</v>
      </c>
      <c r="K1331" s="20" t="s">
        <v>20</v>
      </c>
      <c r="L1331" s="11" t="s">
        <v>21</v>
      </c>
      <c r="M1331" s="20" t="s">
        <v>46</v>
      </c>
      <c r="N1331" s="20" t="s">
        <v>24</v>
      </c>
      <c r="O1331" s="27" t="s">
        <v>29</v>
      </c>
      <c r="P1331" s="15">
        <v>214</v>
      </c>
      <c r="Q1331" s="8"/>
      <c r="R1331">
        <v>13.53</v>
      </c>
      <c r="S1331">
        <v>2475.9899999999998</v>
      </c>
      <c r="T1331">
        <v>6.06</v>
      </c>
      <c r="U1331">
        <v>9.7200000000000006</v>
      </c>
      <c r="V1331">
        <v>135.29</v>
      </c>
      <c r="W1331" s="317">
        <v>3.9</v>
      </c>
      <c r="X1331" s="190">
        <f t="shared" si="50"/>
        <v>58.5</v>
      </c>
      <c r="Y1331" s="8"/>
      <c r="Z1331" s="8"/>
    </row>
    <row r="1332" spans="1:26" ht="12.75" customHeight="1" x14ac:dyDescent="0.2">
      <c r="A1332" s="15">
        <v>33</v>
      </c>
      <c r="B1332" s="15">
        <v>2004</v>
      </c>
      <c r="C1332" s="15">
        <v>1</v>
      </c>
      <c r="D1332" s="15">
        <v>8</v>
      </c>
      <c r="E1332" s="30">
        <v>0.5</v>
      </c>
      <c r="F1332" s="11" t="s">
        <v>51</v>
      </c>
      <c r="G1332" s="20">
        <v>162</v>
      </c>
      <c r="H1332" s="15" t="s">
        <v>29</v>
      </c>
      <c r="I1332" s="20">
        <v>14.5</v>
      </c>
      <c r="J1332" s="11" t="s">
        <v>19</v>
      </c>
      <c r="K1332" s="20" t="s">
        <v>20</v>
      </c>
      <c r="L1332" s="11" t="s">
        <v>21</v>
      </c>
      <c r="M1332" s="11" t="s">
        <v>29</v>
      </c>
      <c r="N1332" s="20" t="s">
        <v>24</v>
      </c>
      <c r="O1332" s="27" t="s">
        <v>29</v>
      </c>
      <c r="P1332" s="15">
        <v>214</v>
      </c>
      <c r="Q1332" s="8"/>
      <c r="R1332">
        <v>15.11</v>
      </c>
      <c r="S1332">
        <v>3452.95</v>
      </c>
      <c r="T1332">
        <v>4.2</v>
      </c>
      <c r="U1332">
        <v>10.85</v>
      </c>
      <c r="V1332">
        <v>151.15</v>
      </c>
      <c r="W1332" s="317">
        <v>3.9</v>
      </c>
      <c r="X1332" s="190">
        <f t="shared" si="50"/>
        <v>56.55</v>
      </c>
      <c r="Y1332" s="8"/>
      <c r="Z1332" s="8"/>
    </row>
    <row r="1333" spans="1:26" ht="12.75" customHeight="1" x14ac:dyDescent="0.2">
      <c r="A1333" s="15">
        <v>34</v>
      </c>
      <c r="B1333" s="15">
        <v>2004</v>
      </c>
      <c r="C1333" s="15">
        <v>1</v>
      </c>
      <c r="D1333" s="15">
        <v>8</v>
      </c>
      <c r="E1333" s="30">
        <v>0.5</v>
      </c>
      <c r="F1333" s="11" t="s">
        <v>51</v>
      </c>
      <c r="G1333" s="20">
        <v>151</v>
      </c>
      <c r="H1333" s="15" t="s">
        <v>29</v>
      </c>
      <c r="I1333" s="20">
        <v>12</v>
      </c>
      <c r="J1333" s="11" t="s">
        <v>19</v>
      </c>
      <c r="K1333" s="20" t="s">
        <v>20</v>
      </c>
      <c r="L1333" s="11" t="s">
        <v>21</v>
      </c>
      <c r="M1333" s="20" t="s">
        <v>45</v>
      </c>
      <c r="N1333" s="20" t="s">
        <v>24</v>
      </c>
      <c r="O1333" s="27" t="s">
        <v>29</v>
      </c>
      <c r="P1333" s="15">
        <v>214</v>
      </c>
      <c r="Q1333" s="8"/>
      <c r="R1333">
        <v>14.09</v>
      </c>
      <c r="S1333">
        <v>2796.25</v>
      </c>
      <c r="T1333">
        <v>4.29</v>
      </c>
      <c r="U1333">
        <v>10.119999999999999</v>
      </c>
      <c r="V1333">
        <v>140.88</v>
      </c>
      <c r="W1333" s="317">
        <v>3.9</v>
      </c>
      <c r="X1333" s="190">
        <f t="shared" si="50"/>
        <v>46.8</v>
      </c>
      <c r="Y1333" s="8"/>
      <c r="Z1333" s="8"/>
    </row>
    <row r="1334" spans="1:26" ht="12.75" customHeight="1" x14ac:dyDescent="0.2">
      <c r="A1334" s="15">
        <v>35</v>
      </c>
      <c r="B1334" s="15">
        <v>2004</v>
      </c>
      <c r="C1334" s="15">
        <v>1</v>
      </c>
      <c r="D1334" s="15">
        <v>8</v>
      </c>
      <c r="E1334" s="30">
        <v>0.5</v>
      </c>
      <c r="F1334" s="11" t="s">
        <v>51</v>
      </c>
      <c r="G1334" s="20">
        <v>134</v>
      </c>
      <c r="H1334" s="15" t="s">
        <v>29</v>
      </c>
      <c r="I1334" s="20">
        <v>9</v>
      </c>
      <c r="J1334" s="11" t="s">
        <v>19</v>
      </c>
      <c r="K1334" s="20" t="s">
        <v>20</v>
      </c>
      <c r="L1334" s="20" t="s">
        <v>30</v>
      </c>
      <c r="M1334" s="20" t="s">
        <v>46</v>
      </c>
      <c r="N1334" s="20" t="s">
        <v>24</v>
      </c>
      <c r="O1334" s="27" t="s">
        <v>29</v>
      </c>
      <c r="P1334" s="15">
        <v>214</v>
      </c>
      <c r="Q1334" s="8"/>
      <c r="R1334">
        <v>12.5</v>
      </c>
      <c r="S1334">
        <v>1954.16</v>
      </c>
      <c r="T1334">
        <v>4.6100000000000003</v>
      </c>
      <c r="U1334">
        <v>8.98</v>
      </c>
      <c r="V1334">
        <v>125.02</v>
      </c>
      <c r="W1334" s="317">
        <v>4.5999999999999996</v>
      </c>
      <c r="X1334" s="190">
        <f t="shared" si="50"/>
        <v>41.4</v>
      </c>
      <c r="Y1334" s="8"/>
      <c r="Z1334" s="8"/>
    </row>
    <row r="1335" spans="1:26" ht="12.75" customHeight="1" x14ac:dyDescent="0.2">
      <c r="A1335" s="15">
        <v>36</v>
      </c>
      <c r="B1335" s="15">
        <v>2004</v>
      </c>
      <c r="C1335" s="15">
        <v>1</v>
      </c>
      <c r="D1335" s="15">
        <v>8</v>
      </c>
      <c r="E1335" s="30">
        <v>0.5</v>
      </c>
      <c r="F1335" s="11" t="s">
        <v>51</v>
      </c>
      <c r="G1335" s="20">
        <v>140</v>
      </c>
      <c r="H1335" s="15" t="s">
        <v>29</v>
      </c>
      <c r="I1335" s="20">
        <v>10.8</v>
      </c>
      <c r="J1335" s="11" t="s">
        <v>19</v>
      </c>
      <c r="K1335" s="20" t="s">
        <v>20</v>
      </c>
      <c r="L1335" s="20" t="s">
        <v>30</v>
      </c>
      <c r="M1335" s="20" t="s">
        <v>27</v>
      </c>
      <c r="N1335" s="20" t="s">
        <v>25</v>
      </c>
      <c r="O1335" s="27" t="s">
        <v>29</v>
      </c>
      <c r="P1335" s="15">
        <v>214</v>
      </c>
      <c r="Q1335" s="8"/>
      <c r="R1335">
        <v>13.06</v>
      </c>
      <c r="S1335">
        <v>2228.58</v>
      </c>
      <c r="T1335">
        <v>4.8499999999999996</v>
      </c>
      <c r="U1335">
        <v>9.3800000000000008</v>
      </c>
      <c r="V1335">
        <v>130.62</v>
      </c>
      <c r="W1335" s="317">
        <v>4.5999999999999996</v>
      </c>
      <c r="X1335" s="190">
        <f t="shared" si="50"/>
        <v>49.68</v>
      </c>
      <c r="Y1335" s="8"/>
      <c r="Z1335" s="8"/>
    </row>
    <row r="1336" spans="1:26" ht="12.75" customHeight="1" x14ac:dyDescent="0.2">
      <c r="A1336" s="15">
        <v>37</v>
      </c>
      <c r="B1336" s="15">
        <v>2004</v>
      </c>
      <c r="C1336" s="15">
        <v>1</v>
      </c>
      <c r="D1336" s="15">
        <v>8</v>
      </c>
      <c r="E1336" s="30">
        <v>0.5</v>
      </c>
      <c r="F1336" s="11" t="s">
        <v>51</v>
      </c>
      <c r="G1336" s="20">
        <v>143</v>
      </c>
      <c r="H1336" s="15" t="s">
        <v>29</v>
      </c>
      <c r="I1336" s="20">
        <v>11.5</v>
      </c>
      <c r="J1336" s="11" t="s">
        <v>19</v>
      </c>
      <c r="K1336" s="20" t="s">
        <v>20</v>
      </c>
      <c r="L1336" s="11" t="s">
        <v>21</v>
      </c>
      <c r="M1336" s="20" t="s">
        <v>46</v>
      </c>
      <c r="N1336" s="20" t="s">
        <v>23</v>
      </c>
      <c r="O1336" s="27" t="s">
        <v>29</v>
      </c>
      <c r="P1336" s="15">
        <v>214</v>
      </c>
      <c r="Q1336" s="8"/>
      <c r="R1336">
        <v>13.34</v>
      </c>
      <c r="S1336">
        <v>2374.94</v>
      </c>
      <c r="T1336">
        <v>4.84</v>
      </c>
      <c r="U1336">
        <v>9.58</v>
      </c>
      <c r="V1336">
        <v>133.41999999999999</v>
      </c>
      <c r="W1336" s="317">
        <v>3.9</v>
      </c>
      <c r="X1336" s="190">
        <f t="shared" si="50"/>
        <v>44.85</v>
      </c>
      <c r="Y1336" s="8"/>
      <c r="Z1336" s="8"/>
    </row>
    <row r="1337" spans="1:26" ht="12.75" customHeight="1" x14ac:dyDescent="0.2">
      <c r="A1337" s="15">
        <v>38</v>
      </c>
      <c r="B1337" s="15">
        <v>2004</v>
      </c>
      <c r="C1337" s="15">
        <v>1</v>
      </c>
      <c r="D1337" s="15">
        <v>8</v>
      </c>
      <c r="E1337" s="30">
        <v>0.5</v>
      </c>
      <c r="F1337" s="11" t="s">
        <v>51</v>
      </c>
      <c r="G1337" s="20">
        <v>139</v>
      </c>
      <c r="H1337" s="15" t="s">
        <v>29</v>
      </c>
      <c r="I1337" s="20">
        <v>9.4</v>
      </c>
      <c r="J1337" s="11" t="s">
        <v>19</v>
      </c>
      <c r="K1337" s="20" t="s">
        <v>20</v>
      </c>
      <c r="L1337" s="20" t="s">
        <v>30</v>
      </c>
      <c r="M1337" s="20" t="s">
        <v>47</v>
      </c>
      <c r="N1337" s="20" t="s">
        <v>33</v>
      </c>
      <c r="O1337" s="27" t="s">
        <v>29</v>
      </c>
      <c r="P1337" s="15">
        <v>214</v>
      </c>
      <c r="Q1337" s="8"/>
      <c r="R1337">
        <v>12.97</v>
      </c>
      <c r="S1337">
        <v>2181.17</v>
      </c>
      <c r="T1337">
        <v>4.3099999999999996</v>
      </c>
      <c r="U1337">
        <v>9.31</v>
      </c>
      <c r="V1337">
        <v>129.69</v>
      </c>
      <c r="W1337" s="317">
        <v>4.5999999999999996</v>
      </c>
      <c r="X1337" s="190">
        <f t="shared" si="50"/>
        <v>43.239999999999995</v>
      </c>
      <c r="Y1337" s="8"/>
      <c r="Z1337" s="8"/>
    </row>
    <row r="1338" spans="1:26" ht="12.75" customHeight="1" x14ac:dyDescent="0.2">
      <c r="A1338" s="15">
        <v>39</v>
      </c>
      <c r="B1338" s="15">
        <v>2004</v>
      </c>
      <c r="C1338" s="15">
        <v>1</v>
      </c>
      <c r="D1338" s="15">
        <v>8</v>
      </c>
      <c r="E1338" s="30">
        <v>0.5</v>
      </c>
      <c r="F1338" s="11" t="s">
        <v>51</v>
      </c>
      <c r="G1338" s="20">
        <v>116</v>
      </c>
      <c r="H1338" s="15" t="s">
        <v>29</v>
      </c>
      <c r="I1338" s="20">
        <v>6.5</v>
      </c>
      <c r="J1338" s="11" t="s">
        <v>19</v>
      </c>
      <c r="K1338" s="20" t="s">
        <v>20</v>
      </c>
      <c r="L1338" s="11" t="s">
        <v>21</v>
      </c>
      <c r="M1338" s="20" t="s">
        <v>27</v>
      </c>
      <c r="N1338" s="20" t="s">
        <v>24</v>
      </c>
      <c r="O1338" s="27" t="s">
        <v>29</v>
      </c>
      <c r="P1338" s="15">
        <v>214</v>
      </c>
      <c r="Q1338" s="8"/>
      <c r="R1338">
        <v>10.82</v>
      </c>
      <c r="S1338">
        <v>1267.71</v>
      </c>
      <c r="T1338">
        <v>5.13</v>
      </c>
      <c r="U1338">
        <v>7.77</v>
      </c>
      <c r="V1338">
        <v>108.23</v>
      </c>
      <c r="W1338" s="317">
        <v>3.9</v>
      </c>
      <c r="X1338" s="190">
        <f t="shared" si="50"/>
        <v>25.349999999999998</v>
      </c>
      <c r="Y1338" s="8"/>
      <c r="Z1338" s="8"/>
    </row>
    <row r="1339" spans="1:26" ht="12.75" customHeight="1" x14ac:dyDescent="0.2">
      <c r="A1339" s="15">
        <v>40</v>
      </c>
      <c r="B1339" s="15">
        <v>2004</v>
      </c>
      <c r="C1339" s="15">
        <v>1</v>
      </c>
      <c r="D1339" s="15">
        <v>8</v>
      </c>
      <c r="E1339" s="30">
        <v>0.5</v>
      </c>
      <c r="F1339" s="11" t="s">
        <v>51</v>
      </c>
      <c r="G1339" s="20">
        <v>144</v>
      </c>
      <c r="H1339" s="15" t="s">
        <v>29</v>
      </c>
      <c r="I1339" s="20">
        <v>12</v>
      </c>
      <c r="J1339" s="11" t="s">
        <v>19</v>
      </c>
      <c r="K1339" s="20" t="s">
        <v>20</v>
      </c>
      <c r="L1339" s="11" t="s">
        <v>21</v>
      </c>
      <c r="M1339" s="20" t="s">
        <v>46</v>
      </c>
      <c r="N1339" s="20" t="s">
        <v>25</v>
      </c>
      <c r="O1339" s="27" t="s">
        <v>29</v>
      </c>
      <c r="P1339" s="15">
        <v>214</v>
      </c>
      <c r="Q1339" s="8"/>
      <c r="R1339">
        <v>13.44</v>
      </c>
      <c r="S1339">
        <v>2425.12</v>
      </c>
      <c r="T1339">
        <v>4.95</v>
      </c>
      <c r="U1339">
        <v>9.65</v>
      </c>
      <c r="V1339">
        <v>134.35</v>
      </c>
      <c r="W1339" s="317">
        <v>3.9</v>
      </c>
      <c r="X1339" s="190">
        <f t="shared" si="50"/>
        <v>46.8</v>
      </c>
      <c r="Y1339" s="8"/>
      <c r="Z1339" s="8"/>
    </row>
    <row r="1340" spans="1:26" ht="12.75" customHeight="1" x14ac:dyDescent="0.2">
      <c r="A1340" s="15">
        <v>41</v>
      </c>
      <c r="B1340" s="15">
        <v>2004</v>
      </c>
      <c r="C1340" s="15">
        <v>1</v>
      </c>
      <c r="D1340" s="15">
        <v>8</v>
      </c>
      <c r="E1340" s="30">
        <v>0.5</v>
      </c>
      <c r="F1340" s="11" t="s">
        <v>51</v>
      </c>
      <c r="G1340" s="20">
        <v>122</v>
      </c>
      <c r="H1340" s="15" t="s">
        <v>29</v>
      </c>
      <c r="I1340" s="20">
        <v>6.5</v>
      </c>
      <c r="J1340" s="11" t="s">
        <v>19</v>
      </c>
      <c r="K1340" s="20" t="s">
        <v>20</v>
      </c>
      <c r="L1340" s="20" t="s">
        <v>30</v>
      </c>
      <c r="M1340" s="20" t="s">
        <v>46</v>
      </c>
      <c r="N1340" s="20" t="s">
        <v>25</v>
      </c>
      <c r="O1340" s="27" t="s">
        <v>29</v>
      </c>
      <c r="P1340" s="15">
        <v>214</v>
      </c>
      <c r="Q1340" s="8"/>
      <c r="R1340">
        <v>11.38</v>
      </c>
      <c r="S1340">
        <v>1474.77</v>
      </c>
      <c r="T1340">
        <v>4.41</v>
      </c>
      <c r="U1340">
        <v>8.17</v>
      </c>
      <c r="V1340">
        <v>113.83</v>
      </c>
      <c r="W1340" s="317">
        <v>4.5999999999999996</v>
      </c>
      <c r="X1340" s="190">
        <f t="shared" si="50"/>
        <v>29.9</v>
      </c>
      <c r="Y1340" s="8"/>
      <c r="Z1340" s="8"/>
    </row>
    <row r="1341" spans="1:26" ht="12.75" customHeight="1" x14ac:dyDescent="0.2">
      <c r="A1341" s="15">
        <v>42</v>
      </c>
      <c r="B1341" s="15">
        <v>2004</v>
      </c>
      <c r="C1341" s="15">
        <v>1</v>
      </c>
      <c r="D1341" s="15">
        <v>8</v>
      </c>
      <c r="E1341" s="30">
        <v>0.5</v>
      </c>
      <c r="F1341" s="11" t="s">
        <v>51</v>
      </c>
      <c r="G1341" s="20">
        <v>122</v>
      </c>
      <c r="H1341" s="15" t="s">
        <v>29</v>
      </c>
      <c r="I1341" s="20">
        <v>10</v>
      </c>
      <c r="J1341" s="11" t="s">
        <v>19</v>
      </c>
      <c r="K1341" s="20" t="s">
        <v>20</v>
      </c>
      <c r="L1341" s="20" t="s">
        <v>30</v>
      </c>
      <c r="M1341" s="20" t="s">
        <v>46</v>
      </c>
      <c r="N1341" s="20" t="s">
        <v>25</v>
      </c>
      <c r="O1341" s="27" t="s">
        <v>29</v>
      </c>
      <c r="P1341" s="15">
        <v>214</v>
      </c>
      <c r="Q1341" s="8"/>
      <c r="R1341">
        <v>11.38</v>
      </c>
      <c r="S1341">
        <v>1474.77</v>
      </c>
      <c r="T1341">
        <v>6.78</v>
      </c>
      <c r="U1341">
        <v>8.17</v>
      </c>
      <c r="V1341">
        <v>113.83</v>
      </c>
      <c r="W1341" s="317">
        <v>4.5999999999999996</v>
      </c>
      <c r="X1341" s="190">
        <f t="shared" si="50"/>
        <v>46</v>
      </c>
      <c r="Y1341" s="8"/>
      <c r="Z1341" s="8"/>
    </row>
    <row r="1342" spans="1:26" ht="12.75" customHeight="1" x14ac:dyDescent="0.2">
      <c r="A1342" s="15">
        <v>43</v>
      </c>
      <c r="B1342" s="15">
        <v>2004</v>
      </c>
      <c r="C1342" s="15">
        <v>1</v>
      </c>
      <c r="D1342" s="15">
        <v>8</v>
      </c>
      <c r="E1342" s="30">
        <v>0.5</v>
      </c>
      <c r="F1342" s="11" t="s">
        <v>51</v>
      </c>
      <c r="G1342" s="20">
        <v>146</v>
      </c>
      <c r="H1342" s="15" t="s">
        <v>29</v>
      </c>
      <c r="I1342" s="20">
        <v>11</v>
      </c>
      <c r="J1342" s="11" t="s">
        <v>19</v>
      </c>
      <c r="K1342" s="20" t="s">
        <v>20</v>
      </c>
      <c r="L1342" s="11" t="s">
        <v>21</v>
      </c>
      <c r="M1342" s="20" t="s">
        <v>46</v>
      </c>
      <c r="N1342" s="20" t="s">
        <v>25</v>
      </c>
      <c r="O1342" s="27" t="s">
        <v>29</v>
      </c>
      <c r="P1342" s="15">
        <v>214</v>
      </c>
      <c r="Q1342" s="8"/>
      <c r="R1342">
        <v>13.62</v>
      </c>
      <c r="S1342">
        <v>2527.5700000000002</v>
      </c>
      <c r="T1342">
        <v>4.3499999999999996</v>
      </c>
      <c r="U1342">
        <v>9.7799999999999994</v>
      </c>
      <c r="V1342">
        <v>136.22</v>
      </c>
      <c r="W1342" s="317">
        <v>3.9</v>
      </c>
      <c r="X1342" s="190">
        <f t="shared" si="50"/>
        <v>42.9</v>
      </c>
      <c r="Y1342" s="8"/>
      <c r="Z1342" s="8"/>
    </row>
    <row r="1343" spans="1:26" ht="12.75" customHeight="1" x14ac:dyDescent="0.2">
      <c r="A1343" s="15">
        <v>44</v>
      </c>
      <c r="B1343" s="15">
        <v>2004</v>
      </c>
      <c r="C1343" s="15">
        <v>1</v>
      </c>
      <c r="D1343" s="15">
        <v>8</v>
      </c>
      <c r="E1343" s="30">
        <v>0.5</v>
      </c>
      <c r="F1343" s="11" t="s">
        <v>51</v>
      </c>
      <c r="G1343" s="20">
        <v>140</v>
      </c>
      <c r="H1343" s="15" t="s">
        <v>29</v>
      </c>
      <c r="I1343" s="20">
        <v>9.8000000000000007</v>
      </c>
      <c r="J1343" s="11" t="s">
        <v>19</v>
      </c>
      <c r="K1343" s="20" t="s">
        <v>20</v>
      </c>
      <c r="L1343" s="11" t="s">
        <v>21</v>
      </c>
      <c r="M1343" s="20" t="s">
        <v>46</v>
      </c>
      <c r="N1343" s="20" t="s">
        <v>25</v>
      </c>
      <c r="O1343" s="27" t="s">
        <v>29</v>
      </c>
      <c r="P1343" s="15">
        <v>214</v>
      </c>
      <c r="Q1343" s="8"/>
      <c r="R1343">
        <v>13.06</v>
      </c>
      <c r="S1343">
        <v>2228.58</v>
      </c>
      <c r="T1343">
        <v>4.4000000000000004</v>
      </c>
      <c r="U1343">
        <v>9.3800000000000008</v>
      </c>
      <c r="V1343">
        <v>130.62</v>
      </c>
      <c r="W1343" s="317">
        <v>3.9</v>
      </c>
      <c r="X1343" s="190">
        <f t="shared" si="50"/>
        <v>38.22</v>
      </c>
      <c r="Y1343" s="8"/>
      <c r="Z1343" s="8"/>
    </row>
    <row r="1344" spans="1:26" ht="12.75" customHeight="1" x14ac:dyDescent="0.2">
      <c r="A1344" s="15">
        <v>45</v>
      </c>
      <c r="B1344" s="15">
        <v>2004</v>
      </c>
      <c r="C1344" s="15">
        <v>1</v>
      </c>
      <c r="D1344" s="15">
        <v>8</v>
      </c>
      <c r="E1344" s="30">
        <v>0.5</v>
      </c>
      <c r="F1344" s="11" t="s">
        <v>51</v>
      </c>
      <c r="G1344" s="20">
        <v>135</v>
      </c>
      <c r="H1344" s="15" t="s">
        <v>29</v>
      </c>
      <c r="I1344" s="20">
        <v>11.5</v>
      </c>
      <c r="J1344" s="11" t="s">
        <v>19</v>
      </c>
      <c r="K1344" s="20" t="s">
        <v>20</v>
      </c>
      <c r="L1344" s="11" t="s">
        <v>21</v>
      </c>
      <c r="M1344" s="20" t="s">
        <v>46</v>
      </c>
      <c r="N1344" s="20" t="s">
        <v>25</v>
      </c>
      <c r="O1344" s="27" t="s">
        <v>29</v>
      </c>
      <c r="P1344" s="15">
        <v>214</v>
      </c>
      <c r="Q1344" s="8"/>
      <c r="R1344">
        <v>12.6</v>
      </c>
      <c r="S1344">
        <v>1998.23</v>
      </c>
      <c r="T1344">
        <v>5.76</v>
      </c>
      <c r="U1344">
        <v>9.0500000000000007</v>
      </c>
      <c r="V1344">
        <v>125.96</v>
      </c>
      <c r="W1344" s="317">
        <v>3.9</v>
      </c>
      <c r="X1344" s="190">
        <f t="shared" si="50"/>
        <v>44.85</v>
      </c>
      <c r="Y1344" s="8"/>
      <c r="Z1344" s="8"/>
    </row>
    <row r="1345" spans="1:26" ht="12.75" customHeight="1" x14ac:dyDescent="0.2">
      <c r="A1345" s="15">
        <v>46</v>
      </c>
      <c r="B1345" s="15">
        <v>2004</v>
      </c>
      <c r="C1345" s="15">
        <v>31</v>
      </c>
      <c r="D1345" s="15">
        <v>7</v>
      </c>
      <c r="E1345" s="29" t="s">
        <v>17</v>
      </c>
      <c r="F1345" s="11" t="s">
        <v>51</v>
      </c>
      <c r="G1345" s="20">
        <v>138</v>
      </c>
      <c r="H1345" s="15" t="s">
        <v>29</v>
      </c>
      <c r="I1345" s="20">
        <v>12.2</v>
      </c>
      <c r="J1345" s="11" t="s">
        <v>19</v>
      </c>
      <c r="K1345" s="20" t="s">
        <v>20</v>
      </c>
      <c r="L1345" s="11" t="s">
        <v>21</v>
      </c>
      <c r="M1345" s="20" t="s">
        <v>27</v>
      </c>
      <c r="N1345" s="20" t="s">
        <v>24</v>
      </c>
      <c r="O1345" s="27" t="s">
        <v>29</v>
      </c>
      <c r="P1345" s="15">
        <v>213</v>
      </c>
      <c r="Q1345" s="8"/>
      <c r="R1345">
        <v>12.88</v>
      </c>
      <c r="S1345">
        <v>2134.4299999999998</v>
      </c>
      <c r="T1345">
        <v>5.72</v>
      </c>
      <c r="U1345">
        <v>9.25</v>
      </c>
      <c r="V1345">
        <v>128.75</v>
      </c>
      <c r="W1345" s="317">
        <v>3.9</v>
      </c>
      <c r="X1345" s="190">
        <f t="shared" si="50"/>
        <v>47.58</v>
      </c>
      <c r="Y1345" s="8"/>
      <c r="Z1345" s="8"/>
    </row>
    <row r="1346" spans="1:26" ht="12.75" customHeight="1" x14ac:dyDescent="0.2">
      <c r="A1346" s="15">
        <v>47</v>
      </c>
      <c r="B1346" s="15">
        <v>2004</v>
      </c>
      <c r="C1346" s="15">
        <v>31</v>
      </c>
      <c r="D1346" s="15">
        <v>7</v>
      </c>
      <c r="E1346" s="29" t="s">
        <v>17</v>
      </c>
      <c r="F1346" s="11" t="s">
        <v>51</v>
      </c>
      <c r="G1346" s="20">
        <v>145</v>
      </c>
      <c r="H1346" s="15" t="s">
        <v>29</v>
      </c>
      <c r="I1346" s="20">
        <v>11.8</v>
      </c>
      <c r="J1346" s="11" t="s">
        <v>19</v>
      </c>
      <c r="K1346" s="20" t="s">
        <v>20</v>
      </c>
      <c r="L1346" s="11" t="s">
        <v>21</v>
      </c>
      <c r="M1346" s="20" t="s">
        <v>45</v>
      </c>
      <c r="N1346" s="20" t="s">
        <v>24</v>
      </c>
      <c r="O1346" s="27" t="s">
        <v>29</v>
      </c>
      <c r="P1346" s="15">
        <v>213</v>
      </c>
      <c r="Q1346" s="8"/>
      <c r="R1346">
        <v>13.53</v>
      </c>
      <c r="S1346">
        <v>2475.9899999999998</v>
      </c>
      <c r="T1346">
        <v>4.7699999999999996</v>
      </c>
      <c r="U1346">
        <v>9.7200000000000006</v>
      </c>
      <c r="V1346">
        <v>135.29</v>
      </c>
      <c r="W1346" s="317">
        <v>3.9</v>
      </c>
      <c r="X1346" s="190">
        <f t="shared" si="50"/>
        <v>46.02</v>
      </c>
      <c r="Y1346" s="8"/>
      <c r="Z1346" s="8"/>
    </row>
    <row r="1347" spans="1:26" ht="12.75" customHeight="1" x14ac:dyDescent="0.2">
      <c r="A1347" s="15">
        <v>48</v>
      </c>
      <c r="B1347" s="15">
        <v>2004</v>
      </c>
      <c r="C1347" s="15">
        <v>31</v>
      </c>
      <c r="D1347" s="15">
        <v>7</v>
      </c>
      <c r="E1347" s="29" t="s">
        <v>17</v>
      </c>
      <c r="F1347" s="11" t="s">
        <v>51</v>
      </c>
      <c r="G1347" s="20">
        <v>162</v>
      </c>
      <c r="H1347" s="15" t="s">
        <v>29</v>
      </c>
      <c r="I1347" s="20">
        <v>15</v>
      </c>
      <c r="J1347" s="11" t="s">
        <v>19</v>
      </c>
      <c r="K1347" s="20" t="s">
        <v>20</v>
      </c>
      <c r="L1347" s="11" t="s">
        <v>21</v>
      </c>
      <c r="M1347" s="20" t="s">
        <v>45</v>
      </c>
      <c r="N1347" s="20" t="s">
        <v>23</v>
      </c>
      <c r="O1347" s="27" t="s">
        <v>29</v>
      </c>
      <c r="P1347" s="15">
        <v>213</v>
      </c>
      <c r="Q1347" s="8"/>
      <c r="R1347">
        <v>15.11</v>
      </c>
      <c r="S1347">
        <v>3452.95</v>
      </c>
      <c r="T1347">
        <v>4.34</v>
      </c>
      <c r="U1347">
        <v>10.85</v>
      </c>
      <c r="V1347">
        <v>151.15</v>
      </c>
      <c r="W1347" s="317">
        <v>3.9</v>
      </c>
      <c r="X1347" s="190">
        <f t="shared" si="50"/>
        <v>58.5</v>
      </c>
      <c r="Y1347" s="8"/>
      <c r="Z1347" s="8"/>
    </row>
    <row r="1348" spans="1:26" ht="12.75" customHeight="1" x14ac:dyDescent="0.2">
      <c r="A1348" s="15">
        <v>49</v>
      </c>
      <c r="B1348" s="15">
        <v>2004</v>
      </c>
      <c r="C1348" s="15">
        <v>31</v>
      </c>
      <c r="D1348" s="15">
        <v>7</v>
      </c>
      <c r="E1348" s="29" t="s">
        <v>17</v>
      </c>
      <c r="F1348" s="11" t="s">
        <v>51</v>
      </c>
      <c r="G1348" s="20">
        <v>138</v>
      </c>
      <c r="H1348" s="15" t="s">
        <v>29</v>
      </c>
      <c r="I1348" s="20">
        <v>11.5</v>
      </c>
      <c r="J1348" s="11" t="s">
        <v>19</v>
      </c>
      <c r="K1348" s="20" t="s">
        <v>20</v>
      </c>
      <c r="L1348" s="11" t="s">
        <v>21</v>
      </c>
      <c r="M1348" s="20" t="s">
        <v>45</v>
      </c>
      <c r="N1348" s="20" t="s">
        <v>24</v>
      </c>
      <c r="O1348" s="27" t="s">
        <v>29</v>
      </c>
      <c r="P1348" s="15">
        <v>213</v>
      </c>
      <c r="Q1348" s="8"/>
      <c r="R1348">
        <v>12.88</v>
      </c>
      <c r="S1348">
        <v>2134.4299999999998</v>
      </c>
      <c r="T1348">
        <v>5.39</v>
      </c>
      <c r="U1348">
        <v>9.25</v>
      </c>
      <c r="V1348">
        <v>128.75</v>
      </c>
      <c r="W1348" s="317">
        <v>3.9</v>
      </c>
      <c r="X1348" s="190">
        <f t="shared" si="50"/>
        <v>44.85</v>
      </c>
      <c r="Y1348" s="8"/>
      <c r="Z1348" s="8"/>
    </row>
    <row r="1349" spans="1:26" ht="12.75" customHeight="1" x14ac:dyDescent="0.2">
      <c r="A1349" s="15">
        <v>50</v>
      </c>
      <c r="B1349" s="15">
        <v>2004</v>
      </c>
      <c r="C1349" s="15">
        <v>31</v>
      </c>
      <c r="D1349" s="15">
        <v>7</v>
      </c>
      <c r="E1349" s="29" t="s">
        <v>17</v>
      </c>
      <c r="F1349" s="11" t="s">
        <v>51</v>
      </c>
      <c r="G1349" s="20">
        <v>150</v>
      </c>
      <c r="H1349" s="15" t="s">
        <v>29</v>
      </c>
      <c r="I1349" s="20">
        <v>19.5</v>
      </c>
      <c r="J1349" s="11" t="s">
        <v>19</v>
      </c>
      <c r="K1349" s="20" t="s">
        <v>20</v>
      </c>
      <c r="L1349" s="11" t="s">
        <v>21</v>
      </c>
      <c r="M1349" s="20" t="s">
        <v>45</v>
      </c>
      <c r="N1349" s="20" t="s">
        <v>24</v>
      </c>
      <c r="O1349" s="27" t="s">
        <v>29</v>
      </c>
      <c r="P1349" s="15">
        <v>213</v>
      </c>
      <c r="Q1349" s="8"/>
      <c r="R1349">
        <v>14</v>
      </c>
      <c r="S1349">
        <v>2741.06</v>
      </c>
      <c r="T1349">
        <v>7.11</v>
      </c>
      <c r="U1349">
        <v>10.050000000000001</v>
      </c>
      <c r="V1349">
        <v>139.94999999999999</v>
      </c>
      <c r="W1349" s="317">
        <v>3.9</v>
      </c>
      <c r="X1349" s="190">
        <f t="shared" si="50"/>
        <v>76.05</v>
      </c>
      <c r="Y1349" s="8"/>
      <c r="Z1349" s="8"/>
    </row>
    <row r="1350" spans="1:26" ht="12.75" customHeight="1" x14ac:dyDescent="0.2">
      <c r="A1350" s="15">
        <v>51</v>
      </c>
      <c r="B1350" s="15">
        <v>2004</v>
      </c>
      <c r="C1350" s="15">
        <v>31</v>
      </c>
      <c r="D1350" s="15">
        <v>7</v>
      </c>
      <c r="E1350" s="29" t="s">
        <v>17</v>
      </c>
      <c r="F1350" s="11" t="s">
        <v>51</v>
      </c>
      <c r="G1350" s="20">
        <v>140</v>
      </c>
      <c r="H1350" s="15" t="s">
        <v>29</v>
      </c>
      <c r="I1350" s="20">
        <v>14</v>
      </c>
      <c r="J1350" s="11" t="s">
        <v>19</v>
      </c>
      <c r="K1350" s="20" t="s">
        <v>20</v>
      </c>
      <c r="L1350" s="20" t="s">
        <v>30</v>
      </c>
      <c r="M1350" s="20" t="s">
        <v>46</v>
      </c>
      <c r="N1350" s="20" t="s">
        <v>24</v>
      </c>
      <c r="O1350" s="27" t="s">
        <v>29</v>
      </c>
      <c r="P1350" s="15">
        <v>213</v>
      </c>
      <c r="Q1350" s="8"/>
      <c r="R1350">
        <v>13.06</v>
      </c>
      <c r="S1350">
        <v>2228.58</v>
      </c>
      <c r="T1350">
        <v>6.28</v>
      </c>
      <c r="U1350">
        <v>9.3800000000000008</v>
      </c>
      <c r="V1350">
        <v>130.62</v>
      </c>
      <c r="W1350" s="317">
        <v>4.5999999999999996</v>
      </c>
      <c r="X1350" s="190">
        <f t="shared" si="50"/>
        <v>64.399999999999991</v>
      </c>
      <c r="Y1350" s="8"/>
      <c r="Z1350" s="8"/>
    </row>
    <row r="1351" spans="1:26" ht="12.75" customHeight="1" x14ac:dyDescent="0.2">
      <c r="A1351" s="15">
        <v>52</v>
      </c>
      <c r="B1351" s="15">
        <v>2004</v>
      </c>
      <c r="C1351" s="15">
        <v>31</v>
      </c>
      <c r="D1351" s="15">
        <v>7</v>
      </c>
      <c r="E1351" s="29" t="s">
        <v>17</v>
      </c>
      <c r="F1351" s="11" t="s">
        <v>51</v>
      </c>
      <c r="G1351" s="20">
        <v>134</v>
      </c>
      <c r="H1351" s="15" t="s">
        <v>29</v>
      </c>
      <c r="I1351" s="20">
        <v>9</v>
      </c>
      <c r="J1351" s="11" t="s">
        <v>19</v>
      </c>
      <c r="K1351" s="20" t="s">
        <v>20</v>
      </c>
      <c r="L1351" s="20" t="s">
        <v>30</v>
      </c>
      <c r="M1351" s="20" t="s">
        <v>27</v>
      </c>
      <c r="N1351" s="20" t="s">
        <v>24</v>
      </c>
      <c r="O1351" s="27" t="s">
        <v>29</v>
      </c>
      <c r="P1351" s="15">
        <v>213</v>
      </c>
      <c r="Q1351" s="8"/>
      <c r="R1351">
        <v>12.5</v>
      </c>
      <c r="S1351">
        <v>1954.16</v>
      </c>
      <c r="T1351">
        <v>4.6100000000000003</v>
      </c>
      <c r="U1351">
        <v>8.98</v>
      </c>
      <c r="V1351">
        <v>125.02</v>
      </c>
      <c r="W1351" s="317">
        <v>4.5999999999999996</v>
      </c>
      <c r="X1351" s="190">
        <f t="shared" si="50"/>
        <v>41.4</v>
      </c>
      <c r="Y1351" s="8"/>
      <c r="Z1351" s="8"/>
    </row>
    <row r="1352" spans="1:26" ht="12.75" customHeight="1" x14ac:dyDescent="0.2">
      <c r="A1352" s="15">
        <v>53</v>
      </c>
      <c r="B1352" s="15">
        <v>2004</v>
      </c>
      <c r="C1352" s="15">
        <v>31</v>
      </c>
      <c r="D1352" s="15">
        <v>7</v>
      </c>
      <c r="E1352" s="29" t="s">
        <v>17</v>
      </c>
      <c r="F1352" s="11" t="s">
        <v>51</v>
      </c>
      <c r="G1352" s="20">
        <v>133</v>
      </c>
      <c r="H1352" s="15" t="s">
        <v>29</v>
      </c>
      <c r="I1352" s="20">
        <v>8.5</v>
      </c>
      <c r="J1352" s="11" t="s">
        <v>19</v>
      </c>
      <c r="K1352" s="20" t="s">
        <v>20</v>
      </c>
      <c r="L1352" s="11" t="s">
        <v>21</v>
      </c>
      <c r="M1352" s="20" t="s">
        <v>45</v>
      </c>
      <c r="N1352" s="20" t="s">
        <v>24</v>
      </c>
      <c r="O1352" s="27" t="s">
        <v>29</v>
      </c>
      <c r="P1352" s="15">
        <v>213</v>
      </c>
      <c r="Q1352" s="8"/>
      <c r="R1352">
        <v>12.41</v>
      </c>
      <c r="S1352">
        <v>1910.73</v>
      </c>
      <c r="T1352">
        <v>4.45</v>
      </c>
      <c r="U1352">
        <v>8.91</v>
      </c>
      <c r="V1352">
        <v>124.09</v>
      </c>
      <c r="W1352" s="317">
        <v>3.9</v>
      </c>
      <c r="X1352" s="190">
        <f t="shared" si="50"/>
        <v>33.15</v>
      </c>
      <c r="Y1352" s="8"/>
      <c r="Z1352" s="8"/>
    </row>
    <row r="1353" spans="1:26" ht="12.75" customHeight="1" x14ac:dyDescent="0.2">
      <c r="A1353" s="15">
        <v>54</v>
      </c>
      <c r="B1353" s="15">
        <v>2004</v>
      </c>
      <c r="C1353" s="15">
        <v>31</v>
      </c>
      <c r="D1353" s="15">
        <v>7</v>
      </c>
      <c r="E1353" s="29" t="s">
        <v>17</v>
      </c>
      <c r="F1353" s="11" t="s">
        <v>51</v>
      </c>
      <c r="G1353" s="20">
        <v>132</v>
      </c>
      <c r="H1353" s="15" t="s">
        <v>29</v>
      </c>
      <c r="I1353" s="20">
        <v>9.6</v>
      </c>
      <c r="J1353" s="11" t="s">
        <v>19</v>
      </c>
      <c r="K1353" s="20" t="s">
        <v>20</v>
      </c>
      <c r="L1353" s="11" t="s">
        <v>21</v>
      </c>
      <c r="M1353" s="20" t="s">
        <v>46</v>
      </c>
      <c r="N1353" s="20" t="s">
        <v>24</v>
      </c>
      <c r="O1353" s="27" t="s">
        <v>29</v>
      </c>
      <c r="P1353" s="15">
        <v>213</v>
      </c>
      <c r="Q1353" s="8"/>
      <c r="R1353">
        <v>12.32</v>
      </c>
      <c r="S1353">
        <v>1867.96</v>
      </c>
      <c r="T1353">
        <v>5.14</v>
      </c>
      <c r="U1353">
        <v>8.84</v>
      </c>
      <c r="V1353">
        <v>123.16</v>
      </c>
      <c r="W1353" s="317">
        <v>3.9</v>
      </c>
      <c r="X1353" s="190">
        <f t="shared" si="50"/>
        <v>37.44</v>
      </c>
      <c r="Y1353" s="8"/>
      <c r="Z1353" s="8"/>
    </row>
    <row r="1354" spans="1:26" ht="12.75" customHeight="1" x14ac:dyDescent="0.2">
      <c r="A1354" s="15">
        <v>55</v>
      </c>
      <c r="B1354" s="15">
        <v>2004</v>
      </c>
      <c r="C1354" s="15">
        <v>31</v>
      </c>
      <c r="D1354" s="15">
        <v>7</v>
      </c>
      <c r="E1354" s="29" t="s">
        <v>17</v>
      </c>
      <c r="F1354" s="11" t="s">
        <v>51</v>
      </c>
      <c r="G1354" s="20">
        <v>155</v>
      </c>
      <c r="H1354" s="15" t="s">
        <v>29</v>
      </c>
      <c r="I1354" s="20">
        <v>15</v>
      </c>
      <c r="J1354" s="11" t="s">
        <v>19</v>
      </c>
      <c r="K1354" s="20" t="s">
        <v>20</v>
      </c>
      <c r="L1354" s="11" t="s">
        <v>21</v>
      </c>
      <c r="M1354" s="20" t="s">
        <v>46</v>
      </c>
      <c r="N1354" s="20" t="s">
        <v>23</v>
      </c>
      <c r="O1354" s="27" t="s">
        <v>29</v>
      </c>
      <c r="P1354" s="15">
        <v>213</v>
      </c>
      <c r="Q1354" s="8"/>
      <c r="R1354">
        <v>14.46</v>
      </c>
      <c r="S1354">
        <v>3024.41</v>
      </c>
      <c r="T1354">
        <v>4.96</v>
      </c>
      <c r="U1354">
        <v>10.39</v>
      </c>
      <c r="V1354">
        <v>144.62</v>
      </c>
      <c r="W1354" s="317">
        <v>3.9</v>
      </c>
      <c r="X1354" s="190">
        <f t="shared" si="50"/>
        <v>58.5</v>
      </c>
      <c r="Y1354" s="8"/>
      <c r="Z1354" s="8"/>
    </row>
    <row r="1355" spans="1:26" ht="12.75" customHeight="1" x14ac:dyDescent="0.2">
      <c r="A1355" s="15">
        <v>56</v>
      </c>
      <c r="B1355" s="15">
        <v>2004</v>
      </c>
      <c r="C1355" s="15">
        <v>31</v>
      </c>
      <c r="D1355" s="15">
        <v>7</v>
      </c>
      <c r="E1355" s="29" t="s">
        <v>17</v>
      </c>
      <c r="F1355" s="11" t="s">
        <v>51</v>
      </c>
      <c r="G1355" s="20">
        <v>157</v>
      </c>
      <c r="H1355" s="15" t="s">
        <v>29</v>
      </c>
      <c r="I1355" s="20">
        <v>16</v>
      </c>
      <c r="J1355" s="11" t="s">
        <v>19</v>
      </c>
      <c r="K1355" s="20" t="s">
        <v>20</v>
      </c>
      <c r="L1355" s="11" t="s">
        <v>21</v>
      </c>
      <c r="M1355" s="20" t="s">
        <v>46</v>
      </c>
      <c r="N1355" s="20" t="s">
        <v>24</v>
      </c>
      <c r="O1355" s="27" t="s">
        <v>29</v>
      </c>
      <c r="P1355" s="15">
        <v>213</v>
      </c>
      <c r="Q1355" s="8"/>
      <c r="R1355">
        <v>14.65</v>
      </c>
      <c r="S1355">
        <v>3143</v>
      </c>
      <c r="T1355">
        <v>5.09</v>
      </c>
      <c r="U1355">
        <v>10.52</v>
      </c>
      <c r="V1355">
        <v>146.47999999999999</v>
      </c>
      <c r="W1355" s="317">
        <v>3.9</v>
      </c>
      <c r="X1355" s="190">
        <f t="shared" si="50"/>
        <v>62.4</v>
      </c>
      <c r="Y1355" s="8"/>
      <c r="Z1355" s="8"/>
    </row>
    <row r="1356" spans="1:26" ht="12.75" customHeight="1" x14ac:dyDescent="0.2">
      <c r="A1356" s="15">
        <v>57</v>
      </c>
      <c r="B1356" s="15">
        <v>2004</v>
      </c>
      <c r="C1356" s="15">
        <v>31</v>
      </c>
      <c r="D1356" s="15">
        <v>7</v>
      </c>
      <c r="E1356" s="29" t="s">
        <v>17</v>
      </c>
      <c r="F1356" s="11" t="s">
        <v>51</v>
      </c>
      <c r="G1356" s="20">
        <v>154</v>
      </c>
      <c r="H1356" s="15" t="s">
        <v>29</v>
      </c>
      <c r="I1356" s="20">
        <v>17.5</v>
      </c>
      <c r="J1356" s="11" t="s">
        <v>19</v>
      </c>
      <c r="K1356" s="20" t="s">
        <v>20</v>
      </c>
      <c r="L1356" s="11" t="s">
        <v>21</v>
      </c>
      <c r="M1356" s="20" t="s">
        <v>46</v>
      </c>
      <c r="N1356" s="20" t="s">
        <v>24</v>
      </c>
      <c r="O1356" s="27" t="s">
        <v>29</v>
      </c>
      <c r="P1356" s="15">
        <v>213</v>
      </c>
      <c r="Q1356" s="8"/>
      <c r="R1356">
        <v>14.37</v>
      </c>
      <c r="S1356">
        <v>2966.25</v>
      </c>
      <c r="T1356">
        <v>5.9</v>
      </c>
      <c r="U1356">
        <v>10.32</v>
      </c>
      <c r="V1356">
        <v>143.68</v>
      </c>
      <c r="W1356" s="317">
        <v>3.9</v>
      </c>
      <c r="X1356" s="190">
        <f t="shared" si="50"/>
        <v>68.25</v>
      </c>
      <c r="Y1356" s="8"/>
      <c r="Z1356" s="8"/>
    </row>
    <row r="1357" spans="1:26" ht="12.75" customHeight="1" x14ac:dyDescent="0.2">
      <c r="A1357" s="15">
        <v>58</v>
      </c>
      <c r="B1357" s="15">
        <v>2004</v>
      </c>
      <c r="C1357" s="15">
        <v>31</v>
      </c>
      <c r="D1357" s="15">
        <v>7</v>
      </c>
      <c r="E1357" s="29" t="s">
        <v>17</v>
      </c>
      <c r="F1357" s="11" t="s">
        <v>51</v>
      </c>
      <c r="G1357" s="20">
        <v>141</v>
      </c>
      <c r="H1357" s="15" t="s">
        <v>29</v>
      </c>
      <c r="I1357" s="20">
        <v>12.5</v>
      </c>
      <c r="J1357" s="11" t="s">
        <v>19</v>
      </c>
      <c r="K1357" s="20" t="s">
        <v>20</v>
      </c>
      <c r="L1357" s="11" t="s">
        <v>21</v>
      </c>
      <c r="M1357" s="20" t="s">
        <v>46</v>
      </c>
      <c r="N1357" s="20" t="s">
        <v>24</v>
      </c>
      <c r="O1357" s="27" t="s">
        <v>29</v>
      </c>
      <c r="P1357" s="15">
        <v>213</v>
      </c>
      <c r="Q1357" s="8"/>
      <c r="R1357">
        <v>13.16</v>
      </c>
      <c r="S1357">
        <v>2276.6799999999998</v>
      </c>
      <c r="T1357">
        <v>5.49</v>
      </c>
      <c r="U1357">
        <v>9.4499999999999993</v>
      </c>
      <c r="V1357">
        <v>131.55000000000001</v>
      </c>
      <c r="W1357" s="317">
        <v>3.9</v>
      </c>
      <c r="X1357" s="190">
        <f t="shared" si="50"/>
        <v>48.75</v>
      </c>
      <c r="Y1357" s="8"/>
      <c r="Z1357" s="8"/>
    </row>
    <row r="1358" spans="1:26" ht="12.75" customHeight="1" x14ac:dyDescent="0.2">
      <c r="A1358" s="15">
        <v>59</v>
      </c>
      <c r="B1358" s="15">
        <v>2004</v>
      </c>
      <c r="C1358" s="15">
        <v>31</v>
      </c>
      <c r="D1358" s="15">
        <v>7</v>
      </c>
      <c r="E1358" s="29" t="s">
        <v>17</v>
      </c>
      <c r="F1358" s="11" t="s">
        <v>51</v>
      </c>
      <c r="G1358" s="20">
        <v>141</v>
      </c>
      <c r="H1358" s="15" t="s">
        <v>29</v>
      </c>
      <c r="I1358" s="20">
        <v>11.6</v>
      </c>
      <c r="J1358" s="11" t="s">
        <v>19</v>
      </c>
      <c r="K1358" s="20" t="s">
        <v>20</v>
      </c>
      <c r="L1358" s="11" t="s">
        <v>21</v>
      </c>
      <c r="M1358" s="20" t="s">
        <v>47</v>
      </c>
      <c r="N1358" s="20" t="s">
        <v>24</v>
      </c>
      <c r="O1358" s="27" t="s">
        <v>29</v>
      </c>
      <c r="P1358" s="15">
        <v>213</v>
      </c>
      <c r="Q1358" s="8"/>
      <c r="R1358">
        <v>13.16</v>
      </c>
      <c r="S1358">
        <v>2276.6799999999998</v>
      </c>
      <c r="T1358">
        <v>5.0999999999999996</v>
      </c>
      <c r="U1358">
        <v>9.4499999999999993</v>
      </c>
      <c r="V1358">
        <v>131.55000000000001</v>
      </c>
      <c r="W1358" s="317">
        <v>3.9</v>
      </c>
      <c r="X1358" s="190">
        <f t="shared" si="50"/>
        <v>45.239999999999995</v>
      </c>
      <c r="Y1358" s="8"/>
      <c r="Z1358" s="8"/>
    </row>
    <row r="1359" spans="1:26" ht="12.75" customHeight="1" x14ac:dyDescent="0.2">
      <c r="A1359" s="15">
        <v>60</v>
      </c>
      <c r="B1359" s="15">
        <v>2004</v>
      </c>
      <c r="C1359" s="15">
        <v>31</v>
      </c>
      <c r="D1359" s="15">
        <v>7</v>
      </c>
      <c r="E1359" s="29" t="s">
        <v>17</v>
      </c>
      <c r="F1359" s="11" t="s">
        <v>51</v>
      </c>
      <c r="G1359" s="20">
        <v>142</v>
      </c>
      <c r="H1359" s="15" t="s">
        <v>29</v>
      </c>
      <c r="I1359" s="20">
        <v>11</v>
      </c>
      <c r="J1359" s="11" t="s">
        <v>19</v>
      </c>
      <c r="K1359" s="20" t="s">
        <v>20</v>
      </c>
      <c r="L1359" s="20" t="s">
        <v>30</v>
      </c>
      <c r="M1359" s="20" t="s">
        <v>45</v>
      </c>
      <c r="N1359" s="20" t="s">
        <v>39</v>
      </c>
      <c r="O1359" s="27" t="s">
        <v>29</v>
      </c>
      <c r="P1359" s="15">
        <v>213</v>
      </c>
      <c r="Q1359" s="8"/>
      <c r="R1359">
        <v>13.25</v>
      </c>
      <c r="S1359">
        <v>2325.4699999999998</v>
      </c>
      <c r="T1359">
        <v>4.7300000000000004</v>
      </c>
      <c r="U1359">
        <v>9.51</v>
      </c>
      <c r="V1359">
        <v>132.49</v>
      </c>
      <c r="W1359" s="317">
        <v>4.5999999999999996</v>
      </c>
      <c r="X1359" s="190">
        <f t="shared" si="50"/>
        <v>50.599999999999994</v>
      </c>
      <c r="Y1359" s="8"/>
      <c r="Z1359" s="8"/>
    </row>
    <row r="1360" spans="1:26" ht="12.75" customHeight="1" x14ac:dyDescent="0.2">
      <c r="A1360" s="15">
        <v>61</v>
      </c>
      <c r="B1360" s="15">
        <v>2004</v>
      </c>
      <c r="C1360" s="15">
        <v>31</v>
      </c>
      <c r="D1360" s="15">
        <v>7</v>
      </c>
      <c r="E1360" s="29" t="s">
        <v>17</v>
      </c>
      <c r="F1360" s="11" t="s">
        <v>51</v>
      </c>
      <c r="G1360" s="20">
        <v>126</v>
      </c>
      <c r="H1360" s="15" t="s">
        <v>29</v>
      </c>
      <c r="I1360" s="20">
        <v>7.5</v>
      </c>
      <c r="J1360" s="11" t="s">
        <v>19</v>
      </c>
      <c r="K1360" s="20" t="s">
        <v>20</v>
      </c>
      <c r="L1360" s="20" t="s">
        <v>30</v>
      </c>
      <c r="M1360" s="20" t="s">
        <v>27</v>
      </c>
      <c r="N1360" s="20" t="s">
        <v>25</v>
      </c>
      <c r="O1360" s="27" t="s">
        <v>29</v>
      </c>
      <c r="P1360" s="15">
        <v>213</v>
      </c>
      <c r="Q1360" s="8"/>
      <c r="R1360">
        <v>11.76</v>
      </c>
      <c r="S1360">
        <v>1624.64</v>
      </c>
      <c r="T1360">
        <v>4.62</v>
      </c>
      <c r="U1360">
        <v>8.44</v>
      </c>
      <c r="V1360">
        <v>117.56</v>
      </c>
      <c r="W1360" s="317">
        <v>4.5999999999999996</v>
      </c>
      <c r="X1360" s="190">
        <f t="shared" si="50"/>
        <v>34.5</v>
      </c>
      <c r="Y1360" s="8"/>
      <c r="Z1360" s="8"/>
    </row>
    <row r="1361" spans="1:26" ht="12.75" customHeight="1" x14ac:dyDescent="0.2">
      <c r="A1361" s="15">
        <v>62</v>
      </c>
      <c r="B1361" s="15">
        <v>2004</v>
      </c>
      <c r="C1361" s="15">
        <v>31</v>
      </c>
      <c r="D1361" s="15">
        <v>7</v>
      </c>
      <c r="E1361" s="29" t="s">
        <v>17</v>
      </c>
      <c r="F1361" s="11" t="s">
        <v>51</v>
      </c>
      <c r="G1361" s="20">
        <v>136</v>
      </c>
      <c r="H1361" s="15" t="s">
        <v>29</v>
      </c>
      <c r="I1361" s="20">
        <v>10</v>
      </c>
      <c r="J1361" s="11" t="s">
        <v>19</v>
      </c>
      <c r="K1361" s="20" t="s">
        <v>20</v>
      </c>
      <c r="L1361" s="11" t="s">
        <v>21</v>
      </c>
      <c r="M1361" s="20" t="s">
        <v>46</v>
      </c>
      <c r="N1361" s="20" t="s">
        <v>24</v>
      </c>
      <c r="O1361" s="27" t="s">
        <v>29</v>
      </c>
      <c r="P1361" s="15">
        <v>213</v>
      </c>
      <c r="Q1361" s="8"/>
      <c r="R1361">
        <v>12.69</v>
      </c>
      <c r="S1361">
        <v>2042.97</v>
      </c>
      <c r="T1361">
        <v>4.8899999999999997</v>
      </c>
      <c r="U1361">
        <v>9.11</v>
      </c>
      <c r="V1361">
        <v>126.89</v>
      </c>
      <c r="W1361" s="317">
        <v>3.9</v>
      </c>
      <c r="X1361" s="190">
        <f t="shared" si="50"/>
        <v>39</v>
      </c>
      <c r="Y1361" s="8"/>
      <c r="Z1361" s="8"/>
    </row>
    <row r="1362" spans="1:26" ht="12.75" customHeight="1" x14ac:dyDescent="0.2">
      <c r="A1362" s="15">
        <v>63</v>
      </c>
      <c r="B1362" s="15">
        <v>2004</v>
      </c>
      <c r="C1362" s="15">
        <v>31</v>
      </c>
      <c r="D1362" s="15">
        <v>7</v>
      </c>
      <c r="E1362" s="29" t="s">
        <v>17</v>
      </c>
      <c r="F1362" s="11" t="s">
        <v>51</v>
      </c>
      <c r="G1362" s="20">
        <v>132</v>
      </c>
      <c r="H1362" s="15" t="s">
        <v>29</v>
      </c>
      <c r="I1362" s="20">
        <v>9.8000000000000007</v>
      </c>
      <c r="J1362" s="11" t="s">
        <v>19</v>
      </c>
      <c r="K1362" s="20" t="s">
        <v>20</v>
      </c>
      <c r="L1362" s="11" t="s">
        <v>21</v>
      </c>
      <c r="M1362" s="20" t="s">
        <v>27</v>
      </c>
      <c r="N1362" s="20" t="s">
        <v>24</v>
      </c>
      <c r="O1362" s="27" t="s">
        <v>29</v>
      </c>
      <c r="P1362" s="15">
        <v>213</v>
      </c>
      <c r="Q1362" s="8"/>
      <c r="R1362">
        <v>12.32</v>
      </c>
      <c r="S1362">
        <v>1867.96</v>
      </c>
      <c r="T1362">
        <v>5.25</v>
      </c>
      <c r="U1362">
        <v>8.84</v>
      </c>
      <c r="V1362">
        <v>123.16</v>
      </c>
      <c r="W1362" s="317">
        <v>3.9</v>
      </c>
      <c r="X1362" s="190">
        <f t="shared" si="50"/>
        <v>38.22</v>
      </c>
      <c r="Y1362" s="8"/>
      <c r="Z1362" s="8"/>
    </row>
    <row r="1363" spans="1:26" ht="12.75" customHeight="1" x14ac:dyDescent="0.2">
      <c r="A1363" s="15">
        <v>64</v>
      </c>
      <c r="B1363" s="15">
        <v>2004</v>
      </c>
      <c r="C1363" s="15">
        <v>31</v>
      </c>
      <c r="D1363" s="15">
        <v>7</v>
      </c>
      <c r="E1363" s="29" t="s">
        <v>17</v>
      </c>
      <c r="F1363" s="11" t="s">
        <v>51</v>
      </c>
      <c r="G1363" s="20">
        <v>150</v>
      </c>
      <c r="H1363" s="15" t="s">
        <v>29</v>
      </c>
      <c r="I1363" s="20">
        <v>10.4</v>
      </c>
      <c r="J1363" s="11" t="s">
        <v>19</v>
      </c>
      <c r="K1363" s="20" t="s">
        <v>20</v>
      </c>
      <c r="L1363" s="20" t="s">
        <v>30</v>
      </c>
      <c r="M1363" s="20" t="s">
        <v>47</v>
      </c>
      <c r="N1363" s="20" t="s">
        <v>24</v>
      </c>
      <c r="O1363" s="27" t="s">
        <v>29</v>
      </c>
      <c r="P1363" s="15">
        <v>213</v>
      </c>
      <c r="Q1363" s="8"/>
      <c r="R1363">
        <v>14</v>
      </c>
      <c r="S1363">
        <v>2741.06</v>
      </c>
      <c r="T1363">
        <v>3.79</v>
      </c>
      <c r="U1363">
        <v>10.050000000000001</v>
      </c>
      <c r="V1363">
        <v>139.94999999999999</v>
      </c>
      <c r="W1363" s="317">
        <v>4.5999999999999996</v>
      </c>
      <c r="X1363" s="190">
        <f t="shared" si="50"/>
        <v>47.839999999999996</v>
      </c>
      <c r="Y1363" s="8"/>
      <c r="Z1363" s="8"/>
    </row>
    <row r="1364" spans="1:26" ht="12.75" customHeight="1" x14ac:dyDescent="0.2">
      <c r="A1364" s="15">
        <v>65</v>
      </c>
      <c r="B1364" s="15">
        <v>2004</v>
      </c>
      <c r="C1364" s="15">
        <v>31</v>
      </c>
      <c r="D1364" s="15">
        <v>7</v>
      </c>
      <c r="E1364" s="29" t="s">
        <v>17</v>
      </c>
      <c r="F1364" s="11" t="s">
        <v>51</v>
      </c>
      <c r="G1364" s="20">
        <v>139</v>
      </c>
      <c r="H1364" s="15" t="s">
        <v>29</v>
      </c>
      <c r="I1364" s="20">
        <v>9.1999999999999993</v>
      </c>
      <c r="J1364" s="11" t="s">
        <v>19</v>
      </c>
      <c r="K1364" s="20" t="s">
        <v>20</v>
      </c>
      <c r="L1364" s="20" t="s">
        <v>30</v>
      </c>
      <c r="M1364" s="20" t="s">
        <v>46</v>
      </c>
      <c r="N1364" s="20" t="s">
        <v>23</v>
      </c>
      <c r="O1364" s="27" t="s">
        <v>29</v>
      </c>
      <c r="P1364" s="15">
        <v>213</v>
      </c>
      <c r="Q1364" s="8"/>
      <c r="R1364">
        <v>12.97</v>
      </c>
      <c r="S1364">
        <v>2181.17</v>
      </c>
      <c r="T1364">
        <v>4.22</v>
      </c>
      <c r="U1364">
        <v>9.31</v>
      </c>
      <c r="V1364">
        <v>129.69</v>
      </c>
      <c r="W1364" s="317">
        <v>4.5999999999999996</v>
      </c>
      <c r="X1364" s="190">
        <f t="shared" si="50"/>
        <v>42.319999999999993</v>
      </c>
      <c r="Y1364" s="8"/>
      <c r="Z1364" s="8"/>
    </row>
    <row r="1365" spans="1:26" ht="12.75" customHeight="1" x14ac:dyDescent="0.2">
      <c r="A1365" s="15">
        <v>66</v>
      </c>
      <c r="B1365" s="15">
        <v>2004</v>
      </c>
      <c r="C1365" s="15">
        <v>31</v>
      </c>
      <c r="D1365" s="15">
        <v>7</v>
      </c>
      <c r="E1365" s="29" t="s">
        <v>17</v>
      </c>
      <c r="F1365" s="11" t="s">
        <v>51</v>
      </c>
      <c r="G1365" s="20">
        <v>120</v>
      </c>
      <c r="H1365" s="15" t="s">
        <v>29</v>
      </c>
      <c r="I1365" s="20">
        <v>8.5</v>
      </c>
      <c r="J1365" s="11" t="s">
        <v>19</v>
      </c>
      <c r="K1365" s="20" t="s">
        <v>20</v>
      </c>
      <c r="L1365" s="20" t="s">
        <v>30</v>
      </c>
      <c r="M1365" s="20" t="s">
        <v>46</v>
      </c>
      <c r="N1365" s="20" t="s">
        <v>23</v>
      </c>
      <c r="O1365" s="27" t="s">
        <v>29</v>
      </c>
      <c r="P1365" s="15">
        <v>213</v>
      </c>
      <c r="Q1365" s="8"/>
      <c r="R1365">
        <v>11.2</v>
      </c>
      <c r="S1365">
        <v>1403.42</v>
      </c>
      <c r="T1365">
        <v>6.06</v>
      </c>
      <c r="U1365">
        <v>8.0399999999999991</v>
      </c>
      <c r="V1365">
        <v>111.96</v>
      </c>
      <c r="W1365" s="317">
        <v>4.5999999999999996</v>
      </c>
      <c r="X1365" s="190">
        <f t="shared" si="50"/>
        <v>39.099999999999994</v>
      </c>
      <c r="Y1365" s="8"/>
      <c r="Z1365" s="8"/>
    </row>
    <row r="1366" spans="1:26" ht="12.75" customHeight="1" x14ac:dyDescent="0.2">
      <c r="A1366" s="15">
        <v>67</v>
      </c>
      <c r="B1366" s="15">
        <v>2004</v>
      </c>
      <c r="C1366" s="15">
        <v>31</v>
      </c>
      <c r="D1366" s="15">
        <v>7</v>
      </c>
      <c r="E1366" s="29" t="s">
        <v>17</v>
      </c>
      <c r="F1366" s="11" t="s">
        <v>51</v>
      </c>
      <c r="G1366" s="20">
        <v>145</v>
      </c>
      <c r="H1366" s="15" t="s">
        <v>29</v>
      </c>
      <c r="I1366" s="20">
        <v>11.5</v>
      </c>
      <c r="J1366" s="11" t="s">
        <v>19</v>
      </c>
      <c r="K1366" s="20" t="s">
        <v>20</v>
      </c>
      <c r="L1366" s="20" t="s">
        <v>30</v>
      </c>
      <c r="M1366" s="20" t="s">
        <v>46</v>
      </c>
      <c r="N1366" s="20" t="s">
        <v>25</v>
      </c>
      <c r="O1366" s="27" t="s">
        <v>29</v>
      </c>
      <c r="P1366" s="15">
        <v>213</v>
      </c>
      <c r="Q1366" s="8"/>
      <c r="R1366">
        <v>13.53</v>
      </c>
      <c r="S1366">
        <v>2475.9899999999998</v>
      </c>
      <c r="T1366">
        <v>4.6399999999999997</v>
      </c>
      <c r="U1366">
        <v>9.7200000000000006</v>
      </c>
      <c r="V1366">
        <v>135.29</v>
      </c>
      <c r="W1366" s="317">
        <v>4.5999999999999996</v>
      </c>
      <c r="X1366" s="190">
        <f t="shared" si="50"/>
        <v>52.9</v>
      </c>
      <c r="Y1366" s="8"/>
      <c r="Z1366" s="8"/>
    </row>
    <row r="1367" spans="1:26" ht="12.75" customHeight="1" x14ac:dyDescent="0.2">
      <c r="A1367" s="15">
        <v>68</v>
      </c>
      <c r="B1367" s="15">
        <v>2004</v>
      </c>
      <c r="C1367" s="15">
        <v>31</v>
      </c>
      <c r="D1367" s="15">
        <v>7</v>
      </c>
      <c r="E1367" s="29" t="s">
        <v>17</v>
      </c>
      <c r="F1367" s="11" t="s">
        <v>51</v>
      </c>
      <c r="G1367" s="20">
        <v>142</v>
      </c>
      <c r="H1367" s="15" t="s">
        <v>29</v>
      </c>
      <c r="I1367" s="20">
        <v>8.6</v>
      </c>
      <c r="J1367" s="11" t="s">
        <v>19</v>
      </c>
      <c r="K1367" s="20" t="s">
        <v>20</v>
      </c>
      <c r="L1367" s="11" t="s">
        <v>21</v>
      </c>
      <c r="M1367" s="20" t="s">
        <v>46</v>
      </c>
      <c r="N1367" s="20" t="s">
        <v>25</v>
      </c>
      <c r="O1367" s="27" t="s">
        <v>29</v>
      </c>
      <c r="P1367" s="15">
        <v>213</v>
      </c>
      <c r="Q1367" s="8"/>
      <c r="R1367">
        <v>13.25</v>
      </c>
      <c r="S1367">
        <v>2325.4699999999998</v>
      </c>
      <c r="T1367">
        <v>3.7</v>
      </c>
      <c r="U1367">
        <v>9.51</v>
      </c>
      <c r="V1367">
        <v>132.49</v>
      </c>
      <c r="W1367" s="317">
        <v>3.9</v>
      </c>
      <c r="X1367" s="190">
        <f t="shared" si="50"/>
        <v>33.54</v>
      </c>
      <c r="Y1367" s="8"/>
      <c r="Z1367" s="8"/>
    </row>
    <row r="1368" spans="1:26" ht="12.75" customHeight="1" x14ac:dyDescent="0.2">
      <c r="A1368" s="15">
        <v>69</v>
      </c>
      <c r="B1368" s="15">
        <v>2004</v>
      </c>
      <c r="C1368" s="15">
        <v>31</v>
      </c>
      <c r="D1368" s="15">
        <v>7</v>
      </c>
      <c r="E1368" s="29" t="s">
        <v>17</v>
      </c>
      <c r="F1368" s="11" t="s">
        <v>28</v>
      </c>
      <c r="G1368" s="11" t="s">
        <v>29</v>
      </c>
      <c r="H1368" s="15" t="s">
        <v>29</v>
      </c>
      <c r="I1368" s="25" t="s">
        <v>29</v>
      </c>
      <c r="J1368" s="11" t="s">
        <v>19</v>
      </c>
      <c r="K1368" s="20" t="s">
        <v>20</v>
      </c>
      <c r="L1368" s="11" t="s">
        <v>41</v>
      </c>
      <c r="M1368" s="11" t="s">
        <v>29</v>
      </c>
      <c r="N1368" s="20" t="s">
        <v>24</v>
      </c>
      <c r="O1368" s="27" t="s">
        <v>29</v>
      </c>
      <c r="P1368" s="15">
        <v>213</v>
      </c>
      <c r="Q1368" s="8"/>
      <c r="W1368" s="8"/>
      <c r="X1368" s="8"/>
      <c r="Y1368" s="8"/>
      <c r="Z1368" s="8"/>
    </row>
    <row r="1369" spans="1:26" ht="12.75" customHeight="1" x14ac:dyDescent="0.2">
      <c r="A1369" s="15">
        <v>70</v>
      </c>
      <c r="B1369" s="15">
        <v>2004</v>
      </c>
      <c r="C1369" s="15">
        <v>31</v>
      </c>
      <c r="D1369" s="15">
        <v>7</v>
      </c>
      <c r="E1369" s="29" t="s">
        <v>17</v>
      </c>
      <c r="F1369" s="11" t="s">
        <v>51</v>
      </c>
      <c r="G1369" s="20">
        <v>141</v>
      </c>
      <c r="H1369" s="15" t="s">
        <v>29</v>
      </c>
      <c r="I1369" s="20">
        <v>12.5</v>
      </c>
      <c r="J1369" s="11" t="s">
        <v>19</v>
      </c>
      <c r="K1369" s="20" t="s">
        <v>20</v>
      </c>
      <c r="L1369" s="20" t="s">
        <v>30</v>
      </c>
      <c r="M1369" s="20" t="s">
        <v>46</v>
      </c>
      <c r="N1369" s="20" t="s">
        <v>25</v>
      </c>
      <c r="O1369" s="27" t="s">
        <v>29</v>
      </c>
      <c r="P1369" s="15">
        <v>213</v>
      </c>
      <c r="Q1369" s="8"/>
      <c r="R1369">
        <v>13.16</v>
      </c>
      <c r="S1369">
        <v>2276.6799999999998</v>
      </c>
      <c r="T1369">
        <v>5.49</v>
      </c>
      <c r="U1369">
        <v>9.4499999999999993</v>
      </c>
      <c r="V1369">
        <v>131.55000000000001</v>
      </c>
      <c r="W1369" s="317">
        <v>4.5999999999999996</v>
      </c>
      <c r="X1369" s="190">
        <f>I1369*W1369</f>
        <v>57.499999999999993</v>
      </c>
      <c r="Y1369" s="8"/>
      <c r="Z1369" s="8"/>
    </row>
    <row r="1370" spans="1:26" ht="12.75" customHeight="1" x14ac:dyDescent="0.2">
      <c r="A1370" s="15">
        <v>71</v>
      </c>
      <c r="B1370" s="15">
        <v>2004</v>
      </c>
      <c r="C1370" s="15">
        <v>31</v>
      </c>
      <c r="D1370" s="15">
        <v>7</v>
      </c>
      <c r="E1370" s="29" t="s">
        <v>17</v>
      </c>
      <c r="F1370" s="11" t="s">
        <v>51</v>
      </c>
      <c r="G1370" s="20">
        <v>140</v>
      </c>
      <c r="H1370" s="15" t="s">
        <v>29</v>
      </c>
      <c r="I1370" s="20">
        <v>12.5</v>
      </c>
      <c r="J1370" s="11" t="s">
        <v>19</v>
      </c>
      <c r="K1370" s="20" t="s">
        <v>20</v>
      </c>
      <c r="L1370" s="11" t="s">
        <v>21</v>
      </c>
      <c r="M1370" s="20" t="s">
        <v>47</v>
      </c>
      <c r="N1370" s="20" t="s">
        <v>24</v>
      </c>
      <c r="O1370" s="27" t="s">
        <v>29</v>
      </c>
      <c r="P1370" s="15">
        <v>213</v>
      </c>
      <c r="Q1370" s="8"/>
      <c r="R1370">
        <v>13.06</v>
      </c>
      <c r="S1370">
        <v>2228.58</v>
      </c>
      <c r="T1370">
        <v>5.61</v>
      </c>
      <c r="U1370">
        <v>9.3800000000000008</v>
      </c>
      <c r="V1370">
        <v>130.62</v>
      </c>
      <c r="W1370" s="317">
        <v>3.9</v>
      </c>
      <c r="X1370" s="190">
        <f>I1370*W1370</f>
        <v>48.75</v>
      </c>
      <c r="Y1370" s="8"/>
      <c r="Z1370" s="8"/>
    </row>
    <row r="1371" spans="1:26" ht="12.75" customHeight="1" x14ac:dyDescent="0.2">
      <c r="A1371" s="15">
        <v>72</v>
      </c>
      <c r="B1371" s="15">
        <v>2004</v>
      </c>
      <c r="C1371" s="15">
        <v>30</v>
      </c>
      <c r="D1371" s="15">
        <v>7</v>
      </c>
      <c r="E1371" s="29" t="s">
        <v>17</v>
      </c>
      <c r="F1371" s="11" t="s">
        <v>51</v>
      </c>
      <c r="G1371" s="20">
        <v>129</v>
      </c>
      <c r="H1371" s="15" t="s">
        <v>29</v>
      </c>
      <c r="I1371" s="20">
        <v>17</v>
      </c>
      <c r="J1371" s="11" t="s">
        <v>205</v>
      </c>
      <c r="K1371" s="11" t="s">
        <v>29</v>
      </c>
      <c r="L1371" s="11" t="s">
        <v>29</v>
      </c>
      <c r="M1371" s="20" t="s">
        <v>46</v>
      </c>
      <c r="N1371" s="20" t="s">
        <v>24</v>
      </c>
      <c r="O1371" s="31" t="s">
        <v>29</v>
      </c>
      <c r="P1371" s="15">
        <v>212</v>
      </c>
      <c r="Q1371" s="8"/>
      <c r="R1371">
        <v>12.04</v>
      </c>
      <c r="S1371">
        <v>1743.47</v>
      </c>
      <c r="T1371">
        <v>9.75</v>
      </c>
      <c r="U1371">
        <v>8.64</v>
      </c>
      <c r="V1371">
        <v>120.36</v>
      </c>
      <c r="W1371" s="8"/>
      <c r="X1371" s="8"/>
      <c r="Y1371" s="8"/>
      <c r="Z1371" s="8"/>
    </row>
    <row r="1372" spans="1:26" ht="12.75" customHeight="1" x14ac:dyDescent="0.2">
      <c r="A1372" s="15">
        <v>73</v>
      </c>
      <c r="B1372" s="15">
        <v>2004</v>
      </c>
      <c r="C1372" s="15">
        <v>30</v>
      </c>
      <c r="D1372" s="15">
        <v>7</v>
      </c>
      <c r="E1372" s="29" t="s">
        <v>17</v>
      </c>
      <c r="F1372" s="11" t="s">
        <v>51</v>
      </c>
      <c r="G1372" s="20">
        <v>143</v>
      </c>
      <c r="H1372" s="15" t="s">
        <v>29</v>
      </c>
      <c r="I1372" s="20">
        <v>10</v>
      </c>
      <c r="J1372" s="11" t="s">
        <v>19</v>
      </c>
      <c r="K1372" s="20" t="s">
        <v>20</v>
      </c>
      <c r="L1372" s="11" t="s">
        <v>21</v>
      </c>
      <c r="M1372" s="20" t="s">
        <v>46</v>
      </c>
      <c r="N1372" s="20" t="s">
        <v>25</v>
      </c>
      <c r="O1372" s="31" t="s">
        <v>29</v>
      </c>
      <c r="P1372" s="15">
        <v>212</v>
      </c>
      <c r="Q1372" s="8"/>
      <c r="R1372">
        <v>13.34</v>
      </c>
      <c r="S1372">
        <v>2374.94</v>
      </c>
      <c r="T1372">
        <v>4.21</v>
      </c>
      <c r="U1372">
        <v>9.58</v>
      </c>
      <c r="V1372">
        <v>133.41999999999999</v>
      </c>
      <c r="W1372" s="317">
        <v>3.9</v>
      </c>
      <c r="X1372" s="190">
        <f>I1372*W1372</f>
        <v>39</v>
      </c>
      <c r="Y1372" s="8"/>
      <c r="Z1372" s="8"/>
    </row>
    <row r="1373" spans="1:26" ht="12.75" customHeight="1" x14ac:dyDescent="0.2">
      <c r="A1373" s="15">
        <v>74</v>
      </c>
      <c r="B1373" s="15">
        <v>2004</v>
      </c>
      <c r="C1373" s="15">
        <v>30</v>
      </c>
      <c r="D1373" s="15">
        <v>7</v>
      </c>
      <c r="E1373" s="29" t="s">
        <v>17</v>
      </c>
      <c r="F1373" s="11" t="s">
        <v>51</v>
      </c>
      <c r="G1373" s="20">
        <v>140</v>
      </c>
      <c r="H1373" s="15" t="s">
        <v>29</v>
      </c>
      <c r="I1373" s="20">
        <v>11.2</v>
      </c>
      <c r="J1373" s="11" t="s">
        <v>19</v>
      </c>
      <c r="K1373" s="20" t="s">
        <v>20</v>
      </c>
      <c r="L1373" s="11" t="s">
        <v>21</v>
      </c>
      <c r="M1373" s="20" t="s">
        <v>46</v>
      </c>
      <c r="N1373" s="20" t="s">
        <v>25</v>
      </c>
      <c r="O1373" s="31" t="s">
        <v>29</v>
      </c>
      <c r="P1373" s="15">
        <v>212</v>
      </c>
      <c r="Q1373" s="8"/>
      <c r="R1373">
        <v>13.06</v>
      </c>
      <c r="S1373">
        <v>2228.58</v>
      </c>
      <c r="T1373">
        <v>5.03</v>
      </c>
      <c r="U1373">
        <v>9.3800000000000008</v>
      </c>
      <c r="V1373">
        <v>130.62</v>
      </c>
      <c r="W1373" s="317">
        <v>3.9</v>
      </c>
      <c r="X1373" s="190">
        <f>I1373*W1373</f>
        <v>43.68</v>
      </c>
      <c r="Y1373" s="8"/>
      <c r="Z1373" s="8"/>
    </row>
    <row r="1374" spans="1:26" ht="12.75" customHeight="1" x14ac:dyDescent="0.2">
      <c r="A1374" s="15">
        <v>75</v>
      </c>
      <c r="B1374" s="15">
        <v>2004</v>
      </c>
      <c r="C1374" s="15">
        <v>30</v>
      </c>
      <c r="D1374" s="15">
        <v>7</v>
      </c>
      <c r="E1374" s="29" t="s">
        <v>17</v>
      </c>
      <c r="F1374" s="11" t="s">
        <v>28</v>
      </c>
      <c r="G1374" s="11" t="s">
        <v>29</v>
      </c>
      <c r="H1374" s="15" t="s">
        <v>29</v>
      </c>
      <c r="I1374" s="25" t="s">
        <v>29</v>
      </c>
      <c r="J1374" s="11" t="s">
        <v>19</v>
      </c>
      <c r="K1374" s="20" t="s">
        <v>20</v>
      </c>
      <c r="L1374" s="11" t="s">
        <v>41</v>
      </c>
      <c r="M1374" s="11" t="s">
        <v>29</v>
      </c>
      <c r="N1374" s="11" t="s">
        <v>29</v>
      </c>
      <c r="O1374" s="31" t="s">
        <v>29</v>
      </c>
      <c r="P1374" s="15">
        <v>212</v>
      </c>
      <c r="Q1374" s="8"/>
      <c r="W1374" s="8"/>
      <c r="X1374" s="8"/>
      <c r="Y1374" s="8"/>
      <c r="Z1374" s="8"/>
    </row>
    <row r="1375" spans="1:26" ht="12.75" customHeight="1" x14ac:dyDescent="0.2">
      <c r="A1375" s="15">
        <v>76</v>
      </c>
      <c r="B1375" s="15">
        <v>2004</v>
      </c>
      <c r="C1375" s="15">
        <v>30</v>
      </c>
      <c r="D1375" s="15">
        <v>7</v>
      </c>
      <c r="E1375" s="29" t="s">
        <v>17</v>
      </c>
      <c r="F1375" s="11" t="s">
        <v>28</v>
      </c>
      <c r="G1375" s="11" t="s">
        <v>29</v>
      </c>
      <c r="H1375" s="15" t="s">
        <v>29</v>
      </c>
      <c r="I1375" s="25" t="s">
        <v>29</v>
      </c>
      <c r="J1375" s="11" t="s">
        <v>19</v>
      </c>
      <c r="K1375" s="20" t="s">
        <v>20</v>
      </c>
      <c r="L1375" s="11" t="s">
        <v>41</v>
      </c>
      <c r="M1375" s="11" t="s">
        <v>29</v>
      </c>
      <c r="N1375" s="11" t="s">
        <v>29</v>
      </c>
      <c r="O1375" s="31" t="s">
        <v>29</v>
      </c>
      <c r="P1375" s="15">
        <v>212</v>
      </c>
      <c r="Q1375" s="8"/>
      <c r="W1375" s="8"/>
      <c r="X1375" s="8"/>
      <c r="Y1375" s="8"/>
      <c r="Z1375" s="8"/>
    </row>
    <row r="1376" spans="1:26" ht="12.75" customHeight="1" x14ac:dyDescent="0.2">
      <c r="A1376" s="15">
        <v>77</v>
      </c>
      <c r="B1376" s="15">
        <v>2004</v>
      </c>
      <c r="C1376" s="15">
        <v>30</v>
      </c>
      <c r="D1376" s="15">
        <v>7</v>
      </c>
      <c r="E1376" s="29" t="s">
        <v>17</v>
      </c>
      <c r="F1376" s="11" t="s">
        <v>51</v>
      </c>
      <c r="G1376" s="20">
        <v>141</v>
      </c>
      <c r="H1376" s="15" t="s">
        <v>29</v>
      </c>
      <c r="I1376" s="20">
        <v>14</v>
      </c>
      <c r="J1376" s="11" t="s">
        <v>19</v>
      </c>
      <c r="K1376" s="20" t="s">
        <v>20</v>
      </c>
      <c r="L1376" s="20" t="s">
        <v>30</v>
      </c>
      <c r="M1376" s="20" t="s">
        <v>45</v>
      </c>
      <c r="N1376" s="20" t="s">
        <v>24</v>
      </c>
      <c r="O1376" s="31" t="s">
        <v>29</v>
      </c>
      <c r="P1376" s="15">
        <v>212</v>
      </c>
      <c r="Q1376" s="8"/>
      <c r="R1376">
        <v>13.16</v>
      </c>
      <c r="S1376">
        <v>2276.6799999999998</v>
      </c>
      <c r="T1376">
        <v>6.15</v>
      </c>
      <c r="U1376">
        <v>9.4499999999999993</v>
      </c>
      <c r="V1376">
        <v>131.55000000000001</v>
      </c>
      <c r="W1376" s="317">
        <v>4.5999999999999996</v>
      </c>
      <c r="X1376" s="190">
        <f>I1376*W1376</f>
        <v>64.399999999999991</v>
      </c>
      <c r="Y1376" s="8"/>
      <c r="Z1376" s="8"/>
    </row>
    <row r="1377" spans="1:26" ht="12.75" customHeight="1" x14ac:dyDescent="0.2">
      <c r="A1377" s="15">
        <v>78</v>
      </c>
      <c r="B1377" s="15">
        <v>2004</v>
      </c>
      <c r="C1377" s="15">
        <v>30</v>
      </c>
      <c r="D1377" s="15">
        <v>7</v>
      </c>
      <c r="E1377" s="29" t="s">
        <v>17</v>
      </c>
      <c r="F1377" s="11" t="s">
        <v>51</v>
      </c>
      <c r="G1377" s="20">
        <v>152</v>
      </c>
      <c r="H1377" s="15" t="s">
        <v>29</v>
      </c>
      <c r="I1377" s="20">
        <v>10</v>
      </c>
      <c r="J1377" s="11" t="s">
        <v>19</v>
      </c>
      <c r="K1377" s="20" t="s">
        <v>20</v>
      </c>
      <c r="L1377" s="11" t="s">
        <v>21</v>
      </c>
      <c r="M1377" s="20" t="s">
        <v>46</v>
      </c>
      <c r="N1377" s="20" t="s">
        <v>33</v>
      </c>
      <c r="O1377" s="31" t="s">
        <v>29</v>
      </c>
      <c r="P1377" s="15">
        <v>212</v>
      </c>
      <c r="Q1377" s="8"/>
      <c r="R1377">
        <v>14.18</v>
      </c>
      <c r="S1377">
        <v>2852.17</v>
      </c>
      <c r="T1377">
        <v>3.51</v>
      </c>
      <c r="U1377">
        <v>10.18</v>
      </c>
      <c r="V1377">
        <v>141.82</v>
      </c>
      <c r="W1377" s="317">
        <v>3.9</v>
      </c>
      <c r="X1377" s="190">
        <f>I1377*W1377</f>
        <v>39</v>
      </c>
      <c r="Y1377" s="8"/>
      <c r="Z1377" s="8"/>
    </row>
    <row r="1378" spans="1:26" ht="12.75" customHeight="1" x14ac:dyDescent="0.2">
      <c r="A1378" s="15">
        <v>79</v>
      </c>
      <c r="B1378" s="15">
        <v>2004</v>
      </c>
      <c r="C1378" s="15">
        <v>30</v>
      </c>
      <c r="D1378" s="15">
        <v>7</v>
      </c>
      <c r="E1378" s="29" t="s">
        <v>17</v>
      </c>
      <c r="F1378" s="11" t="s">
        <v>51</v>
      </c>
      <c r="G1378" s="20">
        <v>130</v>
      </c>
      <c r="H1378" s="15" t="s">
        <v>29</v>
      </c>
      <c r="I1378" s="20">
        <v>14</v>
      </c>
      <c r="J1378" s="11" t="s">
        <v>19</v>
      </c>
      <c r="K1378" s="20" t="s">
        <v>20</v>
      </c>
      <c r="L1378" s="11" t="s">
        <v>41</v>
      </c>
      <c r="M1378" s="20" t="s">
        <v>46</v>
      </c>
      <c r="N1378" s="20" t="s">
        <v>39</v>
      </c>
      <c r="O1378" s="31" t="s">
        <v>29</v>
      </c>
      <c r="P1378" s="15">
        <v>212</v>
      </c>
      <c r="Q1378" s="8"/>
      <c r="R1378">
        <v>12.13</v>
      </c>
      <c r="S1378">
        <v>1784.33</v>
      </c>
      <c r="T1378">
        <v>7.85</v>
      </c>
      <c r="U1378">
        <v>8.7100000000000009</v>
      </c>
      <c r="V1378">
        <v>121.29</v>
      </c>
      <c r="W1378" s="8"/>
      <c r="X1378" s="8"/>
      <c r="Y1378" s="8"/>
      <c r="Z1378" s="8"/>
    </row>
    <row r="1379" spans="1:26" ht="12.75" customHeight="1" x14ac:dyDescent="0.2">
      <c r="A1379" s="15">
        <v>80</v>
      </c>
      <c r="B1379" s="15">
        <v>2004</v>
      </c>
      <c r="C1379" s="15">
        <v>30</v>
      </c>
      <c r="D1379" s="15">
        <v>7</v>
      </c>
      <c r="E1379" s="29" t="s">
        <v>17</v>
      </c>
      <c r="F1379" s="11" t="s">
        <v>51</v>
      </c>
      <c r="G1379" s="20">
        <v>137</v>
      </c>
      <c r="H1379" s="15" t="s">
        <v>29</v>
      </c>
      <c r="I1379" s="20">
        <v>11.8</v>
      </c>
      <c r="J1379" s="11" t="s">
        <v>19</v>
      </c>
      <c r="K1379" s="20" t="s">
        <v>20</v>
      </c>
      <c r="L1379" s="11" t="s">
        <v>21</v>
      </c>
      <c r="M1379" s="20" t="s">
        <v>47</v>
      </c>
      <c r="N1379" s="20" t="s">
        <v>25</v>
      </c>
      <c r="O1379" s="31" t="s">
        <v>29</v>
      </c>
      <c r="P1379" s="15">
        <v>212</v>
      </c>
      <c r="Q1379" s="8"/>
      <c r="R1379">
        <v>12.78</v>
      </c>
      <c r="S1379">
        <v>2088.37</v>
      </c>
      <c r="T1379">
        <v>5.65</v>
      </c>
      <c r="U1379">
        <v>9.18</v>
      </c>
      <c r="V1379">
        <v>127.82</v>
      </c>
      <c r="W1379" s="317">
        <v>3.9</v>
      </c>
      <c r="X1379" s="190">
        <f t="shared" ref="X1379:X1389" si="51">I1379*W1379</f>
        <v>46.02</v>
      </c>
      <c r="Y1379" s="8"/>
      <c r="Z1379" s="8"/>
    </row>
    <row r="1380" spans="1:26" ht="12.75" customHeight="1" x14ac:dyDescent="0.2">
      <c r="A1380" s="15">
        <v>81</v>
      </c>
      <c r="B1380" s="15">
        <v>2004</v>
      </c>
      <c r="C1380" s="15">
        <v>30</v>
      </c>
      <c r="D1380" s="15">
        <v>7</v>
      </c>
      <c r="E1380" s="29" t="s">
        <v>17</v>
      </c>
      <c r="F1380" s="11" t="s">
        <v>51</v>
      </c>
      <c r="G1380" s="20">
        <v>141</v>
      </c>
      <c r="H1380" s="15" t="s">
        <v>29</v>
      </c>
      <c r="I1380" s="20">
        <v>12</v>
      </c>
      <c r="J1380" s="11" t="s">
        <v>19</v>
      </c>
      <c r="K1380" s="20" t="s">
        <v>20</v>
      </c>
      <c r="L1380" s="20" t="s">
        <v>30</v>
      </c>
      <c r="M1380" s="20" t="s">
        <v>46</v>
      </c>
      <c r="N1380" s="20" t="s">
        <v>23</v>
      </c>
      <c r="O1380" s="31" t="s">
        <v>29</v>
      </c>
      <c r="P1380" s="15">
        <v>212</v>
      </c>
      <c r="Q1380" s="8"/>
      <c r="R1380">
        <v>13.16</v>
      </c>
      <c r="S1380">
        <v>2276.6799999999998</v>
      </c>
      <c r="T1380">
        <v>5.27</v>
      </c>
      <c r="U1380">
        <v>9.4499999999999993</v>
      </c>
      <c r="V1380">
        <v>131.55000000000001</v>
      </c>
      <c r="W1380" s="317">
        <v>4.5999999999999996</v>
      </c>
      <c r="X1380" s="190">
        <f t="shared" si="51"/>
        <v>55.199999999999996</v>
      </c>
      <c r="Y1380" s="8"/>
      <c r="Z1380" s="8"/>
    </row>
    <row r="1381" spans="1:26" ht="12.75" customHeight="1" x14ac:dyDescent="0.2">
      <c r="A1381" s="15">
        <v>82</v>
      </c>
      <c r="B1381" s="15">
        <v>2004</v>
      </c>
      <c r="C1381" s="15">
        <v>30</v>
      </c>
      <c r="D1381" s="15">
        <v>7</v>
      </c>
      <c r="E1381" s="29" t="s">
        <v>17</v>
      </c>
      <c r="F1381" s="11" t="s">
        <v>51</v>
      </c>
      <c r="G1381" s="20">
        <v>159</v>
      </c>
      <c r="H1381" s="15" t="s">
        <v>29</v>
      </c>
      <c r="I1381" s="20">
        <v>18.399999999999999</v>
      </c>
      <c r="J1381" s="11" t="s">
        <v>19</v>
      </c>
      <c r="K1381" s="20" t="s">
        <v>20</v>
      </c>
      <c r="L1381" s="20" t="s">
        <v>30</v>
      </c>
      <c r="M1381" s="11" t="s">
        <v>29</v>
      </c>
      <c r="N1381" s="20" t="s">
        <v>33</v>
      </c>
      <c r="O1381" s="31" t="s">
        <v>29</v>
      </c>
      <c r="P1381" s="15">
        <v>212</v>
      </c>
      <c r="Q1381" s="8"/>
      <c r="R1381">
        <v>14.83</v>
      </c>
      <c r="S1381">
        <v>3264.65</v>
      </c>
      <c r="T1381">
        <v>5.64</v>
      </c>
      <c r="U1381">
        <v>10.65</v>
      </c>
      <c r="V1381">
        <v>148.35</v>
      </c>
      <c r="W1381" s="317">
        <v>4.5999999999999996</v>
      </c>
      <c r="X1381" s="190">
        <f t="shared" si="51"/>
        <v>84.639999999999986</v>
      </c>
      <c r="Y1381" s="8"/>
      <c r="Z1381" s="8"/>
    </row>
    <row r="1382" spans="1:26" ht="12.75" customHeight="1" x14ac:dyDescent="0.2">
      <c r="A1382" s="15">
        <v>83</v>
      </c>
      <c r="B1382" s="15">
        <v>2004</v>
      </c>
      <c r="C1382" s="15">
        <v>30</v>
      </c>
      <c r="D1382" s="15">
        <v>7</v>
      </c>
      <c r="E1382" s="29" t="s">
        <v>17</v>
      </c>
      <c r="F1382" s="11" t="s">
        <v>51</v>
      </c>
      <c r="G1382" s="20">
        <v>130</v>
      </c>
      <c r="H1382" s="15" t="s">
        <v>29</v>
      </c>
      <c r="I1382" s="20">
        <v>10.8</v>
      </c>
      <c r="J1382" s="11" t="s">
        <v>19</v>
      </c>
      <c r="K1382" s="20" t="s">
        <v>20</v>
      </c>
      <c r="L1382" s="11" t="s">
        <v>21</v>
      </c>
      <c r="M1382" s="20" t="s">
        <v>45</v>
      </c>
      <c r="N1382" s="20" t="s">
        <v>25</v>
      </c>
      <c r="O1382" s="31" t="s">
        <v>29</v>
      </c>
      <c r="P1382" s="15">
        <v>212</v>
      </c>
      <c r="Q1382" s="8"/>
      <c r="R1382">
        <v>12.13</v>
      </c>
      <c r="S1382">
        <v>1784.33</v>
      </c>
      <c r="T1382">
        <v>6.05</v>
      </c>
      <c r="U1382">
        <v>8.7100000000000009</v>
      </c>
      <c r="V1382">
        <v>121.29</v>
      </c>
      <c r="W1382" s="317">
        <v>3.9</v>
      </c>
      <c r="X1382" s="190">
        <f t="shared" si="51"/>
        <v>42.120000000000005</v>
      </c>
      <c r="Y1382" s="8"/>
      <c r="Z1382" s="8"/>
    </row>
    <row r="1383" spans="1:26" ht="12.75" customHeight="1" x14ac:dyDescent="0.2">
      <c r="A1383" s="15">
        <v>84</v>
      </c>
      <c r="B1383" s="15">
        <v>2004</v>
      </c>
      <c r="C1383" s="15">
        <v>30</v>
      </c>
      <c r="D1383" s="15">
        <v>7</v>
      </c>
      <c r="E1383" s="29" t="s">
        <v>17</v>
      </c>
      <c r="F1383" s="11" t="s">
        <v>51</v>
      </c>
      <c r="G1383" s="20">
        <v>146</v>
      </c>
      <c r="H1383" s="15" t="s">
        <v>29</v>
      </c>
      <c r="I1383" s="20">
        <v>13</v>
      </c>
      <c r="J1383" s="11" t="s">
        <v>19</v>
      </c>
      <c r="K1383" s="20" t="s">
        <v>20</v>
      </c>
      <c r="L1383" s="20" t="s">
        <v>30</v>
      </c>
      <c r="M1383" s="20" t="s">
        <v>46</v>
      </c>
      <c r="N1383" s="20" t="s">
        <v>23</v>
      </c>
      <c r="O1383" s="31" t="s">
        <v>29</v>
      </c>
      <c r="P1383" s="15">
        <v>212</v>
      </c>
      <c r="Q1383" s="8"/>
      <c r="R1383">
        <v>13.62</v>
      </c>
      <c r="S1383">
        <v>2527.5700000000002</v>
      </c>
      <c r="T1383">
        <v>5.14</v>
      </c>
      <c r="U1383">
        <v>9.7799999999999994</v>
      </c>
      <c r="V1383">
        <v>136.22</v>
      </c>
      <c r="W1383" s="317">
        <v>4.5999999999999996</v>
      </c>
      <c r="X1383" s="190">
        <f t="shared" si="51"/>
        <v>59.8</v>
      </c>
      <c r="Y1383" s="8"/>
      <c r="Z1383" s="8"/>
    </row>
    <row r="1384" spans="1:26" ht="12.75" customHeight="1" x14ac:dyDescent="0.2">
      <c r="A1384" s="15">
        <v>85</v>
      </c>
      <c r="B1384" s="15">
        <v>2004</v>
      </c>
      <c r="C1384" s="15">
        <v>30</v>
      </c>
      <c r="D1384" s="15">
        <v>7</v>
      </c>
      <c r="E1384" s="29" t="s">
        <v>17</v>
      </c>
      <c r="F1384" s="11" t="s">
        <v>51</v>
      </c>
      <c r="G1384" s="20">
        <v>157</v>
      </c>
      <c r="H1384" s="15" t="s">
        <v>29</v>
      </c>
      <c r="I1384" s="20">
        <v>14.2</v>
      </c>
      <c r="J1384" s="11" t="s">
        <v>19</v>
      </c>
      <c r="K1384" s="20" t="s">
        <v>20</v>
      </c>
      <c r="L1384" s="20" t="s">
        <v>30</v>
      </c>
      <c r="M1384" s="20" t="s">
        <v>46</v>
      </c>
      <c r="N1384" s="20" t="s">
        <v>23</v>
      </c>
      <c r="O1384" s="31" t="s">
        <v>29</v>
      </c>
      <c r="P1384" s="15">
        <v>212</v>
      </c>
      <c r="Q1384" s="8"/>
      <c r="R1384">
        <v>14.65</v>
      </c>
      <c r="S1384">
        <v>3143</v>
      </c>
      <c r="T1384">
        <v>4.5199999999999996</v>
      </c>
      <c r="U1384">
        <v>10.52</v>
      </c>
      <c r="V1384">
        <v>146.47999999999999</v>
      </c>
      <c r="W1384" s="317">
        <v>4.5999999999999996</v>
      </c>
      <c r="X1384" s="190">
        <f t="shared" si="51"/>
        <v>65.319999999999993</v>
      </c>
      <c r="Y1384" s="8"/>
      <c r="Z1384" s="8"/>
    </row>
    <row r="1385" spans="1:26" ht="12.75" customHeight="1" x14ac:dyDescent="0.2">
      <c r="A1385" s="15">
        <v>86</v>
      </c>
      <c r="B1385" s="15">
        <v>2004</v>
      </c>
      <c r="C1385" s="15">
        <v>30</v>
      </c>
      <c r="D1385" s="15">
        <v>7</v>
      </c>
      <c r="E1385" s="29" t="s">
        <v>17</v>
      </c>
      <c r="F1385" s="11" t="s">
        <v>51</v>
      </c>
      <c r="G1385" s="20">
        <v>125</v>
      </c>
      <c r="H1385" s="15" t="s">
        <v>29</v>
      </c>
      <c r="I1385" s="20">
        <v>8.5</v>
      </c>
      <c r="J1385" s="11" t="s">
        <v>19</v>
      </c>
      <c r="K1385" s="20" t="s">
        <v>20</v>
      </c>
      <c r="L1385" s="11" t="s">
        <v>21</v>
      </c>
      <c r="M1385" s="20" t="s">
        <v>46</v>
      </c>
      <c r="N1385" s="20" t="s">
        <v>24</v>
      </c>
      <c r="O1385" s="31" t="s">
        <v>29</v>
      </c>
      <c r="P1385" s="15">
        <v>212</v>
      </c>
      <c r="Q1385" s="8"/>
      <c r="R1385">
        <v>11.66</v>
      </c>
      <c r="S1385">
        <v>1586.26</v>
      </c>
      <c r="T1385">
        <v>5.36</v>
      </c>
      <c r="U1385">
        <v>8.3800000000000008</v>
      </c>
      <c r="V1385">
        <v>116.63</v>
      </c>
      <c r="W1385" s="317">
        <v>3.9</v>
      </c>
      <c r="X1385" s="190">
        <f t="shared" si="51"/>
        <v>33.15</v>
      </c>
      <c r="Y1385" s="8"/>
      <c r="Z1385" s="8"/>
    </row>
    <row r="1386" spans="1:26" ht="12.75" customHeight="1" x14ac:dyDescent="0.2">
      <c r="A1386" s="15">
        <v>87</v>
      </c>
      <c r="B1386" s="15">
        <v>2004</v>
      </c>
      <c r="C1386" s="15">
        <v>30</v>
      </c>
      <c r="D1386" s="15">
        <v>7</v>
      </c>
      <c r="E1386" s="29" t="s">
        <v>17</v>
      </c>
      <c r="F1386" s="11" t="s">
        <v>51</v>
      </c>
      <c r="G1386" s="20">
        <v>131</v>
      </c>
      <c r="H1386" s="15" t="s">
        <v>29</v>
      </c>
      <c r="I1386" s="20">
        <v>12</v>
      </c>
      <c r="J1386" s="11" t="s">
        <v>19</v>
      </c>
      <c r="K1386" s="20" t="s">
        <v>20</v>
      </c>
      <c r="L1386" s="20" t="s">
        <v>30</v>
      </c>
      <c r="M1386" s="20" t="s">
        <v>45</v>
      </c>
      <c r="N1386" s="20" t="s">
        <v>25</v>
      </c>
      <c r="O1386" s="31" t="s">
        <v>29</v>
      </c>
      <c r="P1386" s="15">
        <v>212</v>
      </c>
      <c r="Q1386" s="8"/>
      <c r="R1386">
        <v>12.22</v>
      </c>
      <c r="S1386">
        <v>1825.82</v>
      </c>
      <c r="T1386">
        <v>6.57</v>
      </c>
      <c r="U1386">
        <v>8.7799999999999994</v>
      </c>
      <c r="V1386">
        <v>122.22</v>
      </c>
      <c r="W1386" s="317">
        <v>4.5999999999999996</v>
      </c>
      <c r="X1386" s="190">
        <f t="shared" si="51"/>
        <v>55.199999999999996</v>
      </c>
      <c r="Y1386" s="8"/>
      <c r="Z1386" s="8"/>
    </row>
    <row r="1387" spans="1:26" ht="12.75" customHeight="1" x14ac:dyDescent="0.2">
      <c r="A1387" s="15">
        <v>88</v>
      </c>
      <c r="B1387" s="15">
        <v>2004</v>
      </c>
      <c r="C1387" s="15">
        <v>30</v>
      </c>
      <c r="D1387" s="15">
        <v>7</v>
      </c>
      <c r="E1387" s="29" t="s">
        <v>17</v>
      </c>
      <c r="F1387" s="11" t="s">
        <v>51</v>
      </c>
      <c r="G1387" s="20">
        <v>161</v>
      </c>
      <c r="H1387" s="15" t="s">
        <v>29</v>
      </c>
      <c r="I1387" s="20">
        <v>16.399999999999999</v>
      </c>
      <c r="J1387" s="11" t="s">
        <v>19</v>
      </c>
      <c r="K1387" s="20" t="s">
        <v>20</v>
      </c>
      <c r="L1387" s="11" t="s">
        <v>21</v>
      </c>
      <c r="M1387" s="20" t="s">
        <v>46</v>
      </c>
      <c r="N1387" s="20" t="s">
        <v>33</v>
      </c>
      <c r="O1387" s="31" t="s">
        <v>29</v>
      </c>
      <c r="P1387" s="15">
        <v>212</v>
      </c>
      <c r="Q1387" s="8"/>
      <c r="R1387">
        <v>15.02</v>
      </c>
      <c r="S1387">
        <v>3389.4</v>
      </c>
      <c r="T1387">
        <v>4.84</v>
      </c>
      <c r="U1387">
        <v>10.79</v>
      </c>
      <c r="V1387">
        <v>150.21</v>
      </c>
      <c r="W1387" s="317">
        <v>3.9</v>
      </c>
      <c r="X1387" s="190">
        <f t="shared" si="51"/>
        <v>63.959999999999994</v>
      </c>
      <c r="Y1387" s="8"/>
      <c r="Z1387" s="8"/>
    </row>
    <row r="1388" spans="1:26" ht="12.75" customHeight="1" x14ac:dyDescent="0.2">
      <c r="A1388" s="15">
        <v>89</v>
      </c>
      <c r="B1388" s="15">
        <v>2004</v>
      </c>
      <c r="C1388" s="15">
        <v>30</v>
      </c>
      <c r="D1388" s="15">
        <v>7</v>
      </c>
      <c r="E1388" s="29" t="s">
        <v>17</v>
      </c>
      <c r="F1388" s="11" t="s">
        <v>51</v>
      </c>
      <c r="G1388" s="20">
        <v>140</v>
      </c>
      <c r="H1388" s="15" t="s">
        <v>29</v>
      </c>
      <c r="I1388" s="20">
        <v>10.199999999999999</v>
      </c>
      <c r="J1388" s="11" t="s">
        <v>19</v>
      </c>
      <c r="K1388" s="20" t="s">
        <v>20</v>
      </c>
      <c r="L1388" s="20" t="s">
        <v>30</v>
      </c>
      <c r="M1388" s="20" t="s">
        <v>27</v>
      </c>
      <c r="N1388" s="20" t="s">
        <v>23</v>
      </c>
      <c r="O1388" s="31" t="s">
        <v>29</v>
      </c>
      <c r="P1388" s="15">
        <v>212</v>
      </c>
      <c r="Q1388" s="8"/>
      <c r="R1388">
        <v>13.06</v>
      </c>
      <c r="S1388">
        <v>2228.58</v>
      </c>
      <c r="T1388">
        <v>4.58</v>
      </c>
      <c r="U1388">
        <v>9.3800000000000008</v>
      </c>
      <c r="V1388">
        <v>130.62</v>
      </c>
      <c r="W1388" s="317">
        <v>4.5999999999999996</v>
      </c>
      <c r="X1388" s="190">
        <f t="shared" si="51"/>
        <v>46.919999999999995</v>
      </c>
      <c r="Y1388" s="8"/>
      <c r="Z1388" s="8"/>
    </row>
    <row r="1389" spans="1:26" ht="12.75" customHeight="1" x14ac:dyDescent="0.2">
      <c r="A1389" s="15">
        <v>90</v>
      </c>
      <c r="B1389" s="15">
        <v>2004</v>
      </c>
      <c r="C1389" s="15">
        <v>30</v>
      </c>
      <c r="D1389" s="15">
        <v>7</v>
      </c>
      <c r="E1389" s="29" t="s">
        <v>17</v>
      </c>
      <c r="F1389" s="11" t="s">
        <v>51</v>
      </c>
      <c r="G1389" s="20">
        <v>129</v>
      </c>
      <c r="H1389" s="15" t="s">
        <v>29</v>
      </c>
      <c r="I1389" s="20">
        <v>11.5</v>
      </c>
      <c r="J1389" s="11" t="s">
        <v>19</v>
      </c>
      <c r="K1389" s="20" t="s">
        <v>20</v>
      </c>
      <c r="L1389" s="11" t="s">
        <v>21</v>
      </c>
      <c r="M1389" s="20" t="s">
        <v>45</v>
      </c>
      <c r="N1389" s="20" t="s">
        <v>24</v>
      </c>
      <c r="O1389" s="31" t="s">
        <v>29</v>
      </c>
      <c r="P1389" s="15">
        <v>212</v>
      </c>
      <c r="Q1389" s="8"/>
      <c r="R1389">
        <v>12.04</v>
      </c>
      <c r="S1389">
        <v>1743.47</v>
      </c>
      <c r="T1389">
        <v>6.6</v>
      </c>
      <c r="U1389">
        <v>8.64</v>
      </c>
      <c r="V1389">
        <v>120.36</v>
      </c>
      <c r="W1389" s="317">
        <v>3.9</v>
      </c>
      <c r="X1389" s="190">
        <f t="shared" si="51"/>
        <v>44.85</v>
      </c>
      <c r="Y1389" s="8"/>
      <c r="Z1389" s="8"/>
    </row>
    <row r="1390" spans="1:26" ht="12.75" customHeight="1" x14ac:dyDescent="0.2">
      <c r="A1390" s="15">
        <v>91</v>
      </c>
      <c r="B1390" s="15">
        <v>2004</v>
      </c>
      <c r="C1390" s="15">
        <v>30</v>
      </c>
      <c r="D1390" s="15">
        <v>7</v>
      </c>
      <c r="E1390" s="29" t="s">
        <v>17</v>
      </c>
      <c r="F1390" s="11" t="s">
        <v>28</v>
      </c>
      <c r="G1390" s="11" t="s">
        <v>29</v>
      </c>
      <c r="H1390" s="15" t="s">
        <v>29</v>
      </c>
      <c r="I1390" s="25" t="s">
        <v>29</v>
      </c>
      <c r="J1390" s="11" t="s">
        <v>19</v>
      </c>
      <c r="K1390" s="20" t="s">
        <v>20</v>
      </c>
      <c r="L1390" s="11" t="s">
        <v>41</v>
      </c>
      <c r="M1390" s="11" t="s">
        <v>29</v>
      </c>
      <c r="N1390" s="11" t="s">
        <v>29</v>
      </c>
      <c r="O1390" s="31" t="s">
        <v>29</v>
      </c>
      <c r="P1390" s="15">
        <v>212</v>
      </c>
      <c r="Q1390" s="8"/>
      <c r="W1390" s="8"/>
      <c r="X1390" s="8"/>
      <c r="Y1390" s="8"/>
      <c r="Z1390" s="8"/>
    </row>
    <row r="1391" spans="1:26" ht="12.75" customHeight="1" x14ac:dyDescent="0.2">
      <c r="A1391" s="15">
        <v>92</v>
      </c>
      <c r="B1391" s="15">
        <v>2004</v>
      </c>
      <c r="C1391" s="15">
        <v>30</v>
      </c>
      <c r="D1391" s="15">
        <v>7</v>
      </c>
      <c r="E1391" s="29" t="s">
        <v>17</v>
      </c>
      <c r="F1391" s="11" t="s">
        <v>51</v>
      </c>
      <c r="G1391" s="20">
        <v>151</v>
      </c>
      <c r="H1391" s="15" t="s">
        <v>29</v>
      </c>
      <c r="I1391" s="20">
        <v>13.2</v>
      </c>
      <c r="J1391" s="11" t="s">
        <v>19</v>
      </c>
      <c r="K1391" s="20" t="s">
        <v>20</v>
      </c>
      <c r="L1391" s="11" t="s">
        <v>21</v>
      </c>
      <c r="M1391" s="20" t="s">
        <v>46</v>
      </c>
      <c r="N1391" s="20" t="s">
        <v>24</v>
      </c>
      <c r="O1391" s="31" t="s">
        <v>29</v>
      </c>
      <c r="P1391" s="15">
        <v>212</v>
      </c>
      <c r="Q1391" s="8"/>
      <c r="R1391">
        <v>14.09</v>
      </c>
      <c r="S1391">
        <v>2796.25</v>
      </c>
      <c r="T1391">
        <v>4.72</v>
      </c>
      <c r="U1391">
        <v>10.119999999999999</v>
      </c>
      <c r="V1391">
        <v>140.88</v>
      </c>
      <c r="W1391" s="317">
        <v>3.9</v>
      </c>
      <c r="X1391" s="190">
        <f>I1391*W1391</f>
        <v>51.48</v>
      </c>
      <c r="Y1391" s="8"/>
      <c r="Z1391" s="8"/>
    </row>
    <row r="1392" spans="1:26" ht="12.75" customHeight="1" x14ac:dyDescent="0.2">
      <c r="A1392" s="15">
        <v>93</v>
      </c>
      <c r="B1392" s="15">
        <v>2004</v>
      </c>
      <c r="C1392" s="15">
        <v>30</v>
      </c>
      <c r="D1392" s="15">
        <v>7</v>
      </c>
      <c r="E1392" s="29" t="s">
        <v>17</v>
      </c>
      <c r="F1392" s="11" t="s">
        <v>51</v>
      </c>
      <c r="G1392" s="20">
        <v>164</v>
      </c>
      <c r="H1392" s="15" t="s">
        <v>29</v>
      </c>
      <c r="I1392" s="20">
        <v>19.399999999999999</v>
      </c>
      <c r="J1392" s="11" t="s">
        <v>19</v>
      </c>
      <c r="K1392" s="20" t="s">
        <v>20</v>
      </c>
      <c r="L1392" s="11" t="s">
        <v>21</v>
      </c>
      <c r="M1392" s="20" t="s">
        <v>45</v>
      </c>
      <c r="N1392" s="20" t="s">
        <v>24</v>
      </c>
      <c r="O1392" s="31" t="s">
        <v>29</v>
      </c>
      <c r="P1392" s="15">
        <v>212</v>
      </c>
      <c r="Q1392" s="8"/>
      <c r="R1392">
        <v>15.3</v>
      </c>
      <c r="S1392">
        <v>3582.42</v>
      </c>
      <c r="T1392">
        <v>5.42</v>
      </c>
      <c r="U1392">
        <v>10.99</v>
      </c>
      <c r="V1392">
        <v>153.01</v>
      </c>
      <c r="W1392" s="317">
        <v>3.9</v>
      </c>
      <c r="X1392" s="190">
        <f>I1392*W1392</f>
        <v>75.66</v>
      </c>
      <c r="Y1392" s="8"/>
      <c r="Z1392" s="8"/>
    </row>
    <row r="1393" spans="1:26" ht="12.75" customHeight="1" x14ac:dyDescent="0.2">
      <c r="A1393" s="15">
        <v>94</v>
      </c>
      <c r="B1393" s="15">
        <v>2004</v>
      </c>
      <c r="C1393" s="15">
        <v>30</v>
      </c>
      <c r="D1393" s="15">
        <v>7</v>
      </c>
      <c r="E1393" s="29" t="s">
        <v>17</v>
      </c>
      <c r="F1393" s="11" t="s">
        <v>28</v>
      </c>
      <c r="G1393" s="11" t="s">
        <v>29</v>
      </c>
      <c r="H1393" s="15" t="s">
        <v>29</v>
      </c>
      <c r="I1393" s="25" t="s">
        <v>29</v>
      </c>
      <c r="J1393" s="11" t="s">
        <v>19</v>
      </c>
      <c r="K1393" s="20" t="s">
        <v>20</v>
      </c>
      <c r="L1393" s="11" t="s">
        <v>41</v>
      </c>
      <c r="M1393" s="11" t="s">
        <v>29</v>
      </c>
      <c r="N1393" s="11" t="s">
        <v>29</v>
      </c>
      <c r="O1393" s="31" t="s">
        <v>29</v>
      </c>
      <c r="P1393" s="15">
        <v>212</v>
      </c>
      <c r="Q1393" s="8"/>
      <c r="W1393" s="8"/>
      <c r="X1393" s="8"/>
      <c r="Y1393" s="8"/>
      <c r="Z1393" s="8"/>
    </row>
    <row r="1394" spans="1:26" ht="12.75" customHeight="1" x14ac:dyDescent="0.2">
      <c r="A1394" s="15">
        <v>95</v>
      </c>
      <c r="B1394" s="15">
        <v>2004</v>
      </c>
      <c r="C1394" s="15">
        <v>30</v>
      </c>
      <c r="D1394" s="15">
        <v>7</v>
      </c>
      <c r="E1394" s="29" t="s">
        <v>17</v>
      </c>
      <c r="F1394" s="11" t="s">
        <v>51</v>
      </c>
      <c r="G1394" s="20">
        <v>146</v>
      </c>
      <c r="H1394" s="15" t="s">
        <v>29</v>
      </c>
      <c r="I1394" s="20">
        <v>13.5</v>
      </c>
      <c r="J1394" s="11" t="s">
        <v>19</v>
      </c>
      <c r="K1394" s="20" t="s">
        <v>20</v>
      </c>
      <c r="L1394" s="11" t="s">
        <v>21</v>
      </c>
      <c r="M1394" s="20" t="s">
        <v>27</v>
      </c>
      <c r="N1394" s="20" t="s">
        <v>23</v>
      </c>
      <c r="O1394" s="31" t="s">
        <v>29</v>
      </c>
      <c r="P1394" s="15">
        <v>212</v>
      </c>
      <c r="Q1394" s="8"/>
      <c r="R1394">
        <v>13.62</v>
      </c>
      <c r="S1394">
        <v>2527.5700000000002</v>
      </c>
      <c r="T1394">
        <v>5.34</v>
      </c>
      <c r="U1394">
        <v>9.7799999999999994</v>
      </c>
      <c r="V1394">
        <v>136.22</v>
      </c>
      <c r="W1394" s="317">
        <v>3.9</v>
      </c>
      <c r="X1394" s="190">
        <f t="shared" ref="X1394:X1401" si="52">I1394*W1394</f>
        <v>52.65</v>
      </c>
      <c r="Y1394" s="8"/>
      <c r="Z1394" s="8"/>
    </row>
    <row r="1395" spans="1:26" ht="12.75" customHeight="1" x14ac:dyDescent="0.2">
      <c r="A1395" s="15">
        <v>96</v>
      </c>
      <c r="B1395" s="15">
        <v>2004</v>
      </c>
      <c r="C1395" s="15">
        <v>30</v>
      </c>
      <c r="D1395" s="15">
        <v>7</v>
      </c>
      <c r="E1395" s="29" t="s">
        <v>17</v>
      </c>
      <c r="F1395" s="11" t="s">
        <v>51</v>
      </c>
      <c r="G1395" s="20">
        <v>139</v>
      </c>
      <c r="H1395" s="15" t="s">
        <v>29</v>
      </c>
      <c r="I1395" s="20">
        <v>11</v>
      </c>
      <c r="J1395" s="11" t="s">
        <v>19</v>
      </c>
      <c r="K1395" s="20" t="s">
        <v>20</v>
      </c>
      <c r="L1395" s="20" t="s">
        <v>30</v>
      </c>
      <c r="M1395" s="11" t="s">
        <v>29</v>
      </c>
      <c r="N1395" s="20" t="s">
        <v>25</v>
      </c>
      <c r="O1395" s="31" t="s">
        <v>29</v>
      </c>
      <c r="P1395" s="15">
        <v>212</v>
      </c>
      <c r="Q1395" s="8"/>
      <c r="R1395">
        <v>12.97</v>
      </c>
      <c r="S1395">
        <v>2181.17</v>
      </c>
      <c r="T1395">
        <v>5.04</v>
      </c>
      <c r="U1395">
        <v>9.31</v>
      </c>
      <c r="V1395">
        <v>129.69</v>
      </c>
      <c r="W1395" s="317">
        <v>4.5999999999999996</v>
      </c>
      <c r="X1395" s="190">
        <f t="shared" si="52"/>
        <v>50.599999999999994</v>
      </c>
      <c r="Y1395" s="8"/>
      <c r="Z1395" s="8"/>
    </row>
    <row r="1396" spans="1:26" ht="12.75" customHeight="1" x14ac:dyDescent="0.2">
      <c r="A1396" s="15">
        <v>97</v>
      </c>
      <c r="B1396" s="15">
        <v>2004</v>
      </c>
      <c r="C1396" s="15">
        <v>30</v>
      </c>
      <c r="D1396" s="15">
        <v>7</v>
      </c>
      <c r="E1396" s="29" t="s">
        <v>17</v>
      </c>
      <c r="F1396" s="11" t="s">
        <v>51</v>
      </c>
      <c r="G1396" s="20">
        <v>143</v>
      </c>
      <c r="H1396" s="15" t="s">
        <v>29</v>
      </c>
      <c r="I1396" s="20">
        <v>11.2</v>
      </c>
      <c r="J1396" s="11" t="s">
        <v>19</v>
      </c>
      <c r="K1396" s="20" t="s">
        <v>20</v>
      </c>
      <c r="L1396" s="11" t="s">
        <v>21</v>
      </c>
      <c r="M1396" s="20" t="s">
        <v>46</v>
      </c>
      <c r="N1396" s="20" t="s">
        <v>24</v>
      </c>
      <c r="O1396" s="31" t="s">
        <v>29</v>
      </c>
      <c r="P1396" s="15">
        <v>212</v>
      </c>
      <c r="Q1396" s="8"/>
      <c r="R1396">
        <v>13.34</v>
      </c>
      <c r="S1396">
        <v>2374.94</v>
      </c>
      <c r="T1396">
        <v>4.72</v>
      </c>
      <c r="U1396">
        <v>9.58</v>
      </c>
      <c r="V1396">
        <v>133.41999999999999</v>
      </c>
      <c r="W1396" s="317">
        <v>3.9</v>
      </c>
      <c r="X1396" s="190">
        <f t="shared" si="52"/>
        <v>43.68</v>
      </c>
      <c r="Y1396" s="8"/>
      <c r="Z1396" s="8"/>
    </row>
    <row r="1397" spans="1:26" ht="12.75" customHeight="1" x14ac:dyDescent="0.2">
      <c r="A1397" s="15">
        <v>98</v>
      </c>
      <c r="B1397" s="15">
        <v>2004</v>
      </c>
      <c r="C1397" s="15">
        <v>29</v>
      </c>
      <c r="D1397" s="15">
        <v>7</v>
      </c>
      <c r="E1397" s="30">
        <v>0.60416666666666663</v>
      </c>
      <c r="F1397" s="11" t="s">
        <v>51</v>
      </c>
      <c r="G1397" s="20">
        <v>161</v>
      </c>
      <c r="H1397" s="15" t="s">
        <v>29</v>
      </c>
      <c r="I1397" s="20">
        <v>13.2</v>
      </c>
      <c r="J1397" s="11" t="s">
        <v>19</v>
      </c>
      <c r="K1397" s="20" t="s">
        <v>20</v>
      </c>
      <c r="L1397" s="20" t="s">
        <v>30</v>
      </c>
      <c r="M1397" s="20" t="s">
        <v>46</v>
      </c>
      <c r="N1397" s="20" t="s">
        <v>25</v>
      </c>
      <c r="O1397" s="31" t="s">
        <v>29</v>
      </c>
      <c r="P1397" s="15">
        <v>211</v>
      </c>
      <c r="Q1397" s="8"/>
      <c r="R1397">
        <v>15.02</v>
      </c>
      <c r="S1397">
        <v>3389.4</v>
      </c>
      <c r="T1397">
        <v>3.89</v>
      </c>
      <c r="U1397">
        <v>10.79</v>
      </c>
      <c r="V1397">
        <v>150.21</v>
      </c>
      <c r="W1397" s="317">
        <v>4.5999999999999996</v>
      </c>
      <c r="X1397" s="190">
        <f t="shared" si="52"/>
        <v>60.719999999999992</v>
      </c>
      <c r="Y1397" s="8"/>
      <c r="Z1397" s="8"/>
    </row>
    <row r="1398" spans="1:26" ht="12.75" customHeight="1" x14ac:dyDescent="0.2">
      <c r="A1398" s="15">
        <v>99</v>
      </c>
      <c r="B1398" s="15">
        <v>2004</v>
      </c>
      <c r="C1398" s="15">
        <v>29</v>
      </c>
      <c r="D1398" s="15">
        <v>7</v>
      </c>
      <c r="E1398" s="30">
        <v>0.60416666666666663</v>
      </c>
      <c r="F1398" s="11" t="s">
        <v>51</v>
      </c>
      <c r="G1398" s="20">
        <v>123</v>
      </c>
      <c r="H1398" s="15" t="s">
        <v>29</v>
      </c>
      <c r="I1398" s="20">
        <v>9.5</v>
      </c>
      <c r="J1398" s="11" t="s">
        <v>19</v>
      </c>
      <c r="K1398" s="20" t="s">
        <v>20</v>
      </c>
      <c r="L1398" s="20" t="s">
        <v>30</v>
      </c>
      <c r="M1398" s="20" t="s">
        <v>46</v>
      </c>
      <c r="N1398" s="20" t="s">
        <v>39</v>
      </c>
      <c r="O1398" s="31" t="s">
        <v>29</v>
      </c>
      <c r="P1398" s="15">
        <v>211</v>
      </c>
      <c r="Q1398" s="8"/>
      <c r="R1398">
        <v>11.48</v>
      </c>
      <c r="S1398">
        <v>1511.33</v>
      </c>
      <c r="T1398">
        <v>6.29</v>
      </c>
      <c r="U1398">
        <v>8.24</v>
      </c>
      <c r="V1398">
        <v>114.76</v>
      </c>
      <c r="W1398" s="317">
        <v>4.5999999999999996</v>
      </c>
      <c r="X1398" s="190">
        <f t="shared" si="52"/>
        <v>43.699999999999996</v>
      </c>
      <c r="Y1398" s="8"/>
      <c r="Z1398" s="8"/>
    </row>
    <row r="1399" spans="1:26" ht="12.75" customHeight="1" x14ac:dyDescent="0.2">
      <c r="A1399" s="15">
        <v>100</v>
      </c>
      <c r="B1399" s="15">
        <v>2004</v>
      </c>
      <c r="C1399" s="15">
        <v>29</v>
      </c>
      <c r="D1399" s="15">
        <v>7</v>
      </c>
      <c r="E1399" s="30">
        <v>0.60416666666666663</v>
      </c>
      <c r="F1399" s="11" t="s">
        <v>51</v>
      </c>
      <c r="G1399" s="20">
        <v>150</v>
      </c>
      <c r="H1399" s="15" t="s">
        <v>29</v>
      </c>
      <c r="I1399" s="20">
        <v>14</v>
      </c>
      <c r="J1399" s="11" t="s">
        <v>19</v>
      </c>
      <c r="K1399" s="20" t="s">
        <v>20</v>
      </c>
      <c r="L1399" s="20" t="s">
        <v>30</v>
      </c>
      <c r="M1399" s="20" t="s">
        <v>46</v>
      </c>
      <c r="N1399" s="20" t="s">
        <v>39</v>
      </c>
      <c r="O1399" s="31" t="s">
        <v>29</v>
      </c>
      <c r="P1399" s="15">
        <v>211</v>
      </c>
      <c r="Q1399" s="8"/>
      <c r="R1399">
        <v>14</v>
      </c>
      <c r="S1399">
        <v>2741.06</v>
      </c>
      <c r="T1399">
        <v>5.1100000000000003</v>
      </c>
      <c r="U1399">
        <v>10.050000000000001</v>
      </c>
      <c r="V1399">
        <v>139.94999999999999</v>
      </c>
      <c r="W1399" s="317">
        <v>4.5999999999999996</v>
      </c>
      <c r="X1399" s="190">
        <f t="shared" si="52"/>
        <v>64.399999999999991</v>
      </c>
      <c r="Y1399" s="8"/>
      <c r="Z1399" s="8"/>
    </row>
    <row r="1400" spans="1:26" ht="12.75" customHeight="1" x14ac:dyDescent="0.2">
      <c r="A1400" s="15">
        <v>101</v>
      </c>
      <c r="B1400" s="15">
        <v>2004</v>
      </c>
      <c r="C1400" s="15">
        <v>29</v>
      </c>
      <c r="D1400" s="15">
        <v>7</v>
      </c>
      <c r="E1400" s="30">
        <v>0.60416666666666663</v>
      </c>
      <c r="F1400" s="11" t="s">
        <v>51</v>
      </c>
      <c r="G1400" s="20">
        <v>143</v>
      </c>
      <c r="H1400" s="15" t="s">
        <v>29</v>
      </c>
      <c r="I1400" s="20">
        <v>12</v>
      </c>
      <c r="J1400" s="11" t="s">
        <v>19</v>
      </c>
      <c r="K1400" s="20" t="s">
        <v>20</v>
      </c>
      <c r="L1400" s="20" t="s">
        <v>30</v>
      </c>
      <c r="M1400" s="20" t="s">
        <v>46</v>
      </c>
      <c r="N1400" s="20" t="s">
        <v>24</v>
      </c>
      <c r="O1400" s="31" t="s">
        <v>29</v>
      </c>
      <c r="P1400" s="15">
        <v>211</v>
      </c>
      <c r="Q1400" s="8"/>
      <c r="R1400">
        <v>13.34</v>
      </c>
      <c r="S1400">
        <v>2374.94</v>
      </c>
      <c r="T1400">
        <v>5.05</v>
      </c>
      <c r="U1400">
        <v>9.58</v>
      </c>
      <c r="V1400">
        <v>133.41999999999999</v>
      </c>
      <c r="W1400" s="317">
        <v>4.5999999999999996</v>
      </c>
      <c r="X1400" s="190">
        <f t="shared" si="52"/>
        <v>55.199999999999996</v>
      </c>
      <c r="Y1400" s="8"/>
      <c r="Z1400" s="8"/>
    </row>
    <row r="1401" spans="1:26" ht="12.75" customHeight="1" x14ac:dyDescent="0.2">
      <c r="A1401" s="15">
        <v>102</v>
      </c>
      <c r="B1401" s="15">
        <v>2004</v>
      </c>
      <c r="C1401" s="15">
        <v>29</v>
      </c>
      <c r="D1401" s="15">
        <v>7</v>
      </c>
      <c r="E1401" s="30">
        <v>0.60416666666666663</v>
      </c>
      <c r="F1401" s="11" t="s">
        <v>51</v>
      </c>
      <c r="G1401" s="20">
        <v>149</v>
      </c>
      <c r="H1401" s="15" t="s">
        <v>29</v>
      </c>
      <c r="I1401" s="20">
        <v>12.5</v>
      </c>
      <c r="J1401" s="11" t="s">
        <v>19</v>
      </c>
      <c r="K1401" s="20" t="s">
        <v>20</v>
      </c>
      <c r="L1401" s="11" t="s">
        <v>21</v>
      </c>
      <c r="M1401" s="20" t="s">
        <v>46</v>
      </c>
      <c r="N1401" s="20" t="s">
        <v>23</v>
      </c>
      <c r="O1401" s="31" t="s">
        <v>29</v>
      </c>
      <c r="P1401" s="15">
        <v>211</v>
      </c>
      <c r="Q1401" s="8"/>
      <c r="R1401">
        <v>13.9</v>
      </c>
      <c r="S1401">
        <v>2686.6</v>
      </c>
      <c r="T1401">
        <v>4.6500000000000004</v>
      </c>
      <c r="U1401">
        <v>9.98</v>
      </c>
      <c r="V1401">
        <v>139.02000000000001</v>
      </c>
      <c r="W1401" s="317">
        <v>3.9</v>
      </c>
      <c r="X1401" s="190">
        <f t="shared" si="52"/>
        <v>48.75</v>
      </c>
      <c r="Y1401" s="8"/>
      <c r="Z1401" s="8"/>
    </row>
    <row r="1402" spans="1:26" ht="12.75" customHeight="1" x14ac:dyDescent="0.2">
      <c r="A1402" s="15">
        <v>103</v>
      </c>
      <c r="B1402" s="15">
        <v>2004</v>
      </c>
      <c r="C1402" s="15">
        <v>29</v>
      </c>
      <c r="D1402" s="15">
        <v>7</v>
      </c>
      <c r="E1402" s="30">
        <v>0.60416666666666663</v>
      </c>
      <c r="F1402" s="11" t="s">
        <v>28</v>
      </c>
      <c r="G1402" s="11" t="s">
        <v>29</v>
      </c>
      <c r="H1402" s="15" t="s">
        <v>29</v>
      </c>
      <c r="I1402" s="25" t="s">
        <v>29</v>
      </c>
      <c r="J1402" s="11" t="s">
        <v>19</v>
      </c>
      <c r="K1402" s="20" t="s">
        <v>20</v>
      </c>
      <c r="L1402" s="11" t="s">
        <v>41</v>
      </c>
      <c r="M1402" s="11" t="s">
        <v>29</v>
      </c>
      <c r="N1402" s="11" t="s">
        <v>29</v>
      </c>
      <c r="O1402" s="31" t="s">
        <v>29</v>
      </c>
      <c r="P1402" s="15">
        <v>211</v>
      </c>
      <c r="Q1402" s="8"/>
      <c r="W1402" s="8"/>
      <c r="X1402" s="8"/>
      <c r="Y1402" s="8"/>
      <c r="Z1402" s="8"/>
    </row>
    <row r="1403" spans="1:26" ht="12.75" customHeight="1" x14ac:dyDescent="0.2">
      <c r="A1403" s="15">
        <v>104</v>
      </c>
      <c r="B1403" s="15">
        <v>2004</v>
      </c>
      <c r="C1403" s="15">
        <v>29</v>
      </c>
      <c r="D1403" s="15">
        <v>7</v>
      </c>
      <c r="E1403" s="30">
        <v>0.60416666666666663</v>
      </c>
      <c r="F1403" s="11" t="s">
        <v>51</v>
      </c>
      <c r="G1403" s="20">
        <v>156</v>
      </c>
      <c r="H1403" s="15" t="s">
        <v>29</v>
      </c>
      <c r="I1403" s="20">
        <v>12.8</v>
      </c>
      <c r="J1403" s="11" t="s">
        <v>19</v>
      </c>
      <c r="K1403" s="20" t="s">
        <v>20</v>
      </c>
      <c r="L1403" s="11" t="s">
        <v>21</v>
      </c>
      <c r="M1403" s="20" t="s">
        <v>46</v>
      </c>
      <c r="N1403" s="20" t="s">
        <v>23</v>
      </c>
      <c r="O1403" s="31" t="s">
        <v>29</v>
      </c>
      <c r="P1403" s="15">
        <v>211</v>
      </c>
      <c r="Q1403" s="8"/>
      <c r="R1403">
        <v>14.55</v>
      </c>
      <c r="S1403">
        <v>3083.32</v>
      </c>
      <c r="T1403">
        <v>4.1500000000000004</v>
      </c>
      <c r="U1403">
        <v>10.45</v>
      </c>
      <c r="V1403">
        <v>145.55000000000001</v>
      </c>
      <c r="W1403" s="317">
        <v>3.9</v>
      </c>
      <c r="X1403" s="190">
        <f t="shared" ref="X1403:X1409" si="53">I1403*W1403</f>
        <v>49.92</v>
      </c>
      <c r="Y1403" s="8"/>
      <c r="Z1403" s="8"/>
    </row>
    <row r="1404" spans="1:26" ht="12.75" customHeight="1" x14ac:dyDescent="0.2">
      <c r="A1404" s="15">
        <v>105</v>
      </c>
      <c r="B1404" s="15">
        <v>2004</v>
      </c>
      <c r="C1404" s="15">
        <v>29</v>
      </c>
      <c r="D1404" s="15">
        <v>7</v>
      </c>
      <c r="E1404" s="30">
        <v>0.60416666666666663</v>
      </c>
      <c r="F1404" s="11" t="s">
        <v>51</v>
      </c>
      <c r="G1404" s="20">
        <v>146</v>
      </c>
      <c r="H1404" s="15" t="s">
        <v>29</v>
      </c>
      <c r="I1404" s="20">
        <v>17</v>
      </c>
      <c r="J1404" s="11" t="s">
        <v>19</v>
      </c>
      <c r="K1404" s="20" t="s">
        <v>20</v>
      </c>
      <c r="L1404" s="11" t="s">
        <v>21</v>
      </c>
      <c r="M1404" s="20" t="s">
        <v>46</v>
      </c>
      <c r="N1404" s="20" t="s">
        <v>25</v>
      </c>
      <c r="O1404" s="31" t="s">
        <v>29</v>
      </c>
      <c r="P1404" s="15">
        <v>211</v>
      </c>
      <c r="Q1404" s="8"/>
      <c r="R1404">
        <v>13.62</v>
      </c>
      <c r="S1404">
        <v>2527.5700000000002</v>
      </c>
      <c r="T1404">
        <v>6.73</v>
      </c>
      <c r="U1404">
        <v>9.7799999999999994</v>
      </c>
      <c r="V1404">
        <v>136.22</v>
      </c>
      <c r="W1404" s="317">
        <v>3.9</v>
      </c>
      <c r="X1404" s="190">
        <f t="shared" si="53"/>
        <v>66.3</v>
      </c>
      <c r="Y1404" s="8"/>
      <c r="Z1404" s="8"/>
    </row>
    <row r="1405" spans="1:26" ht="12.75" customHeight="1" x14ac:dyDescent="0.2">
      <c r="A1405" s="15">
        <v>106</v>
      </c>
      <c r="B1405" s="15">
        <v>2004</v>
      </c>
      <c r="C1405" s="15">
        <v>29</v>
      </c>
      <c r="D1405" s="15">
        <v>7</v>
      </c>
      <c r="E1405" s="30">
        <v>0.60416666666666663</v>
      </c>
      <c r="F1405" s="11" t="s">
        <v>51</v>
      </c>
      <c r="G1405" s="20">
        <v>139</v>
      </c>
      <c r="H1405" s="15" t="s">
        <v>29</v>
      </c>
      <c r="I1405" s="20">
        <v>12</v>
      </c>
      <c r="J1405" s="11" t="s">
        <v>19</v>
      </c>
      <c r="K1405" s="20" t="s">
        <v>20</v>
      </c>
      <c r="L1405" s="11" t="s">
        <v>21</v>
      </c>
      <c r="M1405" s="20" t="s">
        <v>45</v>
      </c>
      <c r="N1405" s="20" t="s">
        <v>24</v>
      </c>
      <c r="O1405" s="31" t="s">
        <v>29</v>
      </c>
      <c r="P1405" s="15">
        <v>211</v>
      </c>
      <c r="Q1405" s="8"/>
      <c r="R1405">
        <v>12.97</v>
      </c>
      <c r="S1405">
        <v>2181.17</v>
      </c>
      <c r="T1405">
        <v>5.5</v>
      </c>
      <c r="U1405">
        <v>9.31</v>
      </c>
      <c r="V1405">
        <v>129.69</v>
      </c>
      <c r="W1405" s="317">
        <v>3.9</v>
      </c>
      <c r="X1405" s="190">
        <f t="shared" si="53"/>
        <v>46.8</v>
      </c>
      <c r="Y1405" s="8"/>
      <c r="Z1405" s="8"/>
    </row>
    <row r="1406" spans="1:26" ht="12.75" customHeight="1" x14ac:dyDescent="0.2">
      <c r="A1406" s="15">
        <v>107</v>
      </c>
      <c r="B1406" s="15">
        <v>2004</v>
      </c>
      <c r="C1406" s="15">
        <v>29</v>
      </c>
      <c r="D1406" s="15">
        <v>7</v>
      </c>
      <c r="E1406" s="30">
        <v>0.60416666666666663</v>
      </c>
      <c r="F1406" s="11" t="s">
        <v>51</v>
      </c>
      <c r="G1406" s="20">
        <v>139</v>
      </c>
      <c r="H1406" s="15" t="s">
        <v>29</v>
      </c>
      <c r="I1406" s="20">
        <v>13.2</v>
      </c>
      <c r="J1406" s="11" t="s">
        <v>19</v>
      </c>
      <c r="K1406" s="20" t="s">
        <v>20</v>
      </c>
      <c r="L1406" s="11" t="s">
        <v>21</v>
      </c>
      <c r="M1406" s="20" t="s">
        <v>46</v>
      </c>
      <c r="N1406" s="20" t="s">
        <v>24</v>
      </c>
      <c r="O1406" s="31" t="s">
        <v>29</v>
      </c>
      <c r="P1406" s="15">
        <v>211</v>
      </c>
      <c r="Q1406" s="8"/>
      <c r="R1406">
        <v>12.97</v>
      </c>
      <c r="S1406">
        <v>2181.17</v>
      </c>
      <c r="T1406">
        <v>6.05</v>
      </c>
      <c r="U1406">
        <v>9.31</v>
      </c>
      <c r="V1406">
        <v>129.69</v>
      </c>
      <c r="W1406" s="317">
        <v>3.9</v>
      </c>
      <c r="X1406" s="190">
        <f t="shared" si="53"/>
        <v>51.48</v>
      </c>
      <c r="Y1406" s="8"/>
      <c r="Z1406" s="8"/>
    </row>
    <row r="1407" spans="1:26" ht="12.75" customHeight="1" x14ac:dyDescent="0.2">
      <c r="A1407" s="15">
        <v>108</v>
      </c>
      <c r="B1407" s="15">
        <v>2004</v>
      </c>
      <c r="C1407" s="15">
        <v>29</v>
      </c>
      <c r="D1407" s="15">
        <v>7</v>
      </c>
      <c r="E1407" s="30">
        <v>0.60416666666666663</v>
      </c>
      <c r="F1407" s="11" t="s">
        <v>51</v>
      </c>
      <c r="G1407" s="20">
        <v>140</v>
      </c>
      <c r="H1407" s="15" t="s">
        <v>29</v>
      </c>
      <c r="I1407" s="20">
        <v>11.1</v>
      </c>
      <c r="J1407" s="11" t="s">
        <v>19</v>
      </c>
      <c r="K1407" s="20" t="s">
        <v>20</v>
      </c>
      <c r="L1407" s="11" t="s">
        <v>21</v>
      </c>
      <c r="M1407" s="20" t="s">
        <v>46</v>
      </c>
      <c r="N1407" s="20" t="s">
        <v>24</v>
      </c>
      <c r="O1407" s="31" t="s">
        <v>29</v>
      </c>
      <c r="P1407" s="15">
        <v>211</v>
      </c>
      <c r="Q1407" s="8"/>
      <c r="R1407">
        <v>13.06</v>
      </c>
      <c r="S1407">
        <v>2228.58</v>
      </c>
      <c r="T1407">
        <v>4.9800000000000004</v>
      </c>
      <c r="U1407">
        <v>9.3800000000000008</v>
      </c>
      <c r="V1407">
        <v>130.62</v>
      </c>
      <c r="W1407" s="317">
        <v>3.9</v>
      </c>
      <c r="X1407" s="190">
        <f t="shared" si="53"/>
        <v>43.29</v>
      </c>
      <c r="Y1407" s="8"/>
      <c r="Z1407" s="8"/>
    </row>
    <row r="1408" spans="1:26" ht="12.75" customHeight="1" x14ac:dyDescent="0.2">
      <c r="A1408" s="15">
        <v>109</v>
      </c>
      <c r="B1408" s="15">
        <v>2004</v>
      </c>
      <c r="C1408" s="15">
        <v>29</v>
      </c>
      <c r="D1408" s="15">
        <v>7</v>
      </c>
      <c r="E1408" s="30">
        <v>0.60416666666666663</v>
      </c>
      <c r="F1408" s="11" t="s">
        <v>51</v>
      </c>
      <c r="G1408" s="20">
        <v>141</v>
      </c>
      <c r="H1408" s="15" t="s">
        <v>29</v>
      </c>
      <c r="I1408" s="20">
        <v>8.5</v>
      </c>
      <c r="J1408" s="11" t="s">
        <v>19</v>
      </c>
      <c r="K1408" s="20" t="s">
        <v>20</v>
      </c>
      <c r="L1408" s="20" t="s">
        <v>30</v>
      </c>
      <c r="M1408" s="20" t="s">
        <v>45</v>
      </c>
      <c r="N1408" s="20" t="s">
        <v>25</v>
      </c>
      <c r="O1408" s="31" t="s">
        <v>29</v>
      </c>
      <c r="P1408" s="15">
        <v>211</v>
      </c>
      <c r="Q1408" s="8"/>
      <c r="R1408">
        <v>13.16</v>
      </c>
      <c r="S1408">
        <v>2276.6799999999998</v>
      </c>
      <c r="T1408">
        <v>3.73</v>
      </c>
      <c r="U1408">
        <v>9.4499999999999993</v>
      </c>
      <c r="V1408">
        <v>131.55000000000001</v>
      </c>
      <c r="W1408" s="317">
        <v>4.5999999999999996</v>
      </c>
      <c r="X1408" s="190">
        <f t="shared" si="53"/>
        <v>39.099999999999994</v>
      </c>
      <c r="Y1408" s="8"/>
      <c r="Z1408" s="8"/>
    </row>
    <row r="1409" spans="1:26" ht="12.75" customHeight="1" x14ac:dyDescent="0.2">
      <c r="A1409" s="15">
        <v>110</v>
      </c>
      <c r="B1409" s="15">
        <v>2004</v>
      </c>
      <c r="C1409" s="15">
        <v>29</v>
      </c>
      <c r="D1409" s="15">
        <v>7</v>
      </c>
      <c r="E1409" s="30">
        <v>0.60416666666666663</v>
      </c>
      <c r="F1409" s="11" t="s">
        <v>51</v>
      </c>
      <c r="G1409" s="20">
        <v>125</v>
      </c>
      <c r="H1409" s="15" t="s">
        <v>29</v>
      </c>
      <c r="I1409" s="20">
        <v>8.3000000000000007</v>
      </c>
      <c r="J1409" s="11" t="s">
        <v>19</v>
      </c>
      <c r="K1409" s="20" t="s">
        <v>20</v>
      </c>
      <c r="L1409" s="11" t="s">
        <v>21</v>
      </c>
      <c r="M1409" s="20" t="s">
        <v>45</v>
      </c>
      <c r="N1409" s="20" t="s">
        <v>25</v>
      </c>
      <c r="O1409" s="31" t="s">
        <v>29</v>
      </c>
      <c r="P1409" s="15">
        <v>211</v>
      </c>
      <c r="Q1409" s="8"/>
      <c r="R1409">
        <v>11.66</v>
      </c>
      <c r="S1409">
        <v>1586.26</v>
      </c>
      <c r="T1409">
        <v>5.23</v>
      </c>
      <c r="U1409">
        <v>8.3800000000000008</v>
      </c>
      <c r="V1409">
        <v>116.63</v>
      </c>
      <c r="W1409" s="317">
        <v>3.9</v>
      </c>
      <c r="X1409" s="190">
        <f t="shared" si="53"/>
        <v>32.370000000000005</v>
      </c>
      <c r="Y1409" s="8"/>
      <c r="Z1409" s="8"/>
    </row>
    <row r="1410" spans="1:26" ht="12.75" customHeight="1" x14ac:dyDescent="0.2">
      <c r="A1410" s="15">
        <v>111</v>
      </c>
      <c r="B1410" s="15">
        <v>2004</v>
      </c>
      <c r="C1410" s="15">
        <v>29</v>
      </c>
      <c r="D1410" s="15">
        <v>7</v>
      </c>
      <c r="E1410" s="30">
        <v>0.60416666666666663</v>
      </c>
      <c r="F1410" s="11" t="s">
        <v>28</v>
      </c>
      <c r="G1410" s="11" t="s">
        <v>29</v>
      </c>
      <c r="H1410" s="15" t="s">
        <v>29</v>
      </c>
      <c r="I1410" s="25" t="s">
        <v>29</v>
      </c>
      <c r="J1410" s="11" t="s">
        <v>19</v>
      </c>
      <c r="K1410" s="20" t="s">
        <v>20</v>
      </c>
      <c r="L1410" s="11" t="s">
        <v>41</v>
      </c>
      <c r="M1410" s="11" t="s">
        <v>29</v>
      </c>
      <c r="N1410" s="11" t="s">
        <v>29</v>
      </c>
      <c r="O1410" s="31" t="s">
        <v>29</v>
      </c>
      <c r="P1410" s="15">
        <v>211</v>
      </c>
      <c r="Q1410" s="8"/>
      <c r="W1410" s="8"/>
      <c r="X1410" s="8"/>
      <c r="Y1410" s="8"/>
      <c r="Z1410" s="8"/>
    </row>
    <row r="1411" spans="1:26" ht="12.75" customHeight="1" x14ac:dyDescent="0.2">
      <c r="A1411" s="15">
        <v>112</v>
      </c>
      <c r="B1411" s="15">
        <v>2004</v>
      </c>
      <c r="C1411" s="15">
        <v>29</v>
      </c>
      <c r="D1411" s="15">
        <v>7</v>
      </c>
      <c r="E1411" s="30">
        <v>0.60416666666666663</v>
      </c>
      <c r="F1411" s="11" t="s">
        <v>51</v>
      </c>
      <c r="G1411" s="20">
        <v>129</v>
      </c>
      <c r="H1411" s="15" t="s">
        <v>29</v>
      </c>
      <c r="I1411" s="20">
        <v>9</v>
      </c>
      <c r="J1411" s="11" t="s">
        <v>19</v>
      </c>
      <c r="K1411" s="20" t="s">
        <v>20</v>
      </c>
      <c r="L1411" s="20" t="s">
        <v>30</v>
      </c>
      <c r="M1411" s="20" t="s">
        <v>46</v>
      </c>
      <c r="N1411" s="20" t="s">
        <v>25</v>
      </c>
      <c r="O1411" s="31" t="s">
        <v>29</v>
      </c>
      <c r="P1411" s="15">
        <v>211</v>
      </c>
      <c r="Q1411" s="8"/>
      <c r="R1411">
        <v>12.04</v>
      </c>
      <c r="S1411">
        <v>1743.47</v>
      </c>
      <c r="T1411">
        <v>5.16</v>
      </c>
      <c r="U1411">
        <v>8.64</v>
      </c>
      <c r="V1411">
        <v>120.36</v>
      </c>
      <c r="W1411" s="317">
        <v>4.5999999999999996</v>
      </c>
      <c r="X1411" s="190">
        <f t="shared" ref="X1411:X1421" si="54">I1411*W1411</f>
        <v>41.4</v>
      </c>
      <c r="Y1411" s="8"/>
      <c r="Z1411" s="8"/>
    </row>
    <row r="1412" spans="1:26" ht="12.75" customHeight="1" x14ac:dyDescent="0.2">
      <c r="A1412" s="15">
        <v>113</v>
      </c>
      <c r="B1412" s="15">
        <v>2004</v>
      </c>
      <c r="C1412" s="15">
        <v>29</v>
      </c>
      <c r="D1412" s="15">
        <v>7</v>
      </c>
      <c r="E1412" s="30">
        <v>0.60416666666666663</v>
      </c>
      <c r="F1412" s="11" t="s">
        <v>51</v>
      </c>
      <c r="G1412" s="20">
        <v>130</v>
      </c>
      <c r="H1412" s="15" t="s">
        <v>29</v>
      </c>
      <c r="I1412" s="20">
        <v>11</v>
      </c>
      <c r="J1412" s="11" t="s">
        <v>19</v>
      </c>
      <c r="K1412" s="20" t="s">
        <v>20</v>
      </c>
      <c r="L1412" s="11" t="s">
        <v>21</v>
      </c>
      <c r="M1412" s="20" t="s">
        <v>46</v>
      </c>
      <c r="N1412" s="20" t="s">
        <v>25</v>
      </c>
      <c r="O1412" s="31" t="s">
        <v>29</v>
      </c>
      <c r="P1412" s="15">
        <v>211</v>
      </c>
      <c r="Q1412" s="8"/>
      <c r="R1412">
        <v>12.13</v>
      </c>
      <c r="S1412">
        <v>1784.33</v>
      </c>
      <c r="T1412">
        <v>6.16</v>
      </c>
      <c r="U1412">
        <v>8.7100000000000009</v>
      </c>
      <c r="V1412">
        <v>121.29</v>
      </c>
      <c r="W1412" s="317">
        <v>3.9</v>
      </c>
      <c r="X1412" s="190">
        <f t="shared" si="54"/>
        <v>42.9</v>
      </c>
      <c r="Y1412" s="8"/>
      <c r="Z1412" s="8"/>
    </row>
    <row r="1413" spans="1:26" ht="12.75" customHeight="1" x14ac:dyDescent="0.2">
      <c r="A1413" s="15">
        <v>114</v>
      </c>
      <c r="B1413" s="15">
        <v>2004</v>
      </c>
      <c r="C1413" s="15">
        <v>29</v>
      </c>
      <c r="D1413" s="15">
        <v>7</v>
      </c>
      <c r="E1413" s="30">
        <v>0.60416666666666663</v>
      </c>
      <c r="F1413" s="11" t="s">
        <v>51</v>
      </c>
      <c r="G1413" s="20">
        <v>151</v>
      </c>
      <c r="H1413" s="15" t="s">
        <v>29</v>
      </c>
      <c r="I1413" s="20">
        <v>10</v>
      </c>
      <c r="J1413" s="11" t="s">
        <v>19</v>
      </c>
      <c r="K1413" s="20" t="s">
        <v>20</v>
      </c>
      <c r="L1413" s="11" t="s">
        <v>21</v>
      </c>
      <c r="M1413" s="20" t="s">
        <v>46</v>
      </c>
      <c r="N1413" s="20" t="s">
        <v>39</v>
      </c>
      <c r="O1413" s="31" t="s">
        <v>29</v>
      </c>
      <c r="P1413" s="15">
        <v>211</v>
      </c>
      <c r="Q1413" s="8"/>
      <c r="R1413">
        <v>14.09</v>
      </c>
      <c r="S1413">
        <v>2796.25</v>
      </c>
      <c r="T1413">
        <v>3.58</v>
      </c>
      <c r="U1413">
        <v>10.119999999999999</v>
      </c>
      <c r="V1413">
        <v>140.88</v>
      </c>
      <c r="W1413" s="317">
        <v>3.9</v>
      </c>
      <c r="X1413" s="190">
        <f t="shared" si="54"/>
        <v>39</v>
      </c>
      <c r="Y1413" s="8"/>
      <c r="Z1413" s="8"/>
    </row>
    <row r="1414" spans="1:26" ht="12.75" customHeight="1" x14ac:dyDescent="0.2">
      <c r="A1414" s="15">
        <v>115</v>
      </c>
      <c r="B1414" s="15">
        <v>2004</v>
      </c>
      <c r="C1414" s="15">
        <v>29</v>
      </c>
      <c r="D1414" s="15">
        <v>7</v>
      </c>
      <c r="E1414" s="30">
        <v>0.60416666666666663</v>
      </c>
      <c r="F1414" s="11" t="s">
        <v>51</v>
      </c>
      <c r="G1414" s="20">
        <v>151</v>
      </c>
      <c r="H1414" s="15" t="s">
        <v>29</v>
      </c>
      <c r="I1414" s="20">
        <v>14</v>
      </c>
      <c r="J1414" s="11" t="s">
        <v>19</v>
      </c>
      <c r="K1414" s="20" t="s">
        <v>20</v>
      </c>
      <c r="L1414" s="20" t="s">
        <v>30</v>
      </c>
      <c r="M1414" s="20" t="s">
        <v>46</v>
      </c>
      <c r="N1414" s="20" t="s">
        <v>24</v>
      </c>
      <c r="O1414" s="31" t="s">
        <v>29</v>
      </c>
      <c r="P1414" s="15">
        <v>211</v>
      </c>
      <c r="Q1414" s="8"/>
      <c r="R1414">
        <v>14.09</v>
      </c>
      <c r="S1414">
        <v>2796.25</v>
      </c>
      <c r="T1414">
        <v>5.01</v>
      </c>
      <c r="U1414">
        <v>10.119999999999999</v>
      </c>
      <c r="V1414">
        <v>140.88</v>
      </c>
      <c r="W1414" s="317">
        <v>4.5999999999999996</v>
      </c>
      <c r="X1414" s="190">
        <f t="shared" si="54"/>
        <v>64.399999999999991</v>
      </c>
      <c r="Y1414" s="8"/>
      <c r="Z1414" s="8"/>
    </row>
    <row r="1415" spans="1:26" ht="12.75" customHeight="1" x14ac:dyDescent="0.2">
      <c r="A1415" s="15">
        <v>116</v>
      </c>
      <c r="B1415" s="15">
        <v>2004</v>
      </c>
      <c r="C1415" s="15">
        <v>29</v>
      </c>
      <c r="D1415" s="15">
        <v>7</v>
      </c>
      <c r="E1415" s="30">
        <v>0.60416666666666663</v>
      </c>
      <c r="F1415" s="11" t="s">
        <v>51</v>
      </c>
      <c r="G1415" s="20">
        <v>141</v>
      </c>
      <c r="H1415" s="15" t="s">
        <v>29</v>
      </c>
      <c r="I1415" s="20">
        <v>12.5</v>
      </c>
      <c r="J1415" s="11" t="s">
        <v>19</v>
      </c>
      <c r="K1415" s="20" t="s">
        <v>20</v>
      </c>
      <c r="L1415" s="20" t="s">
        <v>30</v>
      </c>
      <c r="M1415" s="20" t="s">
        <v>45</v>
      </c>
      <c r="N1415" s="20" t="s">
        <v>39</v>
      </c>
      <c r="O1415" s="31" t="s">
        <v>29</v>
      </c>
      <c r="P1415" s="15">
        <v>211</v>
      </c>
      <c r="Q1415" s="8"/>
      <c r="R1415">
        <v>13.16</v>
      </c>
      <c r="S1415">
        <v>2276.6799999999998</v>
      </c>
      <c r="T1415">
        <v>5.49</v>
      </c>
      <c r="U1415">
        <v>9.4499999999999993</v>
      </c>
      <c r="V1415">
        <v>131.55000000000001</v>
      </c>
      <c r="W1415" s="317">
        <v>4.5999999999999996</v>
      </c>
      <c r="X1415" s="190">
        <f t="shared" si="54"/>
        <v>57.499999999999993</v>
      </c>
      <c r="Y1415" s="8"/>
      <c r="Z1415" s="8"/>
    </row>
    <row r="1416" spans="1:26" ht="12.75" customHeight="1" x14ac:dyDescent="0.2">
      <c r="A1416" s="15">
        <v>117</v>
      </c>
      <c r="B1416" s="15">
        <v>2004</v>
      </c>
      <c r="C1416" s="15">
        <v>29</v>
      </c>
      <c r="D1416" s="15">
        <v>7</v>
      </c>
      <c r="E1416" s="30">
        <v>0.60416666666666663</v>
      </c>
      <c r="F1416" s="11" t="s">
        <v>51</v>
      </c>
      <c r="G1416" s="20">
        <v>130</v>
      </c>
      <c r="H1416" s="15" t="s">
        <v>29</v>
      </c>
      <c r="I1416" s="20">
        <v>8.8000000000000007</v>
      </c>
      <c r="J1416" s="11" t="s">
        <v>19</v>
      </c>
      <c r="K1416" s="20" t="s">
        <v>20</v>
      </c>
      <c r="L1416" s="20" t="s">
        <v>30</v>
      </c>
      <c r="M1416" s="20" t="s">
        <v>46</v>
      </c>
      <c r="N1416" s="20" t="s">
        <v>24</v>
      </c>
      <c r="O1416" s="31" t="s">
        <v>29</v>
      </c>
      <c r="P1416" s="15">
        <v>211</v>
      </c>
      <c r="Q1416" s="8"/>
      <c r="R1416">
        <v>12.13</v>
      </c>
      <c r="S1416">
        <v>1784.33</v>
      </c>
      <c r="T1416">
        <v>4.93</v>
      </c>
      <c r="U1416">
        <v>8.7100000000000009</v>
      </c>
      <c r="V1416">
        <v>121.29</v>
      </c>
      <c r="W1416" s="317">
        <v>4.5999999999999996</v>
      </c>
      <c r="X1416" s="190">
        <f t="shared" si="54"/>
        <v>40.479999999999997</v>
      </c>
      <c r="Y1416" s="8"/>
      <c r="Z1416" s="8"/>
    </row>
    <row r="1417" spans="1:26" ht="12.75" customHeight="1" x14ac:dyDescent="0.2">
      <c r="A1417" s="15">
        <v>118</v>
      </c>
      <c r="B1417" s="15">
        <v>2004</v>
      </c>
      <c r="C1417" s="15">
        <v>29</v>
      </c>
      <c r="D1417" s="15">
        <v>7</v>
      </c>
      <c r="E1417" s="30">
        <v>0.60416666666666663</v>
      </c>
      <c r="F1417" s="11" t="s">
        <v>51</v>
      </c>
      <c r="G1417" s="20">
        <v>144</v>
      </c>
      <c r="H1417" s="15" t="s">
        <v>29</v>
      </c>
      <c r="I1417" s="20">
        <v>14</v>
      </c>
      <c r="J1417" s="11" t="s">
        <v>19</v>
      </c>
      <c r="K1417" s="20" t="s">
        <v>20</v>
      </c>
      <c r="L1417" s="11" t="s">
        <v>21</v>
      </c>
      <c r="M1417" s="20" t="s">
        <v>46</v>
      </c>
      <c r="N1417" s="20" t="s">
        <v>25</v>
      </c>
      <c r="O1417" s="31" t="s">
        <v>29</v>
      </c>
      <c r="P1417" s="15">
        <v>211</v>
      </c>
      <c r="Q1417" s="8"/>
      <c r="R1417">
        <v>13.44</v>
      </c>
      <c r="S1417">
        <v>2425.12</v>
      </c>
      <c r="T1417">
        <v>5.77</v>
      </c>
      <c r="U1417">
        <v>9.65</v>
      </c>
      <c r="V1417">
        <v>134.35</v>
      </c>
      <c r="W1417" s="317">
        <v>3.9</v>
      </c>
      <c r="X1417" s="190">
        <f t="shared" si="54"/>
        <v>54.6</v>
      </c>
      <c r="Y1417" s="8"/>
      <c r="Z1417" s="8"/>
    </row>
    <row r="1418" spans="1:26" ht="12.75" customHeight="1" x14ac:dyDescent="0.2">
      <c r="A1418" s="15">
        <v>119</v>
      </c>
      <c r="B1418" s="15">
        <v>2004</v>
      </c>
      <c r="C1418" s="15">
        <v>29</v>
      </c>
      <c r="D1418" s="15">
        <v>7</v>
      </c>
      <c r="E1418" s="30">
        <v>0.60416666666666663</v>
      </c>
      <c r="F1418" s="11" t="s">
        <v>51</v>
      </c>
      <c r="G1418" s="20">
        <v>146</v>
      </c>
      <c r="H1418" s="15" t="s">
        <v>29</v>
      </c>
      <c r="I1418" s="20">
        <v>11.2</v>
      </c>
      <c r="J1418" s="11" t="s">
        <v>19</v>
      </c>
      <c r="K1418" s="20" t="s">
        <v>20</v>
      </c>
      <c r="L1418" s="20" t="s">
        <v>30</v>
      </c>
      <c r="M1418" s="20" t="s">
        <v>45</v>
      </c>
      <c r="N1418" s="20" t="s">
        <v>25</v>
      </c>
      <c r="O1418" s="31" t="s">
        <v>29</v>
      </c>
      <c r="P1418" s="15">
        <v>211</v>
      </c>
      <c r="Q1418" s="8"/>
      <c r="R1418">
        <v>13.62</v>
      </c>
      <c r="S1418">
        <v>2527.5700000000002</v>
      </c>
      <c r="T1418">
        <v>4.43</v>
      </c>
      <c r="U1418">
        <v>9.7799999999999994</v>
      </c>
      <c r="V1418">
        <v>136.22</v>
      </c>
      <c r="W1418" s="317">
        <v>4.5999999999999996</v>
      </c>
      <c r="X1418" s="190">
        <f t="shared" si="54"/>
        <v>51.519999999999996</v>
      </c>
      <c r="Y1418" s="8"/>
      <c r="Z1418" s="8"/>
    </row>
    <row r="1419" spans="1:26" ht="12.75" customHeight="1" x14ac:dyDescent="0.2">
      <c r="A1419" s="15">
        <v>120</v>
      </c>
      <c r="B1419" s="15">
        <v>2004</v>
      </c>
      <c r="C1419" s="15">
        <v>29</v>
      </c>
      <c r="D1419" s="15">
        <v>7</v>
      </c>
      <c r="E1419" s="30">
        <v>0.60416666666666663</v>
      </c>
      <c r="F1419" s="11" t="s">
        <v>51</v>
      </c>
      <c r="G1419" s="20">
        <v>148</v>
      </c>
      <c r="H1419" s="15" t="s">
        <v>29</v>
      </c>
      <c r="I1419" s="20">
        <v>11.8</v>
      </c>
      <c r="J1419" s="11" t="s">
        <v>19</v>
      </c>
      <c r="K1419" s="20" t="s">
        <v>20</v>
      </c>
      <c r="L1419" s="11" t="s">
        <v>21</v>
      </c>
      <c r="M1419" s="20" t="s">
        <v>45</v>
      </c>
      <c r="N1419" s="20" t="s">
        <v>25</v>
      </c>
      <c r="O1419" s="31" t="s">
        <v>29</v>
      </c>
      <c r="P1419" s="15">
        <v>211</v>
      </c>
      <c r="Q1419" s="8"/>
      <c r="R1419">
        <v>13.81</v>
      </c>
      <c r="S1419">
        <v>2632.87</v>
      </c>
      <c r="T1419">
        <v>4.4800000000000004</v>
      </c>
      <c r="U1419">
        <v>9.92</v>
      </c>
      <c r="V1419">
        <v>138.08000000000001</v>
      </c>
      <c r="W1419" s="317">
        <v>3.9</v>
      </c>
      <c r="X1419" s="190">
        <f t="shared" si="54"/>
        <v>46.02</v>
      </c>
      <c r="Y1419" s="8"/>
      <c r="Z1419" s="8"/>
    </row>
    <row r="1420" spans="1:26" ht="12.75" customHeight="1" x14ac:dyDescent="0.2">
      <c r="A1420" s="15">
        <v>121</v>
      </c>
      <c r="B1420" s="15">
        <v>2004</v>
      </c>
      <c r="C1420" s="15">
        <v>29</v>
      </c>
      <c r="D1420" s="15">
        <v>7</v>
      </c>
      <c r="E1420" s="30">
        <v>0.60416666666666663</v>
      </c>
      <c r="F1420" s="11" t="s">
        <v>51</v>
      </c>
      <c r="G1420" s="20">
        <v>157</v>
      </c>
      <c r="H1420" s="15" t="s">
        <v>29</v>
      </c>
      <c r="I1420" s="20">
        <v>15</v>
      </c>
      <c r="J1420" s="11" t="s">
        <v>19</v>
      </c>
      <c r="K1420" s="20" t="s">
        <v>20</v>
      </c>
      <c r="L1420" s="20" t="s">
        <v>30</v>
      </c>
      <c r="M1420" s="20" t="s">
        <v>46</v>
      </c>
      <c r="N1420" s="20" t="s">
        <v>25</v>
      </c>
      <c r="O1420" s="31" t="s">
        <v>29</v>
      </c>
      <c r="P1420" s="15">
        <v>211</v>
      </c>
      <c r="Q1420" s="8"/>
      <c r="R1420">
        <v>14.65</v>
      </c>
      <c r="S1420">
        <v>3143</v>
      </c>
      <c r="T1420">
        <v>4.7699999999999996</v>
      </c>
      <c r="U1420">
        <v>10.52</v>
      </c>
      <c r="V1420">
        <v>146.47999999999999</v>
      </c>
      <c r="W1420" s="317">
        <v>4.5999999999999996</v>
      </c>
      <c r="X1420" s="190">
        <f t="shared" si="54"/>
        <v>69</v>
      </c>
      <c r="Y1420" s="8"/>
      <c r="Z1420" s="8"/>
    </row>
    <row r="1421" spans="1:26" ht="12.75" customHeight="1" x14ac:dyDescent="0.2">
      <c r="A1421" s="15">
        <v>122</v>
      </c>
      <c r="B1421" s="15">
        <v>2004</v>
      </c>
      <c r="C1421" s="15">
        <v>28</v>
      </c>
      <c r="D1421" s="15">
        <v>7</v>
      </c>
      <c r="E1421" s="29" t="s">
        <v>17</v>
      </c>
      <c r="F1421" s="11" t="s">
        <v>51</v>
      </c>
      <c r="G1421" s="20">
        <v>128</v>
      </c>
      <c r="H1421" s="15" t="s">
        <v>29</v>
      </c>
      <c r="I1421" s="20">
        <v>11.5</v>
      </c>
      <c r="J1421" s="11" t="s">
        <v>19</v>
      </c>
      <c r="K1421" s="20" t="s">
        <v>20</v>
      </c>
      <c r="L1421" s="20" t="s">
        <v>30</v>
      </c>
      <c r="M1421" s="20" t="s">
        <v>45</v>
      </c>
      <c r="N1421" s="20" t="s">
        <v>23</v>
      </c>
      <c r="O1421" s="31" t="s">
        <v>29</v>
      </c>
      <c r="P1421" s="15">
        <v>210</v>
      </c>
      <c r="Q1421" s="8"/>
      <c r="R1421">
        <v>11.94</v>
      </c>
      <c r="S1421">
        <v>1703.24</v>
      </c>
      <c r="T1421">
        <v>6.75</v>
      </c>
      <c r="U1421">
        <v>8.58</v>
      </c>
      <c r="V1421">
        <v>119.42</v>
      </c>
      <c r="W1421" s="317">
        <v>4.5999999999999996</v>
      </c>
      <c r="X1421" s="190">
        <f t="shared" si="54"/>
        <v>52.9</v>
      </c>
      <c r="Y1421" s="8"/>
      <c r="Z1421" s="8"/>
    </row>
    <row r="1422" spans="1:26" ht="12.75" customHeight="1" x14ac:dyDescent="0.2">
      <c r="A1422" s="15">
        <v>123</v>
      </c>
      <c r="B1422" s="15">
        <v>2004</v>
      </c>
      <c r="C1422" s="15">
        <v>28</v>
      </c>
      <c r="D1422" s="15">
        <v>7</v>
      </c>
      <c r="E1422" s="29" t="s">
        <v>17</v>
      </c>
      <c r="F1422" s="11" t="s">
        <v>51</v>
      </c>
      <c r="G1422" s="20">
        <v>146</v>
      </c>
      <c r="H1422" s="15" t="s">
        <v>29</v>
      </c>
      <c r="I1422" s="20">
        <v>13</v>
      </c>
      <c r="J1422" s="11" t="s">
        <v>19</v>
      </c>
      <c r="K1422" s="20" t="s">
        <v>20</v>
      </c>
      <c r="L1422" s="11" t="s">
        <v>41</v>
      </c>
      <c r="M1422" s="20" t="s">
        <v>45</v>
      </c>
      <c r="N1422" s="20" t="s">
        <v>24</v>
      </c>
      <c r="O1422" s="31" t="s">
        <v>29</v>
      </c>
      <c r="P1422" s="15">
        <v>210</v>
      </c>
      <c r="Q1422" s="8"/>
      <c r="R1422">
        <v>13.62</v>
      </c>
      <c r="S1422">
        <v>2527.5700000000002</v>
      </c>
      <c r="T1422">
        <v>5.14</v>
      </c>
      <c r="U1422">
        <v>9.7799999999999994</v>
      </c>
      <c r="V1422">
        <v>136.22</v>
      </c>
      <c r="W1422" s="8"/>
      <c r="X1422" s="8"/>
      <c r="Y1422" s="8"/>
      <c r="Z1422" s="8"/>
    </row>
    <row r="1423" spans="1:26" ht="12.75" customHeight="1" x14ac:dyDescent="0.2">
      <c r="A1423" s="15">
        <v>124</v>
      </c>
      <c r="B1423" s="15">
        <v>2004</v>
      </c>
      <c r="C1423" s="15">
        <v>28</v>
      </c>
      <c r="D1423" s="15">
        <v>7</v>
      </c>
      <c r="E1423" s="29" t="s">
        <v>17</v>
      </c>
      <c r="F1423" s="11" t="s">
        <v>51</v>
      </c>
      <c r="G1423" s="20">
        <v>148</v>
      </c>
      <c r="H1423" s="15" t="s">
        <v>29</v>
      </c>
      <c r="I1423" s="20">
        <v>13.5</v>
      </c>
      <c r="J1423" s="11" t="s">
        <v>19</v>
      </c>
      <c r="K1423" s="20" t="s">
        <v>20</v>
      </c>
      <c r="L1423" s="20" t="s">
        <v>30</v>
      </c>
      <c r="M1423" s="20" t="s">
        <v>27</v>
      </c>
      <c r="N1423" s="20" t="s">
        <v>23</v>
      </c>
      <c r="O1423" s="31" t="s">
        <v>29</v>
      </c>
      <c r="P1423" s="15">
        <v>210</v>
      </c>
      <c r="Q1423" s="8"/>
      <c r="R1423">
        <v>13.81</v>
      </c>
      <c r="S1423">
        <v>2632.87</v>
      </c>
      <c r="T1423">
        <v>5.13</v>
      </c>
      <c r="U1423">
        <v>9.92</v>
      </c>
      <c r="V1423">
        <v>138.08000000000001</v>
      </c>
      <c r="W1423" s="317">
        <v>4.5999999999999996</v>
      </c>
      <c r="X1423" s="190">
        <f t="shared" ref="X1423:X1428" si="55">I1423*W1423</f>
        <v>62.099999999999994</v>
      </c>
      <c r="Y1423" s="8"/>
      <c r="Z1423" s="8"/>
    </row>
    <row r="1424" spans="1:26" ht="12.75" customHeight="1" x14ac:dyDescent="0.2">
      <c r="A1424" s="15">
        <v>125</v>
      </c>
      <c r="B1424" s="15">
        <v>2004</v>
      </c>
      <c r="C1424" s="15">
        <v>28</v>
      </c>
      <c r="D1424" s="15">
        <v>7</v>
      </c>
      <c r="E1424" s="29" t="s">
        <v>17</v>
      </c>
      <c r="F1424" s="11" t="s">
        <v>51</v>
      </c>
      <c r="G1424" s="20">
        <v>150</v>
      </c>
      <c r="H1424" s="15" t="s">
        <v>29</v>
      </c>
      <c r="I1424" s="20">
        <v>11</v>
      </c>
      <c r="J1424" s="11" t="s">
        <v>19</v>
      </c>
      <c r="K1424" s="20" t="s">
        <v>20</v>
      </c>
      <c r="L1424" s="20" t="s">
        <v>35</v>
      </c>
      <c r="M1424" s="20" t="s">
        <v>27</v>
      </c>
      <c r="N1424" s="20" t="s">
        <v>25</v>
      </c>
      <c r="O1424" s="31" t="s">
        <v>29</v>
      </c>
      <c r="P1424" s="15">
        <v>210</v>
      </c>
      <c r="Q1424" s="8"/>
      <c r="R1424">
        <v>14</v>
      </c>
      <c r="S1424">
        <v>2741.06</v>
      </c>
      <c r="T1424">
        <v>4.01</v>
      </c>
      <c r="U1424">
        <v>10.050000000000001</v>
      </c>
      <c r="V1424">
        <v>139.94999999999999</v>
      </c>
      <c r="W1424" s="317">
        <v>3.9</v>
      </c>
      <c r="X1424" s="190">
        <f t="shared" si="55"/>
        <v>42.9</v>
      </c>
      <c r="Y1424" s="8"/>
      <c r="Z1424" s="8"/>
    </row>
    <row r="1425" spans="1:26" ht="12.75" customHeight="1" x14ac:dyDescent="0.2">
      <c r="A1425" s="15">
        <v>126</v>
      </c>
      <c r="B1425" s="15">
        <v>2004</v>
      </c>
      <c r="C1425" s="15">
        <v>28</v>
      </c>
      <c r="D1425" s="15">
        <v>7</v>
      </c>
      <c r="E1425" s="29" t="s">
        <v>17</v>
      </c>
      <c r="F1425" s="11" t="s">
        <v>51</v>
      </c>
      <c r="G1425" s="20">
        <v>151</v>
      </c>
      <c r="H1425" s="15" t="s">
        <v>29</v>
      </c>
      <c r="I1425" s="20">
        <v>11.5</v>
      </c>
      <c r="J1425" s="11" t="s">
        <v>19</v>
      </c>
      <c r="K1425" s="20" t="s">
        <v>20</v>
      </c>
      <c r="L1425" s="20" t="s">
        <v>30</v>
      </c>
      <c r="M1425" s="11" t="s">
        <v>29</v>
      </c>
      <c r="N1425" s="20" t="s">
        <v>25</v>
      </c>
      <c r="O1425" s="31" t="s">
        <v>29</v>
      </c>
      <c r="P1425" s="15">
        <v>210</v>
      </c>
      <c r="Q1425" s="8"/>
      <c r="R1425">
        <v>14.09</v>
      </c>
      <c r="S1425">
        <v>2796.25</v>
      </c>
      <c r="T1425">
        <v>4.1100000000000003</v>
      </c>
      <c r="U1425">
        <v>10.119999999999999</v>
      </c>
      <c r="V1425">
        <v>140.88</v>
      </c>
      <c r="W1425" s="317">
        <v>4.5999999999999996</v>
      </c>
      <c r="X1425" s="190">
        <f t="shared" si="55"/>
        <v>52.9</v>
      </c>
      <c r="Y1425" s="8"/>
      <c r="Z1425" s="8"/>
    </row>
    <row r="1426" spans="1:26" ht="12.75" customHeight="1" x14ac:dyDescent="0.2">
      <c r="A1426" s="15">
        <v>127</v>
      </c>
      <c r="B1426" s="15">
        <v>2004</v>
      </c>
      <c r="C1426" s="15">
        <v>28</v>
      </c>
      <c r="D1426" s="15">
        <v>7</v>
      </c>
      <c r="E1426" s="29" t="s">
        <v>17</v>
      </c>
      <c r="F1426" s="11" t="s">
        <v>51</v>
      </c>
      <c r="G1426" s="20">
        <v>125</v>
      </c>
      <c r="H1426" s="15" t="s">
        <v>29</v>
      </c>
      <c r="I1426" s="20">
        <v>10</v>
      </c>
      <c r="J1426" s="11" t="s">
        <v>19</v>
      </c>
      <c r="K1426" s="20" t="s">
        <v>20</v>
      </c>
      <c r="L1426" s="20" t="s">
        <v>30</v>
      </c>
      <c r="M1426" s="20" t="s">
        <v>45</v>
      </c>
      <c r="N1426" s="20" t="s">
        <v>25</v>
      </c>
      <c r="O1426" s="31" t="s">
        <v>29</v>
      </c>
      <c r="P1426" s="15">
        <v>210</v>
      </c>
      <c r="Q1426" s="8"/>
      <c r="R1426">
        <v>11.66</v>
      </c>
      <c r="S1426">
        <v>1586.26</v>
      </c>
      <c r="T1426">
        <v>6.3</v>
      </c>
      <c r="U1426">
        <v>8.3800000000000008</v>
      </c>
      <c r="V1426">
        <v>116.63</v>
      </c>
      <c r="W1426" s="317">
        <v>4.5999999999999996</v>
      </c>
      <c r="X1426" s="190">
        <f t="shared" si="55"/>
        <v>46</v>
      </c>
      <c r="Y1426" s="8"/>
      <c r="Z1426" s="8"/>
    </row>
    <row r="1427" spans="1:26" ht="12.75" customHeight="1" x14ac:dyDescent="0.2">
      <c r="A1427" s="15">
        <v>128</v>
      </c>
      <c r="B1427" s="15">
        <v>2004</v>
      </c>
      <c r="C1427" s="15">
        <v>28</v>
      </c>
      <c r="D1427" s="15">
        <v>7</v>
      </c>
      <c r="E1427" s="29" t="s">
        <v>17</v>
      </c>
      <c r="F1427" s="11" t="s">
        <v>51</v>
      </c>
      <c r="G1427" s="20">
        <v>147</v>
      </c>
      <c r="H1427" s="15" t="s">
        <v>29</v>
      </c>
      <c r="I1427" s="20">
        <v>14</v>
      </c>
      <c r="J1427" s="11" t="s">
        <v>19</v>
      </c>
      <c r="K1427" s="20" t="s">
        <v>20</v>
      </c>
      <c r="L1427" s="20" t="s">
        <v>30</v>
      </c>
      <c r="M1427" s="20" t="s">
        <v>27</v>
      </c>
      <c r="N1427" s="20" t="s">
        <v>24</v>
      </c>
      <c r="O1427" s="31" t="s">
        <v>29</v>
      </c>
      <c r="P1427" s="15">
        <v>210</v>
      </c>
      <c r="Q1427" s="8"/>
      <c r="R1427">
        <v>13.72</v>
      </c>
      <c r="S1427">
        <v>2579.86</v>
      </c>
      <c r="T1427">
        <v>5.43</v>
      </c>
      <c r="U1427">
        <v>9.85</v>
      </c>
      <c r="V1427">
        <v>137.15</v>
      </c>
      <c r="W1427" s="317">
        <v>4.5999999999999996</v>
      </c>
      <c r="X1427" s="190">
        <f t="shared" si="55"/>
        <v>64.399999999999991</v>
      </c>
      <c r="Y1427" s="8"/>
      <c r="Z1427" s="8"/>
    </row>
    <row r="1428" spans="1:26" ht="12.75" customHeight="1" x14ac:dyDescent="0.2">
      <c r="A1428" s="15">
        <v>129</v>
      </c>
      <c r="B1428" s="15">
        <v>2004</v>
      </c>
      <c r="C1428" s="15">
        <v>28</v>
      </c>
      <c r="D1428" s="15">
        <v>7</v>
      </c>
      <c r="E1428" s="29" t="s">
        <v>17</v>
      </c>
      <c r="F1428" s="11" t="s">
        <v>51</v>
      </c>
      <c r="G1428" s="20">
        <v>126</v>
      </c>
      <c r="H1428" s="15" t="s">
        <v>29</v>
      </c>
      <c r="I1428" s="20">
        <v>9.5</v>
      </c>
      <c r="J1428" s="11" t="s">
        <v>19</v>
      </c>
      <c r="K1428" s="20" t="s">
        <v>20</v>
      </c>
      <c r="L1428" s="20" t="s">
        <v>30</v>
      </c>
      <c r="M1428" s="20" t="s">
        <v>45</v>
      </c>
      <c r="N1428" s="20" t="s">
        <v>25</v>
      </c>
      <c r="O1428" s="31" t="s">
        <v>29</v>
      </c>
      <c r="P1428" s="15">
        <v>210</v>
      </c>
      <c r="Q1428" s="8"/>
      <c r="R1428">
        <v>11.76</v>
      </c>
      <c r="S1428">
        <v>1624.64</v>
      </c>
      <c r="T1428">
        <v>5.85</v>
      </c>
      <c r="U1428">
        <v>8.44</v>
      </c>
      <c r="V1428">
        <v>117.56</v>
      </c>
      <c r="W1428" s="317">
        <v>4.5999999999999996</v>
      </c>
      <c r="X1428" s="190">
        <f t="shared" si="55"/>
        <v>43.699999999999996</v>
      </c>
      <c r="Y1428" s="8"/>
      <c r="Z1428" s="8"/>
    </row>
    <row r="1429" spans="1:26" ht="12.75" customHeight="1" x14ac:dyDescent="0.2">
      <c r="A1429" s="15">
        <v>130</v>
      </c>
      <c r="B1429" s="15">
        <v>2004</v>
      </c>
      <c r="C1429" s="15">
        <v>28</v>
      </c>
      <c r="D1429" s="15">
        <v>7</v>
      </c>
      <c r="E1429" s="29" t="s">
        <v>17</v>
      </c>
      <c r="F1429" s="11" t="s">
        <v>51</v>
      </c>
      <c r="G1429" s="20">
        <v>140</v>
      </c>
      <c r="H1429" s="15" t="s">
        <v>29</v>
      </c>
      <c r="I1429" s="20">
        <v>11</v>
      </c>
      <c r="J1429" s="11" t="s">
        <v>19</v>
      </c>
      <c r="K1429" s="20" t="s">
        <v>20</v>
      </c>
      <c r="L1429" s="11" t="s">
        <v>41</v>
      </c>
      <c r="M1429" s="20" t="s">
        <v>27</v>
      </c>
      <c r="N1429" s="20" t="s">
        <v>23</v>
      </c>
      <c r="O1429" s="31" t="s">
        <v>29</v>
      </c>
      <c r="P1429" s="15">
        <v>210</v>
      </c>
      <c r="Q1429" s="8"/>
      <c r="R1429">
        <v>13.06</v>
      </c>
      <c r="S1429">
        <v>2228.58</v>
      </c>
      <c r="T1429">
        <v>4.9400000000000004</v>
      </c>
      <c r="U1429">
        <v>9.3800000000000008</v>
      </c>
      <c r="V1429">
        <v>130.62</v>
      </c>
      <c r="W1429" s="8"/>
      <c r="X1429" s="8"/>
      <c r="Y1429" s="8"/>
      <c r="Z1429" s="8"/>
    </row>
    <row r="1430" spans="1:26" ht="12.75" customHeight="1" x14ac:dyDescent="0.2">
      <c r="A1430" s="15">
        <v>131</v>
      </c>
      <c r="B1430" s="15">
        <v>2004</v>
      </c>
      <c r="C1430" s="15">
        <v>28</v>
      </c>
      <c r="D1430" s="15">
        <v>7</v>
      </c>
      <c r="E1430" s="29" t="s">
        <v>17</v>
      </c>
      <c r="F1430" s="11" t="s">
        <v>51</v>
      </c>
      <c r="G1430" s="20">
        <v>145</v>
      </c>
      <c r="H1430" s="15" t="s">
        <v>29</v>
      </c>
      <c r="I1430" s="20">
        <v>12.5</v>
      </c>
      <c r="J1430" s="11" t="s">
        <v>19</v>
      </c>
      <c r="K1430" s="20" t="s">
        <v>20</v>
      </c>
      <c r="L1430" s="11" t="s">
        <v>21</v>
      </c>
      <c r="M1430" s="20" t="s">
        <v>46</v>
      </c>
      <c r="N1430" s="20" t="s">
        <v>24</v>
      </c>
      <c r="O1430" s="31" t="s">
        <v>29</v>
      </c>
      <c r="P1430" s="15">
        <v>210</v>
      </c>
      <c r="Q1430" s="8"/>
      <c r="R1430">
        <v>13.53</v>
      </c>
      <c r="S1430">
        <v>2475.9899999999998</v>
      </c>
      <c r="T1430">
        <v>5.05</v>
      </c>
      <c r="U1430">
        <v>9.7200000000000006</v>
      </c>
      <c r="V1430">
        <v>135.29</v>
      </c>
      <c r="W1430" s="317">
        <v>3.9</v>
      </c>
      <c r="X1430" s="190">
        <f t="shared" ref="X1430:X1435" si="56">I1430*W1430</f>
        <v>48.75</v>
      </c>
      <c r="Y1430" s="8"/>
      <c r="Z1430" s="8"/>
    </row>
    <row r="1431" spans="1:26" ht="12.75" customHeight="1" x14ac:dyDescent="0.2">
      <c r="A1431" s="15">
        <v>132</v>
      </c>
      <c r="B1431" s="15">
        <v>2004</v>
      </c>
      <c r="C1431" s="15">
        <v>28</v>
      </c>
      <c r="D1431" s="15">
        <v>7</v>
      </c>
      <c r="E1431" s="29" t="s">
        <v>17</v>
      </c>
      <c r="F1431" s="11" t="s">
        <v>51</v>
      </c>
      <c r="G1431" s="20">
        <v>149</v>
      </c>
      <c r="H1431" s="15" t="s">
        <v>29</v>
      </c>
      <c r="I1431" s="20">
        <v>12</v>
      </c>
      <c r="J1431" s="11" t="s">
        <v>19</v>
      </c>
      <c r="K1431" s="20" t="s">
        <v>20</v>
      </c>
      <c r="L1431" s="20" t="s">
        <v>30</v>
      </c>
      <c r="M1431" s="20" t="s">
        <v>46</v>
      </c>
      <c r="N1431" s="20" t="s">
        <v>23</v>
      </c>
      <c r="O1431" s="31" t="s">
        <v>29</v>
      </c>
      <c r="P1431" s="15">
        <v>210</v>
      </c>
      <c r="Q1431" s="8"/>
      <c r="R1431">
        <v>13.9</v>
      </c>
      <c r="S1431">
        <v>2686.6</v>
      </c>
      <c r="T1431">
        <v>4.47</v>
      </c>
      <c r="U1431">
        <v>9.98</v>
      </c>
      <c r="V1431">
        <v>139.02000000000001</v>
      </c>
      <c r="W1431" s="317">
        <v>4.5999999999999996</v>
      </c>
      <c r="X1431" s="190">
        <f t="shared" si="56"/>
        <v>55.199999999999996</v>
      </c>
      <c r="Y1431" s="8"/>
      <c r="Z1431" s="8"/>
    </row>
    <row r="1432" spans="1:26" ht="12.75" customHeight="1" x14ac:dyDescent="0.2">
      <c r="A1432" s="15">
        <v>133</v>
      </c>
      <c r="B1432" s="15">
        <v>2004</v>
      </c>
      <c r="C1432" s="15">
        <v>28</v>
      </c>
      <c r="D1432" s="15">
        <v>7</v>
      </c>
      <c r="E1432" s="29" t="s">
        <v>17</v>
      </c>
      <c r="F1432" s="11" t="s">
        <v>51</v>
      </c>
      <c r="G1432" s="20">
        <v>167</v>
      </c>
      <c r="H1432" s="15" t="s">
        <v>29</v>
      </c>
      <c r="I1432" s="20">
        <v>16</v>
      </c>
      <c r="J1432" s="11" t="s">
        <v>19</v>
      </c>
      <c r="K1432" s="20" t="s">
        <v>20</v>
      </c>
      <c r="L1432" s="20" t="s">
        <v>30</v>
      </c>
      <c r="M1432" s="20" t="s">
        <v>27</v>
      </c>
      <c r="N1432" s="20" t="s">
        <v>23</v>
      </c>
      <c r="O1432" s="31" t="s">
        <v>29</v>
      </c>
      <c r="P1432" s="15">
        <v>210</v>
      </c>
      <c r="Q1432" s="8"/>
      <c r="R1432">
        <v>15.58</v>
      </c>
      <c r="S1432">
        <v>3782.63</v>
      </c>
      <c r="T1432">
        <v>4.2300000000000004</v>
      </c>
      <c r="U1432">
        <v>11.19</v>
      </c>
      <c r="V1432">
        <v>155.81</v>
      </c>
      <c r="W1432" s="317">
        <v>4.5999999999999996</v>
      </c>
      <c r="X1432" s="190">
        <f t="shared" si="56"/>
        <v>73.599999999999994</v>
      </c>
      <c r="Y1432" s="8"/>
      <c r="Z1432" s="8"/>
    </row>
    <row r="1433" spans="1:26" ht="12.75" customHeight="1" x14ac:dyDescent="0.2">
      <c r="A1433" s="15">
        <v>134</v>
      </c>
      <c r="B1433" s="15">
        <v>2004</v>
      </c>
      <c r="C1433" s="15">
        <v>28</v>
      </c>
      <c r="D1433" s="15">
        <v>7</v>
      </c>
      <c r="E1433" s="29" t="s">
        <v>17</v>
      </c>
      <c r="F1433" s="11" t="s">
        <v>51</v>
      </c>
      <c r="G1433" s="20">
        <v>133</v>
      </c>
      <c r="H1433" s="15" t="s">
        <v>29</v>
      </c>
      <c r="I1433" s="20">
        <v>8</v>
      </c>
      <c r="J1433" s="11" t="s">
        <v>19</v>
      </c>
      <c r="K1433" s="20" t="s">
        <v>20</v>
      </c>
      <c r="L1433" s="20" t="s">
        <v>30</v>
      </c>
      <c r="M1433" s="20" t="s">
        <v>45</v>
      </c>
      <c r="N1433" s="20" t="s">
        <v>23</v>
      </c>
      <c r="O1433" s="31" t="s">
        <v>29</v>
      </c>
      <c r="P1433" s="15">
        <v>210</v>
      </c>
      <c r="Q1433" s="8"/>
      <c r="R1433">
        <v>12.41</v>
      </c>
      <c r="S1433">
        <v>1910.73</v>
      </c>
      <c r="T1433">
        <v>4.1900000000000004</v>
      </c>
      <c r="U1433">
        <v>8.91</v>
      </c>
      <c r="V1433">
        <v>124.09</v>
      </c>
      <c r="W1433" s="317">
        <v>4.5999999999999996</v>
      </c>
      <c r="X1433" s="190">
        <f t="shared" si="56"/>
        <v>36.799999999999997</v>
      </c>
      <c r="Y1433" s="8"/>
      <c r="Z1433" s="8"/>
    </row>
    <row r="1434" spans="1:26" ht="12.75" customHeight="1" x14ac:dyDescent="0.2">
      <c r="A1434" s="15">
        <v>135</v>
      </c>
      <c r="B1434" s="15">
        <v>2004</v>
      </c>
      <c r="C1434" s="15">
        <v>28</v>
      </c>
      <c r="D1434" s="15">
        <v>7</v>
      </c>
      <c r="E1434" s="29" t="s">
        <v>17</v>
      </c>
      <c r="F1434" s="11" t="s">
        <v>51</v>
      </c>
      <c r="G1434" s="20">
        <v>145</v>
      </c>
      <c r="H1434" s="15" t="s">
        <v>29</v>
      </c>
      <c r="I1434" s="20">
        <v>13</v>
      </c>
      <c r="J1434" s="11" t="s">
        <v>19</v>
      </c>
      <c r="K1434" s="20" t="s">
        <v>20</v>
      </c>
      <c r="L1434" s="11" t="s">
        <v>21</v>
      </c>
      <c r="M1434" s="20" t="s">
        <v>27</v>
      </c>
      <c r="N1434" s="20" t="s">
        <v>24</v>
      </c>
      <c r="O1434" s="31" t="s">
        <v>29</v>
      </c>
      <c r="P1434" s="15">
        <v>210</v>
      </c>
      <c r="Q1434" s="8"/>
      <c r="R1434">
        <v>13.53</v>
      </c>
      <c r="S1434">
        <v>2475.9899999999998</v>
      </c>
      <c r="T1434">
        <v>5.25</v>
      </c>
      <c r="U1434">
        <v>9.7200000000000006</v>
      </c>
      <c r="V1434">
        <v>135.29</v>
      </c>
      <c r="W1434" s="317">
        <v>3.9</v>
      </c>
      <c r="X1434" s="190">
        <f t="shared" si="56"/>
        <v>50.699999999999996</v>
      </c>
      <c r="Y1434" s="8"/>
      <c r="Z1434" s="8"/>
    </row>
    <row r="1435" spans="1:26" ht="12.75" customHeight="1" x14ac:dyDescent="0.2">
      <c r="A1435" s="15">
        <v>136</v>
      </c>
      <c r="B1435" s="15">
        <v>2004</v>
      </c>
      <c r="C1435" s="15">
        <v>28</v>
      </c>
      <c r="D1435" s="15">
        <v>7</v>
      </c>
      <c r="E1435" s="29" t="s">
        <v>17</v>
      </c>
      <c r="F1435" s="11" t="s">
        <v>51</v>
      </c>
      <c r="G1435" s="20">
        <v>144</v>
      </c>
      <c r="H1435" s="15" t="s">
        <v>29</v>
      </c>
      <c r="I1435" s="20">
        <v>12</v>
      </c>
      <c r="J1435" s="11" t="s">
        <v>19</v>
      </c>
      <c r="K1435" s="20" t="s">
        <v>20</v>
      </c>
      <c r="L1435" s="11" t="s">
        <v>21</v>
      </c>
      <c r="M1435" s="11" t="s">
        <v>29</v>
      </c>
      <c r="N1435" s="20" t="s">
        <v>25</v>
      </c>
      <c r="O1435" s="31" t="s">
        <v>29</v>
      </c>
      <c r="P1435" s="15">
        <v>210</v>
      </c>
      <c r="Q1435" s="8"/>
      <c r="R1435">
        <v>13.44</v>
      </c>
      <c r="S1435">
        <v>2425.12</v>
      </c>
      <c r="T1435">
        <v>4.95</v>
      </c>
      <c r="U1435">
        <v>9.65</v>
      </c>
      <c r="V1435">
        <v>134.35</v>
      </c>
      <c r="W1435" s="317">
        <v>3.9</v>
      </c>
      <c r="X1435" s="190">
        <f t="shared" si="56"/>
        <v>46.8</v>
      </c>
      <c r="Y1435" s="8"/>
      <c r="Z1435" s="8"/>
    </row>
    <row r="1436" spans="1:26" ht="12.75" customHeight="1" x14ac:dyDescent="0.2">
      <c r="A1436" s="15">
        <v>137</v>
      </c>
      <c r="B1436" s="15">
        <v>2004</v>
      </c>
      <c r="C1436" s="15">
        <v>28</v>
      </c>
      <c r="D1436" s="15">
        <v>7</v>
      </c>
      <c r="E1436" s="29" t="s">
        <v>17</v>
      </c>
      <c r="F1436" s="11" t="s">
        <v>51</v>
      </c>
      <c r="G1436" s="20">
        <v>135</v>
      </c>
      <c r="H1436" s="15" t="s">
        <v>29</v>
      </c>
      <c r="I1436" s="20">
        <v>8.5</v>
      </c>
      <c r="J1436" s="11" t="s">
        <v>19</v>
      </c>
      <c r="K1436" s="11" t="s">
        <v>41</v>
      </c>
      <c r="L1436" s="20" t="s">
        <v>35</v>
      </c>
      <c r="M1436" s="20" t="s">
        <v>46</v>
      </c>
      <c r="N1436" s="20" t="s">
        <v>25</v>
      </c>
      <c r="O1436" s="31" t="s">
        <v>29</v>
      </c>
      <c r="P1436" s="15">
        <v>210</v>
      </c>
      <c r="Q1436" s="8"/>
      <c r="R1436">
        <v>12.6</v>
      </c>
      <c r="S1436">
        <v>1998.23</v>
      </c>
      <c r="T1436">
        <v>4.25</v>
      </c>
      <c r="U1436">
        <v>9.0500000000000007</v>
      </c>
      <c r="V1436">
        <v>125.96</v>
      </c>
      <c r="W1436" s="317">
        <v>3.9</v>
      </c>
      <c r="X1436" s="8"/>
      <c r="Y1436" s="8"/>
      <c r="Z1436" s="8"/>
    </row>
    <row r="1437" spans="1:26" ht="12.75" customHeight="1" x14ac:dyDescent="0.2">
      <c r="A1437" s="15">
        <v>138</v>
      </c>
      <c r="B1437" s="15">
        <v>2004</v>
      </c>
      <c r="C1437" s="15">
        <v>28</v>
      </c>
      <c r="D1437" s="15">
        <v>7</v>
      </c>
      <c r="E1437" s="29" t="s">
        <v>17</v>
      </c>
      <c r="F1437" s="11" t="s">
        <v>51</v>
      </c>
      <c r="G1437" s="20">
        <v>161</v>
      </c>
      <c r="H1437" s="15" t="s">
        <v>29</v>
      </c>
      <c r="I1437" s="20">
        <v>24</v>
      </c>
      <c r="J1437" s="11" t="s">
        <v>19</v>
      </c>
      <c r="K1437" s="20" t="s">
        <v>34</v>
      </c>
      <c r="L1437" s="11" t="s">
        <v>41</v>
      </c>
      <c r="M1437" s="20" t="s">
        <v>46</v>
      </c>
      <c r="N1437" s="20" t="s">
        <v>24</v>
      </c>
      <c r="O1437" s="31" t="s">
        <v>29</v>
      </c>
      <c r="P1437" s="15">
        <v>210</v>
      </c>
      <c r="Q1437" s="8"/>
      <c r="R1437">
        <v>15.02</v>
      </c>
      <c r="S1437">
        <v>3389.4</v>
      </c>
      <c r="T1437">
        <v>7.08</v>
      </c>
      <c r="U1437">
        <v>10.79</v>
      </c>
      <c r="V1437">
        <v>150.21</v>
      </c>
      <c r="W1437" s="317">
        <v>3.8</v>
      </c>
      <c r="X1437" s="190">
        <f>I1437*W1437</f>
        <v>91.199999999999989</v>
      </c>
      <c r="Y1437" s="8"/>
      <c r="Z1437" s="8"/>
    </row>
    <row r="1438" spans="1:26" ht="12.75" customHeight="1" x14ac:dyDescent="0.2">
      <c r="A1438" s="15">
        <v>139</v>
      </c>
      <c r="B1438" s="15">
        <v>2004</v>
      </c>
      <c r="C1438" s="15">
        <v>28</v>
      </c>
      <c r="D1438" s="15">
        <v>7</v>
      </c>
      <c r="E1438" s="29" t="s">
        <v>17</v>
      </c>
      <c r="F1438" s="11" t="s">
        <v>51</v>
      </c>
      <c r="G1438" s="20">
        <v>131</v>
      </c>
      <c r="H1438" s="15" t="s">
        <v>29</v>
      </c>
      <c r="I1438" s="20">
        <v>11.5</v>
      </c>
      <c r="J1438" s="11" t="s">
        <v>19</v>
      </c>
      <c r="K1438" s="20" t="s">
        <v>20</v>
      </c>
      <c r="L1438" s="20" t="s">
        <v>30</v>
      </c>
      <c r="M1438" s="20" t="s">
        <v>46</v>
      </c>
      <c r="N1438" s="20" t="s">
        <v>23</v>
      </c>
      <c r="O1438" s="31" t="s">
        <v>29</v>
      </c>
      <c r="P1438" s="15">
        <v>210</v>
      </c>
      <c r="Q1438" s="8"/>
      <c r="R1438">
        <v>12.22</v>
      </c>
      <c r="S1438">
        <v>1825.82</v>
      </c>
      <c r="T1438">
        <v>6.3</v>
      </c>
      <c r="U1438">
        <v>8.7799999999999994</v>
      </c>
      <c r="V1438">
        <v>122.22</v>
      </c>
      <c r="W1438" s="317">
        <v>4.5999999999999996</v>
      </c>
      <c r="X1438" s="190">
        <f>I1438*W1438</f>
        <v>52.9</v>
      </c>
      <c r="Y1438" s="8"/>
      <c r="Z1438" s="8"/>
    </row>
    <row r="1439" spans="1:26" ht="12.75" customHeight="1" x14ac:dyDescent="0.2">
      <c r="A1439" s="15">
        <v>140</v>
      </c>
      <c r="B1439" s="15">
        <v>2004</v>
      </c>
      <c r="C1439" s="15">
        <v>28</v>
      </c>
      <c r="D1439" s="15">
        <v>7</v>
      </c>
      <c r="E1439" s="29" t="s">
        <v>17</v>
      </c>
      <c r="F1439" s="11" t="s">
        <v>51</v>
      </c>
      <c r="G1439" s="20">
        <v>157</v>
      </c>
      <c r="H1439" s="15" t="s">
        <v>29</v>
      </c>
      <c r="I1439" s="20">
        <v>16.5</v>
      </c>
      <c r="J1439" s="11" t="s">
        <v>19</v>
      </c>
      <c r="K1439" s="20" t="s">
        <v>20</v>
      </c>
      <c r="L1439" s="20" t="s">
        <v>30</v>
      </c>
      <c r="M1439" s="20" t="s">
        <v>46</v>
      </c>
      <c r="N1439" s="20" t="s">
        <v>24</v>
      </c>
      <c r="O1439" s="31" t="s">
        <v>29</v>
      </c>
      <c r="P1439" s="15">
        <v>210</v>
      </c>
      <c r="Q1439" s="8"/>
      <c r="R1439">
        <v>14.65</v>
      </c>
      <c r="S1439">
        <v>3143</v>
      </c>
      <c r="T1439">
        <v>5.25</v>
      </c>
      <c r="U1439">
        <v>10.52</v>
      </c>
      <c r="V1439">
        <v>146.47999999999999</v>
      </c>
      <c r="W1439" s="317">
        <v>4.5999999999999996</v>
      </c>
      <c r="X1439" s="190">
        <f>I1439*W1439</f>
        <v>75.899999999999991</v>
      </c>
      <c r="Y1439" s="8"/>
      <c r="Z1439" s="8"/>
    </row>
    <row r="1440" spans="1:26" ht="12.75" customHeight="1" x14ac:dyDescent="0.2">
      <c r="A1440" s="15">
        <v>141</v>
      </c>
      <c r="B1440" s="15">
        <v>2004</v>
      </c>
      <c r="C1440" s="15">
        <v>28</v>
      </c>
      <c r="D1440" s="15">
        <v>7</v>
      </c>
      <c r="E1440" s="29" t="s">
        <v>17</v>
      </c>
      <c r="F1440" s="11" t="s">
        <v>51</v>
      </c>
      <c r="G1440" s="20">
        <v>141</v>
      </c>
      <c r="H1440" s="15" t="s">
        <v>29</v>
      </c>
      <c r="I1440" s="20">
        <v>9.5</v>
      </c>
      <c r="J1440" s="11" t="s">
        <v>19</v>
      </c>
      <c r="K1440" s="20" t="s">
        <v>20</v>
      </c>
      <c r="L1440" s="11" t="s">
        <v>21</v>
      </c>
      <c r="M1440" s="20" t="s">
        <v>27</v>
      </c>
      <c r="N1440" s="20" t="s">
        <v>25</v>
      </c>
      <c r="O1440" s="31" t="s">
        <v>29</v>
      </c>
      <c r="P1440" s="15">
        <v>210</v>
      </c>
      <c r="Q1440" s="8"/>
      <c r="R1440">
        <v>13.16</v>
      </c>
      <c r="S1440">
        <v>2276.6799999999998</v>
      </c>
      <c r="T1440">
        <v>4.17</v>
      </c>
      <c r="U1440">
        <v>9.4499999999999993</v>
      </c>
      <c r="V1440">
        <v>131.55000000000001</v>
      </c>
      <c r="W1440" s="317">
        <v>3.9</v>
      </c>
      <c r="X1440" s="190">
        <f>I1440*W1440</f>
        <v>37.049999999999997</v>
      </c>
      <c r="Y1440" s="8"/>
      <c r="Z1440" s="8"/>
    </row>
    <row r="1441" spans="1:26" ht="12.75" customHeight="1" x14ac:dyDescent="0.2">
      <c r="A1441" s="15">
        <v>142</v>
      </c>
      <c r="B1441" s="15">
        <v>2004</v>
      </c>
      <c r="C1441" s="15">
        <v>28</v>
      </c>
      <c r="D1441" s="15">
        <v>7</v>
      </c>
      <c r="E1441" s="29" t="s">
        <v>17</v>
      </c>
      <c r="F1441" s="11" t="s">
        <v>51</v>
      </c>
      <c r="G1441" s="20">
        <v>138</v>
      </c>
      <c r="H1441" s="15" t="s">
        <v>29</v>
      </c>
      <c r="I1441" s="20">
        <v>9</v>
      </c>
      <c r="J1441" s="11" t="s">
        <v>19</v>
      </c>
      <c r="K1441" s="20" t="s">
        <v>20</v>
      </c>
      <c r="L1441" s="20" t="s">
        <v>30</v>
      </c>
      <c r="M1441" s="20" t="s">
        <v>45</v>
      </c>
      <c r="N1441" s="20" t="s">
        <v>23</v>
      </c>
      <c r="O1441" s="31" t="s">
        <v>29</v>
      </c>
      <c r="P1441" s="15">
        <v>210</v>
      </c>
      <c r="Q1441" s="8"/>
      <c r="R1441">
        <v>12.88</v>
      </c>
      <c r="S1441">
        <v>2134.4299999999998</v>
      </c>
      <c r="T1441">
        <v>4.22</v>
      </c>
      <c r="U1441">
        <v>9.25</v>
      </c>
      <c r="V1441">
        <v>128.75</v>
      </c>
      <c r="W1441" s="317">
        <v>4.5999999999999996</v>
      </c>
      <c r="X1441" s="190">
        <f>I1441*W1441</f>
        <v>41.4</v>
      </c>
      <c r="Y1441" s="8"/>
      <c r="Z1441" s="8"/>
    </row>
    <row r="1442" spans="1:26" ht="12.75" customHeight="1" x14ac:dyDescent="0.2">
      <c r="A1442" s="15">
        <v>143</v>
      </c>
      <c r="B1442" s="15">
        <v>2004</v>
      </c>
      <c r="C1442" s="15">
        <v>28</v>
      </c>
      <c r="D1442" s="15">
        <v>7</v>
      </c>
      <c r="E1442" s="29" t="s">
        <v>17</v>
      </c>
      <c r="F1442" s="11" t="s">
        <v>51</v>
      </c>
      <c r="G1442" s="20">
        <v>132</v>
      </c>
      <c r="H1442" s="15" t="s">
        <v>29</v>
      </c>
      <c r="I1442" s="20">
        <v>8.5</v>
      </c>
      <c r="J1442" s="11" t="s">
        <v>19</v>
      </c>
      <c r="K1442" s="11" t="s">
        <v>41</v>
      </c>
      <c r="L1442" s="20" t="s">
        <v>35</v>
      </c>
      <c r="M1442" s="20" t="s">
        <v>46</v>
      </c>
      <c r="N1442" s="20" t="s">
        <v>33</v>
      </c>
      <c r="O1442" s="31" t="s">
        <v>29</v>
      </c>
      <c r="P1442" s="15">
        <v>210</v>
      </c>
      <c r="Q1442" s="8"/>
      <c r="R1442">
        <v>12.32</v>
      </c>
      <c r="S1442">
        <v>1867.96</v>
      </c>
      <c r="T1442">
        <v>4.55</v>
      </c>
      <c r="U1442">
        <v>8.84</v>
      </c>
      <c r="V1442">
        <v>123.16</v>
      </c>
      <c r="W1442" s="317">
        <v>3.9</v>
      </c>
      <c r="X1442" s="8"/>
      <c r="Y1442" s="8"/>
      <c r="Z1442" s="8"/>
    </row>
    <row r="1443" spans="1:26" ht="12.75" customHeight="1" x14ac:dyDescent="0.2">
      <c r="A1443" s="15">
        <v>144</v>
      </c>
      <c r="B1443" s="15">
        <v>2004</v>
      </c>
      <c r="C1443" s="15">
        <v>28</v>
      </c>
      <c r="D1443" s="15">
        <v>7</v>
      </c>
      <c r="E1443" s="29" t="s">
        <v>17</v>
      </c>
      <c r="F1443" s="11" t="s">
        <v>51</v>
      </c>
      <c r="G1443" s="20">
        <v>131</v>
      </c>
      <c r="H1443" s="15" t="s">
        <v>29</v>
      </c>
      <c r="I1443" s="20">
        <v>8.5</v>
      </c>
      <c r="J1443" s="11" t="s">
        <v>19</v>
      </c>
      <c r="K1443" s="20" t="s">
        <v>20</v>
      </c>
      <c r="L1443" s="20" t="s">
        <v>30</v>
      </c>
      <c r="M1443" s="20" t="s">
        <v>47</v>
      </c>
      <c r="N1443" s="20" t="s">
        <v>25</v>
      </c>
      <c r="O1443" s="31" t="s">
        <v>29</v>
      </c>
      <c r="P1443" s="15">
        <v>210</v>
      </c>
      <c r="Q1443" s="8"/>
      <c r="R1443">
        <v>12.22</v>
      </c>
      <c r="S1443">
        <v>1825.82</v>
      </c>
      <c r="T1443">
        <v>4.66</v>
      </c>
      <c r="U1443">
        <v>8.7799999999999994</v>
      </c>
      <c r="V1443">
        <v>122.22</v>
      </c>
      <c r="W1443" s="317">
        <v>4.5999999999999996</v>
      </c>
      <c r="X1443" s="190">
        <f t="shared" ref="X1443:X1448" si="57">I1443*W1443</f>
        <v>39.099999999999994</v>
      </c>
      <c r="Y1443" s="8"/>
      <c r="Z1443" s="8"/>
    </row>
    <row r="1444" spans="1:26" ht="12.75" customHeight="1" x14ac:dyDescent="0.2">
      <c r="A1444" s="15">
        <v>145</v>
      </c>
      <c r="B1444" s="15">
        <v>2004</v>
      </c>
      <c r="C1444" s="15">
        <v>28</v>
      </c>
      <c r="D1444" s="15">
        <v>7</v>
      </c>
      <c r="E1444" s="29" t="s">
        <v>17</v>
      </c>
      <c r="F1444" s="11" t="s">
        <v>51</v>
      </c>
      <c r="G1444" s="20">
        <v>135</v>
      </c>
      <c r="H1444" s="15" t="s">
        <v>29</v>
      </c>
      <c r="I1444" s="20">
        <v>11.5</v>
      </c>
      <c r="J1444" s="11" t="s">
        <v>19</v>
      </c>
      <c r="K1444" s="20" t="s">
        <v>20</v>
      </c>
      <c r="L1444" s="20" t="s">
        <v>30</v>
      </c>
      <c r="M1444" s="20" t="s">
        <v>27</v>
      </c>
      <c r="N1444" s="20" t="s">
        <v>25</v>
      </c>
      <c r="O1444" s="31" t="s">
        <v>29</v>
      </c>
      <c r="P1444" s="15">
        <v>210</v>
      </c>
      <c r="Q1444" s="8"/>
      <c r="R1444">
        <v>12.6</v>
      </c>
      <c r="S1444">
        <v>1998.23</v>
      </c>
      <c r="T1444">
        <v>5.76</v>
      </c>
      <c r="U1444">
        <v>9.0500000000000007</v>
      </c>
      <c r="V1444">
        <v>125.96</v>
      </c>
      <c r="W1444" s="317">
        <v>4.5999999999999996</v>
      </c>
      <c r="X1444" s="190">
        <f t="shared" si="57"/>
        <v>52.9</v>
      </c>
      <c r="Y1444" s="8"/>
      <c r="Z1444" s="8"/>
    </row>
    <row r="1445" spans="1:26" ht="12.75" customHeight="1" x14ac:dyDescent="0.2">
      <c r="A1445" s="15">
        <v>146</v>
      </c>
      <c r="B1445" s="15">
        <v>2004</v>
      </c>
      <c r="C1445" s="15">
        <v>28</v>
      </c>
      <c r="D1445" s="15">
        <v>7</v>
      </c>
      <c r="E1445" s="29" t="s">
        <v>17</v>
      </c>
      <c r="F1445" s="11" t="s">
        <v>51</v>
      </c>
      <c r="G1445" s="20">
        <v>130</v>
      </c>
      <c r="H1445" s="15" t="s">
        <v>29</v>
      </c>
      <c r="I1445" s="20">
        <v>9.5</v>
      </c>
      <c r="J1445" s="11" t="s">
        <v>19</v>
      </c>
      <c r="K1445" s="20" t="s">
        <v>20</v>
      </c>
      <c r="L1445" s="20" t="s">
        <v>30</v>
      </c>
      <c r="M1445" s="11" t="s">
        <v>29</v>
      </c>
      <c r="N1445" s="20" t="s">
        <v>25</v>
      </c>
      <c r="O1445" s="31" t="s">
        <v>29</v>
      </c>
      <c r="P1445" s="15">
        <v>210</v>
      </c>
      <c r="Q1445" s="8"/>
      <c r="R1445">
        <v>12.13</v>
      </c>
      <c r="S1445">
        <v>1784.33</v>
      </c>
      <c r="T1445">
        <v>5.32</v>
      </c>
      <c r="U1445">
        <v>8.7100000000000009</v>
      </c>
      <c r="V1445">
        <v>121.29</v>
      </c>
      <c r="W1445" s="317">
        <v>4.5999999999999996</v>
      </c>
      <c r="X1445" s="190">
        <f t="shared" si="57"/>
        <v>43.699999999999996</v>
      </c>
      <c r="Y1445" s="8"/>
      <c r="Z1445" s="8"/>
    </row>
    <row r="1446" spans="1:26" ht="12.75" customHeight="1" x14ac:dyDescent="0.2">
      <c r="A1446" s="15">
        <v>147</v>
      </c>
      <c r="B1446" s="15">
        <v>2004</v>
      </c>
      <c r="C1446" s="15">
        <v>28</v>
      </c>
      <c r="D1446" s="15">
        <v>7</v>
      </c>
      <c r="E1446" s="29" t="s">
        <v>17</v>
      </c>
      <c r="F1446" s="11" t="s">
        <v>51</v>
      </c>
      <c r="G1446" s="20">
        <v>104</v>
      </c>
      <c r="H1446" s="15" t="s">
        <v>29</v>
      </c>
      <c r="I1446" s="20">
        <v>6.5</v>
      </c>
      <c r="J1446" s="11" t="s">
        <v>19</v>
      </c>
      <c r="K1446" s="20" t="s">
        <v>20</v>
      </c>
      <c r="L1446" s="20" t="s">
        <v>30</v>
      </c>
      <c r="M1446" s="20" t="s">
        <v>46</v>
      </c>
      <c r="N1446" s="20" t="s">
        <v>25</v>
      </c>
      <c r="O1446" s="31" t="s">
        <v>29</v>
      </c>
      <c r="P1446" s="15">
        <v>210</v>
      </c>
      <c r="Q1446" s="8"/>
      <c r="R1446">
        <v>9.6999999999999993</v>
      </c>
      <c r="S1446">
        <v>913.58</v>
      </c>
      <c r="T1446">
        <v>7.11</v>
      </c>
      <c r="U1446">
        <v>6.97</v>
      </c>
      <c r="V1446">
        <v>97.03</v>
      </c>
      <c r="W1446" s="317">
        <v>4.5999999999999996</v>
      </c>
      <c r="X1446" s="190">
        <f t="shared" si="57"/>
        <v>29.9</v>
      </c>
      <c r="Y1446" s="8"/>
      <c r="Z1446" s="8"/>
    </row>
    <row r="1447" spans="1:26" ht="12.75" customHeight="1" x14ac:dyDescent="0.2">
      <c r="A1447" s="15">
        <v>148</v>
      </c>
      <c r="B1447" s="15">
        <v>2004</v>
      </c>
      <c r="C1447" s="15">
        <v>28</v>
      </c>
      <c r="D1447" s="15">
        <v>7</v>
      </c>
      <c r="E1447" s="29" t="s">
        <v>17</v>
      </c>
      <c r="F1447" s="11" t="s">
        <v>51</v>
      </c>
      <c r="G1447" s="20">
        <v>157</v>
      </c>
      <c r="H1447" s="15" t="s">
        <v>29</v>
      </c>
      <c r="I1447" s="20">
        <v>8</v>
      </c>
      <c r="J1447" s="11" t="s">
        <v>32</v>
      </c>
      <c r="K1447" s="20" t="s">
        <v>20</v>
      </c>
      <c r="L1447" s="20" t="s">
        <v>30</v>
      </c>
      <c r="M1447" s="20" t="s">
        <v>27</v>
      </c>
      <c r="N1447" s="20" t="s">
        <v>25</v>
      </c>
      <c r="O1447" s="31" t="s">
        <v>29</v>
      </c>
      <c r="P1447" s="15">
        <v>210</v>
      </c>
      <c r="Q1447" s="8"/>
      <c r="R1447">
        <v>14.65</v>
      </c>
      <c r="S1447">
        <v>3143</v>
      </c>
      <c r="T1447">
        <v>2.5499999999999998</v>
      </c>
      <c r="U1447">
        <v>10.52</v>
      </c>
      <c r="V1447">
        <v>146.47999999999999</v>
      </c>
      <c r="W1447" s="317">
        <v>4.5999999999999996</v>
      </c>
      <c r="X1447" s="190">
        <f t="shared" si="57"/>
        <v>36.799999999999997</v>
      </c>
      <c r="Y1447" s="8"/>
      <c r="Z1447" s="8"/>
    </row>
    <row r="1448" spans="1:26" ht="12.75" customHeight="1" x14ac:dyDescent="0.2">
      <c r="A1448" s="15">
        <v>149</v>
      </c>
      <c r="B1448" s="15">
        <v>2004</v>
      </c>
      <c r="C1448" s="15">
        <v>26</v>
      </c>
      <c r="D1448" s="15">
        <v>7</v>
      </c>
      <c r="E1448" s="30">
        <v>0.5625</v>
      </c>
      <c r="F1448" s="11" t="s">
        <v>51</v>
      </c>
      <c r="G1448" s="20">
        <v>134</v>
      </c>
      <c r="H1448" s="15" t="s">
        <v>29</v>
      </c>
      <c r="I1448" s="20">
        <v>11</v>
      </c>
      <c r="J1448" s="11" t="s">
        <v>19</v>
      </c>
      <c r="K1448" s="20" t="s">
        <v>20</v>
      </c>
      <c r="L1448" s="20" t="s">
        <v>30</v>
      </c>
      <c r="M1448" s="20" t="s">
        <v>46</v>
      </c>
      <c r="N1448" s="20" t="s">
        <v>33</v>
      </c>
      <c r="O1448" s="31" t="s">
        <v>29</v>
      </c>
      <c r="P1448" s="15">
        <v>208</v>
      </c>
      <c r="Q1448" s="8"/>
      <c r="R1448">
        <v>12.5</v>
      </c>
      <c r="S1448">
        <v>1954.16</v>
      </c>
      <c r="T1448">
        <v>5.63</v>
      </c>
      <c r="U1448">
        <v>8.98</v>
      </c>
      <c r="V1448">
        <v>125.02</v>
      </c>
      <c r="W1448" s="317">
        <v>4.5999999999999996</v>
      </c>
      <c r="X1448" s="190">
        <f t="shared" si="57"/>
        <v>50.599999999999994</v>
      </c>
      <c r="Y1448" s="8"/>
      <c r="Z1448" s="8"/>
    </row>
    <row r="1449" spans="1:26" ht="12.75" customHeight="1" x14ac:dyDescent="0.2">
      <c r="A1449" s="15">
        <v>150</v>
      </c>
      <c r="B1449" s="15">
        <v>2004</v>
      </c>
      <c r="C1449" s="15">
        <v>26</v>
      </c>
      <c r="D1449" s="15">
        <v>7</v>
      </c>
      <c r="E1449" s="30">
        <v>0.5625</v>
      </c>
      <c r="F1449" s="11" t="s">
        <v>51</v>
      </c>
      <c r="G1449" s="20">
        <v>157</v>
      </c>
      <c r="H1449" s="15" t="s">
        <v>29</v>
      </c>
      <c r="I1449" s="20">
        <v>19</v>
      </c>
      <c r="J1449" s="11" t="s">
        <v>19</v>
      </c>
      <c r="K1449" s="20" t="s">
        <v>20</v>
      </c>
      <c r="L1449" s="11" t="s">
        <v>41</v>
      </c>
      <c r="M1449" s="20" t="s">
        <v>46</v>
      </c>
      <c r="N1449" s="20" t="s">
        <v>25</v>
      </c>
      <c r="O1449" s="31" t="s">
        <v>29</v>
      </c>
      <c r="P1449" s="15">
        <v>208</v>
      </c>
      <c r="Q1449" s="8"/>
      <c r="R1449">
        <v>14.65</v>
      </c>
      <c r="S1449">
        <v>3143</v>
      </c>
      <c r="T1449">
        <v>6.05</v>
      </c>
      <c r="U1449">
        <v>10.52</v>
      </c>
      <c r="V1449">
        <v>146.47999999999999</v>
      </c>
      <c r="W1449" s="8"/>
      <c r="X1449" s="8"/>
      <c r="Y1449" s="8"/>
      <c r="Z1449" s="8"/>
    </row>
    <row r="1450" spans="1:26" ht="12.75" customHeight="1" x14ac:dyDescent="0.2">
      <c r="A1450" s="15">
        <v>151</v>
      </c>
      <c r="B1450" s="15">
        <v>2004</v>
      </c>
      <c r="C1450" s="15">
        <v>26</v>
      </c>
      <c r="D1450" s="15">
        <v>7</v>
      </c>
      <c r="E1450" s="30">
        <v>0.5625</v>
      </c>
      <c r="F1450" s="11" t="s">
        <v>51</v>
      </c>
      <c r="G1450" s="20">
        <v>145</v>
      </c>
      <c r="H1450" s="15" t="s">
        <v>29</v>
      </c>
      <c r="I1450" s="20">
        <v>10.5</v>
      </c>
      <c r="J1450" s="11" t="s">
        <v>19</v>
      </c>
      <c r="K1450" s="20" t="s">
        <v>20</v>
      </c>
      <c r="L1450" s="11" t="s">
        <v>21</v>
      </c>
      <c r="M1450" s="20" t="s">
        <v>46</v>
      </c>
      <c r="N1450" s="20" t="s">
        <v>25</v>
      </c>
      <c r="O1450" s="31" t="s">
        <v>29</v>
      </c>
      <c r="P1450" s="15">
        <v>208</v>
      </c>
      <c r="Q1450" s="8"/>
      <c r="R1450">
        <v>13.53</v>
      </c>
      <c r="S1450">
        <v>2475.9899999999998</v>
      </c>
      <c r="T1450">
        <v>4.24</v>
      </c>
      <c r="U1450">
        <v>9.7200000000000006</v>
      </c>
      <c r="V1450">
        <v>135.29</v>
      </c>
      <c r="W1450" s="317">
        <v>3.9</v>
      </c>
      <c r="X1450" s="190">
        <f t="shared" ref="X1450:X1461" si="58">I1450*W1450</f>
        <v>40.949999999999996</v>
      </c>
      <c r="Y1450" s="8"/>
      <c r="Z1450" s="8"/>
    </row>
    <row r="1451" spans="1:26" ht="12.75" customHeight="1" x14ac:dyDescent="0.2">
      <c r="A1451" s="15">
        <v>152</v>
      </c>
      <c r="B1451" s="15">
        <v>2004</v>
      </c>
      <c r="C1451" s="15">
        <v>26</v>
      </c>
      <c r="D1451" s="15">
        <v>7</v>
      </c>
      <c r="E1451" s="30">
        <v>0.5625</v>
      </c>
      <c r="F1451" s="11" t="s">
        <v>51</v>
      </c>
      <c r="G1451" s="20">
        <v>146</v>
      </c>
      <c r="H1451" s="15" t="s">
        <v>29</v>
      </c>
      <c r="I1451" s="20">
        <v>13.5</v>
      </c>
      <c r="J1451" s="11" t="s">
        <v>19</v>
      </c>
      <c r="K1451" s="20" t="s">
        <v>20</v>
      </c>
      <c r="L1451" s="20" t="s">
        <v>30</v>
      </c>
      <c r="M1451" s="20" t="s">
        <v>46</v>
      </c>
      <c r="N1451" s="20" t="s">
        <v>25</v>
      </c>
      <c r="O1451" s="31" t="s">
        <v>29</v>
      </c>
      <c r="P1451" s="15">
        <v>208</v>
      </c>
      <c r="Q1451" s="8"/>
      <c r="R1451">
        <v>13.62</v>
      </c>
      <c r="S1451">
        <v>2527.5700000000002</v>
      </c>
      <c r="T1451">
        <v>5.34</v>
      </c>
      <c r="U1451">
        <v>9.7799999999999994</v>
      </c>
      <c r="V1451">
        <v>136.22</v>
      </c>
      <c r="W1451" s="317">
        <v>4.5999999999999996</v>
      </c>
      <c r="X1451" s="190">
        <f t="shared" si="58"/>
        <v>62.099999999999994</v>
      </c>
      <c r="Y1451" s="8"/>
      <c r="Z1451" s="8"/>
    </row>
    <row r="1452" spans="1:26" ht="12.75" customHeight="1" x14ac:dyDescent="0.2">
      <c r="A1452" s="15">
        <v>153</v>
      </c>
      <c r="B1452" s="15">
        <v>2004</v>
      </c>
      <c r="C1452" s="15">
        <v>26</v>
      </c>
      <c r="D1452" s="15">
        <v>7</v>
      </c>
      <c r="E1452" s="30">
        <v>0.5625</v>
      </c>
      <c r="F1452" s="11" t="s">
        <v>51</v>
      </c>
      <c r="G1452" s="20">
        <v>124</v>
      </c>
      <c r="H1452" s="15" t="s">
        <v>29</v>
      </c>
      <c r="I1452" s="20">
        <v>9.5</v>
      </c>
      <c r="J1452" s="11" t="s">
        <v>19</v>
      </c>
      <c r="K1452" s="20" t="s">
        <v>20</v>
      </c>
      <c r="L1452" s="20" t="s">
        <v>30</v>
      </c>
      <c r="M1452" s="20" t="s">
        <v>46</v>
      </c>
      <c r="N1452" s="20" t="s">
        <v>23</v>
      </c>
      <c r="O1452" s="31" t="s">
        <v>29</v>
      </c>
      <c r="P1452" s="15">
        <v>208</v>
      </c>
      <c r="Q1452" s="8"/>
      <c r="R1452">
        <v>11.57</v>
      </c>
      <c r="S1452">
        <v>1548.5</v>
      </c>
      <c r="T1452">
        <v>6.13</v>
      </c>
      <c r="U1452">
        <v>8.31</v>
      </c>
      <c r="V1452">
        <v>115.69</v>
      </c>
      <c r="W1452" s="317">
        <v>4.5999999999999996</v>
      </c>
      <c r="X1452" s="190">
        <f t="shared" si="58"/>
        <v>43.699999999999996</v>
      </c>
      <c r="Y1452" s="8"/>
      <c r="Z1452" s="8"/>
    </row>
    <row r="1453" spans="1:26" ht="12.75" customHeight="1" x14ac:dyDescent="0.2">
      <c r="A1453" s="15">
        <v>154</v>
      </c>
      <c r="B1453" s="15">
        <v>2004</v>
      </c>
      <c r="C1453" s="15">
        <v>26</v>
      </c>
      <c r="D1453" s="15">
        <v>7</v>
      </c>
      <c r="E1453" s="30">
        <v>0.5625</v>
      </c>
      <c r="F1453" s="11" t="s">
        <v>51</v>
      </c>
      <c r="G1453" s="20">
        <v>131</v>
      </c>
      <c r="H1453" s="15" t="s">
        <v>29</v>
      </c>
      <c r="I1453" s="20">
        <v>9.5</v>
      </c>
      <c r="J1453" s="11" t="s">
        <v>19</v>
      </c>
      <c r="K1453" s="20" t="s">
        <v>20</v>
      </c>
      <c r="L1453" s="11" t="s">
        <v>21</v>
      </c>
      <c r="M1453" s="20" t="s">
        <v>45</v>
      </c>
      <c r="N1453" s="20" t="s">
        <v>23</v>
      </c>
      <c r="O1453" s="31" t="s">
        <v>29</v>
      </c>
      <c r="P1453" s="15">
        <v>208</v>
      </c>
      <c r="Q1453" s="8"/>
      <c r="R1453">
        <v>12.22</v>
      </c>
      <c r="S1453">
        <v>1825.82</v>
      </c>
      <c r="T1453">
        <v>5.2</v>
      </c>
      <c r="U1453">
        <v>8.7799999999999994</v>
      </c>
      <c r="V1453">
        <v>122.22</v>
      </c>
      <c r="W1453" s="317">
        <v>3.9</v>
      </c>
      <c r="X1453" s="190">
        <f t="shared" si="58"/>
        <v>37.049999999999997</v>
      </c>
      <c r="Y1453" s="8"/>
      <c r="Z1453" s="8"/>
    </row>
    <row r="1454" spans="1:26" ht="12.75" customHeight="1" x14ac:dyDescent="0.2">
      <c r="A1454" s="15">
        <v>155</v>
      </c>
      <c r="B1454" s="15">
        <v>2004</v>
      </c>
      <c r="C1454" s="15">
        <v>26</v>
      </c>
      <c r="D1454" s="15">
        <v>7</v>
      </c>
      <c r="E1454" s="30">
        <v>0.5625</v>
      </c>
      <c r="F1454" s="11" t="s">
        <v>51</v>
      </c>
      <c r="G1454" s="20">
        <v>146</v>
      </c>
      <c r="H1454" s="15" t="s">
        <v>29</v>
      </c>
      <c r="I1454" s="20">
        <v>16.5</v>
      </c>
      <c r="J1454" s="11" t="s">
        <v>19</v>
      </c>
      <c r="K1454" s="20" t="s">
        <v>20</v>
      </c>
      <c r="L1454" s="20" t="s">
        <v>30</v>
      </c>
      <c r="M1454" s="20" t="s">
        <v>27</v>
      </c>
      <c r="N1454" s="20" t="s">
        <v>24</v>
      </c>
      <c r="O1454" s="31" t="s">
        <v>29</v>
      </c>
      <c r="P1454" s="15">
        <v>208</v>
      </c>
      <c r="Q1454" s="8"/>
      <c r="R1454">
        <v>13.62</v>
      </c>
      <c r="S1454">
        <v>2527.5700000000002</v>
      </c>
      <c r="T1454">
        <v>6.53</v>
      </c>
      <c r="U1454">
        <v>9.7799999999999994</v>
      </c>
      <c r="V1454">
        <v>136.22</v>
      </c>
      <c r="W1454" s="317">
        <v>4.5999999999999996</v>
      </c>
      <c r="X1454" s="190">
        <f t="shared" si="58"/>
        <v>75.899999999999991</v>
      </c>
      <c r="Y1454" s="8"/>
      <c r="Z1454" s="8"/>
    </row>
    <row r="1455" spans="1:26" ht="12.75" customHeight="1" x14ac:dyDescent="0.2">
      <c r="A1455" s="15">
        <v>156</v>
      </c>
      <c r="B1455" s="15">
        <v>2004</v>
      </c>
      <c r="C1455" s="15">
        <v>26</v>
      </c>
      <c r="D1455" s="15">
        <v>7</v>
      </c>
      <c r="E1455" s="30">
        <v>0.5625</v>
      </c>
      <c r="F1455" s="11" t="s">
        <v>51</v>
      </c>
      <c r="G1455" s="20">
        <v>131</v>
      </c>
      <c r="H1455" s="15" t="s">
        <v>29</v>
      </c>
      <c r="I1455" s="20">
        <v>12</v>
      </c>
      <c r="J1455" s="11" t="s">
        <v>19</v>
      </c>
      <c r="K1455" s="20" t="s">
        <v>20</v>
      </c>
      <c r="L1455" s="20" t="s">
        <v>30</v>
      </c>
      <c r="M1455" s="20" t="s">
        <v>27</v>
      </c>
      <c r="N1455" s="20" t="s">
        <v>25</v>
      </c>
      <c r="O1455" s="31" t="s">
        <v>29</v>
      </c>
      <c r="P1455" s="15">
        <v>208</v>
      </c>
      <c r="Q1455" s="8"/>
      <c r="R1455">
        <v>12.22</v>
      </c>
      <c r="S1455">
        <v>1825.82</v>
      </c>
      <c r="T1455">
        <v>6.57</v>
      </c>
      <c r="U1455">
        <v>8.7799999999999994</v>
      </c>
      <c r="V1455">
        <v>122.22</v>
      </c>
      <c r="W1455" s="317">
        <v>4.5999999999999996</v>
      </c>
      <c r="X1455" s="190">
        <f t="shared" si="58"/>
        <v>55.199999999999996</v>
      </c>
      <c r="Y1455" s="8"/>
      <c r="Z1455" s="8"/>
    </row>
    <row r="1456" spans="1:26" ht="12.75" customHeight="1" x14ac:dyDescent="0.2">
      <c r="A1456" s="15">
        <v>157</v>
      </c>
      <c r="B1456" s="15">
        <v>2004</v>
      </c>
      <c r="C1456" s="15">
        <v>26</v>
      </c>
      <c r="D1456" s="15">
        <v>7</v>
      </c>
      <c r="E1456" s="30">
        <v>0.5625</v>
      </c>
      <c r="F1456" s="11" t="s">
        <v>51</v>
      </c>
      <c r="G1456" s="20">
        <v>131</v>
      </c>
      <c r="H1456" s="15" t="s">
        <v>29</v>
      </c>
      <c r="I1456" s="20">
        <v>14.5</v>
      </c>
      <c r="J1456" s="11" t="s">
        <v>19</v>
      </c>
      <c r="K1456" s="20" t="s">
        <v>20</v>
      </c>
      <c r="L1456" s="11" t="s">
        <v>21</v>
      </c>
      <c r="M1456" s="20" t="s">
        <v>27</v>
      </c>
      <c r="N1456" s="20" t="s">
        <v>24</v>
      </c>
      <c r="O1456" s="31" t="s">
        <v>29</v>
      </c>
      <c r="P1456" s="15">
        <v>208</v>
      </c>
      <c r="Q1456" s="8"/>
      <c r="R1456">
        <v>12.22</v>
      </c>
      <c r="S1456">
        <v>1825.82</v>
      </c>
      <c r="T1456">
        <v>7.94</v>
      </c>
      <c r="U1456">
        <v>8.7799999999999994</v>
      </c>
      <c r="V1456">
        <v>122.22</v>
      </c>
      <c r="W1456" s="317">
        <v>3.9</v>
      </c>
      <c r="X1456" s="190">
        <f t="shared" si="58"/>
        <v>56.55</v>
      </c>
      <c r="Y1456" s="8"/>
      <c r="Z1456" s="8"/>
    </row>
    <row r="1457" spans="1:26" ht="12.75" customHeight="1" x14ac:dyDescent="0.2">
      <c r="A1457" s="15">
        <v>158</v>
      </c>
      <c r="B1457" s="15">
        <v>2004</v>
      </c>
      <c r="C1457" s="15">
        <v>26</v>
      </c>
      <c r="D1457" s="15">
        <v>7</v>
      </c>
      <c r="E1457" s="30">
        <v>0.5625</v>
      </c>
      <c r="F1457" s="11" t="s">
        <v>51</v>
      </c>
      <c r="G1457" s="20">
        <v>142</v>
      </c>
      <c r="H1457" s="15" t="s">
        <v>29</v>
      </c>
      <c r="I1457" s="20">
        <v>11.5</v>
      </c>
      <c r="J1457" s="11" t="s">
        <v>19</v>
      </c>
      <c r="K1457" s="20" t="s">
        <v>20</v>
      </c>
      <c r="L1457" s="11" t="s">
        <v>21</v>
      </c>
      <c r="M1457" s="20" t="s">
        <v>47</v>
      </c>
      <c r="N1457" s="20" t="s">
        <v>24</v>
      </c>
      <c r="O1457" s="31" t="s">
        <v>29</v>
      </c>
      <c r="P1457" s="15">
        <v>208</v>
      </c>
      <c r="Q1457" s="8"/>
      <c r="R1457">
        <v>13.25</v>
      </c>
      <c r="S1457">
        <v>2325.4699999999998</v>
      </c>
      <c r="T1457">
        <v>4.95</v>
      </c>
      <c r="U1457">
        <v>9.51</v>
      </c>
      <c r="V1457">
        <v>132.49</v>
      </c>
      <c r="W1457" s="317">
        <v>3.9</v>
      </c>
      <c r="X1457" s="190">
        <f t="shared" si="58"/>
        <v>44.85</v>
      </c>
      <c r="Y1457" s="8"/>
      <c r="Z1457" s="8"/>
    </row>
    <row r="1458" spans="1:26" ht="12.75" customHeight="1" x14ac:dyDescent="0.2">
      <c r="A1458" s="15">
        <v>159</v>
      </c>
      <c r="B1458" s="15">
        <v>2004</v>
      </c>
      <c r="C1458" s="15">
        <v>26</v>
      </c>
      <c r="D1458" s="15">
        <v>7</v>
      </c>
      <c r="E1458" s="30">
        <v>0.5625</v>
      </c>
      <c r="F1458" s="11" t="s">
        <v>51</v>
      </c>
      <c r="G1458" s="20">
        <v>153</v>
      </c>
      <c r="H1458" s="15" t="s">
        <v>29</v>
      </c>
      <c r="I1458" s="20">
        <v>16</v>
      </c>
      <c r="J1458" s="11" t="s">
        <v>19</v>
      </c>
      <c r="K1458" s="20" t="s">
        <v>20</v>
      </c>
      <c r="L1458" s="11" t="s">
        <v>21</v>
      </c>
      <c r="M1458" s="20" t="s">
        <v>46</v>
      </c>
      <c r="N1458" s="20" t="s">
        <v>25</v>
      </c>
      <c r="O1458" s="31" t="s">
        <v>29</v>
      </c>
      <c r="P1458" s="15">
        <v>208</v>
      </c>
      <c r="Q1458" s="8"/>
      <c r="R1458">
        <v>14.27</v>
      </c>
      <c r="S1458">
        <v>2908.84</v>
      </c>
      <c r="T1458">
        <v>5.5</v>
      </c>
      <c r="U1458">
        <v>10.25</v>
      </c>
      <c r="V1458">
        <v>142.75</v>
      </c>
      <c r="W1458" s="317">
        <v>3.9</v>
      </c>
      <c r="X1458" s="190">
        <f t="shared" si="58"/>
        <v>62.4</v>
      </c>
      <c r="Y1458" s="8"/>
      <c r="Z1458" s="8"/>
    </row>
    <row r="1459" spans="1:26" ht="12.75" customHeight="1" x14ac:dyDescent="0.2">
      <c r="A1459" s="15">
        <v>160</v>
      </c>
      <c r="B1459" s="15">
        <v>2004</v>
      </c>
      <c r="C1459" s="15">
        <v>26</v>
      </c>
      <c r="D1459" s="15">
        <v>7</v>
      </c>
      <c r="E1459" s="30">
        <v>0.5625</v>
      </c>
      <c r="F1459" s="11" t="s">
        <v>51</v>
      </c>
      <c r="G1459" s="20">
        <v>130</v>
      </c>
      <c r="H1459" s="15" t="s">
        <v>29</v>
      </c>
      <c r="I1459" s="20">
        <v>9.5</v>
      </c>
      <c r="J1459" s="11" t="s">
        <v>19</v>
      </c>
      <c r="K1459" s="20" t="s">
        <v>20</v>
      </c>
      <c r="L1459" s="11" t="s">
        <v>21</v>
      </c>
      <c r="M1459" s="20" t="s">
        <v>46</v>
      </c>
      <c r="N1459" s="20" t="s">
        <v>23</v>
      </c>
      <c r="O1459" s="31" t="s">
        <v>29</v>
      </c>
      <c r="P1459" s="15">
        <v>208</v>
      </c>
      <c r="Q1459" s="8"/>
      <c r="R1459">
        <v>12.13</v>
      </c>
      <c r="S1459">
        <v>1784.33</v>
      </c>
      <c r="T1459">
        <v>5.32</v>
      </c>
      <c r="U1459">
        <v>8.7100000000000009</v>
      </c>
      <c r="V1459">
        <v>121.29</v>
      </c>
      <c r="W1459" s="317">
        <v>3.9</v>
      </c>
      <c r="X1459" s="190">
        <f t="shared" si="58"/>
        <v>37.049999999999997</v>
      </c>
      <c r="Y1459" s="8"/>
      <c r="Z1459" s="8"/>
    </row>
    <row r="1460" spans="1:26" ht="12.75" customHeight="1" x14ac:dyDescent="0.2">
      <c r="A1460" s="15">
        <v>161</v>
      </c>
      <c r="B1460" s="15">
        <v>2004</v>
      </c>
      <c r="C1460" s="15">
        <v>26</v>
      </c>
      <c r="D1460" s="15">
        <v>7</v>
      </c>
      <c r="E1460" s="30">
        <v>0.5625</v>
      </c>
      <c r="F1460" s="11" t="s">
        <v>51</v>
      </c>
      <c r="G1460" s="20">
        <v>152</v>
      </c>
      <c r="H1460" s="15" t="s">
        <v>29</v>
      </c>
      <c r="I1460" s="20">
        <v>17.5</v>
      </c>
      <c r="J1460" s="11" t="s">
        <v>19</v>
      </c>
      <c r="K1460" s="20" t="s">
        <v>20</v>
      </c>
      <c r="L1460" s="11" t="s">
        <v>21</v>
      </c>
      <c r="M1460" s="20" t="s">
        <v>46</v>
      </c>
      <c r="N1460" s="20" t="s">
        <v>24</v>
      </c>
      <c r="O1460" s="31" t="s">
        <v>29</v>
      </c>
      <c r="P1460" s="15">
        <v>208</v>
      </c>
      <c r="Q1460" s="8"/>
      <c r="R1460">
        <v>14.18</v>
      </c>
      <c r="S1460">
        <v>2852.17</v>
      </c>
      <c r="T1460">
        <v>6.14</v>
      </c>
      <c r="U1460">
        <v>10.18</v>
      </c>
      <c r="V1460">
        <v>141.82</v>
      </c>
      <c r="W1460" s="317">
        <v>3.9</v>
      </c>
      <c r="X1460" s="190">
        <f t="shared" si="58"/>
        <v>68.25</v>
      </c>
      <c r="Y1460" s="8"/>
      <c r="Z1460" s="8"/>
    </row>
    <row r="1461" spans="1:26" ht="12.75" customHeight="1" x14ac:dyDescent="0.2">
      <c r="A1461" s="15">
        <v>162</v>
      </c>
      <c r="B1461" s="15">
        <v>2004</v>
      </c>
      <c r="C1461" s="15">
        <v>26</v>
      </c>
      <c r="D1461" s="15">
        <v>7</v>
      </c>
      <c r="E1461" s="30">
        <v>0.5625</v>
      </c>
      <c r="F1461" s="11" t="s">
        <v>51</v>
      </c>
      <c r="G1461" s="20">
        <v>119</v>
      </c>
      <c r="H1461" s="15" t="s">
        <v>29</v>
      </c>
      <c r="I1461" s="20">
        <v>11.5</v>
      </c>
      <c r="J1461" s="11" t="s">
        <v>19</v>
      </c>
      <c r="K1461" s="20" t="s">
        <v>20</v>
      </c>
      <c r="L1461" s="20" t="s">
        <v>30</v>
      </c>
      <c r="M1461" s="20" t="s">
        <v>46</v>
      </c>
      <c r="N1461" s="20" t="s">
        <v>25</v>
      </c>
      <c r="O1461" s="31" t="s">
        <v>29</v>
      </c>
      <c r="P1461" s="15">
        <v>208</v>
      </c>
      <c r="Q1461" s="8"/>
      <c r="R1461">
        <v>11.1</v>
      </c>
      <c r="S1461">
        <v>1368.63</v>
      </c>
      <c r="T1461">
        <v>8.4</v>
      </c>
      <c r="U1461">
        <v>7.97</v>
      </c>
      <c r="V1461">
        <v>111.03</v>
      </c>
      <c r="W1461" s="317">
        <v>4.5999999999999996</v>
      </c>
      <c r="X1461" s="190">
        <f t="shared" si="58"/>
        <v>52.9</v>
      </c>
      <c r="Y1461" s="8"/>
      <c r="Z1461" s="8"/>
    </row>
    <row r="1462" spans="1:26" ht="12.75" customHeight="1" x14ac:dyDescent="0.2">
      <c r="A1462" s="15">
        <v>163</v>
      </c>
      <c r="B1462" s="15">
        <v>2004</v>
      </c>
      <c r="C1462" s="15">
        <v>26</v>
      </c>
      <c r="D1462" s="15">
        <v>7</v>
      </c>
      <c r="E1462" s="30">
        <v>0.5625</v>
      </c>
      <c r="F1462" s="11" t="s">
        <v>51</v>
      </c>
      <c r="G1462" s="20">
        <v>149</v>
      </c>
      <c r="H1462" s="15" t="s">
        <v>29</v>
      </c>
      <c r="I1462" s="20">
        <v>11.5</v>
      </c>
      <c r="J1462" s="11" t="s">
        <v>19</v>
      </c>
      <c r="K1462" s="20" t="s">
        <v>20</v>
      </c>
      <c r="L1462" s="11" t="s">
        <v>41</v>
      </c>
      <c r="M1462" s="20" t="s">
        <v>27</v>
      </c>
      <c r="N1462" s="20" t="s">
        <v>24</v>
      </c>
      <c r="O1462" s="31" t="s">
        <v>29</v>
      </c>
      <c r="P1462" s="15">
        <v>208</v>
      </c>
      <c r="Q1462" s="8"/>
      <c r="R1462">
        <v>13.9</v>
      </c>
      <c r="S1462">
        <v>2686.6</v>
      </c>
      <c r="T1462">
        <v>4.28</v>
      </c>
      <c r="U1462">
        <v>9.98</v>
      </c>
      <c r="V1462">
        <v>139.02000000000001</v>
      </c>
      <c r="W1462" s="8"/>
      <c r="X1462" s="8"/>
      <c r="Y1462" s="8"/>
      <c r="Z1462" s="8"/>
    </row>
    <row r="1463" spans="1:26" ht="12.75" customHeight="1" x14ac:dyDescent="0.2">
      <c r="A1463" s="15">
        <v>1</v>
      </c>
      <c r="B1463" s="15">
        <v>2003</v>
      </c>
      <c r="C1463" s="15">
        <v>7</v>
      </c>
      <c r="D1463" s="15">
        <v>8</v>
      </c>
      <c r="E1463" s="30">
        <v>0.58333333333333337</v>
      </c>
      <c r="F1463" s="11" t="s">
        <v>51</v>
      </c>
      <c r="G1463" s="32">
        <v>148</v>
      </c>
      <c r="H1463" s="15" t="s">
        <v>29</v>
      </c>
      <c r="I1463" s="33">
        <v>11</v>
      </c>
      <c r="J1463" s="11" t="s">
        <v>19</v>
      </c>
      <c r="K1463" s="20" t="s">
        <v>20</v>
      </c>
      <c r="L1463" s="11" t="s">
        <v>21</v>
      </c>
      <c r="M1463" s="20" t="s">
        <v>46</v>
      </c>
      <c r="N1463" s="20" t="s">
        <v>33</v>
      </c>
      <c r="O1463" s="31" t="s">
        <v>29</v>
      </c>
      <c r="P1463" s="15">
        <v>219</v>
      </c>
      <c r="Q1463" s="8"/>
      <c r="R1463">
        <v>13.81</v>
      </c>
      <c r="S1463">
        <v>2632.87</v>
      </c>
      <c r="T1463">
        <v>4.18</v>
      </c>
      <c r="U1463">
        <v>9.92</v>
      </c>
      <c r="V1463">
        <v>138</v>
      </c>
      <c r="W1463" s="317">
        <v>3.9</v>
      </c>
      <c r="X1463" s="190">
        <f t="shared" ref="X1463:X1489" si="59">I1463*W1463</f>
        <v>42.9</v>
      </c>
      <c r="Y1463" s="8"/>
      <c r="Z1463" s="8"/>
    </row>
    <row r="1464" spans="1:26" ht="12.75" customHeight="1" x14ac:dyDescent="0.2">
      <c r="A1464" s="15">
        <v>2</v>
      </c>
      <c r="B1464" s="15">
        <v>2003</v>
      </c>
      <c r="C1464" s="15">
        <v>7</v>
      </c>
      <c r="D1464" s="15">
        <v>8</v>
      </c>
      <c r="E1464" s="30">
        <v>0.58333333333333337</v>
      </c>
      <c r="F1464" s="11" t="s">
        <v>51</v>
      </c>
      <c r="G1464" s="32">
        <v>156</v>
      </c>
      <c r="H1464" s="15" t="s">
        <v>29</v>
      </c>
      <c r="I1464" s="33">
        <v>11</v>
      </c>
      <c r="J1464" s="11" t="s">
        <v>19</v>
      </c>
      <c r="K1464" s="20" t="s">
        <v>20</v>
      </c>
      <c r="L1464" s="11" t="s">
        <v>21</v>
      </c>
      <c r="M1464" s="20" t="s">
        <v>47</v>
      </c>
      <c r="N1464" s="20" t="s">
        <v>24</v>
      </c>
      <c r="O1464" s="31" t="s">
        <v>29</v>
      </c>
      <c r="P1464" s="15">
        <v>219</v>
      </c>
      <c r="Q1464" s="8"/>
      <c r="R1464">
        <v>14.55</v>
      </c>
      <c r="S1464">
        <v>3083.32</v>
      </c>
      <c r="T1464">
        <v>3.57</v>
      </c>
      <c r="U1464">
        <v>10.45</v>
      </c>
      <c r="V1464">
        <v>146</v>
      </c>
      <c r="W1464" s="317">
        <v>3.9</v>
      </c>
      <c r="X1464" s="190">
        <f t="shared" si="59"/>
        <v>42.9</v>
      </c>
      <c r="Y1464" s="8"/>
      <c r="Z1464" s="8"/>
    </row>
    <row r="1465" spans="1:26" ht="12.75" customHeight="1" x14ac:dyDescent="0.2">
      <c r="A1465" s="15">
        <v>3</v>
      </c>
      <c r="B1465" s="15">
        <v>2003</v>
      </c>
      <c r="C1465" s="15">
        <v>7</v>
      </c>
      <c r="D1465" s="15">
        <v>8</v>
      </c>
      <c r="E1465" s="30">
        <v>0.58333333333333337</v>
      </c>
      <c r="F1465" s="11" t="s">
        <v>51</v>
      </c>
      <c r="G1465" s="32">
        <v>133</v>
      </c>
      <c r="H1465" s="15" t="s">
        <v>29</v>
      </c>
      <c r="I1465" s="33">
        <v>11</v>
      </c>
      <c r="J1465" s="11" t="s">
        <v>19</v>
      </c>
      <c r="K1465" s="20" t="s">
        <v>20</v>
      </c>
      <c r="L1465" s="11" t="s">
        <v>21</v>
      </c>
      <c r="M1465" s="20" t="s">
        <v>45</v>
      </c>
      <c r="N1465" s="20" t="s">
        <v>24</v>
      </c>
      <c r="O1465" s="31" t="s">
        <v>29</v>
      </c>
      <c r="P1465" s="15">
        <v>219</v>
      </c>
      <c r="Q1465" s="8"/>
      <c r="R1465">
        <v>12.41</v>
      </c>
      <c r="S1465">
        <v>1910.73</v>
      </c>
      <c r="T1465">
        <v>5.76</v>
      </c>
      <c r="U1465">
        <v>8.91</v>
      </c>
      <c r="V1465">
        <v>124</v>
      </c>
      <c r="W1465" s="317">
        <v>3.9</v>
      </c>
      <c r="X1465" s="190">
        <f t="shared" si="59"/>
        <v>42.9</v>
      </c>
      <c r="Y1465" s="8"/>
      <c r="Z1465" s="8"/>
    </row>
    <row r="1466" spans="1:26" ht="12.75" customHeight="1" x14ac:dyDescent="0.2">
      <c r="A1466" s="15">
        <v>4</v>
      </c>
      <c r="B1466" s="15">
        <v>2003</v>
      </c>
      <c r="C1466" s="15">
        <v>7</v>
      </c>
      <c r="D1466" s="15">
        <v>8</v>
      </c>
      <c r="E1466" s="30">
        <v>0.58333333333333337</v>
      </c>
      <c r="F1466" s="11" t="s">
        <v>51</v>
      </c>
      <c r="G1466" s="32">
        <v>135</v>
      </c>
      <c r="H1466" s="15" t="s">
        <v>29</v>
      </c>
      <c r="I1466" s="33">
        <v>10</v>
      </c>
      <c r="J1466" s="11" t="s">
        <v>19</v>
      </c>
      <c r="K1466" s="20" t="s">
        <v>20</v>
      </c>
      <c r="L1466" s="20" t="s">
        <v>30</v>
      </c>
      <c r="M1466" s="20" t="s">
        <v>46</v>
      </c>
      <c r="N1466" s="20" t="s">
        <v>24</v>
      </c>
      <c r="O1466" s="31" t="s">
        <v>29</v>
      </c>
      <c r="P1466" s="15">
        <v>219</v>
      </c>
      <c r="Q1466" s="8"/>
      <c r="R1466">
        <v>12.6</v>
      </c>
      <c r="S1466">
        <v>1998.23</v>
      </c>
      <c r="T1466">
        <v>5</v>
      </c>
      <c r="U1466">
        <v>9.0500000000000007</v>
      </c>
      <c r="V1466">
        <v>126</v>
      </c>
      <c r="W1466" s="317">
        <v>4.5999999999999996</v>
      </c>
      <c r="X1466" s="190">
        <f t="shared" si="59"/>
        <v>46</v>
      </c>
      <c r="Y1466" s="8"/>
      <c r="Z1466" s="8"/>
    </row>
    <row r="1467" spans="1:26" ht="12.75" customHeight="1" x14ac:dyDescent="0.2">
      <c r="A1467" s="15">
        <v>5</v>
      </c>
      <c r="B1467" s="15">
        <v>2003</v>
      </c>
      <c r="C1467" s="15">
        <v>7</v>
      </c>
      <c r="D1467" s="15">
        <v>8</v>
      </c>
      <c r="E1467" s="30">
        <v>0.58333333333333337</v>
      </c>
      <c r="F1467" s="11" t="s">
        <v>51</v>
      </c>
      <c r="G1467" s="32">
        <v>146</v>
      </c>
      <c r="H1467" s="15" t="s">
        <v>29</v>
      </c>
      <c r="I1467" s="33">
        <v>12</v>
      </c>
      <c r="J1467" s="11" t="s">
        <v>19</v>
      </c>
      <c r="K1467" s="20" t="s">
        <v>20</v>
      </c>
      <c r="L1467" s="11" t="s">
        <v>21</v>
      </c>
      <c r="M1467" s="20" t="s">
        <v>46</v>
      </c>
      <c r="N1467" s="20" t="s">
        <v>23</v>
      </c>
      <c r="O1467" s="31" t="s">
        <v>29</v>
      </c>
      <c r="P1467" s="15">
        <v>219</v>
      </c>
      <c r="Q1467" s="8"/>
      <c r="R1467">
        <v>13.62</v>
      </c>
      <c r="S1467">
        <v>2527.5700000000002</v>
      </c>
      <c r="T1467">
        <v>4.75</v>
      </c>
      <c r="U1467">
        <v>9.7799999999999994</v>
      </c>
      <c r="V1467">
        <v>136</v>
      </c>
      <c r="W1467" s="317">
        <v>3.9</v>
      </c>
      <c r="X1467" s="190">
        <f t="shared" si="59"/>
        <v>46.8</v>
      </c>
      <c r="Y1467" s="8"/>
      <c r="Z1467" s="8"/>
    </row>
    <row r="1468" spans="1:26" ht="12.75" customHeight="1" x14ac:dyDescent="0.2">
      <c r="A1468" s="15">
        <v>6</v>
      </c>
      <c r="B1468" s="15">
        <v>2003</v>
      </c>
      <c r="C1468" s="15">
        <v>7</v>
      </c>
      <c r="D1468" s="15">
        <v>8</v>
      </c>
      <c r="E1468" s="30">
        <v>0.58333333333333337</v>
      </c>
      <c r="F1468" s="11" t="s">
        <v>51</v>
      </c>
      <c r="G1468" s="32">
        <v>134</v>
      </c>
      <c r="H1468" s="15" t="s">
        <v>29</v>
      </c>
      <c r="I1468" s="33">
        <v>13</v>
      </c>
      <c r="J1468" s="11" t="s">
        <v>19</v>
      </c>
      <c r="K1468" s="20" t="s">
        <v>20</v>
      </c>
      <c r="L1468" s="20" t="s">
        <v>30</v>
      </c>
      <c r="M1468" s="20" t="s">
        <v>45</v>
      </c>
      <c r="N1468" s="20" t="s">
        <v>23</v>
      </c>
      <c r="O1468" s="31" t="s">
        <v>29</v>
      </c>
      <c r="P1468" s="15">
        <v>219</v>
      </c>
      <c r="Q1468" s="8"/>
      <c r="R1468">
        <v>12.5</v>
      </c>
      <c r="S1468">
        <v>1954.16</v>
      </c>
      <c r="T1468">
        <v>6.65</v>
      </c>
      <c r="U1468">
        <v>8.98</v>
      </c>
      <c r="V1468">
        <v>125</v>
      </c>
      <c r="W1468" s="317">
        <v>4.5999999999999996</v>
      </c>
      <c r="X1468" s="190">
        <f t="shared" si="59"/>
        <v>59.8</v>
      </c>
      <c r="Y1468" s="8"/>
      <c r="Z1468" s="8"/>
    </row>
    <row r="1469" spans="1:26" ht="12.75" customHeight="1" x14ac:dyDescent="0.2">
      <c r="A1469" s="15">
        <v>7</v>
      </c>
      <c r="B1469" s="15">
        <v>2003</v>
      </c>
      <c r="C1469" s="15">
        <v>7</v>
      </c>
      <c r="D1469" s="15">
        <v>8</v>
      </c>
      <c r="E1469" s="30">
        <v>0.58333333333333337</v>
      </c>
      <c r="F1469" s="11" t="s">
        <v>28</v>
      </c>
      <c r="G1469" s="11" t="s">
        <v>29</v>
      </c>
      <c r="H1469" s="15" t="s">
        <v>29</v>
      </c>
      <c r="I1469" s="25" t="s">
        <v>29</v>
      </c>
      <c r="J1469" s="11" t="s">
        <v>19</v>
      </c>
      <c r="K1469" s="20" t="s">
        <v>20</v>
      </c>
      <c r="L1469" s="11" t="s">
        <v>21</v>
      </c>
      <c r="M1469" s="20" t="s">
        <v>46</v>
      </c>
      <c r="N1469" s="20" t="s">
        <v>24</v>
      </c>
      <c r="O1469" s="31" t="s">
        <v>29</v>
      </c>
      <c r="P1469" s="15">
        <v>219</v>
      </c>
      <c r="Q1469" s="8"/>
      <c r="W1469" s="317">
        <v>3.9</v>
      </c>
      <c r="X1469" s="190"/>
      <c r="Y1469" s="8"/>
      <c r="Z1469" s="8"/>
    </row>
    <row r="1470" spans="1:26" ht="12.75" customHeight="1" x14ac:dyDescent="0.2">
      <c r="A1470" s="15">
        <v>8</v>
      </c>
      <c r="B1470" s="15">
        <v>2003</v>
      </c>
      <c r="C1470" s="15">
        <v>7</v>
      </c>
      <c r="D1470" s="15">
        <v>8</v>
      </c>
      <c r="E1470" s="30">
        <v>0.58333333333333337</v>
      </c>
      <c r="F1470" s="11" t="s">
        <v>51</v>
      </c>
      <c r="G1470" s="32">
        <v>140</v>
      </c>
      <c r="H1470" s="15" t="s">
        <v>29</v>
      </c>
      <c r="I1470" s="33">
        <v>10.5</v>
      </c>
      <c r="J1470" s="11" t="s">
        <v>19</v>
      </c>
      <c r="K1470" s="20" t="s">
        <v>20</v>
      </c>
      <c r="L1470" s="11" t="s">
        <v>21</v>
      </c>
      <c r="M1470" s="20" t="s">
        <v>46</v>
      </c>
      <c r="N1470" s="20" t="s">
        <v>24</v>
      </c>
      <c r="O1470" s="31" t="s">
        <v>29</v>
      </c>
      <c r="P1470" s="15">
        <v>219</v>
      </c>
      <c r="Q1470" s="8"/>
      <c r="R1470">
        <v>13.06</v>
      </c>
      <c r="S1470">
        <v>2228.58</v>
      </c>
      <c r="T1470">
        <v>4.71</v>
      </c>
      <c r="U1470">
        <v>9.3800000000000008</v>
      </c>
      <c r="V1470">
        <v>131</v>
      </c>
      <c r="W1470" s="317">
        <v>3.9</v>
      </c>
      <c r="X1470" s="190">
        <f t="shared" si="59"/>
        <v>40.949999999999996</v>
      </c>
      <c r="Y1470" s="8"/>
      <c r="Z1470" s="8"/>
    </row>
    <row r="1471" spans="1:26" ht="12.75" customHeight="1" x14ac:dyDescent="0.2">
      <c r="A1471" s="15">
        <v>9</v>
      </c>
      <c r="B1471" s="15">
        <v>2003</v>
      </c>
      <c r="C1471" s="15">
        <v>7</v>
      </c>
      <c r="D1471" s="15">
        <v>8</v>
      </c>
      <c r="E1471" s="30">
        <v>0.58333333333333337</v>
      </c>
      <c r="F1471" s="11" t="s">
        <v>51</v>
      </c>
      <c r="G1471" s="32">
        <v>148</v>
      </c>
      <c r="H1471" s="15" t="s">
        <v>29</v>
      </c>
      <c r="I1471" s="33">
        <v>11.5</v>
      </c>
      <c r="J1471" s="11" t="s">
        <v>19</v>
      </c>
      <c r="K1471" s="20" t="s">
        <v>20</v>
      </c>
      <c r="L1471" s="11" t="s">
        <v>21</v>
      </c>
      <c r="M1471" s="20" t="s">
        <v>45</v>
      </c>
      <c r="N1471" s="20" t="s">
        <v>23</v>
      </c>
      <c r="O1471" s="31" t="s">
        <v>29</v>
      </c>
      <c r="P1471" s="15">
        <v>219</v>
      </c>
      <c r="Q1471" s="8"/>
      <c r="R1471">
        <v>13.81</v>
      </c>
      <c r="S1471">
        <v>2632.87</v>
      </c>
      <c r="T1471">
        <v>4.37</v>
      </c>
      <c r="U1471">
        <v>9.92</v>
      </c>
      <c r="V1471">
        <v>138</v>
      </c>
      <c r="W1471" s="317">
        <v>3.9</v>
      </c>
      <c r="X1471" s="190">
        <f t="shared" si="59"/>
        <v>44.85</v>
      </c>
      <c r="Y1471" s="8"/>
      <c r="Z1471" s="8"/>
    </row>
    <row r="1472" spans="1:26" ht="12.75" customHeight="1" x14ac:dyDescent="0.2">
      <c r="A1472" s="15">
        <v>10</v>
      </c>
      <c r="B1472" s="15">
        <v>2003</v>
      </c>
      <c r="C1472" s="15">
        <v>7</v>
      </c>
      <c r="D1472" s="15">
        <v>8</v>
      </c>
      <c r="E1472" s="30">
        <v>0.58333333333333337</v>
      </c>
      <c r="F1472" s="11" t="s">
        <v>51</v>
      </c>
      <c r="G1472" s="32">
        <v>142</v>
      </c>
      <c r="H1472" s="15" t="s">
        <v>29</v>
      </c>
      <c r="I1472" s="33">
        <v>9.5</v>
      </c>
      <c r="J1472" s="11" t="s">
        <v>19</v>
      </c>
      <c r="K1472" s="20" t="s">
        <v>20</v>
      </c>
      <c r="L1472" s="11" t="s">
        <v>21</v>
      </c>
      <c r="M1472" s="20" t="s">
        <v>45</v>
      </c>
      <c r="N1472" s="20" t="s">
        <v>33</v>
      </c>
      <c r="O1472" s="31" t="s">
        <v>29</v>
      </c>
      <c r="P1472" s="15">
        <v>219</v>
      </c>
      <c r="Q1472" s="8"/>
      <c r="R1472">
        <v>13.25</v>
      </c>
      <c r="S1472">
        <v>2325.4699999999998</v>
      </c>
      <c r="T1472">
        <v>4.09</v>
      </c>
      <c r="U1472">
        <v>9.51</v>
      </c>
      <c r="V1472">
        <v>132</v>
      </c>
      <c r="W1472" s="317">
        <v>3.9</v>
      </c>
      <c r="X1472" s="190">
        <f t="shared" si="59"/>
        <v>37.049999999999997</v>
      </c>
      <c r="Y1472" s="8"/>
      <c r="Z1472" s="8"/>
    </row>
    <row r="1473" spans="1:26" ht="25.5" customHeight="1" x14ac:dyDescent="0.2">
      <c r="A1473" s="15">
        <v>11</v>
      </c>
      <c r="B1473" s="15">
        <v>2003</v>
      </c>
      <c r="C1473" s="15">
        <v>2</v>
      </c>
      <c r="D1473" s="15">
        <v>8</v>
      </c>
      <c r="E1473" s="29" t="s">
        <v>199</v>
      </c>
      <c r="F1473" s="11" t="s">
        <v>51</v>
      </c>
      <c r="G1473" s="32">
        <v>138</v>
      </c>
      <c r="H1473" s="15" t="s">
        <v>29</v>
      </c>
      <c r="I1473" s="33">
        <v>13.5</v>
      </c>
      <c r="J1473" s="11" t="s">
        <v>19</v>
      </c>
      <c r="K1473" s="20" t="s">
        <v>20</v>
      </c>
      <c r="L1473" s="20" t="s">
        <v>30</v>
      </c>
      <c r="M1473" s="20" t="s">
        <v>46</v>
      </c>
      <c r="N1473" s="20" t="s">
        <v>23</v>
      </c>
      <c r="O1473" s="31" t="s">
        <v>29</v>
      </c>
      <c r="P1473" s="15">
        <v>214</v>
      </c>
      <c r="Q1473" s="8"/>
      <c r="R1473">
        <v>12.88</v>
      </c>
      <c r="S1473">
        <v>2134.4299999999998</v>
      </c>
      <c r="T1473">
        <v>6.32</v>
      </c>
      <c r="U1473">
        <v>9.25</v>
      </c>
      <c r="V1473">
        <v>129</v>
      </c>
      <c r="W1473" s="317">
        <v>4.5999999999999996</v>
      </c>
      <c r="X1473" s="190">
        <f t="shared" si="59"/>
        <v>62.099999999999994</v>
      </c>
      <c r="Y1473" s="8"/>
      <c r="Z1473" s="8"/>
    </row>
    <row r="1474" spans="1:26" ht="25.5" customHeight="1" x14ac:dyDescent="0.2">
      <c r="A1474" s="15">
        <v>12</v>
      </c>
      <c r="B1474" s="15">
        <v>2003</v>
      </c>
      <c r="C1474" s="15">
        <v>2</v>
      </c>
      <c r="D1474" s="15">
        <v>8</v>
      </c>
      <c r="E1474" s="29" t="s">
        <v>199</v>
      </c>
      <c r="F1474" s="11" t="s">
        <v>51</v>
      </c>
      <c r="G1474" s="32">
        <v>153</v>
      </c>
      <c r="H1474" s="15" t="s">
        <v>29</v>
      </c>
      <c r="I1474" s="33">
        <v>18.5</v>
      </c>
      <c r="J1474" s="11" t="s">
        <v>19</v>
      </c>
      <c r="K1474" s="20" t="s">
        <v>20</v>
      </c>
      <c r="L1474" s="20" t="s">
        <v>30</v>
      </c>
      <c r="M1474" s="20" t="s">
        <v>46</v>
      </c>
      <c r="N1474" s="20" t="s">
        <v>23</v>
      </c>
      <c r="O1474" s="31" t="s">
        <v>29</v>
      </c>
      <c r="P1474" s="15">
        <v>214</v>
      </c>
      <c r="Q1474" s="8"/>
      <c r="R1474">
        <v>14.27</v>
      </c>
      <c r="S1474">
        <v>2908.84</v>
      </c>
      <c r="T1474">
        <v>6.36</v>
      </c>
      <c r="U1474">
        <v>10.25</v>
      </c>
      <c r="V1474">
        <v>143</v>
      </c>
      <c r="W1474" s="317">
        <v>4.5999999999999996</v>
      </c>
      <c r="X1474" s="190">
        <f t="shared" si="59"/>
        <v>85.1</v>
      </c>
      <c r="Y1474" s="8"/>
      <c r="Z1474" s="8"/>
    </row>
    <row r="1475" spans="1:26" ht="12.75" customHeight="1" x14ac:dyDescent="0.2">
      <c r="A1475" s="15">
        <v>13</v>
      </c>
      <c r="B1475" s="15">
        <v>2003</v>
      </c>
      <c r="C1475" s="15">
        <v>30</v>
      </c>
      <c r="D1475" s="15">
        <v>7</v>
      </c>
      <c r="E1475" s="30">
        <v>0.625</v>
      </c>
      <c r="F1475" s="11" t="s">
        <v>51</v>
      </c>
      <c r="G1475" s="32">
        <v>147</v>
      </c>
      <c r="H1475" s="15" t="s">
        <v>29</v>
      </c>
      <c r="I1475" s="33">
        <v>18.5</v>
      </c>
      <c r="J1475" s="11" t="s">
        <v>19</v>
      </c>
      <c r="K1475" s="20" t="s">
        <v>20</v>
      </c>
      <c r="L1475" s="20" t="s">
        <v>30</v>
      </c>
      <c r="M1475" s="20" t="s">
        <v>45</v>
      </c>
      <c r="N1475" s="20" t="s">
        <v>24</v>
      </c>
      <c r="O1475" s="31" t="s">
        <v>29</v>
      </c>
      <c r="P1475" s="15">
        <v>211</v>
      </c>
      <c r="Q1475" s="8"/>
      <c r="R1475">
        <v>13.72</v>
      </c>
      <c r="S1475">
        <v>2579.86</v>
      </c>
      <c r="T1475">
        <v>7.17</v>
      </c>
      <c r="U1475">
        <v>9.85</v>
      </c>
      <c r="V1475">
        <v>137</v>
      </c>
      <c r="W1475" s="317">
        <v>4.5999999999999996</v>
      </c>
      <c r="X1475" s="190">
        <f t="shared" si="59"/>
        <v>85.1</v>
      </c>
      <c r="Y1475" s="8"/>
      <c r="Z1475" s="8"/>
    </row>
    <row r="1476" spans="1:26" ht="12.75" customHeight="1" x14ac:dyDescent="0.2">
      <c r="A1476" s="15">
        <v>14</v>
      </c>
      <c r="B1476" s="15">
        <v>2003</v>
      </c>
      <c r="C1476" s="15">
        <v>30</v>
      </c>
      <c r="D1476" s="15">
        <v>7</v>
      </c>
      <c r="E1476" s="30">
        <v>0.625</v>
      </c>
      <c r="F1476" s="11" t="s">
        <v>51</v>
      </c>
      <c r="G1476" s="32">
        <v>159</v>
      </c>
      <c r="H1476" s="15" t="s">
        <v>29</v>
      </c>
      <c r="I1476" s="33">
        <v>22</v>
      </c>
      <c r="J1476" s="11" t="s">
        <v>19</v>
      </c>
      <c r="K1476" s="20" t="s">
        <v>20</v>
      </c>
      <c r="L1476" s="20" t="s">
        <v>30</v>
      </c>
      <c r="M1476" s="20" t="s">
        <v>46</v>
      </c>
      <c r="N1476" s="20" t="s">
        <v>23</v>
      </c>
      <c r="O1476" s="31" t="s">
        <v>29</v>
      </c>
      <c r="P1476" s="15">
        <v>211</v>
      </c>
      <c r="Q1476" s="8"/>
      <c r="R1476">
        <v>14.83</v>
      </c>
      <c r="S1476">
        <v>3264.65</v>
      </c>
      <c r="T1476">
        <v>6.74</v>
      </c>
      <c r="U1476">
        <v>10.65</v>
      </c>
      <c r="V1476">
        <v>148</v>
      </c>
      <c r="W1476" s="317">
        <v>4.5999999999999996</v>
      </c>
      <c r="X1476" s="190">
        <f t="shared" si="59"/>
        <v>101.19999999999999</v>
      </c>
      <c r="Y1476" s="8"/>
      <c r="Z1476" s="8"/>
    </row>
    <row r="1477" spans="1:26" ht="12.75" customHeight="1" x14ac:dyDescent="0.2">
      <c r="A1477" s="15">
        <v>15</v>
      </c>
      <c r="B1477" s="15">
        <v>2003</v>
      </c>
      <c r="C1477" s="15">
        <v>30</v>
      </c>
      <c r="D1477" s="15">
        <v>7</v>
      </c>
      <c r="E1477" s="30">
        <v>0.625</v>
      </c>
      <c r="F1477" s="11" t="s">
        <v>51</v>
      </c>
      <c r="G1477" s="32">
        <v>150</v>
      </c>
      <c r="H1477" s="15" t="s">
        <v>29</v>
      </c>
      <c r="I1477" s="33">
        <v>20</v>
      </c>
      <c r="J1477" s="11" t="s">
        <v>19</v>
      </c>
      <c r="K1477" s="20" t="s">
        <v>20</v>
      </c>
      <c r="L1477" s="20" t="s">
        <v>30</v>
      </c>
      <c r="M1477" s="20" t="s">
        <v>46</v>
      </c>
      <c r="N1477" s="20" t="s">
        <v>24</v>
      </c>
      <c r="O1477" s="31" t="s">
        <v>29</v>
      </c>
      <c r="P1477" s="15">
        <v>211</v>
      </c>
      <c r="Q1477" s="8"/>
      <c r="R1477">
        <v>14</v>
      </c>
      <c r="S1477">
        <v>2741.06</v>
      </c>
      <c r="T1477">
        <v>7.3</v>
      </c>
      <c r="U1477">
        <v>10.050000000000001</v>
      </c>
      <c r="V1477">
        <v>140</v>
      </c>
      <c r="W1477" s="317">
        <v>4.5999999999999996</v>
      </c>
      <c r="X1477" s="190">
        <f t="shared" si="59"/>
        <v>92</v>
      </c>
      <c r="Y1477" s="8"/>
      <c r="Z1477" s="8"/>
    </row>
    <row r="1478" spans="1:26" ht="12.75" customHeight="1" x14ac:dyDescent="0.2">
      <c r="A1478" s="15">
        <v>16</v>
      </c>
      <c r="B1478" s="15">
        <v>2003</v>
      </c>
      <c r="C1478" s="15">
        <v>30</v>
      </c>
      <c r="D1478" s="15">
        <v>7</v>
      </c>
      <c r="E1478" s="30">
        <v>0.625</v>
      </c>
      <c r="F1478" s="11" t="s">
        <v>51</v>
      </c>
      <c r="G1478" s="32">
        <v>133</v>
      </c>
      <c r="H1478" s="15" t="s">
        <v>29</v>
      </c>
      <c r="I1478" s="33">
        <v>11.5</v>
      </c>
      <c r="J1478" s="11" t="s">
        <v>19</v>
      </c>
      <c r="K1478" s="20" t="s">
        <v>20</v>
      </c>
      <c r="L1478" s="20" t="s">
        <v>30</v>
      </c>
      <c r="M1478" s="20" t="s">
        <v>46</v>
      </c>
      <c r="N1478" s="20" t="s">
        <v>23</v>
      </c>
      <c r="O1478" s="31" t="s">
        <v>29</v>
      </c>
      <c r="P1478" s="15">
        <v>211</v>
      </c>
      <c r="Q1478" s="8"/>
      <c r="R1478">
        <v>12.41</v>
      </c>
      <c r="S1478">
        <v>1910.73</v>
      </c>
      <c r="T1478">
        <v>6.02</v>
      </c>
      <c r="U1478">
        <v>8.91</v>
      </c>
      <c r="V1478">
        <v>124</v>
      </c>
      <c r="W1478" s="317">
        <v>4.5999999999999996</v>
      </c>
      <c r="X1478" s="190">
        <f t="shared" si="59"/>
        <v>52.9</v>
      </c>
      <c r="Y1478" s="8"/>
      <c r="Z1478" s="8"/>
    </row>
    <row r="1479" spans="1:26" ht="12.75" customHeight="1" x14ac:dyDescent="0.2">
      <c r="A1479" s="15">
        <v>17</v>
      </c>
      <c r="B1479" s="15">
        <v>2003</v>
      </c>
      <c r="C1479" s="15">
        <v>30</v>
      </c>
      <c r="D1479" s="15">
        <v>7</v>
      </c>
      <c r="E1479" s="30">
        <v>0.625</v>
      </c>
      <c r="F1479" s="11" t="s">
        <v>51</v>
      </c>
      <c r="G1479" s="32">
        <v>150</v>
      </c>
      <c r="H1479" s="15" t="s">
        <v>29</v>
      </c>
      <c r="I1479" s="33">
        <v>14</v>
      </c>
      <c r="J1479" s="11" t="s">
        <v>19</v>
      </c>
      <c r="K1479" s="20" t="s">
        <v>20</v>
      </c>
      <c r="L1479" s="11" t="s">
        <v>21</v>
      </c>
      <c r="M1479" s="20" t="s">
        <v>46</v>
      </c>
      <c r="N1479" s="20" t="s">
        <v>24</v>
      </c>
      <c r="O1479" s="31" t="s">
        <v>29</v>
      </c>
      <c r="P1479" s="15">
        <v>211</v>
      </c>
      <c r="Q1479" s="8"/>
      <c r="R1479">
        <v>14</v>
      </c>
      <c r="S1479">
        <v>2741.06</v>
      </c>
      <c r="T1479">
        <v>5.1100000000000003</v>
      </c>
      <c r="U1479">
        <v>10.050000000000001</v>
      </c>
      <c r="V1479">
        <v>140</v>
      </c>
      <c r="W1479" s="317">
        <v>3.9</v>
      </c>
      <c r="X1479" s="190">
        <f t="shared" si="59"/>
        <v>54.6</v>
      </c>
      <c r="Y1479" s="8"/>
      <c r="Z1479" s="8"/>
    </row>
    <row r="1480" spans="1:26" ht="12.75" customHeight="1" x14ac:dyDescent="0.2">
      <c r="A1480" s="15">
        <v>18</v>
      </c>
      <c r="B1480" s="15">
        <v>2003</v>
      </c>
      <c r="C1480" s="15">
        <v>30</v>
      </c>
      <c r="D1480" s="15">
        <v>7</v>
      </c>
      <c r="E1480" s="30">
        <v>0.625</v>
      </c>
      <c r="F1480" s="11" t="s">
        <v>51</v>
      </c>
      <c r="G1480" s="32">
        <v>136</v>
      </c>
      <c r="H1480" s="15" t="s">
        <v>29</v>
      </c>
      <c r="I1480" s="33">
        <v>14</v>
      </c>
      <c r="J1480" s="11" t="s">
        <v>19</v>
      </c>
      <c r="K1480" s="20" t="s">
        <v>20</v>
      </c>
      <c r="L1480" s="20" t="s">
        <v>30</v>
      </c>
      <c r="M1480" s="20" t="s">
        <v>46</v>
      </c>
      <c r="N1480" s="11" t="s">
        <v>29</v>
      </c>
      <c r="O1480" s="31" t="s">
        <v>29</v>
      </c>
      <c r="P1480" s="15">
        <v>211</v>
      </c>
      <c r="Q1480" s="8"/>
      <c r="R1480">
        <v>12.69</v>
      </c>
      <c r="S1480">
        <v>2042.97</v>
      </c>
      <c r="T1480">
        <v>6.85</v>
      </c>
      <c r="U1480">
        <v>9.11</v>
      </c>
      <c r="V1480">
        <v>127</v>
      </c>
      <c r="W1480" s="317">
        <v>4.5999999999999996</v>
      </c>
      <c r="X1480" s="190">
        <f t="shared" si="59"/>
        <v>64.399999999999991</v>
      </c>
      <c r="Y1480" s="8"/>
      <c r="Z1480" s="8"/>
    </row>
    <row r="1481" spans="1:26" ht="12.75" customHeight="1" x14ac:dyDescent="0.2">
      <c r="A1481" s="15">
        <v>19</v>
      </c>
      <c r="B1481" s="15">
        <v>2003</v>
      </c>
      <c r="C1481" s="15">
        <v>30</v>
      </c>
      <c r="D1481" s="15">
        <v>7</v>
      </c>
      <c r="E1481" s="30">
        <v>0.625</v>
      </c>
      <c r="F1481" s="11" t="s">
        <v>51</v>
      </c>
      <c r="G1481" s="32">
        <v>141</v>
      </c>
      <c r="H1481" s="15" t="s">
        <v>29</v>
      </c>
      <c r="I1481" s="33">
        <v>12.5</v>
      </c>
      <c r="J1481" s="11" t="s">
        <v>19</v>
      </c>
      <c r="K1481" s="20" t="s">
        <v>20</v>
      </c>
      <c r="L1481" s="20" t="s">
        <v>30</v>
      </c>
      <c r="M1481" s="20" t="s">
        <v>45</v>
      </c>
      <c r="N1481" s="20" t="s">
        <v>24</v>
      </c>
      <c r="O1481" s="31" t="s">
        <v>29</v>
      </c>
      <c r="P1481" s="15">
        <v>211</v>
      </c>
      <c r="Q1481" s="8"/>
      <c r="R1481">
        <v>13.16</v>
      </c>
      <c r="S1481">
        <v>2276.6799999999998</v>
      </c>
      <c r="T1481">
        <v>5.49</v>
      </c>
      <c r="U1481">
        <v>9.4499999999999993</v>
      </c>
      <c r="V1481">
        <v>132</v>
      </c>
      <c r="W1481" s="317">
        <v>4.5999999999999996</v>
      </c>
      <c r="X1481" s="190">
        <f t="shared" si="59"/>
        <v>57.499999999999993</v>
      </c>
      <c r="Y1481" s="8"/>
      <c r="Z1481" s="8"/>
    </row>
    <row r="1482" spans="1:26" ht="12.75" customHeight="1" x14ac:dyDescent="0.2">
      <c r="A1482" s="15">
        <v>20</v>
      </c>
      <c r="B1482" s="15">
        <v>2003</v>
      </c>
      <c r="C1482" s="15">
        <v>30</v>
      </c>
      <c r="D1482" s="15">
        <v>7</v>
      </c>
      <c r="E1482" s="30">
        <v>0.625</v>
      </c>
      <c r="F1482" s="11" t="s">
        <v>51</v>
      </c>
      <c r="G1482" s="32">
        <v>151</v>
      </c>
      <c r="H1482" s="15" t="s">
        <v>29</v>
      </c>
      <c r="I1482" s="33">
        <v>17.5</v>
      </c>
      <c r="J1482" s="11" t="s">
        <v>19</v>
      </c>
      <c r="K1482" s="20" t="s">
        <v>20</v>
      </c>
      <c r="L1482" s="20" t="s">
        <v>30</v>
      </c>
      <c r="M1482" s="20" t="s">
        <v>46</v>
      </c>
      <c r="N1482" s="20" t="s">
        <v>23</v>
      </c>
      <c r="O1482" s="31" t="s">
        <v>29</v>
      </c>
      <c r="P1482" s="15">
        <v>211</v>
      </c>
      <c r="Q1482" s="8"/>
      <c r="R1482">
        <v>14.09</v>
      </c>
      <c r="S1482">
        <v>2796.25</v>
      </c>
      <c r="T1482">
        <v>6.26</v>
      </c>
      <c r="U1482">
        <v>10.119999999999999</v>
      </c>
      <c r="V1482">
        <v>141</v>
      </c>
      <c r="W1482" s="317">
        <v>4.5999999999999996</v>
      </c>
      <c r="X1482" s="190">
        <f t="shared" si="59"/>
        <v>80.5</v>
      </c>
      <c r="Y1482" s="8"/>
      <c r="Z1482" s="8"/>
    </row>
    <row r="1483" spans="1:26" ht="12.75" customHeight="1" x14ac:dyDescent="0.2">
      <c r="A1483" s="15">
        <v>21</v>
      </c>
      <c r="B1483" s="15">
        <v>2003</v>
      </c>
      <c r="C1483" s="15">
        <v>30</v>
      </c>
      <c r="D1483" s="15">
        <v>7</v>
      </c>
      <c r="E1483" s="30">
        <v>0.625</v>
      </c>
      <c r="F1483" s="11" t="s">
        <v>51</v>
      </c>
      <c r="G1483" s="32">
        <v>131</v>
      </c>
      <c r="H1483" s="15" t="s">
        <v>29</v>
      </c>
      <c r="I1483" s="33">
        <v>11.5</v>
      </c>
      <c r="J1483" s="11" t="s">
        <v>19</v>
      </c>
      <c r="K1483" s="20" t="s">
        <v>20</v>
      </c>
      <c r="L1483" s="20" t="s">
        <v>30</v>
      </c>
      <c r="M1483" s="20" t="s">
        <v>46</v>
      </c>
      <c r="N1483" s="20" t="s">
        <v>24</v>
      </c>
      <c r="O1483" s="31" t="s">
        <v>29</v>
      </c>
      <c r="P1483" s="15">
        <v>211</v>
      </c>
      <c r="Q1483" s="8"/>
      <c r="R1483">
        <v>12.22</v>
      </c>
      <c r="S1483">
        <v>1825.82</v>
      </c>
      <c r="T1483">
        <v>6.3</v>
      </c>
      <c r="U1483">
        <v>8.7799999999999994</v>
      </c>
      <c r="V1483">
        <v>122</v>
      </c>
      <c r="W1483" s="317">
        <v>4.5999999999999996</v>
      </c>
      <c r="X1483" s="190">
        <f t="shared" si="59"/>
        <v>52.9</v>
      </c>
      <c r="Y1483" s="8"/>
      <c r="Z1483" s="8"/>
    </row>
    <row r="1484" spans="1:26" ht="12.75" customHeight="1" x14ac:dyDescent="0.2">
      <c r="A1484" s="15">
        <v>22</v>
      </c>
      <c r="B1484" s="15">
        <v>2003</v>
      </c>
      <c r="C1484" s="15">
        <v>30</v>
      </c>
      <c r="D1484" s="15">
        <v>7</v>
      </c>
      <c r="E1484" s="30">
        <v>0.625</v>
      </c>
      <c r="F1484" s="11" t="s">
        <v>51</v>
      </c>
      <c r="G1484" s="32">
        <v>142</v>
      </c>
      <c r="H1484" s="15" t="s">
        <v>29</v>
      </c>
      <c r="I1484" s="33">
        <v>15</v>
      </c>
      <c r="J1484" s="11" t="s">
        <v>19</v>
      </c>
      <c r="K1484" s="20" t="s">
        <v>20</v>
      </c>
      <c r="L1484" s="20" t="s">
        <v>30</v>
      </c>
      <c r="M1484" s="20" t="s">
        <v>46</v>
      </c>
      <c r="N1484" s="20" t="s">
        <v>24</v>
      </c>
      <c r="O1484" s="31" t="s">
        <v>29</v>
      </c>
      <c r="P1484" s="15">
        <v>211</v>
      </c>
      <c r="Q1484" s="8"/>
      <c r="R1484">
        <v>13.25</v>
      </c>
      <c r="S1484">
        <v>2325.4699999999998</v>
      </c>
      <c r="T1484">
        <v>6.45</v>
      </c>
      <c r="U1484">
        <v>9.51</v>
      </c>
      <c r="V1484">
        <v>132</v>
      </c>
      <c r="W1484" s="317">
        <v>4.5999999999999996</v>
      </c>
      <c r="X1484" s="190">
        <f t="shared" si="59"/>
        <v>69</v>
      </c>
      <c r="Y1484" s="8"/>
      <c r="Z1484" s="8"/>
    </row>
    <row r="1485" spans="1:26" ht="12.75" customHeight="1" x14ac:dyDescent="0.2">
      <c r="A1485" s="15">
        <v>23</v>
      </c>
      <c r="B1485" s="15">
        <v>2003</v>
      </c>
      <c r="C1485" s="15">
        <v>30</v>
      </c>
      <c r="D1485" s="15">
        <v>7</v>
      </c>
      <c r="E1485" s="30">
        <v>0.625</v>
      </c>
      <c r="F1485" s="11" t="s">
        <v>51</v>
      </c>
      <c r="G1485" s="32">
        <v>152</v>
      </c>
      <c r="H1485" s="15" t="s">
        <v>29</v>
      </c>
      <c r="I1485" s="33">
        <v>13.5</v>
      </c>
      <c r="J1485" s="11" t="s">
        <v>19</v>
      </c>
      <c r="K1485" s="20" t="s">
        <v>20</v>
      </c>
      <c r="L1485" s="11" t="s">
        <v>21</v>
      </c>
      <c r="M1485" s="20" t="s">
        <v>46</v>
      </c>
      <c r="N1485" s="20" t="s">
        <v>24</v>
      </c>
      <c r="O1485" s="31" t="s">
        <v>29</v>
      </c>
      <c r="P1485" s="15">
        <v>211</v>
      </c>
      <c r="Q1485" s="8"/>
      <c r="R1485">
        <v>14.18</v>
      </c>
      <c r="S1485">
        <v>2852.17</v>
      </c>
      <c r="T1485">
        <v>4.7300000000000004</v>
      </c>
      <c r="U1485">
        <v>10.18</v>
      </c>
      <c r="V1485">
        <v>142</v>
      </c>
      <c r="W1485" s="317">
        <v>3.9</v>
      </c>
      <c r="X1485" s="190">
        <f t="shared" si="59"/>
        <v>52.65</v>
      </c>
      <c r="Y1485" s="8"/>
      <c r="Z1485" s="8"/>
    </row>
    <row r="1486" spans="1:26" ht="12.75" customHeight="1" x14ac:dyDescent="0.2">
      <c r="A1486" s="15">
        <v>24</v>
      </c>
      <c r="B1486" s="15">
        <v>2003</v>
      </c>
      <c r="C1486" s="15">
        <v>30</v>
      </c>
      <c r="D1486" s="15">
        <v>7</v>
      </c>
      <c r="E1486" s="30">
        <v>0.625</v>
      </c>
      <c r="F1486" s="11" t="s">
        <v>51</v>
      </c>
      <c r="G1486" s="32">
        <v>146</v>
      </c>
      <c r="H1486" s="15" t="s">
        <v>29</v>
      </c>
      <c r="I1486" s="33">
        <v>15.5</v>
      </c>
      <c r="J1486" s="11" t="s">
        <v>19</v>
      </c>
      <c r="K1486" s="20" t="s">
        <v>20</v>
      </c>
      <c r="L1486" s="20" t="s">
        <v>30</v>
      </c>
      <c r="M1486" s="20" t="s">
        <v>46</v>
      </c>
      <c r="N1486" s="20" t="s">
        <v>24</v>
      </c>
      <c r="O1486" s="31" t="s">
        <v>29</v>
      </c>
      <c r="P1486" s="15">
        <v>211</v>
      </c>
      <c r="Q1486" s="8"/>
      <c r="R1486">
        <v>13.62</v>
      </c>
      <c r="S1486">
        <v>2527.5700000000002</v>
      </c>
      <c r="T1486">
        <v>6.13</v>
      </c>
      <c r="U1486">
        <v>9.7799999999999994</v>
      </c>
      <c r="V1486">
        <v>136</v>
      </c>
      <c r="W1486" s="317">
        <v>4.5999999999999996</v>
      </c>
      <c r="X1486" s="190">
        <f t="shared" si="59"/>
        <v>71.3</v>
      </c>
      <c r="Y1486" s="8"/>
      <c r="Z1486" s="8"/>
    </row>
    <row r="1487" spans="1:26" ht="12.75" customHeight="1" x14ac:dyDescent="0.2">
      <c r="A1487" s="15">
        <v>25</v>
      </c>
      <c r="B1487" s="15">
        <v>2003</v>
      </c>
      <c r="C1487" s="15">
        <v>30</v>
      </c>
      <c r="D1487" s="15">
        <v>7</v>
      </c>
      <c r="E1487" s="30">
        <v>0.625</v>
      </c>
      <c r="F1487" s="11" t="s">
        <v>51</v>
      </c>
      <c r="G1487" s="32">
        <v>130</v>
      </c>
      <c r="H1487" s="15" t="s">
        <v>29</v>
      </c>
      <c r="I1487" s="33">
        <v>11.5</v>
      </c>
      <c r="J1487" s="11" t="s">
        <v>19</v>
      </c>
      <c r="K1487" s="20" t="s">
        <v>20</v>
      </c>
      <c r="L1487" s="20" t="s">
        <v>30</v>
      </c>
      <c r="M1487" s="20" t="s">
        <v>45</v>
      </c>
      <c r="N1487" s="20" t="s">
        <v>23</v>
      </c>
      <c r="O1487" s="31" t="s">
        <v>29</v>
      </c>
      <c r="P1487" s="15">
        <v>211</v>
      </c>
      <c r="Q1487" s="8"/>
      <c r="R1487">
        <v>12.13</v>
      </c>
      <c r="S1487">
        <v>1784.33</v>
      </c>
      <c r="T1487">
        <v>6.44</v>
      </c>
      <c r="U1487">
        <v>8.7100000000000009</v>
      </c>
      <c r="V1487">
        <v>121</v>
      </c>
      <c r="W1487" s="317">
        <v>4.5999999999999996</v>
      </c>
      <c r="X1487" s="190">
        <f t="shared" si="59"/>
        <v>52.9</v>
      </c>
      <c r="Y1487" s="8"/>
      <c r="Z1487" s="8"/>
    </row>
    <row r="1488" spans="1:26" ht="12.75" customHeight="1" x14ac:dyDescent="0.2">
      <c r="A1488" s="15">
        <v>26</v>
      </c>
      <c r="B1488" s="15">
        <v>2003</v>
      </c>
      <c r="C1488" s="15">
        <v>30</v>
      </c>
      <c r="D1488" s="15">
        <v>7</v>
      </c>
      <c r="E1488" s="30">
        <v>0.625</v>
      </c>
      <c r="F1488" s="11" t="s">
        <v>51</v>
      </c>
      <c r="G1488" s="32">
        <v>151</v>
      </c>
      <c r="H1488" s="15" t="s">
        <v>29</v>
      </c>
      <c r="I1488" s="33">
        <v>18.5</v>
      </c>
      <c r="J1488" s="11" t="s">
        <v>19</v>
      </c>
      <c r="K1488" s="20" t="s">
        <v>20</v>
      </c>
      <c r="L1488" s="20" t="s">
        <v>30</v>
      </c>
      <c r="M1488" s="20" t="s">
        <v>46</v>
      </c>
      <c r="N1488" s="20" t="s">
        <v>24</v>
      </c>
      <c r="O1488" s="31" t="s">
        <v>29</v>
      </c>
      <c r="P1488" s="15">
        <v>211</v>
      </c>
      <c r="Q1488" s="8"/>
      <c r="R1488">
        <v>14.09</v>
      </c>
      <c r="S1488">
        <v>2796.25</v>
      </c>
      <c r="T1488">
        <v>6.62</v>
      </c>
      <c r="U1488">
        <v>10.119999999999999</v>
      </c>
      <c r="V1488">
        <v>141</v>
      </c>
      <c r="W1488" s="317">
        <v>4.5999999999999996</v>
      </c>
      <c r="X1488" s="190">
        <f t="shared" si="59"/>
        <v>85.1</v>
      </c>
      <c r="Y1488" s="8"/>
      <c r="Z1488" s="8"/>
    </row>
    <row r="1489" spans="1:26" ht="12.75" customHeight="1" x14ac:dyDescent="0.2">
      <c r="A1489" s="15">
        <v>27</v>
      </c>
      <c r="B1489" s="15">
        <v>2003</v>
      </c>
      <c r="C1489" s="15">
        <v>30</v>
      </c>
      <c r="D1489" s="15">
        <v>7</v>
      </c>
      <c r="E1489" s="30">
        <v>0.625</v>
      </c>
      <c r="F1489" s="11" t="s">
        <v>51</v>
      </c>
      <c r="G1489" s="32">
        <v>163</v>
      </c>
      <c r="H1489" s="15" t="s">
        <v>29</v>
      </c>
      <c r="I1489" s="33">
        <v>24.5</v>
      </c>
      <c r="J1489" s="11" t="s">
        <v>19</v>
      </c>
      <c r="K1489" s="20" t="s">
        <v>34</v>
      </c>
      <c r="L1489" s="11" t="s">
        <v>41</v>
      </c>
      <c r="M1489" s="20" t="s">
        <v>46</v>
      </c>
      <c r="N1489" s="20" t="s">
        <v>24</v>
      </c>
      <c r="O1489" s="31" t="s">
        <v>29</v>
      </c>
      <c r="P1489" s="15">
        <v>211</v>
      </c>
      <c r="Q1489" s="8"/>
      <c r="R1489">
        <v>15.21</v>
      </c>
      <c r="S1489">
        <v>3517.29</v>
      </c>
      <c r="T1489">
        <v>6.97</v>
      </c>
      <c r="U1489">
        <v>10.92</v>
      </c>
      <c r="V1489">
        <v>152</v>
      </c>
      <c r="W1489" s="317">
        <v>3.8</v>
      </c>
      <c r="X1489" s="190">
        <f t="shared" si="59"/>
        <v>93.1</v>
      </c>
      <c r="Y1489" s="8"/>
      <c r="Z1489" s="8"/>
    </row>
    <row r="1490" spans="1:26" ht="12.75" customHeight="1" x14ac:dyDescent="0.2">
      <c r="A1490" s="15">
        <v>28</v>
      </c>
      <c r="B1490" s="15">
        <v>2003</v>
      </c>
      <c r="C1490" s="15">
        <v>30</v>
      </c>
      <c r="D1490" s="15">
        <v>7</v>
      </c>
      <c r="E1490" s="30">
        <v>0.625</v>
      </c>
      <c r="F1490" s="11" t="s">
        <v>51</v>
      </c>
      <c r="G1490" s="32">
        <v>148</v>
      </c>
      <c r="H1490" s="15" t="s">
        <v>29</v>
      </c>
      <c r="I1490" s="33">
        <v>14.5</v>
      </c>
      <c r="J1490" s="11" t="s">
        <v>19</v>
      </c>
      <c r="K1490" s="20" t="s">
        <v>20</v>
      </c>
      <c r="L1490" s="20" t="s">
        <v>30</v>
      </c>
      <c r="M1490" s="20" t="s">
        <v>46</v>
      </c>
      <c r="N1490" s="20" t="s">
        <v>24</v>
      </c>
      <c r="O1490" s="31" t="s">
        <v>29</v>
      </c>
      <c r="P1490" s="15">
        <v>211</v>
      </c>
      <c r="Q1490" s="8"/>
      <c r="R1490">
        <v>13.81</v>
      </c>
      <c r="S1490">
        <v>2632.87</v>
      </c>
      <c r="T1490">
        <v>5.51</v>
      </c>
      <c r="U1490">
        <v>9.92</v>
      </c>
      <c r="V1490">
        <v>138</v>
      </c>
      <c r="W1490" s="317">
        <v>4.5999999999999996</v>
      </c>
      <c r="X1490" s="190">
        <f t="shared" ref="X1490:X1495" si="60">I1490*W1490</f>
        <v>66.699999999999989</v>
      </c>
      <c r="Y1490" s="8"/>
      <c r="Z1490" s="8"/>
    </row>
    <row r="1491" spans="1:26" ht="12.75" customHeight="1" x14ac:dyDescent="0.2">
      <c r="A1491" s="15">
        <v>29</v>
      </c>
      <c r="B1491" s="15">
        <v>2003</v>
      </c>
      <c r="C1491" s="15">
        <v>30</v>
      </c>
      <c r="D1491" s="15">
        <v>7</v>
      </c>
      <c r="E1491" s="30">
        <v>0.625</v>
      </c>
      <c r="F1491" s="11" t="s">
        <v>51</v>
      </c>
      <c r="G1491" s="32">
        <v>130</v>
      </c>
      <c r="H1491" s="15" t="s">
        <v>29</v>
      </c>
      <c r="I1491" s="33">
        <v>11</v>
      </c>
      <c r="J1491" s="11" t="s">
        <v>19</v>
      </c>
      <c r="K1491" s="20" t="s">
        <v>20</v>
      </c>
      <c r="L1491" s="20" t="s">
        <v>30</v>
      </c>
      <c r="M1491" s="20" t="s">
        <v>46</v>
      </c>
      <c r="N1491" s="20" t="s">
        <v>24</v>
      </c>
      <c r="O1491" s="31" t="s">
        <v>29</v>
      </c>
      <c r="P1491" s="15">
        <v>211</v>
      </c>
      <c r="Q1491" s="8"/>
      <c r="R1491">
        <v>12.13</v>
      </c>
      <c r="S1491">
        <v>1784.33</v>
      </c>
      <c r="T1491">
        <v>6.16</v>
      </c>
      <c r="U1491">
        <v>8.7100000000000009</v>
      </c>
      <c r="V1491">
        <v>121</v>
      </c>
      <c r="W1491" s="317">
        <v>4.5999999999999996</v>
      </c>
      <c r="X1491" s="190">
        <f t="shared" si="60"/>
        <v>50.599999999999994</v>
      </c>
      <c r="Y1491" s="8"/>
      <c r="Z1491" s="8"/>
    </row>
    <row r="1492" spans="1:26" ht="12.75" customHeight="1" x14ac:dyDescent="0.2">
      <c r="A1492" s="15">
        <v>30</v>
      </c>
      <c r="B1492" s="15">
        <v>2003</v>
      </c>
      <c r="C1492" s="15">
        <v>30</v>
      </c>
      <c r="D1492" s="15">
        <v>7</v>
      </c>
      <c r="E1492" s="30">
        <v>0.625</v>
      </c>
      <c r="F1492" s="11" t="s">
        <v>51</v>
      </c>
      <c r="G1492" s="32">
        <v>140</v>
      </c>
      <c r="H1492" s="15" t="s">
        <v>29</v>
      </c>
      <c r="I1492" s="33">
        <v>8.5</v>
      </c>
      <c r="J1492" s="11" t="s">
        <v>19</v>
      </c>
      <c r="K1492" s="20" t="s">
        <v>20</v>
      </c>
      <c r="L1492" s="11" t="s">
        <v>21</v>
      </c>
      <c r="M1492" s="20" t="s">
        <v>46</v>
      </c>
      <c r="N1492" s="20" t="s">
        <v>23</v>
      </c>
      <c r="O1492" s="31" t="s">
        <v>29</v>
      </c>
      <c r="P1492" s="15">
        <v>211</v>
      </c>
      <c r="Q1492" s="8"/>
      <c r="R1492">
        <v>13.06</v>
      </c>
      <c r="S1492">
        <v>2228.58</v>
      </c>
      <c r="T1492">
        <v>3.81</v>
      </c>
      <c r="U1492">
        <v>9.3800000000000008</v>
      </c>
      <c r="V1492">
        <v>131</v>
      </c>
      <c r="W1492" s="317">
        <v>3.9</v>
      </c>
      <c r="X1492" s="190">
        <f t="shared" si="60"/>
        <v>33.15</v>
      </c>
      <c r="Y1492" s="8"/>
      <c r="Z1492" s="8"/>
    </row>
    <row r="1493" spans="1:26" ht="12.75" customHeight="1" x14ac:dyDescent="0.2">
      <c r="A1493" s="15">
        <v>31</v>
      </c>
      <c r="B1493" s="15">
        <v>2003</v>
      </c>
      <c r="C1493" s="15">
        <v>30</v>
      </c>
      <c r="D1493" s="15">
        <v>7</v>
      </c>
      <c r="E1493" s="30">
        <v>0.625</v>
      </c>
      <c r="F1493" s="11" t="s">
        <v>51</v>
      </c>
      <c r="G1493" s="32">
        <v>139</v>
      </c>
      <c r="H1493" s="15" t="s">
        <v>29</v>
      </c>
      <c r="I1493" s="33">
        <v>12.5</v>
      </c>
      <c r="J1493" s="11" t="s">
        <v>19</v>
      </c>
      <c r="K1493" s="20" t="s">
        <v>20</v>
      </c>
      <c r="L1493" s="20" t="s">
        <v>30</v>
      </c>
      <c r="M1493" s="20" t="s">
        <v>46</v>
      </c>
      <c r="N1493" s="20" t="s">
        <v>24</v>
      </c>
      <c r="O1493" s="31" t="s">
        <v>29</v>
      </c>
      <c r="P1493" s="15">
        <v>211</v>
      </c>
      <c r="Q1493" s="8"/>
      <c r="R1493">
        <v>12.97</v>
      </c>
      <c r="S1493">
        <v>2181.17</v>
      </c>
      <c r="T1493">
        <v>5.73</v>
      </c>
      <c r="U1493">
        <v>9.31</v>
      </c>
      <c r="V1493">
        <v>130</v>
      </c>
      <c r="W1493" s="317">
        <v>4.5999999999999996</v>
      </c>
      <c r="X1493" s="190">
        <f t="shared" si="60"/>
        <v>57.499999999999993</v>
      </c>
      <c r="Y1493" s="8"/>
      <c r="Z1493" s="8"/>
    </row>
    <row r="1494" spans="1:26" ht="12.75" customHeight="1" x14ac:dyDescent="0.2">
      <c r="A1494" s="15">
        <v>32</v>
      </c>
      <c r="B1494" s="15">
        <v>2003</v>
      </c>
      <c r="C1494" s="15">
        <v>30</v>
      </c>
      <c r="D1494" s="15">
        <v>7</v>
      </c>
      <c r="E1494" s="30">
        <v>0.625</v>
      </c>
      <c r="F1494" s="11" t="s">
        <v>51</v>
      </c>
      <c r="G1494" s="32">
        <v>123</v>
      </c>
      <c r="H1494" s="15" t="s">
        <v>29</v>
      </c>
      <c r="I1494" s="33">
        <v>10</v>
      </c>
      <c r="J1494" s="11" t="s">
        <v>19</v>
      </c>
      <c r="K1494" s="20" t="s">
        <v>20</v>
      </c>
      <c r="L1494" s="20" t="s">
        <v>30</v>
      </c>
      <c r="M1494" s="20" t="s">
        <v>46</v>
      </c>
      <c r="N1494" s="20" t="s">
        <v>24</v>
      </c>
      <c r="O1494" s="31" t="s">
        <v>29</v>
      </c>
      <c r="P1494" s="15">
        <v>211</v>
      </c>
      <c r="Q1494" s="8"/>
      <c r="R1494">
        <v>11.48</v>
      </c>
      <c r="S1494">
        <v>1511.33</v>
      </c>
      <c r="T1494">
        <v>6.62</v>
      </c>
      <c r="U1494">
        <v>8.24</v>
      </c>
      <c r="V1494">
        <v>115</v>
      </c>
      <c r="W1494" s="317">
        <v>4.5999999999999996</v>
      </c>
      <c r="X1494" s="190">
        <f t="shared" si="60"/>
        <v>46</v>
      </c>
      <c r="Y1494" s="8"/>
      <c r="Z1494" s="8"/>
    </row>
    <row r="1495" spans="1:26" ht="12.75" customHeight="1" x14ac:dyDescent="0.2">
      <c r="A1495" s="15">
        <v>33</v>
      </c>
      <c r="B1495" s="15">
        <v>2003</v>
      </c>
      <c r="C1495" s="15">
        <v>30</v>
      </c>
      <c r="D1495" s="15">
        <v>7</v>
      </c>
      <c r="E1495" s="30">
        <v>0.625</v>
      </c>
      <c r="F1495" s="11" t="s">
        <v>51</v>
      </c>
      <c r="G1495" s="11" t="s">
        <v>29</v>
      </c>
      <c r="H1495" s="15" t="s">
        <v>29</v>
      </c>
      <c r="I1495" s="33">
        <v>15</v>
      </c>
      <c r="J1495" s="11" t="s">
        <v>19</v>
      </c>
      <c r="K1495" s="20" t="s">
        <v>34</v>
      </c>
      <c r="L1495" s="11" t="s">
        <v>41</v>
      </c>
      <c r="M1495" s="20" t="s">
        <v>27</v>
      </c>
      <c r="N1495" s="20" t="s">
        <v>25</v>
      </c>
      <c r="O1495" s="31" t="s">
        <v>29</v>
      </c>
      <c r="P1495" s="15">
        <v>211</v>
      </c>
      <c r="Q1495" s="8"/>
      <c r="W1495" s="317">
        <v>3.8</v>
      </c>
      <c r="X1495" s="190">
        <f t="shared" si="60"/>
        <v>57</v>
      </c>
      <c r="Y1495" s="8"/>
      <c r="Z1495" s="8"/>
    </row>
    <row r="1496" spans="1:26" ht="12.75" customHeight="1" x14ac:dyDescent="0.2">
      <c r="A1496" s="15">
        <v>34</v>
      </c>
      <c r="B1496" s="15">
        <v>2003</v>
      </c>
      <c r="C1496" s="15">
        <v>30</v>
      </c>
      <c r="D1496" s="15">
        <v>7</v>
      </c>
      <c r="E1496" s="30">
        <v>0.625</v>
      </c>
      <c r="F1496" s="11" t="s">
        <v>51</v>
      </c>
      <c r="G1496" s="32">
        <v>140</v>
      </c>
      <c r="H1496" s="15" t="s">
        <v>29</v>
      </c>
      <c r="I1496" s="33">
        <v>14</v>
      </c>
      <c r="J1496" s="11" t="s">
        <v>19</v>
      </c>
      <c r="K1496" s="20" t="s">
        <v>20</v>
      </c>
      <c r="L1496" s="20" t="s">
        <v>30</v>
      </c>
      <c r="M1496" s="20" t="s">
        <v>46</v>
      </c>
      <c r="N1496" s="20" t="s">
        <v>23</v>
      </c>
      <c r="O1496" s="31" t="s">
        <v>29</v>
      </c>
      <c r="P1496" s="15">
        <v>211</v>
      </c>
      <c r="Q1496" s="8"/>
      <c r="R1496">
        <v>13.06</v>
      </c>
      <c r="S1496">
        <v>2228.58</v>
      </c>
      <c r="T1496">
        <v>6.28</v>
      </c>
      <c r="U1496">
        <v>9.3800000000000008</v>
      </c>
      <c r="V1496">
        <v>131</v>
      </c>
      <c r="W1496" s="317">
        <v>4.5999999999999996</v>
      </c>
      <c r="X1496" s="190">
        <f t="shared" ref="X1496:X1503" si="61">I1496*W1496</f>
        <v>64.399999999999991</v>
      </c>
      <c r="Y1496" s="8"/>
      <c r="Z1496" s="8"/>
    </row>
    <row r="1497" spans="1:26" ht="12.75" customHeight="1" x14ac:dyDescent="0.2">
      <c r="A1497" s="15">
        <v>35</v>
      </c>
      <c r="B1497" s="15">
        <v>2003</v>
      </c>
      <c r="C1497" s="15">
        <v>30</v>
      </c>
      <c r="D1497" s="15">
        <v>7</v>
      </c>
      <c r="E1497" s="30">
        <v>0.625</v>
      </c>
      <c r="F1497" s="11" t="s">
        <v>51</v>
      </c>
      <c r="G1497" s="32">
        <v>145</v>
      </c>
      <c r="H1497" s="15" t="s">
        <v>29</v>
      </c>
      <c r="I1497" s="33">
        <v>17</v>
      </c>
      <c r="J1497" s="11" t="s">
        <v>19</v>
      </c>
      <c r="K1497" s="20" t="s">
        <v>20</v>
      </c>
      <c r="L1497" s="20" t="s">
        <v>30</v>
      </c>
      <c r="M1497" s="20" t="s">
        <v>46</v>
      </c>
      <c r="N1497" s="20" t="s">
        <v>23</v>
      </c>
      <c r="O1497" s="31" t="s">
        <v>29</v>
      </c>
      <c r="P1497" s="15">
        <v>211</v>
      </c>
      <c r="Q1497" s="8"/>
      <c r="R1497">
        <v>13.53</v>
      </c>
      <c r="S1497">
        <v>2475.9899999999998</v>
      </c>
      <c r="T1497">
        <v>6.87</v>
      </c>
      <c r="U1497">
        <v>9.7200000000000006</v>
      </c>
      <c r="V1497">
        <v>135</v>
      </c>
      <c r="W1497" s="317">
        <v>4.5999999999999996</v>
      </c>
      <c r="X1497" s="190">
        <f t="shared" si="61"/>
        <v>78.199999999999989</v>
      </c>
      <c r="Y1497" s="8"/>
      <c r="Z1497" s="8"/>
    </row>
    <row r="1498" spans="1:26" ht="12.75" customHeight="1" x14ac:dyDescent="0.2">
      <c r="A1498" s="15">
        <v>36</v>
      </c>
      <c r="B1498" s="15">
        <v>2003</v>
      </c>
      <c r="C1498" s="15">
        <v>30</v>
      </c>
      <c r="D1498" s="15">
        <v>7</v>
      </c>
      <c r="E1498" s="30">
        <v>0.625</v>
      </c>
      <c r="F1498" s="11" t="s">
        <v>51</v>
      </c>
      <c r="G1498" s="32">
        <v>144</v>
      </c>
      <c r="H1498" s="15" t="s">
        <v>29</v>
      </c>
      <c r="I1498" s="33">
        <v>15</v>
      </c>
      <c r="J1498" s="11" t="s">
        <v>19</v>
      </c>
      <c r="K1498" s="20" t="s">
        <v>20</v>
      </c>
      <c r="L1498" s="20" t="s">
        <v>30</v>
      </c>
      <c r="M1498" s="20" t="s">
        <v>46</v>
      </c>
      <c r="N1498" s="20" t="s">
        <v>24</v>
      </c>
      <c r="O1498" s="31" t="s">
        <v>29</v>
      </c>
      <c r="P1498" s="15">
        <v>211</v>
      </c>
      <c r="Q1498" s="8"/>
      <c r="R1498">
        <v>13.44</v>
      </c>
      <c r="S1498">
        <v>2425.12</v>
      </c>
      <c r="T1498">
        <v>6.19</v>
      </c>
      <c r="U1498">
        <v>9.65</v>
      </c>
      <c r="V1498">
        <v>134</v>
      </c>
      <c r="W1498" s="317">
        <v>4.5999999999999996</v>
      </c>
      <c r="X1498" s="190">
        <f t="shared" si="61"/>
        <v>69</v>
      </c>
      <c r="Y1498" s="8"/>
      <c r="Z1498" s="8"/>
    </row>
    <row r="1499" spans="1:26" ht="12.75" customHeight="1" x14ac:dyDescent="0.2">
      <c r="A1499" s="15">
        <v>37</v>
      </c>
      <c r="B1499" s="15">
        <v>2003</v>
      </c>
      <c r="C1499" s="15">
        <v>30</v>
      </c>
      <c r="D1499" s="15">
        <v>7</v>
      </c>
      <c r="E1499" s="30">
        <v>0.625</v>
      </c>
      <c r="F1499" s="11" t="s">
        <v>51</v>
      </c>
      <c r="G1499" s="32">
        <v>159</v>
      </c>
      <c r="H1499" s="15" t="s">
        <v>29</v>
      </c>
      <c r="I1499" s="33">
        <v>20.5</v>
      </c>
      <c r="J1499" s="11" t="s">
        <v>19</v>
      </c>
      <c r="K1499" s="20" t="s">
        <v>20</v>
      </c>
      <c r="L1499" s="20" t="s">
        <v>30</v>
      </c>
      <c r="M1499" s="20" t="s">
        <v>46</v>
      </c>
      <c r="N1499" s="20" t="s">
        <v>24</v>
      </c>
      <c r="O1499" s="31" t="s">
        <v>29</v>
      </c>
      <c r="P1499" s="15">
        <v>211</v>
      </c>
      <c r="Q1499" s="8"/>
      <c r="R1499">
        <v>14.83</v>
      </c>
      <c r="S1499">
        <v>3264.65</v>
      </c>
      <c r="T1499">
        <v>6.28</v>
      </c>
      <c r="U1499">
        <v>10.65</v>
      </c>
      <c r="V1499">
        <v>148</v>
      </c>
      <c r="W1499" s="317">
        <v>4.5999999999999996</v>
      </c>
      <c r="X1499" s="190">
        <f t="shared" si="61"/>
        <v>94.3</v>
      </c>
      <c r="Y1499" s="8"/>
      <c r="Z1499" s="8"/>
    </row>
    <row r="1500" spans="1:26" ht="12.75" customHeight="1" x14ac:dyDescent="0.2">
      <c r="A1500" s="15">
        <v>38</v>
      </c>
      <c r="B1500" s="15">
        <v>2003</v>
      </c>
      <c r="C1500" s="15">
        <v>30</v>
      </c>
      <c r="D1500" s="15">
        <v>7</v>
      </c>
      <c r="E1500" s="30">
        <v>0.625</v>
      </c>
      <c r="F1500" s="11" t="s">
        <v>51</v>
      </c>
      <c r="G1500" s="32">
        <v>127</v>
      </c>
      <c r="H1500" s="15" t="s">
        <v>29</v>
      </c>
      <c r="I1500" s="33">
        <v>11.5</v>
      </c>
      <c r="J1500" s="11" t="s">
        <v>19</v>
      </c>
      <c r="K1500" s="20" t="s">
        <v>20</v>
      </c>
      <c r="L1500" s="20" t="s">
        <v>30</v>
      </c>
      <c r="M1500" s="20" t="s">
        <v>46</v>
      </c>
      <c r="N1500" s="20" t="s">
        <v>24</v>
      </c>
      <c r="O1500" s="31" t="s">
        <v>29</v>
      </c>
      <c r="P1500" s="15">
        <v>211</v>
      </c>
      <c r="Q1500" s="8"/>
      <c r="R1500">
        <v>11.85</v>
      </c>
      <c r="S1500">
        <v>1663.63</v>
      </c>
      <c r="T1500">
        <v>6.91</v>
      </c>
      <c r="U1500">
        <v>8.51</v>
      </c>
      <c r="V1500">
        <v>118</v>
      </c>
      <c r="W1500" s="317">
        <v>4.5999999999999996</v>
      </c>
      <c r="X1500" s="190">
        <f t="shared" si="61"/>
        <v>52.9</v>
      </c>
      <c r="Y1500" s="8"/>
      <c r="Z1500" s="8"/>
    </row>
    <row r="1501" spans="1:26" ht="12.75" customHeight="1" x14ac:dyDescent="0.2">
      <c r="A1501" s="15">
        <v>39</v>
      </c>
      <c r="B1501" s="15">
        <v>2003</v>
      </c>
      <c r="C1501" s="15">
        <v>30</v>
      </c>
      <c r="D1501" s="15">
        <v>7</v>
      </c>
      <c r="E1501" s="30">
        <v>0.625</v>
      </c>
      <c r="F1501" s="11" t="s">
        <v>51</v>
      </c>
      <c r="G1501" s="32">
        <v>123</v>
      </c>
      <c r="H1501" s="15" t="s">
        <v>29</v>
      </c>
      <c r="I1501" s="33">
        <v>7</v>
      </c>
      <c r="J1501" s="11" t="s">
        <v>19</v>
      </c>
      <c r="K1501" s="20" t="s">
        <v>20</v>
      </c>
      <c r="L1501" s="20" t="s">
        <v>30</v>
      </c>
      <c r="M1501" s="20" t="s">
        <v>46</v>
      </c>
      <c r="N1501" s="20" t="s">
        <v>23</v>
      </c>
      <c r="O1501" s="31" t="s">
        <v>29</v>
      </c>
      <c r="P1501" s="15">
        <v>211</v>
      </c>
      <c r="Q1501" s="8"/>
      <c r="R1501">
        <v>11.48</v>
      </c>
      <c r="S1501">
        <v>1511.33</v>
      </c>
      <c r="T1501">
        <v>4.63</v>
      </c>
      <c r="U1501">
        <v>8.24</v>
      </c>
      <c r="V1501">
        <v>115</v>
      </c>
      <c r="W1501" s="317">
        <v>4.5999999999999996</v>
      </c>
      <c r="X1501" s="190">
        <f t="shared" si="61"/>
        <v>32.199999999999996</v>
      </c>
      <c r="Y1501" s="8"/>
      <c r="Z1501" s="8"/>
    </row>
    <row r="1502" spans="1:26" ht="12.75" customHeight="1" x14ac:dyDescent="0.2">
      <c r="A1502" s="15">
        <v>40</v>
      </c>
      <c r="B1502" s="15">
        <v>2003</v>
      </c>
      <c r="C1502" s="15">
        <v>30</v>
      </c>
      <c r="D1502" s="15">
        <v>7</v>
      </c>
      <c r="E1502" s="30">
        <v>0.625</v>
      </c>
      <c r="F1502" s="11" t="s">
        <v>51</v>
      </c>
      <c r="G1502" s="32">
        <v>138</v>
      </c>
      <c r="H1502" s="15" t="s">
        <v>29</v>
      </c>
      <c r="I1502" s="33">
        <v>13.5</v>
      </c>
      <c r="J1502" s="11" t="s">
        <v>19</v>
      </c>
      <c r="K1502" s="20" t="s">
        <v>20</v>
      </c>
      <c r="L1502" s="20" t="s">
        <v>30</v>
      </c>
      <c r="M1502" s="20" t="s">
        <v>46</v>
      </c>
      <c r="N1502" s="20" t="s">
        <v>24</v>
      </c>
      <c r="O1502" s="31" t="s">
        <v>29</v>
      </c>
      <c r="P1502" s="15">
        <v>211</v>
      </c>
      <c r="Q1502" s="8"/>
      <c r="R1502">
        <v>12.88</v>
      </c>
      <c r="S1502">
        <v>2134.4299999999998</v>
      </c>
      <c r="T1502">
        <v>6.32</v>
      </c>
      <c r="U1502">
        <v>9.25</v>
      </c>
      <c r="V1502">
        <v>129</v>
      </c>
      <c r="W1502" s="317">
        <v>4.5999999999999996</v>
      </c>
      <c r="X1502" s="190">
        <f t="shared" si="61"/>
        <v>62.099999999999994</v>
      </c>
      <c r="Y1502" s="8"/>
      <c r="Z1502" s="8"/>
    </row>
    <row r="1503" spans="1:26" ht="12.75" customHeight="1" x14ac:dyDescent="0.2">
      <c r="A1503" s="15">
        <v>41</v>
      </c>
      <c r="B1503" s="15">
        <v>2003</v>
      </c>
      <c r="C1503" s="15">
        <v>30</v>
      </c>
      <c r="D1503" s="15">
        <v>7</v>
      </c>
      <c r="E1503" s="30">
        <v>0.625</v>
      </c>
      <c r="F1503" s="11" t="s">
        <v>51</v>
      </c>
      <c r="G1503" s="32">
        <v>147</v>
      </c>
      <c r="H1503" s="15" t="s">
        <v>29</v>
      </c>
      <c r="I1503" s="33">
        <v>17</v>
      </c>
      <c r="J1503" s="11" t="s">
        <v>19</v>
      </c>
      <c r="K1503" s="20" t="s">
        <v>34</v>
      </c>
      <c r="L1503" s="11" t="s">
        <v>41</v>
      </c>
      <c r="M1503" s="20" t="s">
        <v>46</v>
      </c>
      <c r="N1503" s="20" t="s">
        <v>23</v>
      </c>
      <c r="O1503" s="31" t="s">
        <v>29</v>
      </c>
      <c r="P1503" s="15">
        <v>211</v>
      </c>
      <c r="Q1503" s="8"/>
      <c r="R1503">
        <v>13.72</v>
      </c>
      <c r="S1503">
        <v>2579.86</v>
      </c>
      <c r="T1503">
        <v>6.59</v>
      </c>
      <c r="U1503">
        <v>9.85</v>
      </c>
      <c r="V1503">
        <v>137</v>
      </c>
      <c r="W1503" s="317">
        <v>3.8</v>
      </c>
      <c r="X1503" s="190">
        <f t="shared" si="61"/>
        <v>64.599999999999994</v>
      </c>
      <c r="Y1503" s="8"/>
      <c r="Z1503" s="8"/>
    </row>
    <row r="1504" spans="1:26" ht="12.75" customHeight="1" x14ac:dyDescent="0.2">
      <c r="A1504" s="15">
        <v>42</v>
      </c>
      <c r="B1504" s="15">
        <v>2003</v>
      </c>
      <c r="C1504" s="15">
        <v>30</v>
      </c>
      <c r="D1504" s="15">
        <v>7</v>
      </c>
      <c r="E1504" s="30">
        <v>0.625</v>
      </c>
      <c r="F1504" s="11" t="s">
        <v>51</v>
      </c>
      <c r="G1504" s="32">
        <v>140</v>
      </c>
      <c r="H1504" s="15" t="s">
        <v>29</v>
      </c>
      <c r="I1504" s="25" t="s">
        <v>29</v>
      </c>
      <c r="J1504" s="11" t="s">
        <v>19</v>
      </c>
      <c r="K1504" s="20" t="s">
        <v>20</v>
      </c>
      <c r="L1504" s="11" t="s">
        <v>21</v>
      </c>
      <c r="M1504" s="11" t="s">
        <v>29</v>
      </c>
      <c r="N1504" s="20" t="s">
        <v>33</v>
      </c>
      <c r="O1504" s="31" t="s">
        <v>29</v>
      </c>
      <c r="P1504" s="15">
        <v>211</v>
      </c>
      <c r="Q1504" s="8"/>
      <c r="R1504">
        <v>13.06</v>
      </c>
      <c r="S1504">
        <v>2228.58</v>
      </c>
      <c r="U1504">
        <v>9.3800000000000008</v>
      </c>
      <c r="V1504">
        <v>131</v>
      </c>
      <c r="W1504" s="317">
        <v>3.9</v>
      </c>
      <c r="X1504" s="190"/>
      <c r="Y1504" s="8"/>
      <c r="Z1504" s="8"/>
    </row>
    <row r="1505" spans="1:26" ht="12.75" customHeight="1" x14ac:dyDescent="0.2">
      <c r="A1505" s="15">
        <v>43</v>
      </c>
      <c r="B1505" s="15">
        <v>2003</v>
      </c>
      <c r="C1505" s="15">
        <v>30</v>
      </c>
      <c r="D1505" s="15">
        <v>7</v>
      </c>
      <c r="E1505" s="30">
        <v>0.625</v>
      </c>
      <c r="F1505" s="11" t="s">
        <v>51</v>
      </c>
      <c r="G1505" s="32">
        <v>128</v>
      </c>
      <c r="H1505" s="15" t="s">
        <v>29</v>
      </c>
      <c r="I1505" s="33">
        <v>10.5</v>
      </c>
      <c r="J1505" s="11" t="s">
        <v>19</v>
      </c>
      <c r="K1505" s="20" t="s">
        <v>20</v>
      </c>
      <c r="L1505" s="20" t="s">
        <v>30</v>
      </c>
      <c r="M1505" s="20" t="s">
        <v>46</v>
      </c>
      <c r="N1505" s="20" t="s">
        <v>24</v>
      </c>
      <c r="O1505" s="31" t="s">
        <v>29</v>
      </c>
      <c r="P1505" s="15">
        <v>211</v>
      </c>
      <c r="Q1505" s="8"/>
      <c r="R1505">
        <v>11.94</v>
      </c>
      <c r="S1505">
        <v>1703.24</v>
      </c>
      <c r="T1505">
        <v>6.16</v>
      </c>
      <c r="U1505">
        <v>8.58</v>
      </c>
      <c r="V1505">
        <v>119</v>
      </c>
      <c r="W1505" s="317">
        <v>4.5999999999999996</v>
      </c>
      <c r="X1505" s="190">
        <f>I1505*W1505</f>
        <v>48.3</v>
      </c>
      <c r="Y1505" s="8"/>
      <c r="Z1505" s="8"/>
    </row>
    <row r="1506" spans="1:26" ht="12.75" customHeight="1" x14ac:dyDescent="0.2">
      <c r="A1506" s="15">
        <v>44</v>
      </c>
      <c r="B1506" s="15">
        <v>2003</v>
      </c>
      <c r="C1506" s="15">
        <v>30</v>
      </c>
      <c r="D1506" s="15">
        <v>7</v>
      </c>
      <c r="E1506" s="30">
        <v>0.625</v>
      </c>
      <c r="F1506" s="11" t="s">
        <v>51</v>
      </c>
      <c r="G1506" s="32">
        <v>155</v>
      </c>
      <c r="H1506" s="15" t="s">
        <v>29</v>
      </c>
      <c r="I1506" s="33">
        <v>21</v>
      </c>
      <c r="J1506" s="11" t="s">
        <v>19</v>
      </c>
      <c r="K1506" s="20" t="s">
        <v>34</v>
      </c>
      <c r="L1506" s="11" t="s">
        <v>41</v>
      </c>
      <c r="M1506" s="20" t="s">
        <v>46</v>
      </c>
      <c r="N1506" s="20" t="s">
        <v>23</v>
      </c>
      <c r="O1506" s="31" t="s">
        <v>29</v>
      </c>
      <c r="P1506" s="15">
        <v>211</v>
      </c>
      <c r="Q1506" s="8"/>
      <c r="R1506">
        <v>14.46</v>
      </c>
      <c r="S1506">
        <v>3024.41</v>
      </c>
      <c r="T1506">
        <v>6.94</v>
      </c>
      <c r="U1506">
        <v>10.39</v>
      </c>
      <c r="V1506">
        <v>145</v>
      </c>
      <c r="W1506" s="317">
        <v>3.8</v>
      </c>
      <c r="X1506" s="190">
        <f>I1506*W1506</f>
        <v>79.8</v>
      </c>
      <c r="Y1506" s="8"/>
      <c r="Z1506" s="8"/>
    </row>
    <row r="1507" spans="1:26" ht="12.75" customHeight="1" x14ac:dyDescent="0.2">
      <c r="A1507" s="15">
        <v>45</v>
      </c>
      <c r="B1507" s="15">
        <v>2003</v>
      </c>
      <c r="C1507" s="15">
        <v>30</v>
      </c>
      <c r="D1507" s="15">
        <v>7</v>
      </c>
      <c r="E1507" s="30">
        <v>0.625</v>
      </c>
      <c r="F1507" s="11" t="s">
        <v>51</v>
      </c>
      <c r="G1507" s="32">
        <v>129</v>
      </c>
      <c r="H1507" s="15" t="s">
        <v>29</v>
      </c>
      <c r="I1507" s="33">
        <v>12</v>
      </c>
      <c r="J1507" s="11" t="s">
        <v>19</v>
      </c>
      <c r="K1507" s="20" t="s">
        <v>20</v>
      </c>
      <c r="L1507" s="20" t="s">
        <v>30</v>
      </c>
      <c r="M1507" s="20" t="s">
        <v>27</v>
      </c>
      <c r="N1507" s="20" t="s">
        <v>23</v>
      </c>
      <c r="O1507" s="31" t="s">
        <v>29</v>
      </c>
      <c r="P1507" s="15">
        <v>211</v>
      </c>
      <c r="Q1507" s="8"/>
      <c r="R1507">
        <v>12.04</v>
      </c>
      <c r="S1507">
        <v>1743.47</v>
      </c>
      <c r="T1507">
        <v>6.88</v>
      </c>
      <c r="U1507">
        <v>8.64</v>
      </c>
      <c r="V1507">
        <v>120</v>
      </c>
      <c r="W1507" s="317">
        <v>4.5999999999999996</v>
      </c>
      <c r="X1507" s="190">
        <f t="shared" ref="X1507:X1522" si="62">I1507*W1507</f>
        <v>55.199999999999996</v>
      </c>
      <c r="Y1507" s="8"/>
      <c r="Z1507" s="8"/>
    </row>
    <row r="1508" spans="1:26" ht="12.75" customHeight="1" x14ac:dyDescent="0.2">
      <c r="A1508" s="15">
        <v>46</v>
      </c>
      <c r="B1508" s="15">
        <v>2003</v>
      </c>
      <c r="C1508" s="15">
        <v>30</v>
      </c>
      <c r="D1508" s="15">
        <v>7</v>
      </c>
      <c r="E1508" s="30">
        <v>0.625</v>
      </c>
      <c r="F1508" s="11" t="s">
        <v>51</v>
      </c>
      <c r="G1508" s="32">
        <v>134</v>
      </c>
      <c r="H1508" s="15" t="s">
        <v>29</v>
      </c>
      <c r="I1508" s="33">
        <v>11</v>
      </c>
      <c r="J1508" s="11" t="s">
        <v>19</v>
      </c>
      <c r="K1508" s="20" t="s">
        <v>20</v>
      </c>
      <c r="L1508" s="20" t="s">
        <v>30</v>
      </c>
      <c r="M1508" s="20" t="s">
        <v>46</v>
      </c>
      <c r="N1508" s="20" t="s">
        <v>23</v>
      </c>
      <c r="O1508" s="31" t="s">
        <v>29</v>
      </c>
      <c r="P1508" s="15">
        <v>211</v>
      </c>
      <c r="Q1508" s="8"/>
      <c r="R1508">
        <v>12.5</v>
      </c>
      <c r="S1508">
        <v>1954.16</v>
      </c>
      <c r="T1508">
        <v>5.63</v>
      </c>
      <c r="U1508">
        <v>8.98</v>
      </c>
      <c r="V1508">
        <v>125</v>
      </c>
      <c r="W1508" s="317">
        <v>4.5999999999999996</v>
      </c>
      <c r="X1508" s="190">
        <f t="shared" si="62"/>
        <v>50.599999999999994</v>
      </c>
      <c r="Y1508" s="8"/>
      <c r="Z1508" s="8"/>
    </row>
    <row r="1509" spans="1:26" ht="12.75" customHeight="1" x14ac:dyDescent="0.2">
      <c r="A1509" s="15">
        <v>47</v>
      </c>
      <c r="B1509" s="15">
        <v>2003</v>
      </c>
      <c r="C1509" s="15">
        <v>30</v>
      </c>
      <c r="D1509" s="15">
        <v>7</v>
      </c>
      <c r="E1509" s="30">
        <v>0.625</v>
      </c>
      <c r="F1509" s="11" t="s">
        <v>51</v>
      </c>
      <c r="G1509" s="32">
        <v>130</v>
      </c>
      <c r="H1509" s="15" t="s">
        <v>29</v>
      </c>
      <c r="I1509" s="33">
        <v>8.5</v>
      </c>
      <c r="J1509" s="11" t="s">
        <v>19</v>
      </c>
      <c r="K1509" s="20" t="s">
        <v>20</v>
      </c>
      <c r="L1509" s="11" t="s">
        <v>21</v>
      </c>
      <c r="M1509" s="20" t="s">
        <v>45</v>
      </c>
      <c r="N1509" s="20" t="s">
        <v>24</v>
      </c>
      <c r="O1509" s="31" t="s">
        <v>29</v>
      </c>
      <c r="P1509" s="15">
        <v>211</v>
      </c>
      <c r="Q1509" s="8"/>
      <c r="R1509">
        <v>12.13</v>
      </c>
      <c r="S1509">
        <v>1784.33</v>
      </c>
      <c r="T1509">
        <v>4.76</v>
      </c>
      <c r="U1509">
        <v>8.7100000000000009</v>
      </c>
      <c r="V1509">
        <v>121</v>
      </c>
      <c r="W1509" s="317">
        <v>3.9</v>
      </c>
      <c r="X1509" s="190">
        <f t="shared" si="62"/>
        <v>33.15</v>
      </c>
      <c r="Y1509" s="8"/>
      <c r="Z1509" s="8"/>
    </row>
    <row r="1510" spans="1:26" ht="12.75" customHeight="1" x14ac:dyDescent="0.2">
      <c r="A1510" s="15">
        <v>48</v>
      </c>
      <c r="B1510" s="15">
        <v>2003</v>
      </c>
      <c r="C1510" s="15">
        <v>30</v>
      </c>
      <c r="D1510" s="15">
        <v>7</v>
      </c>
      <c r="E1510" s="30">
        <v>0.625</v>
      </c>
      <c r="F1510" s="11" t="s">
        <v>51</v>
      </c>
      <c r="G1510" s="32">
        <v>105</v>
      </c>
      <c r="H1510" s="15" t="s">
        <v>29</v>
      </c>
      <c r="I1510" s="33">
        <v>13</v>
      </c>
      <c r="J1510" s="11" t="s">
        <v>19</v>
      </c>
      <c r="K1510" s="20" t="s">
        <v>20</v>
      </c>
      <c r="L1510" s="20" t="s">
        <v>30</v>
      </c>
      <c r="M1510" s="20" t="s">
        <v>46</v>
      </c>
      <c r="N1510" s="20" t="s">
        <v>23</v>
      </c>
      <c r="O1510" s="31" t="s">
        <v>29</v>
      </c>
      <c r="P1510" s="15">
        <v>211</v>
      </c>
      <c r="Q1510" s="8"/>
      <c r="R1510">
        <v>9.8000000000000007</v>
      </c>
      <c r="S1510">
        <v>940.18</v>
      </c>
      <c r="T1510">
        <v>13.83</v>
      </c>
      <c r="U1510">
        <v>7.04</v>
      </c>
      <c r="V1510">
        <v>98</v>
      </c>
      <c r="W1510" s="317">
        <v>4.5999999999999996</v>
      </c>
      <c r="X1510" s="190">
        <f t="shared" si="62"/>
        <v>59.8</v>
      </c>
      <c r="Y1510" s="8"/>
      <c r="Z1510" s="8"/>
    </row>
    <row r="1511" spans="1:26" ht="25.5" customHeight="1" x14ac:dyDescent="0.2">
      <c r="A1511" s="15">
        <v>49</v>
      </c>
      <c r="B1511" s="15">
        <v>2003</v>
      </c>
      <c r="C1511" s="15">
        <v>29</v>
      </c>
      <c r="D1511" s="15">
        <v>7</v>
      </c>
      <c r="E1511" s="29" t="s">
        <v>206</v>
      </c>
      <c r="F1511" s="11" t="s">
        <v>51</v>
      </c>
      <c r="G1511" s="32">
        <v>136</v>
      </c>
      <c r="H1511" s="15" t="s">
        <v>29</v>
      </c>
      <c r="I1511" s="33">
        <v>13</v>
      </c>
      <c r="J1511" s="11" t="s">
        <v>19</v>
      </c>
      <c r="K1511" s="20" t="s">
        <v>20</v>
      </c>
      <c r="L1511" s="20" t="s">
        <v>30</v>
      </c>
      <c r="M1511" s="20" t="s">
        <v>27</v>
      </c>
      <c r="N1511" s="20" t="s">
        <v>24</v>
      </c>
      <c r="O1511" s="31" t="s">
        <v>29</v>
      </c>
      <c r="P1511" s="15">
        <v>210</v>
      </c>
      <c r="Q1511" s="8"/>
      <c r="R1511">
        <v>12.69</v>
      </c>
      <c r="S1511">
        <v>2042.97</v>
      </c>
      <c r="T1511">
        <v>6.36</v>
      </c>
      <c r="U1511">
        <v>9.11</v>
      </c>
      <c r="V1511">
        <v>127</v>
      </c>
      <c r="W1511" s="317">
        <v>4.5999999999999996</v>
      </c>
      <c r="X1511" s="190">
        <f t="shared" si="62"/>
        <v>59.8</v>
      </c>
      <c r="Y1511" s="8"/>
      <c r="Z1511" s="8"/>
    </row>
    <row r="1512" spans="1:26" ht="25.5" customHeight="1" x14ac:dyDescent="0.2">
      <c r="A1512" s="15">
        <v>50</v>
      </c>
      <c r="B1512" s="15">
        <v>2003</v>
      </c>
      <c r="C1512" s="15">
        <v>29</v>
      </c>
      <c r="D1512" s="15">
        <v>7</v>
      </c>
      <c r="E1512" s="29" t="s">
        <v>206</v>
      </c>
      <c r="F1512" s="11" t="s">
        <v>51</v>
      </c>
      <c r="G1512" s="32">
        <v>147</v>
      </c>
      <c r="H1512" s="15" t="s">
        <v>29</v>
      </c>
      <c r="I1512" s="33">
        <v>11.5</v>
      </c>
      <c r="J1512" s="11" t="s">
        <v>19</v>
      </c>
      <c r="K1512" s="20" t="s">
        <v>20</v>
      </c>
      <c r="L1512" s="11" t="s">
        <v>21</v>
      </c>
      <c r="M1512" s="20" t="s">
        <v>27</v>
      </c>
      <c r="N1512" s="20" t="s">
        <v>23</v>
      </c>
      <c r="O1512" s="31" t="s">
        <v>29</v>
      </c>
      <c r="P1512" s="15">
        <v>210</v>
      </c>
      <c r="Q1512" s="8"/>
      <c r="R1512">
        <v>13.72</v>
      </c>
      <c r="S1512">
        <v>2579.86</v>
      </c>
      <c r="T1512">
        <v>4.46</v>
      </c>
      <c r="U1512">
        <v>9.85</v>
      </c>
      <c r="V1512">
        <v>137</v>
      </c>
      <c r="W1512" s="317">
        <v>3.9</v>
      </c>
      <c r="X1512" s="190">
        <f t="shared" si="62"/>
        <v>44.85</v>
      </c>
      <c r="Y1512" s="8"/>
      <c r="Z1512" s="8"/>
    </row>
    <row r="1513" spans="1:26" ht="25.5" customHeight="1" x14ac:dyDescent="0.2">
      <c r="A1513" s="15">
        <v>51</v>
      </c>
      <c r="B1513" s="15">
        <v>2003</v>
      </c>
      <c r="C1513" s="15">
        <v>29</v>
      </c>
      <c r="D1513" s="15">
        <v>7</v>
      </c>
      <c r="E1513" s="29" t="s">
        <v>206</v>
      </c>
      <c r="F1513" s="11" t="s">
        <v>51</v>
      </c>
      <c r="G1513" s="32">
        <v>130</v>
      </c>
      <c r="H1513" s="15" t="s">
        <v>29</v>
      </c>
      <c r="I1513" s="33">
        <v>9</v>
      </c>
      <c r="J1513" s="11" t="s">
        <v>19</v>
      </c>
      <c r="K1513" s="20" t="s">
        <v>20</v>
      </c>
      <c r="L1513" s="20" t="s">
        <v>30</v>
      </c>
      <c r="M1513" s="20" t="s">
        <v>45</v>
      </c>
      <c r="N1513" s="20" t="s">
        <v>23</v>
      </c>
      <c r="O1513" s="31" t="s">
        <v>29</v>
      </c>
      <c r="P1513" s="15">
        <v>210</v>
      </c>
      <c r="Q1513" s="8"/>
      <c r="R1513">
        <v>12.13</v>
      </c>
      <c r="S1513">
        <v>1784.33</v>
      </c>
      <c r="T1513">
        <v>5.04</v>
      </c>
      <c r="U1513">
        <v>8.7100000000000009</v>
      </c>
      <c r="V1513">
        <v>121</v>
      </c>
      <c r="W1513" s="317">
        <v>4.5999999999999996</v>
      </c>
      <c r="X1513" s="190">
        <f t="shared" si="62"/>
        <v>41.4</v>
      </c>
      <c r="Y1513" s="8"/>
      <c r="Z1513" s="8"/>
    </row>
    <row r="1514" spans="1:26" ht="25.5" customHeight="1" x14ac:dyDescent="0.2">
      <c r="A1514" s="15">
        <v>52</v>
      </c>
      <c r="B1514" s="15">
        <v>2003</v>
      </c>
      <c r="C1514" s="15">
        <v>29</v>
      </c>
      <c r="D1514" s="15">
        <v>7</v>
      </c>
      <c r="E1514" s="29" t="s">
        <v>206</v>
      </c>
      <c r="F1514" s="11" t="s">
        <v>51</v>
      </c>
      <c r="G1514" s="32">
        <v>131</v>
      </c>
      <c r="H1514" s="15" t="s">
        <v>29</v>
      </c>
      <c r="I1514" s="33">
        <v>10.5</v>
      </c>
      <c r="J1514" s="11" t="s">
        <v>19</v>
      </c>
      <c r="K1514" s="20" t="s">
        <v>20</v>
      </c>
      <c r="L1514" s="20" t="s">
        <v>30</v>
      </c>
      <c r="M1514" s="20" t="s">
        <v>46</v>
      </c>
      <c r="N1514" s="11" t="s">
        <v>29</v>
      </c>
      <c r="O1514" s="31" t="s">
        <v>29</v>
      </c>
      <c r="P1514" s="15">
        <v>210</v>
      </c>
      <c r="Q1514" s="8"/>
      <c r="R1514">
        <v>12.22</v>
      </c>
      <c r="S1514">
        <v>1825.82</v>
      </c>
      <c r="T1514">
        <v>5.75</v>
      </c>
      <c r="U1514">
        <v>8.7799999999999994</v>
      </c>
      <c r="V1514">
        <v>122</v>
      </c>
      <c r="W1514" s="317">
        <v>4.5999999999999996</v>
      </c>
      <c r="X1514" s="190">
        <f t="shared" si="62"/>
        <v>48.3</v>
      </c>
      <c r="Y1514" s="8"/>
      <c r="Z1514" s="8"/>
    </row>
    <row r="1515" spans="1:26" ht="25.5" customHeight="1" x14ac:dyDescent="0.2">
      <c r="A1515" s="15">
        <v>53</v>
      </c>
      <c r="B1515" s="15">
        <v>2003</v>
      </c>
      <c r="C1515" s="15">
        <v>29</v>
      </c>
      <c r="D1515" s="15">
        <v>7</v>
      </c>
      <c r="E1515" s="29" t="s">
        <v>206</v>
      </c>
      <c r="F1515" s="11" t="s">
        <v>51</v>
      </c>
      <c r="G1515" s="32">
        <v>125</v>
      </c>
      <c r="H1515" s="15" t="s">
        <v>29</v>
      </c>
      <c r="I1515" s="33">
        <v>10</v>
      </c>
      <c r="J1515" s="11" t="s">
        <v>19</v>
      </c>
      <c r="K1515" s="20" t="s">
        <v>20</v>
      </c>
      <c r="L1515" s="20" t="s">
        <v>30</v>
      </c>
      <c r="M1515" s="20" t="s">
        <v>27</v>
      </c>
      <c r="N1515" s="20" t="s">
        <v>24</v>
      </c>
      <c r="O1515" s="31" t="s">
        <v>29</v>
      </c>
      <c r="P1515" s="15">
        <v>210</v>
      </c>
      <c r="Q1515" s="8"/>
      <c r="R1515">
        <v>11.66</v>
      </c>
      <c r="S1515">
        <v>1586.26</v>
      </c>
      <c r="T1515">
        <v>6.3</v>
      </c>
      <c r="U1515">
        <v>8.3800000000000008</v>
      </c>
      <c r="V1515">
        <v>117</v>
      </c>
      <c r="W1515" s="317">
        <v>4.5999999999999996</v>
      </c>
      <c r="X1515" s="190">
        <f t="shared" si="62"/>
        <v>46</v>
      </c>
      <c r="Y1515" s="8"/>
      <c r="Z1515" s="8"/>
    </row>
    <row r="1516" spans="1:26" ht="25.5" customHeight="1" x14ac:dyDescent="0.2">
      <c r="A1516" s="15">
        <v>54</v>
      </c>
      <c r="B1516" s="15">
        <v>2003</v>
      </c>
      <c r="C1516" s="15">
        <v>29</v>
      </c>
      <c r="D1516" s="15">
        <v>7</v>
      </c>
      <c r="E1516" s="29" t="s">
        <v>206</v>
      </c>
      <c r="F1516" s="11" t="s">
        <v>51</v>
      </c>
      <c r="G1516" s="32">
        <v>139</v>
      </c>
      <c r="H1516" s="15" t="s">
        <v>29</v>
      </c>
      <c r="I1516" s="33">
        <v>12</v>
      </c>
      <c r="J1516" s="11" t="s">
        <v>19</v>
      </c>
      <c r="K1516" s="20" t="s">
        <v>20</v>
      </c>
      <c r="L1516" s="20" t="s">
        <v>30</v>
      </c>
      <c r="M1516" s="20" t="s">
        <v>27</v>
      </c>
      <c r="N1516" s="20" t="s">
        <v>24</v>
      </c>
      <c r="O1516" s="31" t="s">
        <v>29</v>
      </c>
      <c r="P1516" s="15">
        <v>210</v>
      </c>
      <c r="Q1516" s="8"/>
      <c r="R1516">
        <v>12.97</v>
      </c>
      <c r="S1516">
        <v>2181.17</v>
      </c>
      <c r="T1516">
        <v>5.5</v>
      </c>
      <c r="U1516">
        <v>9.31</v>
      </c>
      <c r="V1516">
        <v>130</v>
      </c>
      <c r="W1516" s="317">
        <v>4.5999999999999996</v>
      </c>
      <c r="X1516" s="190">
        <f t="shared" si="62"/>
        <v>55.199999999999996</v>
      </c>
      <c r="Y1516" s="8"/>
      <c r="Z1516" s="8"/>
    </row>
    <row r="1517" spans="1:26" ht="25.5" customHeight="1" x14ac:dyDescent="0.2">
      <c r="A1517" s="15">
        <v>55</v>
      </c>
      <c r="B1517" s="15">
        <v>2003</v>
      </c>
      <c r="C1517" s="15">
        <v>29</v>
      </c>
      <c r="D1517" s="15">
        <v>7</v>
      </c>
      <c r="E1517" s="29" t="s">
        <v>206</v>
      </c>
      <c r="F1517" s="11" t="s">
        <v>51</v>
      </c>
      <c r="G1517" s="32">
        <v>142</v>
      </c>
      <c r="H1517" s="15" t="s">
        <v>29</v>
      </c>
      <c r="I1517" s="33">
        <v>15</v>
      </c>
      <c r="J1517" s="11" t="s">
        <v>19</v>
      </c>
      <c r="K1517" s="20" t="s">
        <v>20</v>
      </c>
      <c r="L1517" s="20" t="s">
        <v>30</v>
      </c>
      <c r="M1517" s="20" t="s">
        <v>46</v>
      </c>
      <c r="N1517" s="20" t="s">
        <v>23</v>
      </c>
      <c r="O1517" s="31" t="s">
        <v>29</v>
      </c>
      <c r="P1517" s="15">
        <v>210</v>
      </c>
      <c r="Q1517" s="8"/>
      <c r="R1517">
        <v>13.25</v>
      </c>
      <c r="S1517">
        <v>2325.4699999999998</v>
      </c>
      <c r="T1517">
        <v>6.45</v>
      </c>
      <c r="U1517">
        <v>9.51</v>
      </c>
      <c r="V1517">
        <v>132</v>
      </c>
      <c r="W1517" s="317">
        <v>4.5999999999999996</v>
      </c>
      <c r="X1517" s="190">
        <f t="shared" si="62"/>
        <v>69</v>
      </c>
      <c r="Y1517" s="8"/>
      <c r="Z1517" s="8"/>
    </row>
    <row r="1518" spans="1:26" ht="25.5" customHeight="1" x14ac:dyDescent="0.2">
      <c r="A1518" s="15">
        <v>56</v>
      </c>
      <c r="B1518" s="15">
        <v>2003</v>
      </c>
      <c r="C1518" s="15">
        <v>29</v>
      </c>
      <c r="D1518" s="15">
        <v>7</v>
      </c>
      <c r="E1518" s="29" t="s">
        <v>206</v>
      </c>
      <c r="F1518" s="11" t="s">
        <v>51</v>
      </c>
      <c r="G1518" s="11" t="s">
        <v>29</v>
      </c>
      <c r="H1518" s="15" t="s">
        <v>29</v>
      </c>
      <c r="I1518" s="33">
        <v>14</v>
      </c>
      <c r="J1518" s="11" t="s">
        <v>19</v>
      </c>
      <c r="K1518" s="20" t="s">
        <v>20</v>
      </c>
      <c r="L1518" s="20" t="s">
        <v>30</v>
      </c>
      <c r="M1518" s="20" t="s">
        <v>46</v>
      </c>
      <c r="N1518" s="20" t="s">
        <v>25</v>
      </c>
      <c r="O1518" s="31" t="s">
        <v>29</v>
      </c>
      <c r="P1518" s="15">
        <v>210</v>
      </c>
      <c r="Q1518" s="8"/>
      <c r="W1518" s="317">
        <v>4.5999999999999996</v>
      </c>
      <c r="X1518" s="190">
        <f t="shared" si="62"/>
        <v>64.399999999999991</v>
      </c>
      <c r="Y1518" s="8"/>
      <c r="Z1518" s="8"/>
    </row>
    <row r="1519" spans="1:26" ht="25.5" customHeight="1" x14ac:dyDescent="0.2">
      <c r="A1519" s="15">
        <v>57</v>
      </c>
      <c r="B1519" s="15">
        <v>2003</v>
      </c>
      <c r="C1519" s="15">
        <v>29</v>
      </c>
      <c r="D1519" s="15">
        <v>7</v>
      </c>
      <c r="E1519" s="29" t="s">
        <v>206</v>
      </c>
      <c r="F1519" s="11" t="s">
        <v>51</v>
      </c>
      <c r="G1519" s="32">
        <v>157</v>
      </c>
      <c r="H1519" s="15" t="s">
        <v>29</v>
      </c>
      <c r="I1519" s="33">
        <v>17.5</v>
      </c>
      <c r="J1519" s="11" t="s">
        <v>19</v>
      </c>
      <c r="K1519" s="20" t="s">
        <v>20</v>
      </c>
      <c r="L1519" s="20" t="s">
        <v>30</v>
      </c>
      <c r="M1519" s="20" t="s">
        <v>46</v>
      </c>
      <c r="N1519" s="20" t="s">
        <v>23</v>
      </c>
      <c r="O1519" s="31" t="s">
        <v>29</v>
      </c>
      <c r="P1519" s="15">
        <v>210</v>
      </c>
      <c r="Q1519" s="8"/>
      <c r="R1519">
        <v>14.65</v>
      </c>
      <c r="S1519">
        <v>3143</v>
      </c>
      <c r="T1519">
        <v>5.57</v>
      </c>
      <c r="U1519">
        <v>10.52</v>
      </c>
      <c r="V1519">
        <v>146</v>
      </c>
      <c r="W1519" s="317">
        <v>4.5999999999999996</v>
      </c>
      <c r="X1519" s="190">
        <f t="shared" si="62"/>
        <v>80.5</v>
      </c>
      <c r="Y1519" s="8"/>
      <c r="Z1519" s="8"/>
    </row>
    <row r="1520" spans="1:26" ht="25.5" customHeight="1" x14ac:dyDescent="0.2">
      <c r="A1520" s="15">
        <v>58</v>
      </c>
      <c r="B1520" s="15">
        <v>2003</v>
      </c>
      <c r="C1520" s="15">
        <v>29</v>
      </c>
      <c r="D1520" s="15">
        <v>7</v>
      </c>
      <c r="E1520" s="29" t="s">
        <v>206</v>
      </c>
      <c r="F1520" s="11" t="s">
        <v>51</v>
      </c>
      <c r="G1520" s="32">
        <v>138</v>
      </c>
      <c r="H1520" s="15" t="s">
        <v>29</v>
      </c>
      <c r="I1520" s="33">
        <v>12.5</v>
      </c>
      <c r="J1520" s="11" t="s">
        <v>19</v>
      </c>
      <c r="K1520" s="20" t="s">
        <v>20</v>
      </c>
      <c r="L1520" s="20" t="s">
        <v>30</v>
      </c>
      <c r="M1520" s="20" t="s">
        <v>45</v>
      </c>
      <c r="N1520" s="20" t="s">
        <v>24</v>
      </c>
      <c r="O1520" s="31" t="s">
        <v>29</v>
      </c>
      <c r="P1520" s="15">
        <v>210</v>
      </c>
      <c r="Q1520" s="8"/>
      <c r="R1520">
        <v>12.88</v>
      </c>
      <c r="S1520">
        <v>2134.4299999999998</v>
      </c>
      <c r="T1520">
        <v>5.86</v>
      </c>
      <c r="U1520">
        <v>9.25</v>
      </c>
      <c r="V1520">
        <v>129</v>
      </c>
      <c r="W1520" s="317">
        <v>4.5999999999999996</v>
      </c>
      <c r="X1520" s="190">
        <f t="shared" si="62"/>
        <v>57.499999999999993</v>
      </c>
      <c r="Y1520" s="8"/>
      <c r="Z1520" s="8"/>
    </row>
    <row r="1521" spans="1:26" ht="25.5" customHeight="1" x14ac:dyDescent="0.2">
      <c r="A1521" s="15">
        <v>59</v>
      </c>
      <c r="B1521" s="15">
        <v>2003</v>
      </c>
      <c r="C1521" s="15">
        <v>29</v>
      </c>
      <c r="D1521" s="15">
        <v>7</v>
      </c>
      <c r="E1521" s="29" t="s">
        <v>206</v>
      </c>
      <c r="F1521" s="11" t="s">
        <v>51</v>
      </c>
      <c r="G1521" s="32">
        <v>134</v>
      </c>
      <c r="H1521" s="15" t="s">
        <v>29</v>
      </c>
      <c r="I1521" s="33">
        <v>13</v>
      </c>
      <c r="J1521" s="11" t="s">
        <v>19</v>
      </c>
      <c r="K1521" s="20" t="s">
        <v>20</v>
      </c>
      <c r="L1521" s="20" t="s">
        <v>30</v>
      </c>
      <c r="M1521" s="20" t="s">
        <v>46</v>
      </c>
      <c r="N1521" s="20" t="s">
        <v>24</v>
      </c>
      <c r="O1521" s="31" t="s">
        <v>29</v>
      </c>
      <c r="P1521" s="15">
        <v>210</v>
      </c>
      <c r="Q1521" s="8"/>
      <c r="R1521">
        <v>12.5</v>
      </c>
      <c r="S1521">
        <v>1954.16</v>
      </c>
      <c r="T1521">
        <v>6.65</v>
      </c>
      <c r="U1521">
        <v>8.98</v>
      </c>
      <c r="V1521">
        <v>125</v>
      </c>
      <c r="W1521" s="317">
        <v>4.5999999999999996</v>
      </c>
      <c r="X1521" s="190">
        <f t="shared" si="62"/>
        <v>59.8</v>
      </c>
      <c r="Y1521" s="8"/>
      <c r="Z1521" s="8"/>
    </row>
    <row r="1522" spans="1:26" ht="25.5" customHeight="1" x14ac:dyDescent="0.2">
      <c r="A1522" s="15">
        <v>60</v>
      </c>
      <c r="B1522" s="15">
        <v>2003</v>
      </c>
      <c r="C1522" s="15">
        <v>29</v>
      </c>
      <c r="D1522" s="15">
        <v>7</v>
      </c>
      <c r="E1522" s="29" t="s">
        <v>206</v>
      </c>
      <c r="F1522" s="11" t="s">
        <v>51</v>
      </c>
      <c r="G1522" s="32">
        <v>162</v>
      </c>
      <c r="H1522" s="15" t="s">
        <v>29</v>
      </c>
      <c r="I1522" s="33">
        <v>19</v>
      </c>
      <c r="J1522" s="11" t="s">
        <v>19</v>
      </c>
      <c r="K1522" s="20" t="s">
        <v>34</v>
      </c>
      <c r="L1522" s="11" t="s">
        <v>41</v>
      </c>
      <c r="M1522" s="20" t="s">
        <v>46</v>
      </c>
      <c r="N1522" s="20" t="s">
        <v>23</v>
      </c>
      <c r="O1522" s="31" t="s">
        <v>29</v>
      </c>
      <c r="P1522" s="15">
        <v>210</v>
      </c>
      <c r="Q1522" s="8"/>
      <c r="R1522">
        <v>15.11</v>
      </c>
      <c r="S1522">
        <v>3452.95</v>
      </c>
      <c r="T1522">
        <v>5.5</v>
      </c>
      <c r="U1522">
        <v>10.85</v>
      </c>
      <c r="V1522">
        <v>151</v>
      </c>
      <c r="W1522" s="317">
        <v>3.8</v>
      </c>
      <c r="X1522" s="190">
        <f t="shared" si="62"/>
        <v>72.2</v>
      </c>
      <c r="Y1522" s="8"/>
      <c r="Z1522" s="8"/>
    </row>
    <row r="1523" spans="1:26" ht="25.5" customHeight="1" x14ac:dyDescent="0.2">
      <c r="A1523" s="15">
        <v>61</v>
      </c>
      <c r="B1523" s="15">
        <v>2003</v>
      </c>
      <c r="C1523" s="15">
        <v>29</v>
      </c>
      <c r="D1523" s="15">
        <v>7</v>
      </c>
      <c r="E1523" s="29" t="s">
        <v>206</v>
      </c>
      <c r="F1523" s="11" t="s">
        <v>51</v>
      </c>
      <c r="G1523" s="32">
        <v>132</v>
      </c>
      <c r="H1523" s="15" t="s">
        <v>29</v>
      </c>
      <c r="I1523" s="33">
        <v>11</v>
      </c>
      <c r="J1523" s="11" t="s">
        <v>19</v>
      </c>
      <c r="K1523" s="20" t="s">
        <v>20</v>
      </c>
      <c r="L1523" s="20" t="s">
        <v>30</v>
      </c>
      <c r="M1523" s="20" t="s">
        <v>46</v>
      </c>
      <c r="N1523" s="20" t="s">
        <v>39</v>
      </c>
      <c r="O1523" s="31" t="s">
        <v>29</v>
      </c>
      <c r="P1523" s="15">
        <v>210</v>
      </c>
      <c r="Q1523" s="8"/>
      <c r="R1523">
        <v>12.32</v>
      </c>
      <c r="S1523">
        <v>1867.96</v>
      </c>
      <c r="T1523">
        <v>5.89</v>
      </c>
      <c r="U1523">
        <v>8.84</v>
      </c>
      <c r="V1523">
        <v>123</v>
      </c>
      <c r="W1523" s="317">
        <v>4.5999999999999996</v>
      </c>
      <c r="X1523" s="190">
        <f t="shared" ref="X1523:X1534" si="63">I1523*W1523</f>
        <v>50.599999999999994</v>
      </c>
      <c r="Y1523" s="8"/>
      <c r="Z1523" s="8"/>
    </row>
    <row r="1524" spans="1:26" ht="25.5" customHeight="1" x14ac:dyDescent="0.2">
      <c r="A1524" s="15">
        <v>62</v>
      </c>
      <c r="B1524" s="15">
        <v>2003</v>
      </c>
      <c r="C1524" s="15">
        <v>29</v>
      </c>
      <c r="D1524" s="15">
        <v>7</v>
      </c>
      <c r="E1524" s="29" t="s">
        <v>206</v>
      </c>
      <c r="F1524" s="11" t="s">
        <v>28</v>
      </c>
      <c r="G1524" s="11" t="s">
        <v>29</v>
      </c>
      <c r="H1524" s="15" t="s">
        <v>29</v>
      </c>
      <c r="I1524" s="25" t="s">
        <v>29</v>
      </c>
      <c r="J1524" s="11" t="s">
        <v>19</v>
      </c>
      <c r="K1524" s="20" t="s">
        <v>20</v>
      </c>
      <c r="L1524" s="20" t="s">
        <v>30</v>
      </c>
      <c r="M1524" s="11" t="s">
        <v>29</v>
      </c>
      <c r="N1524" s="11" t="s">
        <v>29</v>
      </c>
      <c r="O1524" s="31" t="s">
        <v>29</v>
      </c>
      <c r="P1524" s="15">
        <v>210</v>
      </c>
      <c r="Q1524" s="8"/>
      <c r="W1524" s="317">
        <v>4.5999999999999996</v>
      </c>
      <c r="X1524" s="190"/>
      <c r="Y1524" s="8"/>
      <c r="Z1524" s="8"/>
    </row>
    <row r="1525" spans="1:26" ht="12.75" customHeight="1" x14ac:dyDescent="0.2">
      <c r="A1525" s="15">
        <v>63</v>
      </c>
      <c r="B1525" s="15">
        <v>2003</v>
      </c>
      <c r="C1525" s="15">
        <v>28</v>
      </c>
      <c r="D1525" s="15">
        <v>7</v>
      </c>
      <c r="E1525" s="30">
        <v>0.4375</v>
      </c>
      <c r="F1525" s="11" t="s">
        <v>51</v>
      </c>
      <c r="G1525" s="32">
        <v>134</v>
      </c>
      <c r="H1525" s="15" t="s">
        <v>29</v>
      </c>
      <c r="I1525" s="33">
        <v>11.5</v>
      </c>
      <c r="J1525" s="11" t="s">
        <v>19</v>
      </c>
      <c r="K1525" s="20" t="s">
        <v>20</v>
      </c>
      <c r="L1525" s="20" t="s">
        <v>30</v>
      </c>
      <c r="M1525" s="20" t="s">
        <v>46</v>
      </c>
      <c r="N1525" s="20" t="s">
        <v>23</v>
      </c>
      <c r="O1525" s="31" t="s">
        <v>29</v>
      </c>
      <c r="P1525" s="15">
        <v>209</v>
      </c>
      <c r="Q1525" s="8"/>
      <c r="R1525">
        <v>12.5</v>
      </c>
      <c r="S1525">
        <v>1954.16</v>
      </c>
      <c r="T1525">
        <v>5.88</v>
      </c>
      <c r="U1525">
        <v>8.98</v>
      </c>
      <c r="V1525">
        <v>125</v>
      </c>
      <c r="W1525" s="317">
        <v>4.5999999999999996</v>
      </c>
      <c r="X1525" s="190">
        <f t="shared" si="63"/>
        <v>52.9</v>
      </c>
      <c r="Y1525" s="8"/>
      <c r="Z1525" s="8"/>
    </row>
    <row r="1526" spans="1:26" ht="12.75" customHeight="1" x14ac:dyDescent="0.2">
      <c r="A1526" s="15">
        <v>64</v>
      </c>
      <c r="B1526" s="15">
        <v>2003</v>
      </c>
      <c r="C1526" s="15">
        <v>28</v>
      </c>
      <c r="D1526" s="15">
        <v>7</v>
      </c>
      <c r="E1526" s="30">
        <v>0.4375</v>
      </c>
      <c r="F1526" s="11" t="s">
        <v>51</v>
      </c>
      <c r="G1526" s="32">
        <v>136</v>
      </c>
      <c r="H1526" s="15" t="s">
        <v>29</v>
      </c>
      <c r="I1526" s="33">
        <v>12</v>
      </c>
      <c r="J1526" s="11" t="s">
        <v>19</v>
      </c>
      <c r="K1526" s="20" t="s">
        <v>20</v>
      </c>
      <c r="L1526" s="20" t="s">
        <v>30</v>
      </c>
      <c r="M1526" s="20" t="s">
        <v>45</v>
      </c>
      <c r="N1526" s="20" t="s">
        <v>23</v>
      </c>
      <c r="O1526" s="31" t="s">
        <v>29</v>
      </c>
      <c r="P1526" s="15">
        <v>209</v>
      </c>
      <c r="Q1526" s="8"/>
      <c r="R1526">
        <v>12.69</v>
      </c>
      <c r="S1526">
        <v>2042.97</v>
      </c>
      <c r="T1526">
        <v>5.87</v>
      </c>
      <c r="U1526">
        <v>9.11</v>
      </c>
      <c r="V1526">
        <v>127</v>
      </c>
      <c r="W1526" s="317">
        <v>4.5999999999999996</v>
      </c>
      <c r="X1526" s="190">
        <f t="shared" si="63"/>
        <v>55.199999999999996</v>
      </c>
      <c r="Y1526" s="8"/>
      <c r="Z1526" s="8"/>
    </row>
    <row r="1527" spans="1:26" ht="12.75" customHeight="1" x14ac:dyDescent="0.2">
      <c r="A1527" s="15">
        <v>65</v>
      </c>
      <c r="B1527" s="15">
        <v>2003</v>
      </c>
      <c r="C1527" s="15">
        <v>28</v>
      </c>
      <c r="D1527" s="15">
        <v>7</v>
      </c>
      <c r="E1527" s="30">
        <v>0.4375</v>
      </c>
      <c r="F1527" s="11" t="s">
        <v>51</v>
      </c>
      <c r="G1527" s="32">
        <v>119</v>
      </c>
      <c r="H1527" s="15" t="s">
        <v>29</v>
      </c>
      <c r="I1527" s="33">
        <v>7.5</v>
      </c>
      <c r="J1527" s="11" t="s">
        <v>19</v>
      </c>
      <c r="K1527" s="20" t="s">
        <v>20</v>
      </c>
      <c r="L1527" s="20" t="s">
        <v>30</v>
      </c>
      <c r="M1527" s="20" t="s">
        <v>46</v>
      </c>
      <c r="N1527" s="20" t="s">
        <v>24</v>
      </c>
      <c r="O1527" s="31" t="s">
        <v>29</v>
      </c>
      <c r="P1527" s="15">
        <v>209</v>
      </c>
      <c r="Q1527" s="8"/>
      <c r="R1527">
        <v>11.1</v>
      </c>
      <c r="S1527">
        <v>1368.63</v>
      </c>
      <c r="T1527">
        <v>5.48</v>
      </c>
      <c r="U1527">
        <v>7.97</v>
      </c>
      <c r="V1527">
        <v>111</v>
      </c>
      <c r="W1527" s="317">
        <v>4.5999999999999996</v>
      </c>
      <c r="X1527" s="190">
        <f t="shared" si="63"/>
        <v>34.5</v>
      </c>
      <c r="Y1527" s="8"/>
      <c r="Z1527" s="8"/>
    </row>
    <row r="1528" spans="1:26" ht="12.75" customHeight="1" x14ac:dyDescent="0.2">
      <c r="A1528" s="15">
        <v>66</v>
      </c>
      <c r="B1528" s="15">
        <v>2003</v>
      </c>
      <c r="C1528" s="15">
        <v>28</v>
      </c>
      <c r="D1528" s="15">
        <v>7</v>
      </c>
      <c r="E1528" s="30">
        <v>0.4375</v>
      </c>
      <c r="F1528" s="11" t="s">
        <v>51</v>
      </c>
      <c r="G1528" s="32">
        <v>142</v>
      </c>
      <c r="H1528" s="15" t="s">
        <v>29</v>
      </c>
      <c r="I1528" s="33">
        <v>14.5</v>
      </c>
      <c r="J1528" s="11" t="s">
        <v>19</v>
      </c>
      <c r="K1528" s="20" t="s">
        <v>20</v>
      </c>
      <c r="L1528" s="20" t="s">
        <v>30</v>
      </c>
      <c r="M1528" s="20" t="s">
        <v>27</v>
      </c>
      <c r="N1528" s="20" t="s">
        <v>23</v>
      </c>
      <c r="O1528" s="31" t="s">
        <v>29</v>
      </c>
      <c r="P1528" s="15">
        <v>209</v>
      </c>
      <c r="Q1528" s="8"/>
      <c r="R1528">
        <v>13.25</v>
      </c>
      <c r="S1528">
        <v>2325.4699999999998</v>
      </c>
      <c r="T1528">
        <v>6.24</v>
      </c>
      <c r="U1528">
        <v>9.51</v>
      </c>
      <c r="V1528">
        <v>132</v>
      </c>
      <c r="W1528" s="317">
        <v>4.5999999999999996</v>
      </c>
      <c r="X1528" s="190">
        <f t="shared" si="63"/>
        <v>66.699999999999989</v>
      </c>
      <c r="Y1528" s="8"/>
      <c r="Z1528" s="8"/>
    </row>
    <row r="1529" spans="1:26" ht="12.75" customHeight="1" x14ac:dyDescent="0.2">
      <c r="A1529" s="15">
        <v>67</v>
      </c>
      <c r="B1529" s="15">
        <v>2003</v>
      </c>
      <c r="C1529" s="15">
        <v>28</v>
      </c>
      <c r="D1529" s="15">
        <v>7</v>
      </c>
      <c r="E1529" s="30">
        <v>0.4375</v>
      </c>
      <c r="F1529" s="11" t="s">
        <v>51</v>
      </c>
      <c r="G1529" s="32">
        <v>95</v>
      </c>
      <c r="H1529" s="15" t="s">
        <v>29</v>
      </c>
      <c r="I1529" s="33">
        <v>12.9</v>
      </c>
      <c r="J1529" s="11" t="s">
        <v>19</v>
      </c>
      <c r="K1529" s="20" t="s">
        <v>20</v>
      </c>
      <c r="L1529" s="20" t="s">
        <v>30</v>
      </c>
      <c r="M1529" s="20" t="s">
        <v>46</v>
      </c>
      <c r="N1529" s="20" t="s">
        <v>33</v>
      </c>
      <c r="O1529" s="31" t="s">
        <v>29</v>
      </c>
      <c r="P1529" s="15">
        <v>209</v>
      </c>
      <c r="Q1529" s="8"/>
      <c r="R1529">
        <v>8.86</v>
      </c>
      <c r="S1529">
        <v>696.33</v>
      </c>
      <c r="T1529">
        <v>18.53</v>
      </c>
      <c r="U1529">
        <v>6.37</v>
      </c>
      <c r="V1529">
        <v>89</v>
      </c>
      <c r="W1529" s="317">
        <v>4.5999999999999996</v>
      </c>
      <c r="X1529" s="190">
        <f t="shared" si="63"/>
        <v>59.339999999999996</v>
      </c>
      <c r="Y1529" s="8"/>
      <c r="Z1529" s="8"/>
    </row>
    <row r="1530" spans="1:26" ht="12.75" customHeight="1" x14ac:dyDescent="0.2">
      <c r="A1530" s="15">
        <v>68</v>
      </c>
      <c r="B1530" s="15">
        <v>2003</v>
      </c>
      <c r="C1530" s="15">
        <v>28</v>
      </c>
      <c r="D1530" s="15">
        <v>7</v>
      </c>
      <c r="E1530" s="30">
        <v>0.4375</v>
      </c>
      <c r="F1530" s="11" t="s">
        <v>51</v>
      </c>
      <c r="G1530" s="32">
        <v>161</v>
      </c>
      <c r="H1530" s="15" t="s">
        <v>29</v>
      </c>
      <c r="I1530" s="33">
        <v>13</v>
      </c>
      <c r="J1530" s="11" t="s">
        <v>19</v>
      </c>
      <c r="K1530" s="20" t="s">
        <v>20</v>
      </c>
      <c r="L1530" s="20" t="s">
        <v>30</v>
      </c>
      <c r="M1530" s="20" t="s">
        <v>45</v>
      </c>
      <c r="N1530" s="20" t="s">
        <v>23</v>
      </c>
      <c r="O1530" s="31" t="s">
        <v>29</v>
      </c>
      <c r="P1530" s="15">
        <v>209</v>
      </c>
      <c r="Q1530" s="8"/>
      <c r="R1530">
        <v>15.02</v>
      </c>
      <c r="S1530">
        <v>3389.4</v>
      </c>
      <c r="T1530">
        <v>3.84</v>
      </c>
      <c r="U1530">
        <v>10.79</v>
      </c>
      <c r="V1530">
        <v>150</v>
      </c>
      <c r="W1530" s="317">
        <v>4.5999999999999996</v>
      </c>
      <c r="X1530" s="190">
        <f t="shared" si="63"/>
        <v>59.8</v>
      </c>
      <c r="Y1530" s="8"/>
      <c r="Z1530" s="8"/>
    </row>
    <row r="1531" spans="1:26" ht="12.75" customHeight="1" x14ac:dyDescent="0.2">
      <c r="A1531" s="15">
        <v>69</v>
      </c>
      <c r="B1531" s="15">
        <v>2003</v>
      </c>
      <c r="C1531" s="15">
        <v>28</v>
      </c>
      <c r="D1531" s="15">
        <v>7</v>
      </c>
      <c r="E1531" s="30">
        <v>0.4375</v>
      </c>
      <c r="F1531" s="11" t="s">
        <v>51</v>
      </c>
      <c r="G1531" s="32">
        <v>138</v>
      </c>
      <c r="H1531" s="15" t="s">
        <v>29</v>
      </c>
      <c r="I1531" s="33">
        <v>15.5</v>
      </c>
      <c r="J1531" s="11" t="s">
        <v>19</v>
      </c>
      <c r="K1531" s="20" t="s">
        <v>20</v>
      </c>
      <c r="L1531" s="20" t="s">
        <v>30</v>
      </c>
      <c r="M1531" s="20" t="s">
        <v>46</v>
      </c>
      <c r="N1531" s="20" t="s">
        <v>24</v>
      </c>
      <c r="O1531" s="31" t="s">
        <v>29</v>
      </c>
      <c r="P1531" s="15">
        <v>209</v>
      </c>
      <c r="Q1531" s="8"/>
      <c r="R1531">
        <v>12.88</v>
      </c>
      <c r="S1531">
        <v>2134.4299999999998</v>
      </c>
      <c r="T1531">
        <v>7.26</v>
      </c>
      <c r="U1531">
        <v>9.25</v>
      </c>
      <c r="V1531">
        <v>129</v>
      </c>
      <c r="W1531" s="317">
        <v>4.5999999999999996</v>
      </c>
      <c r="X1531" s="190">
        <f t="shared" si="63"/>
        <v>71.3</v>
      </c>
      <c r="Y1531" s="8"/>
      <c r="Z1531" s="8"/>
    </row>
    <row r="1532" spans="1:26" ht="12.75" customHeight="1" x14ac:dyDescent="0.2">
      <c r="A1532" s="15">
        <v>70</v>
      </c>
      <c r="B1532" s="15">
        <v>2003</v>
      </c>
      <c r="C1532" s="15">
        <v>28</v>
      </c>
      <c r="D1532" s="15">
        <v>7</v>
      </c>
      <c r="E1532" s="30">
        <v>0.4375</v>
      </c>
      <c r="F1532" s="11" t="s">
        <v>51</v>
      </c>
      <c r="G1532" s="32">
        <v>140</v>
      </c>
      <c r="H1532" s="15" t="s">
        <v>29</v>
      </c>
      <c r="I1532" s="33">
        <v>9.5</v>
      </c>
      <c r="J1532" s="11" t="s">
        <v>19</v>
      </c>
      <c r="K1532" s="20" t="s">
        <v>20</v>
      </c>
      <c r="L1532" s="20" t="s">
        <v>30</v>
      </c>
      <c r="M1532" s="20" t="s">
        <v>47</v>
      </c>
      <c r="N1532" s="20" t="s">
        <v>23</v>
      </c>
      <c r="O1532" s="31" t="s">
        <v>29</v>
      </c>
      <c r="P1532" s="15">
        <v>209</v>
      </c>
      <c r="Q1532" s="8"/>
      <c r="R1532">
        <v>13.06</v>
      </c>
      <c r="S1532">
        <v>2228.58</v>
      </c>
      <c r="T1532">
        <v>4.26</v>
      </c>
      <c r="U1532">
        <v>9.3800000000000008</v>
      </c>
      <c r="V1532">
        <v>131</v>
      </c>
      <c r="W1532" s="317">
        <v>4.5999999999999996</v>
      </c>
      <c r="X1532" s="190">
        <f t="shared" si="63"/>
        <v>43.699999999999996</v>
      </c>
      <c r="Y1532" s="8"/>
      <c r="Z1532" s="8"/>
    </row>
    <row r="1533" spans="1:26" ht="12.75" customHeight="1" x14ac:dyDescent="0.2">
      <c r="A1533" s="15">
        <v>71</v>
      </c>
      <c r="B1533" s="15">
        <v>2003</v>
      </c>
      <c r="C1533" s="15">
        <v>28</v>
      </c>
      <c r="D1533" s="15">
        <v>7</v>
      </c>
      <c r="E1533" s="30">
        <v>0.4375</v>
      </c>
      <c r="F1533" s="11" t="s">
        <v>51</v>
      </c>
      <c r="G1533" s="32">
        <v>145</v>
      </c>
      <c r="H1533" s="15" t="s">
        <v>29</v>
      </c>
      <c r="I1533" s="33">
        <v>14</v>
      </c>
      <c r="J1533" s="11" t="s">
        <v>19</v>
      </c>
      <c r="K1533" s="20" t="s">
        <v>20</v>
      </c>
      <c r="L1533" s="20" t="s">
        <v>30</v>
      </c>
      <c r="M1533" s="20" t="s">
        <v>47</v>
      </c>
      <c r="N1533" s="20" t="s">
        <v>23</v>
      </c>
      <c r="O1533" s="31" t="s">
        <v>29</v>
      </c>
      <c r="P1533" s="15">
        <v>209</v>
      </c>
      <c r="Q1533" s="8"/>
      <c r="R1533">
        <v>13.53</v>
      </c>
      <c r="S1533">
        <v>2475.9899999999998</v>
      </c>
      <c r="T1533">
        <v>5.65</v>
      </c>
      <c r="U1533">
        <v>9.7200000000000006</v>
      </c>
      <c r="V1533">
        <v>135</v>
      </c>
      <c r="W1533" s="317">
        <v>4.5999999999999996</v>
      </c>
      <c r="X1533" s="190">
        <f t="shared" si="63"/>
        <v>64.399999999999991</v>
      </c>
      <c r="Y1533" s="8"/>
      <c r="Z1533" s="8"/>
    </row>
    <row r="1534" spans="1:26" ht="12.75" customHeight="1" x14ac:dyDescent="0.2">
      <c r="A1534" s="15">
        <v>72</v>
      </c>
      <c r="B1534" s="15">
        <v>2003</v>
      </c>
      <c r="C1534" s="15">
        <v>28</v>
      </c>
      <c r="D1534" s="15">
        <v>7</v>
      </c>
      <c r="E1534" s="30">
        <v>0.4375</v>
      </c>
      <c r="F1534" s="11" t="s">
        <v>51</v>
      </c>
      <c r="G1534" s="32">
        <v>190</v>
      </c>
      <c r="H1534" s="15" t="s">
        <v>29</v>
      </c>
      <c r="I1534" s="33">
        <v>15.3</v>
      </c>
      <c r="J1534" s="11" t="s">
        <v>19</v>
      </c>
      <c r="K1534" s="20" t="s">
        <v>34</v>
      </c>
      <c r="L1534" s="11" t="s">
        <v>41</v>
      </c>
      <c r="M1534" s="20" t="s">
        <v>46</v>
      </c>
      <c r="N1534" s="20" t="s">
        <v>23</v>
      </c>
      <c r="O1534" s="31" t="s">
        <v>29</v>
      </c>
      <c r="P1534" s="15">
        <v>209</v>
      </c>
      <c r="Q1534" s="8"/>
      <c r="R1534">
        <v>17.73</v>
      </c>
      <c r="S1534">
        <v>5570.65</v>
      </c>
      <c r="T1534">
        <v>2.75</v>
      </c>
      <c r="U1534">
        <v>12.73</v>
      </c>
      <c r="V1534">
        <v>177</v>
      </c>
      <c r="W1534" s="317">
        <v>3.8</v>
      </c>
      <c r="X1534" s="190">
        <f t="shared" si="63"/>
        <v>58.14</v>
      </c>
      <c r="Y1534" s="8"/>
      <c r="Z1534" s="8"/>
    </row>
    <row r="1535" spans="1:26" ht="12.75" customHeight="1" x14ac:dyDescent="0.2">
      <c r="A1535" s="15">
        <v>73</v>
      </c>
      <c r="B1535" s="15">
        <v>2003</v>
      </c>
      <c r="C1535" s="15">
        <v>28</v>
      </c>
      <c r="D1535" s="15">
        <v>7</v>
      </c>
      <c r="E1535" s="30">
        <v>0.4375</v>
      </c>
      <c r="F1535" s="11" t="s">
        <v>51</v>
      </c>
      <c r="G1535" s="32">
        <v>128</v>
      </c>
      <c r="H1535" s="15" t="s">
        <v>29</v>
      </c>
      <c r="I1535" s="33">
        <v>11.5</v>
      </c>
      <c r="J1535" s="11" t="s">
        <v>19</v>
      </c>
      <c r="K1535" s="20" t="s">
        <v>20</v>
      </c>
      <c r="L1535" s="20" t="s">
        <v>30</v>
      </c>
      <c r="M1535" s="20" t="s">
        <v>46</v>
      </c>
      <c r="N1535" s="20" t="s">
        <v>33</v>
      </c>
      <c r="O1535" s="31" t="s">
        <v>29</v>
      </c>
      <c r="P1535" s="15">
        <v>209</v>
      </c>
      <c r="Q1535" s="8"/>
      <c r="R1535">
        <v>11.94</v>
      </c>
      <c r="S1535">
        <v>1703.24</v>
      </c>
      <c r="T1535">
        <v>6.75</v>
      </c>
      <c r="U1535">
        <v>8.58</v>
      </c>
      <c r="V1535">
        <v>119</v>
      </c>
      <c r="W1535" s="317">
        <v>4.5999999999999996</v>
      </c>
      <c r="X1535" s="190">
        <f t="shared" ref="X1535:X1545" si="64">I1535*W1535</f>
        <v>52.9</v>
      </c>
      <c r="Y1535" s="8"/>
      <c r="Z1535" s="8"/>
    </row>
    <row r="1536" spans="1:26" ht="12.75" customHeight="1" x14ac:dyDescent="0.2">
      <c r="A1536" s="15">
        <v>74</v>
      </c>
      <c r="B1536" s="15">
        <v>2003</v>
      </c>
      <c r="C1536" s="15">
        <v>28</v>
      </c>
      <c r="D1536" s="15">
        <v>7</v>
      </c>
      <c r="E1536" s="30">
        <v>0.4375</v>
      </c>
      <c r="F1536" s="11" t="s">
        <v>51</v>
      </c>
      <c r="G1536" s="32">
        <v>130</v>
      </c>
      <c r="H1536" s="15" t="s">
        <v>29</v>
      </c>
      <c r="I1536" s="33">
        <v>6</v>
      </c>
      <c r="J1536" s="11" t="s">
        <v>19</v>
      </c>
      <c r="K1536" s="20" t="s">
        <v>20</v>
      </c>
      <c r="L1536" s="11" t="s">
        <v>21</v>
      </c>
      <c r="M1536" s="20" t="s">
        <v>27</v>
      </c>
      <c r="N1536" s="20" t="s">
        <v>39</v>
      </c>
      <c r="O1536" s="31" t="s">
        <v>29</v>
      </c>
      <c r="P1536" s="15">
        <v>209</v>
      </c>
      <c r="Q1536" s="8"/>
      <c r="R1536">
        <v>12.13</v>
      </c>
      <c r="S1536">
        <v>1784.33</v>
      </c>
      <c r="T1536">
        <v>3.36</v>
      </c>
      <c r="U1536">
        <v>8.7100000000000009</v>
      </c>
      <c r="V1536">
        <v>121</v>
      </c>
      <c r="W1536" s="317">
        <v>3.9</v>
      </c>
      <c r="X1536" s="190">
        <f t="shared" si="64"/>
        <v>23.4</v>
      </c>
      <c r="Y1536" s="8"/>
      <c r="Z1536" s="8"/>
    </row>
    <row r="1537" spans="1:26" ht="12.75" customHeight="1" x14ac:dyDescent="0.2">
      <c r="A1537" s="15">
        <v>75</v>
      </c>
      <c r="B1537" s="15">
        <v>2003</v>
      </c>
      <c r="C1537" s="15">
        <v>28</v>
      </c>
      <c r="D1537" s="15">
        <v>7</v>
      </c>
      <c r="E1537" s="30">
        <v>0.4375</v>
      </c>
      <c r="F1537" s="11" t="s">
        <v>51</v>
      </c>
      <c r="G1537" s="32">
        <v>154</v>
      </c>
      <c r="H1537" s="15" t="s">
        <v>29</v>
      </c>
      <c r="I1537" s="33">
        <v>19</v>
      </c>
      <c r="J1537" s="11" t="s">
        <v>19</v>
      </c>
      <c r="K1537" s="20" t="s">
        <v>20</v>
      </c>
      <c r="L1537" s="20" t="s">
        <v>30</v>
      </c>
      <c r="M1537" s="20" t="s">
        <v>46</v>
      </c>
      <c r="N1537" s="20" t="s">
        <v>24</v>
      </c>
      <c r="O1537" s="31" t="s">
        <v>29</v>
      </c>
      <c r="P1537" s="15">
        <v>209</v>
      </c>
      <c r="Q1537" s="8"/>
      <c r="R1537">
        <v>14.37</v>
      </c>
      <c r="S1537">
        <v>2966.25</v>
      </c>
      <c r="T1537">
        <v>6.41</v>
      </c>
      <c r="U1537">
        <v>10.32</v>
      </c>
      <c r="V1537">
        <v>144</v>
      </c>
      <c r="W1537" s="317">
        <v>4.5999999999999996</v>
      </c>
      <c r="X1537" s="190">
        <f t="shared" si="64"/>
        <v>87.399999999999991</v>
      </c>
      <c r="Y1537" s="8"/>
      <c r="Z1537" s="8"/>
    </row>
    <row r="1538" spans="1:26" ht="12.75" customHeight="1" x14ac:dyDescent="0.2">
      <c r="A1538" s="15">
        <v>76</v>
      </c>
      <c r="B1538" s="15">
        <v>2003</v>
      </c>
      <c r="C1538" s="15">
        <v>28</v>
      </c>
      <c r="D1538" s="15">
        <v>7</v>
      </c>
      <c r="E1538" s="30">
        <v>0.4375</v>
      </c>
      <c r="F1538" s="11" t="s">
        <v>51</v>
      </c>
      <c r="G1538" s="32">
        <v>145</v>
      </c>
      <c r="H1538" s="15" t="s">
        <v>29</v>
      </c>
      <c r="I1538" s="33">
        <v>11.5</v>
      </c>
      <c r="J1538" s="11" t="s">
        <v>19</v>
      </c>
      <c r="K1538" s="20" t="s">
        <v>20</v>
      </c>
      <c r="L1538" s="20" t="s">
        <v>30</v>
      </c>
      <c r="M1538" s="20" t="s">
        <v>45</v>
      </c>
      <c r="N1538" s="20" t="s">
        <v>23</v>
      </c>
      <c r="O1538" s="31" t="s">
        <v>29</v>
      </c>
      <c r="P1538" s="15">
        <v>209</v>
      </c>
      <c r="Q1538" s="8"/>
      <c r="R1538">
        <v>13.53</v>
      </c>
      <c r="S1538">
        <v>2475.9899999999998</v>
      </c>
      <c r="T1538">
        <v>4.6399999999999997</v>
      </c>
      <c r="U1538">
        <v>9.7200000000000006</v>
      </c>
      <c r="V1538">
        <v>135</v>
      </c>
      <c r="W1538" s="317">
        <v>4.5999999999999996</v>
      </c>
      <c r="X1538" s="190">
        <f t="shared" si="64"/>
        <v>52.9</v>
      </c>
      <c r="Y1538" s="8"/>
      <c r="Z1538" s="8"/>
    </row>
    <row r="1539" spans="1:26" ht="12.75" customHeight="1" x14ac:dyDescent="0.2">
      <c r="A1539" s="15">
        <v>77</v>
      </c>
      <c r="B1539" s="15">
        <v>2003</v>
      </c>
      <c r="C1539" s="15">
        <v>28</v>
      </c>
      <c r="D1539" s="15">
        <v>7</v>
      </c>
      <c r="E1539" s="30">
        <v>0.4375</v>
      </c>
      <c r="F1539" s="11" t="s">
        <v>51</v>
      </c>
      <c r="G1539" s="32">
        <v>148</v>
      </c>
      <c r="H1539" s="15" t="s">
        <v>29</v>
      </c>
      <c r="I1539" s="33">
        <v>17</v>
      </c>
      <c r="J1539" s="11" t="s">
        <v>19</v>
      </c>
      <c r="K1539" s="20" t="s">
        <v>20</v>
      </c>
      <c r="L1539" s="20" t="s">
        <v>30</v>
      </c>
      <c r="M1539" s="20" t="s">
        <v>45</v>
      </c>
      <c r="N1539" s="20" t="s">
        <v>39</v>
      </c>
      <c r="O1539" s="31" t="s">
        <v>29</v>
      </c>
      <c r="P1539" s="15">
        <v>209</v>
      </c>
      <c r="Q1539" s="8"/>
      <c r="R1539">
        <v>13.81</v>
      </c>
      <c r="S1539">
        <v>2632.87</v>
      </c>
      <c r="T1539">
        <v>6.46</v>
      </c>
      <c r="U1539">
        <v>9.92</v>
      </c>
      <c r="V1539">
        <v>138</v>
      </c>
      <c r="W1539" s="317">
        <v>4.5999999999999996</v>
      </c>
      <c r="X1539" s="190">
        <f t="shared" si="64"/>
        <v>78.199999999999989</v>
      </c>
      <c r="Y1539" s="8"/>
      <c r="Z1539" s="8"/>
    </row>
    <row r="1540" spans="1:26" ht="12.75" customHeight="1" x14ac:dyDescent="0.2">
      <c r="A1540" s="15">
        <v>78</v>
      </c>
      <c r="B1540" s="15">
        <v>2003</v>
      </c>
      <c r="C1540" s="15">
        <v>28</v>
      </c>
      <c r="D1540" s="15">
        <v>7</v>
      </c>
      <c r="E1540" s="30">
        <v>0.4375</v>
      </c>
      <c r="F1540" s="11" t="s">
        <v>51</v>
      </c>
      <c r="G1540" s="32">
        <v>144</v>
      </c>
      <c r="H1540" s="15" t="s">
        <v>29</v>
      </c>
      <c r="I1540" s="33">
        <v>15.5</v>
      </c>
      <c r="J1540" s="11" t="s">
        <v>19</v>
      </c>
      <c r="K1540" s="20" t="s">
        <v>20</v>
      </c>
      <c r="L1540" s="20" t="s">
        <v>30</v>
      </c>
      <c r="M1540" s="20" t="s">
        <v>46</v>
      </c>
      <c r="N1540" s="20" t="s">
        <v>23</v>
      </c>
      <c r="O1540" s="31" t="s">
        <v>29</v>
      </c>
      <c r="P1540" s="15">
        <v>209</v>
      </c>
      <c r="Q1540" s="8"/>
      <c r="R1540">
        <v>13.44</v>
      </c>
      <c r="S1540">
        <v>2425.12</v>
      </c>
      <c r="T1540">
        <v>6.39</v>
      </c>
      <c r="U1540">
        <v>9.65</v>
      </c>
      <c r="V1540">
        <v>134</v>
      </c>
      <c r="W1540" s="317">
        <v>4.5999999999999996</v>
      </c>
      <c r="X1540" s="190">
        <f t="shared" si="64"/>
        <v>71.3</v>
      </c>
      <c r="Y1540" s="8"/>
      <c r="Z1540" s="8"/>
    </row>
    <row r="1541" spans="1:26" ht="12.75" customHeight="1" x14ac:dyDescent="0.2">
      <c r="A1541" s="15">
        <v>79</v>
      </c>
      <c r="B1541" s="15">
        <v>2003</v>
      </c>
      <c r="C1541" s="15">
        <v>28</v>
      </c>
      <c r="D1541" s="15">
        <v>7</v>
      </c>
      <c r="E1541" s="30">
        <v>0.4375</v>
      </c>
      <c r="F1541" s="11" t="s">
        <v>28</v>
      </c>
      <c r="G1541" s="11" t="s">
        <v>29</v>
      </c>
      <c r="H1541" s="15" t="s">
        <v>29</v>
      </c>
      <c r="I1541" s="25" t="s">
        <v>29</v>
      </c>
      <c r="J1541" s="11" t="s">
        <v>19</v>
      </c>
      <c r="K1541" s="20" t="s">
        <v>20</v>
      </c>
      <c r="L1541" s="20" t="s">
        <v>30</v>
      </c>
      <c r="M1541" s="11" t="s">
        <v>29</v>
      </c>
      <c r="N1541" s="11" t="s">
        <v>29</v>
      </c>
      <c r="O1541" s="31" t="s">
        <v>29</v>
      </c>
      <c r="P1541" s="15">
        <v>209</v>
      </c>
      <c r="Q1541" s="8"/>
      <c r="W1541" s="317">
        <v>4.5999999999999996</v>
      </c>
      <c r="X1541" s="190" t="e">
        <f t="shared" si="64"/>
        <v>#VALUE!</v>
      </c>
      <c r="Y1541" s="8"/>
      <c r="Z1541" s="8"/>
    </row>
    <row r="1542" spans="1:26" ht="25.5" customHeight="1" x14ac:dyDescent="0.2">
      <c r="A1542" s="15">
        <v>1</v>
      </c>
      <c r="B1542" s="15">
        <v>2002</v>
      </c>
      <c r="C1542" s="15">
        <v>13</v>
      </c>
      <c r="D1542" s="15">
        <v>8</v>
      </c>
      <c r="E1542" s="29" t="s">
        <v>207</v>
      </c>
      <c r="F1542" s="20" t="s">
        <v>51</v>
      </c>
      <c r="G1542" s="32">
        <v>134</v>
      </c>
      <c r="H1542" s="15" t="s">
        <v>29</v>
      </c>
      <c r="I1542" s="33">
        <v>10.5</v>
      </c>
      <c r="J1542" s="11" t="s">
        <v>19</v>
      </c>
      <c r="K1542" s="20" t="s">
        <v>20</v>
      </c>
      <c r="L1542" s="20" t="s">
        <v>30</v>
      </c>
      <c r="M1542" s="20" t="s">
        <v>46</v>
      </c>
      <c r="N1542" s="20" t="s">
        <v>23</v>
      </c>
      <c r="O1542" s="31" t="s">
        <v>29</v>
      </c>
      <c r="P1542" s="15">
        <v>225</v>
      </c>
      <c r="Q1542" s="8"/>
      <c r="R1542">
        <v>12.5</v>
      </c>
      <c r="S1542">
        <v>1954.16</v>
      </c>
      <c r="T1542">
        <v>5.37</v>
      </c>
      <c r="U1542">
        <v>8.98</v>
      </c>
      <c r="V1542">
        <v>125</v>
      </c>
      <c r="W1542" s="317">
        <v>4.5999999999999996</v>
      </c>
      <c r="X1542" s="190">
        <f t="shared" si="64"/>
        <v>48.3</v>
      </c>
      <c r="Y1542" s="8"/>
      <c r="Z1542" s="8"/>
    </row>
    <row r="1543" spans="1:26" ht="25.5" customHeight="1" x14ac:dyDescent="0.2">
      <c r="A1543" s="15">
        <v>2</v>
      </c>
      <c r="B1543" s="15">
        <v>2002</v>
      </c>
      <c r="C1543" s="15">
        <v>13</v>
      </c>
      <c r="D1543" s="15">
        <v>8</v>
      </c>
      <c r="E1543" s="29" t="s">
        <v>207</v>
      </c>
      <c r="F1543" s="20" t="s">
        <v>51</v>
      </c>
      <c r="G1543" s="32">
        <v>143</v>
      </c>
      <c r="H1543" s="15" t="s">
        <v>29</v>
      </c>
      <c r="I1543" s="33">
        <v>10</v>
      </c>
      <c r="J1543" s="11" t="s">
        <v>19</v>
      </c>
      <c r="K1543" s="20" t="s">
        <v>20</v>
      </c>
      <c r="L1543" s="11" t="s">
        <v>21</v>
      </c>
      <c r="M1543" s="20" t="s">
        <v>46</v>
      </c>
      <c r="N1543" s="20" t="s">
        <v>24</v>
      </c>
      <c r="O1543" s="31" t="s">
        <v>29</v>
      </c>
      <c r="P1543" s="15">
        <v>225</v>
      </c>
      <c r="Q1543" s="8"/>
      <c r="R1543">
        <v>13.34</v>
      </c>
      <c r="S1543">
        <v>2374.94</v>
      </c>
      <c r="T1543">
        <v>4.21</v>
      </c>
      <c r="U1543">
        <v>9.58</v>
      </c>
      <c r="V1543">
        <v>133</v>
      </c>
      <c r="W1543" s="317">
        <v>3.9</v>
      </c>
      <c r="X1543" s="190">
        <f t="shared" si="64"/>
        <v>39</v>
      </c>
      <c r="Y1543" s="8"/>
      <c r="Z1543" s="8"/>
    </row>
    <row r="1544" spans="1:26" ht="25.5" customHeight="1" x14ac:dyDescent="0.2">
      <c r="A1544" s="15">
        <v>3</v>
      </c>
      <c r="B1544" s="15">
        <v>2002</v>
      </c>
      <c r="C1544" s="15">
        <v>13</v>
      </c>
      <c r="D1544" s="15">
        <v>8</v>
      </c>
      <c r="E1544" s="29" t="s">
        <v>207</v>
      </c>
      <c r="F1544" s="20" t="s">
        <v>51</v>
      </c>
      <c r="G1544" s="11" t="s">
        <v>29</v>
      </c>
      <c r="H1544" s="15" t="s">
        <v>29</v>
      </c>
      <c r="I1544" s="33">
        <v>0</v>
      </c>
      <c r="J1544" s="11" t="s">
        <v>19</v>
      </c>
      <c r="K1544" s="20" t="s">
        <v>20</v>
      </c>
      <c r="L1544" s="11" t="s">
        <v>21</v>
      </c>
      <c r="M1544" s="20" t="s">
        <v>46</v>
      </c>
      <c r="N1544" s="20" t="s">
        <v>23</v>
      </c>
      <c r="O1544" s="31" t="s">
        <v>29</v>
      </c>
      <c r="P1544" s="15">
        <v>225</v>
      </c>
      <c r="Q1544" s="8"/>
      <c r="W1544" s="317">
        <v>3.9</v>
      </c>
      <c r="X1544" s="190">
        <f t="shared" si="64"/>
        <v>0</v>
      </c>
      <c r="Y1544" s="8"/>
      <c r="Z1544" s="8"/>
    </row>
    <row r="1545" spans="1:26" ht="25.5" customHeight="1" x14ac:dyDescent="0.2">
      <c r="A1545" s="15">
        <v>4</v>
      </c>
      <c r="B1545" s="15">
        <v>2002</v>
      </c>
      <c r="C1545" s="15">
        <v>13</v>
      </c>
      <c r="D1545" s="15">
        <v>8</v>
      </c>
      <c r="E1545" s="29" t="s">
        <v>207</v>
      </c>
      <c r="F1545" s="20" t="s">
        <v>51</v>
      </c>
      <c r="G1545" s="32">
        <v>149</v>
      </c>
      <c r="H1545" s="15" t="s">
        <v>29</v>
      </c>
      <c r="I1545" s="33">
        <v>15</v>
      </c>
      <c r="J1545" s="11" t="s">
        <v>19</v>
      </c>
      <c r="K1545" s="20" t="s">
        <v>34</v>
      </c>
      <c r="L1545" s="11" t="s">
        <v>41</v>
      </c>
      <c r="M1545" s="20" t="s">
        <v>46</v>
      </c>
      <c r="N1545" s="20" t="s">
        <v>24</v>
      </c>
      <c r="O1545" s="31" t="s">
        <v>29</v>
      </c>
      <c r="P1545" s="15">
        <v>225</v>
      </c>
      <c r="Q1545" s="8"/>
      <c r="R1545">
        <v>13.9</v>
      </c>
      <c r="S1545">
        <v>2686.6</v>
      </c>
      <c r="T1545">
        <v>5.58</v>
      </c>
      <c r="U1545">
        <v>9.98</v>
      </c>
      <c r="V1545">
        <v>139</v>
      </c>
      <c r="W1545" s="317">
        <v>3.8</v>
      </c>
      <c r="X1545" s="190">
        <f t="shared" si="64"/>
        <v>57</v>
      </c>
      <c r="Y1545" s="8"/>
      <c r="Z1545" s="8"/>
    </row>
    <row r="1546" spans="1:26" ht="25.5" customHeight="1" x14ac:dyDescent="0.2">
      <c r="A1546" s="15">
        <v>5</v>
      </c>
      <c r="B1546" s="15">
        <v>2002</v>
      </c>
      <c r="C1546" s="15">
        <v>13</v>
      </c>
      <c r="D1546" s="15">
        <v>8</v>
      </c>
      <c r="E1546" s="29" t="s">
        <v>207</v>
      </c>
      <c r="F1546" s="20" t="s">
        <v>51</v>
      </c>
      <c r="G1546" s="32">
        <v>126</v>
      </c>
      <c r="H1546" s="15" t="s">
        <v>29</v>
      </c>
      <c r="I1546" s="33">
        <v>11</v>
      </c>
      <c r="J1546" s="11" t="s">
        <v>19</v>
      </c>
      <c r="K1546" s="20" t="s">
        <v>20</v>
      </c>
      <c r="L1546" s="20" t="s">
        <v>30</v>
      </c>
      <c r="M1546" s="20" t="s">
        <v>46</v>
      </c>
      <c r="N1546" s="20" t="s">
        <v>23</v>
      </c>
      <c r="O1546" s="31" t="s">
        <v>29</v>
      </c>
      <c r="P1546" s="15">
        <v>225</v>
      </c>
      <c r="Q1546" s="8"/>
      <c r="R1546">
        <v>11.76</v>
      </c>
      <c r="S1546">
        <v>1624.64</v>
      </c>
      <c r="T1546">
        <v>6.77</v>
      </c>
      <c r="U1546">
        <v>8.44</v>
      </c>
      <c r="V1546">
        <v>118</v>
      </c>
      <c r="W1546" s="317">
        <v>4.5999999999999996</v>
      </c>
      <c r="X1546" s="190">
        <f t="shared" ref="X1546:X1557" si="65">I1546*W1546</f>
        <v>50.599999999999994</v>
      </c>
      <c r="Y1546" s="8"/>
      <c r="Z1546" s="8"/>
    </row>
    <row r="1547" spans="1:26" ht="25.5" customHeight="1" x14ac:dyDescent="0.2">
      <c r="A1547" s="15">
        <v>6</v>
      </c>
      <c r="B1547" s="15">
        <v>2002</v>
      </c>
      <c r="C1547" s="15">
        <v>13</v>
      </c>
      <c r="D1547" s="15">
        <v>8</v>
      </c>
      <c r="E1547" s="29" t="s">
        <v>207</v>
      </c>
      <c r="F1547" s="20" t="s">
        <v>51</v>
      </c>
      <c r="G1547" s="32">
        <v>170</v>
      </c>
      <c r="H1547" s="15" t="s">
        <v>29</v>
      </c>
      <c r="I1547" s="33">
        <v>14.5</v>
      </c>
      <c r="J1547" s="11" t="s">
        <v>19</v>
      </c>
      <c r="K1547" s="20" t="s">
        <v>20</v>
      </c>
      <c r="L1547" s="11" t="s">
        <v>21</v>
      </c>
      <c r="M1547" s="20" t="s">
        <v>27</v>
      </c>
      <c r="N1547" s="20" t="s">
        <v>23</v>
      </c>
      <c r="O1547" s="31" t="s">
        <v>29</v>
      </c>
      <c r="P1547" s="15">
        <v>225</v>
      </c>
      <c r="Q1547" s="8"/>
      <c r="R1547">
        <v>15.86</v>
      </c>
      <c r="S1547">
        <v>3990.17</v>
      </c>
      <c r="T1547">
        <v>3.63</v>
      </c>
      <c r="U1547">
        <v>11.39</v>
      </c>
      <c r="V1547">
        <v>159</v>
      </c>
      <c r="W1547" s="317">
        <v>3.9</v>
      </c>
      <c r="X1547" s="190">
        <f t="shared" si="65"/>
        <v>56.55</v>
      </c>
      <c r="Y1547" s="8"/>
      <c r="Z1547" s="8"/>
    </row>
    <row r="1548" spans="1:26" ht="25.5" customHeight="1" x14ac:dyDescent="0.2">
      <c r="A1548" s="15">
        <v>7</v>
      </c>
      <c r="B1548" s="15">
        <v>2002</v>
      </c>
      <c r="C1548" s="15">
        <v>13</v>
      </c>
      <c r="D1548" s="15">
        <v>8</v>
      </c>
      <c r="E1548" s="29" t="s">
        <v>207</v>
      </c>
      <c r="F1548" s="20" t="s">
        <v>51</v>
      </c>
      <c r="G1548" s="32">
        <v>143</v>
      </c>
      <c r="H1548" s="15" t="s">
        <v>29</v>
      </c>
      <c r="I1548" s="33">
        <v>7.5</v>
      </c>
      <c r="J1548" s="11" t="s">
        <v>19</v>
      </c>
      <c r="K1548" s="20" t="s">
        <v>20</v>
      </c>
      <c r="L1548" s="11" t="s">
        <v>21</v>
      </c>
      <c r="M1548" s="20" t="s">
        <v>46</v>
      </c>
      <c r="N1548" s="20" t="s">
        <v>23</v>
      </c>
      <c r="O1548" s="31" t="s">
        <v>29</v>
      </c>
      <c r="P1548" s="15">
        <v>225</v>
      </c>
      <c r="Q1548" s="8"/>
      <c r="R1548">
        <v>13.34</v>
      </c>
      <c r="S1548">
        <v>2374.94</v>
      </c>
      <c r="T1548">
        <v>3.16</v>
      </c>
      <c r="U1548">
        <v>9.58</v>
      </c>
      <c r="V1548">
        <v>133</v>
      </c>
      <c r="W1548" s="317">
        <v>3.9</v>
      </c>
      <c r="X1548" s="190">
        <f t="shared" si="65"/>
        <v>29.25</v>
      </c>
      <c r="Y1548" s="8"/>
      <c r="Z1548" s="8"/>
    </row>
    <row r="1549" spans="1:26" ht="25.5" customHeight="1" x14ac:dyDescent="0.2">
      <c r="A1549" s="15">
        <v>8</v>
      </c>
      <c r="B1549" s="15">
        <v>2002</v>
      </c>
      <c r="C1549" s="15">
        <v>13</v>
      </c>
      <c r="D1549" s="15">
        <v>8</v>
      </c>
      <c r="E1549" s="29" t="s">
        <v>207</v>
      </c>
      <c r="F1549" s="20" t="s">
        <v>51</v>
      </c>
      <c r="G1549" s="32">
        <v>140</v>
      </c>
      <c r="H1549" s="15" t="s">
        <v>29</v>
      </c>
      <c r="I1549" s="33">
        <v>14</v>
      </c>
      <c r="J1549" s="11" t="s">
        <v>19</v>
      </c>
      <c r="K1549" s="20" t="s">
        <v>20</v>
      </c>
      <c r="L1549" s="20" t="s">
        <v>30</v>
      </c>
      <c r="M1549" s="20" t="s">
        <v>46</v>
      </c>
      <c r="N1549" s="20" t="s">
        <v>24</v>
      </c>
      <c r="O1549" s="31" t="s">
        <v>29</v>
      </c>
      <c r="P1549" s="15">
        <v>225</v>
      </c>
      <c r="Q1549" s="8"/>
      <c r="R1549">
        <v>13.06</v>
      </c>
      <c r="S1549">
        <v>2228.58</v>
      </c>
      <c r="T1549">
        <v>6.28</v>
      </c>
      <c r="U1549">
        <v>9.3800000000000008</v>
      </c>
      <c r="V1549">
        <v>131</v>
      </c>
      <c r="W1549" s="317">
        <v>4.5999999999999996</v>
      </c>
      <c r="X1549" s="190">
        <f t="shared" si="65"/>
        <v>64.399999999999991</v>
      </c>
      <c r="Y1549" s="8"/>
      <c r="Z1549" s="8"/>
    </row>
    <row r="1550" spans="1:26" ht="25.5" customHeight="1" x14ac:dyDescent="0.2">
      <c r="A1550" s="15">
        <v>9</v>
      </c>
      <c r="B1550" s="15">
        <v>2002</v>
      </c>
      <c r="C1550" s="15">
        <v>13</v>
      </c>
      <c r="D1550" s="15">
        <v>8</v>
      </c>
      <c r="E1550" s="29" t="s">
        <v>207</v>
      </c>
      <c r="F1550" s="20" t="s">
        <v>51</v>
      </c>
      <c r="G1550" s="32">
        <v>157</v>
      </c>
      <c r="H1550" s="15" t="s">
        <v>29</v>
      </c>
      <c r="I1550" s="33">
        <v>11.5</v>
      </c>
      <c r="J1550" s="11" t="s">
        <v>19</v>
      </c>
      <c r="K1550" s="20" t="s">
        <v>20</v>
      </c>
      <c r="L1550" s="11" t="s">
        <v>21</v>
      </c>
      <c r="M1550" s="20" t="s">
        <v>46</v>
      </c>
      <c r="N1550" s="20" t="s">
        <v>24</v>
      </c>
      <c r="O1550" s="31" t="s">
        <v>29</v>
      </c>
      <c r="P1550" s="15">
        <v>225</v>
      </c>
      <c r="Q1550" s="8"/>
      <c r="R1550">
        <v>14.65</v>
      </c>
      <c r="S1550">
        <v>3143</v>
      </c>
      <c r="T1550">
        <v>3.66</v>
      </c>
      <c r="U1550">
        <v>10.52</v>
      </c>
      <c r="V1550">
        <v>146</v>
      </c>
      <c r="W1550" s="317">
        <v>3.9</v>
      </c>
      <c r="X1550" s="190">
        <f t="shared" si="65"/>
        <v>44.85</v>
      </c>
      <c r="Y1550" s="8"/>
      <c r="Z1550" s="8"/>
    </row>
    <row r="1551" spans="1:26" ht="25.5" customHeight="1" x14ac:dyDescent="0.2">
      <c r="A1551" s="15">
        <v>10</v>
      </c>
      <c r="B1551" s="15">
        <v>2002</v>
      </c>
      <c r="C1551" s="15">
        <v>13</v>
      </c>
      <c r="D1551" s="15">
        <v>8</v>
      </c>
      <c r="E1551" s="29" t="s">
        <v>207</v>
      </c>
      <c r="F1551" s="20" t="s">
        <v>51</v>
      </c>
      <c r="G1551" s="32">
        <v>145</v>
      </c>
      <c r="H1551" s="15" t="s">
        <v>29</v>
      </c>
      <c r="I1551" s="33">
        <v>9</v>
      </c>
      <c r="J1551" s="11" t="s">
        <v>19</v>
      </c>
      <c r="K1551" s="20" t="s">
        <v>20</v>
      </c>
      <c r="L1551" s="11" t="s">
        <v>21</v>
      </c>
      <c r="M1551" s="20" t="s">
        <v>45</v>
      </c>
      <c r="N1551" s="20" t="s">
        <v>33</v>
      </c>
      <c r="O1551" s="31" t="s">
        <v>29</v>
      </c>
      <c r="P1551" s="15">
        <v>225</v>
      </c>
      <c r="Q1551" s="8"/>
      <c r="R1551">
        <v>13.53</v>
      </c>
      <c r="S1551">
        <v>2475.9899999999998</v>
      </c>
      <c r="T1551">
        <v>3.63</v>
      </c>
      <c r="U1551">
        <v>9.7200000000000006</v>
      </c>
      <c r="V1551">
        <v>135</v>
      </c>
      <c r="W1551" s="317">
        <v>3.9</v>
      </c>
      <c r="X1551" s="190">
        <f t="shared" si="65"/>
        <v>35.1</v>
      </c>
      <c r="Y1551" s="8"/>
      <c r="Z1551" s="8"/>
    </row>
    <row r="1552" spans="1:26" ht="25.5" customHeight="1" x14ac:dyDescent="0.2">
      <c r="A1552" s="15">
        <v>11</v>
      </c>
      <c r="B1552" s="15">
        <v>2002</v>
      </c>
      <c r="C1552" s="15">
        <v>13</v>
      </c>
      <c r="D1552" s="15">
        <v>8</v>
      </c>
      <c r="E1552" s="29" t="s">
        <v>207</v>
      </c>
      <c r="F1552" s="20" t="s">
        <v>51</v>
      </c>
      <c r="G1552" s="32">
        <v>142</v>
      </c>
      <c r="H1552" s="15" t="s">
        <v>29</v>
      </c>
      <c r="I1552" s="33">
        <v>14.5</v>
      </c>
      <c r="J1552" s="11" t="s">
        <v>19</v>
      </c>
      <c r="K1552" s="20" t="s">
        <v>20</v>
      </c>
      <c r="L1552" s="20" t="s">
        <v>30</v>
      </c>
      <c r="M1552" s="20" t="s">
        <v>46</v>
      </c>
      <c r="N1552" s="20" t="s">
        <v>24</v>
      </c>
      <c r="O1552" s="31" t="s">
        <v>29</v>
      </c>
      <c r="P1552" s="15">
        <v>225</v>
      </c>
      <c r="Q1552" s="8"/>
      <c r="R1552">
        <v>13.25</v>
      </c>
      <c r="S1552">
        <v>2325.4699999999998</v>
      </c>
      <c r="T1552">
        <v>6.24</v>
      </c>
      <c r="U1552">
        <v>9.51</v>
      </c>
      <c r="V1552">
        <v>132</v>
      </c>
      <c r="W1552" s="317">
        <v>4.5999999999999996</v>
      </c>
      <c r="X1552" s="190">
        <f t="shared" si="65"/>
        <v>66.699999999999989</v>
      </c>
      <c r="Y1552" s="8"/>
      <c r="Z1552" s="8"/>
    </row>
    <row r="1553" spans="1:26" ht="25.5" customHeight="1" x14ac:dyDescent="0.2">
      <c r="A1553" s="15">
        <v>12</v>
      </c>
      <c r="B1553" s="15">
        <v>2002</v>
      </c>
      <c r="C1553" s="15">
        <v>13</v>
      </c>
      <c r="D1553" s="15">
        <v>8</v>
      </c>
      <c r="E1553" s="29" t="s">
        <v>207</v>
      </c>
      <c r="F1553" s="20" t="s">
        <v>51</v>
      </c>
      <c r="G1553" s="32">
        <v>142</v>
      </c>
      <c r="H1553" s="15" t="s">
        <v>29</v>
      </c>
      <c r="I1553" s="33">
        <v>12</v>
      </c>
      <c r="J1553" s="11" t="s">
        <v>19</v>
      </c>
      <c r="K1553" s="20" t="s">
        <v>20</v>
      </c>
      <c r="L1553" s="11" t="s">
        <v>21</v>
      </c>
      <c r="M1553" s="20" t="s">
        <v>45</v>
      </c>
      <c r="N1553" s="20" t="s">
        <v>25</v>
      </c>
      <c r="O1553" s="31" t="s">
        <v>29</v>
      </c>
      <c r="P1553" s="15">
        <v>225</v>
      </c>
      <c r="Q1553" s="8"/>
      <c r="R1553">
        <v>13.25</v>
      </c>
      <c r="S1553">
        <v>2325.4699999999998</v>
      </c>
      <c r="T1553">
        <v>5.16</v>
      </c>
      <c r="U1553">
        <v>9.51</v>
      </c>
      <c r="V1553">
        <v>132</v>
      </c>
      <c r="W1553" s="317">
        <v>3.9</v>
      </c>
      <c r="X1553" s="190">
        <f t="shared" si="65"/>
        <v>46.8</v>
      </c>
      <c r="Y1553" s="8"/>
      <c r="Z1553" s="8"/>
    </row>
    <row r="1554" spans="1:26" ht="25.5" customHeight="1" x14ac:dyDescent="0.2">
      <c r="A1554" s="15">
        <v>13</v>
      </c>
      <c r="B1554" s="15">
        <v>2002</v>
      </c>
      <c r="C1554" s="15">
        <v>13</v>
      </c>
      <c r="D1554" s="15">
        <v>8</v>
      </c>
      <c r="E1554" s="29" t="s">
        <v>207</v>
      </c>
      <c r="F1554" s="20" t="s">
        <v>51</v>
      </c>
      <c r="G1554" s="32">
        <v>143</v>
      </c>
      <c r="H1554" s="15" t="s">
        <v>29</v>
      </c>
      <c r="I1554" s="33">
        <v>17.5</v>
      </c>
      <c r="J1554" s="11" t="s">
        <v>19</v>
      </c>
      <c r="K1554" s="20" t="s">
        <v>20</v>
      </c>
      <c r="L1554" s="20" t="s">
        <v>30</v>
      </c>
      <c r="M1554" s="20" t="s">
        <v>45</v>
      </c>
      <c r="N1554" s="20" t="s">
        <v>23</v>
      </c>
      <c r="O1554" s="31" t="s">
        <v>29</v>
      </c>
      <c r="P1554" s="15">
        <v>225</v>
      </c>
      <c r="Q1554" s="8"/>
      <c r="R1554">
        <v>13.34</v>
      </c>
      <c r="S1554">
        <v>2374.94</v>
      </c>
      <c r="T1554">
        <v>7.37</v>
      </c>
      <c r="U1554">
        <v>9.58</v>
      </c>
      <c r="V1554">
        <v>133</v>
      </c>
      <c r="W1554" s="317">
        <v>4.5999999999999996</v>
      </c>
      <c r="X1554" s="190">
        <f t="shared" si="65"/>
        <v>80.5</v>
      </c>
      <c r="Y1554" s="8"/>
      <c r="Z1554" s="8"/>
    </row>
    <row r="1555" spans="1:26" ht="25.5" customHeight="1" x14ac:dyDescent="0.2">
      <c r="A1555" s="15">
        <v>14</v>
      </c>
      <c r="B1555" s="15">
        <v>2002</v>
      </c>
      <c r="C1555" s="15">
        <v>13</v>
      </c>
      <c r="D1555" s="15">
        <v>8</v>
      </c>
      <c r="E1555" s="29" t="s">
        <v>207</v>
      </c>
      <c r="F1555" s="20" t="s">
        <v>51</v>
      </c>
      <c r="G1555" s="32">
        <v>165</v>
      </c>
      <c r="H1555" s="15" t="s">
        <v>29</v>
      </c>
      <c r="I1555" s="33">
        <v>20.5</v>
      </c>
      <c r="J1555" s="11" t="s">
        <v>19</v>
      </c>
      <c r="K1555" s="20" t="s">
        <v>20</v>
      </c>
      <c r="L1555" s="11" t="s">
        <v>21</v>
      </c>
      <c r="M1555" s="20" t="s">
        <v>45</v>
      </c>
      <c r="N1555" s="20" t="s">
        <v>24</v>
      </c>
      <c r="O1555" s="31" t="s">
        <v>29</v>
      </c>
      <c r="P1555" s="15">
        <v>225</v>
      </c>
      <c r="Q1555" s="8"/>
      <c r="R1555">
        <v>15.39</v>
      </c>
      <c r="S1555">
        <v>3648.35</v>
      </c>
      <c r="T1555">
        <v>5.62</v>
      </c>
      <c r="U1555">
        <v>11.06</v>
      </c>
      <c r="V1555">
        <v>154</v>
      </c>
      <c r="W1555" s="317">
        <v>3.9</v>
      </c>
      <c r="X1555" s="190">
        <f t="shared" si="65"/>
        <v>79.95</v>
      </c>
      <c r="Y1555" s="8"/>
      <c r="Z1555" s="8"/>
    </row>
    <row r="1556" spans="1:26" ht="25.5" customHeight="1" x14ac:dyDescent="0.2">
      <c r="A1556" s="15">
        <v>15</v>
      </c>
      <c r="B1556" s="15">
        <v>2002</v>
      </c>
      <c r="C1556" s="15">
        <v>13</v>
      </c>
      <c r="D1556" s="15">
        <v>8</v>
      </c>
      <c r="E1556" s="29" t="s">
        <v>207</v>
      </c>
      <c r="F1556" s="20" t="s">
        <v>51</v>
      </c>
      <c r="G1556" s="32">
        <v>162</v>
      </c>
      <c r="H1556" s="15" t="s">
        <v>29</v>
      </c>
      <c r="I1556" s="33">
        <v>11.5</v>
      </c>
      <c r="J1556" s="11" t="s">
        <v>19</v>
      </c>
      <c r="K1556" s="20" t="s">
        <v>20</v>
      </c>
      <c r="L1556" s="11" t="s">
        <v>21</v>
      </c>
      <c r="M1556" s="20" t="s">
        <v>27</v>
      </c>
      <c r="N1556" s="20" t="s">
        <v>33</v>
      </c>
      <c r="O1556" s="31" t="s">
        <v>29</v>
      </c>
      <c r="P1556" s="15">
        <v>225</v>
      </c>
      <c r="Q1556" s="8"/>
      <c r="R1556">
        <v>15.11</v>
      </c>
      <c r="S1556">
        <v>3452.95</v>
      </c>
      <c r="T1556">
        <v>3.33</v>
      </c>
      <c r="U1556">
        <v>10.85</v>
      </c>
      <c r="V1556">
        <v>151</v>
      </c>
      <c r="W1556" s="317">
        <v>3.9</v>
      </c>
      <c r="X1556" s="190">
        <f t="shared" si="65"/>
        <v>44.85</v>
      </c>
      <c r="Y1556" s="8"/>
      <c r="Z1556" s="8"/>
    </row>
    <row r="1557" spans="1:26" ht="25.5" customHeight="1" x14ac:dyDescent="0.2">
      <c r="A1557" s="15">
        <v>16</v>
      </c>
      <c r="B1557" s="15">
        <v>2002</v>
      </c>
      <c r="C1557" s="15">
        <v>13</v>
      </c>
      <c r="D1557" s="15">
        <v>8</v>
      </c>
      <c r="E1557" s="29" t="s">
        <v>207</v>
      </c>
      <c r="F1557" s="20" t="s">
        <v>51</v>
      </c>
      <c r="G1557" s="32">
        <v>150</v>
      </c>
      <c r="H1557" s="15" t="s">
        <v>29</v>
      </c>
      <c r="I1557" s="33">
        <v>17</v>
      </c>
      <c r="J1557" s="11" t="s">
        <v>19</v>
      </c>
      <c r="K1557" s="20" t="s">
        <v>34</v>
      </c>
      <c r="L1557" s="11" t="s">
        <v>41</v>
      </c>
      <c r="M1557" s="20" t="s">
        <v>45</v>
      </c>
      <c r="N1557" s="20" t="s">
        <v>24</v>
      </c>
      <c r="O1557" s="31" t="s">
        <v>29</v>
      </c>
      <c r="P1557" s="15">
        <v>225</v>
      </c>
      <c r="Q1557" s="8"/>
      <c r="R1557">
        <v>14</v>
      </c>
      <c r="S1557">
        <v>2741.06</v>
      </c>
      <c r="T1557">
        <v>6.2</v>
      </c>
      <c r="U1557">
        <v>10.050000000000001</v>
      </c>
      <c r="V1557">
        <v>140</v>
      </c>
      <c r="W1557" s="317">
        <v>3.8</v>
      </c>
      <c r="X1557" s="190">
        <f t="shared" si="65"/>
        <v>64.599999999999994</v>
      </c>
      <c r="Y1557" s="8"/>
      <c r="Z1557" s="8"/>
    </row>
    <row r="1558" spans="1:26" ht="25.5" customHeight="1" x14ac:dyDescent="0.2">
      <c r="A1558" s="15">
        <v>17</v>
      </c>
      <c r="B1558" s="15">
        <v>2002</v>
      </c>
      <c r="C1558" s="15">
        <v>13</v>
      </c>
      <c r="D1558" s="15">
        <v>8</v>
      </c>
      <c r="E1558" s="29" t="s">
        <v>207</v>
      </c>
      <c r="F1558" s="20" t="s">
        <v>51</v>
      </c>
      <c r="G1558" s="32">
        <v>156</v>
      </c>
      <c r="H1558" s="15" t="s">
        <v>29</v>
      </c>
      <c r="I1558" s="33">
        <v>12.5</v>
      </c>
      <c r="J1558" s="11" t="s">
        <v>19</v>
      </c>
      <c r="K1558" s="20" t="s">
        <v>20</v>
      </c>
      <c r="L1558" s="11" t="s">
        <v>21</v>
      </c>
      <c r="M1558" s="20" t="s">
        <v>45</v>
      </c>
      <c r="N1558" s="20" t="s">
        <v>25</v>
      </c>
      <c r="O1558" s="31" t="s">
        <v>29</v>
      </c>
      <c r="P1558" s="15">
        <v>225</v>
      </c>
      <c r="Q1558" s="8"/>
      <c r="R1558">
        <v>14.55</v>
      </c>
      <c r="S1558">
        <v>3083.32</v>
      </c>
      <c r="T1558">
        <v>4.05</v>
      </c>
      <c r="U1558">
        <v>10.45</v>
      </c>
      <c r="V1558">
        <v>146</v>
      </c>
      <c r="W1558" s="317">
        <v>3.9</v>
      </c>
      <c r="X1558" s="190">
        <f>I1558*W1558</f>
        <v>48.75</v>
      </c>
      <c r="Y1558" s="8"/>
      <c r="Z1558" s="8"/>
    </row>
    <row r="1559" spans="1:26" ht="25.5" customHeight="1" x14ac:dyDescent="0.2">
      <c r="A1559" s="15">
        <v>18</v>
      </c>
      <c r="B1559" s="15">
        <v>2002</v>
      </c>
      <c r="C1559" s="15">
        <v>13</v>
      </c>
      <c r="D1559" s="15">
        <v>8</v>
      </c>
      <c r="E1559" s="29" t="s">
        <v>207</v>
      </c>
      <c r="F1559" s="20" t="s">
        <v>51</v>
      </c>
      <c r="G1559" s="32">
        <v>132</v>
      </c>
      <c r="H1559" s="15" t="s">
        <v>29</v>
      </c>
      <c r="I1559" s="33">
        <v>7.5</v>
      </c>
      <c r="J1559" s="11" t="s">
        <v>19</v>
      </c>
      <c r="K1559" s="20" t="s">
        <v>20</v>
      </c>
      <c r="L1559" s="11" t="s">
        <v>41</v>
      </c>
      <c r="M1559" s="20" t="s">
        <v>46</v>
      </c>
      <c r="N1559" s="20" t="s">
        <v>24</v>
      </c>
      <c r="O1559" s="31" t="s">
        <v>29</v>
      </c>
      <c r="P1559" s="15">
        <v>225</v>
      </c>
      <c r="Q1559" s="8"/>
      <c r="R1559">
        <v>12.32</v>
      </c>
      <c r="S1559">
        <v>1867.96</v>
      </c>
      <c r="T1559">
        <v>4.0199999999999996</v>
      </c>
      <c r="U1559">
        <v>8.84</v>
      </c>
      <c r="V1559">
        <v>123</v>
      </c>
      <c r="W1559" s="8"/>
      <c r="X1559" s="8"/>
      <c r="Y1559" s="8"/>
      <c r="Z1559" s="8"/>
    </row>
    <row r="1560" spans="1:26" ht="25.5" customHeight="1" x14ac:dyDescent="0.2">
      <c r="A1560" s="15">
        <v>19</v>
      </c>
      <c r="B1560" s="15">
        <v>2002</v>
      </c>
      <c r="C1560" s="15">
        <v>13</v>
      </c>
      <c r="D1560" s="15">
        <v>8</v>
      </c>
      <c r="E1560" s="29" t="s">
        <v>207</v>
      </c>
      <c r="F1560" s="20" t="s">
        <v>51</v>
      </c>
      <c r="G1560" s="32">
        <v>131</v>
      </c>
      <c r="H1560" s="15" t="s">
        <v>29</v>
      </c>
      <c r="I1560" s="33">
        <v>7.5</v>
      </c>
      <c r="J1560" s="11" t="s">
        <v>19</v>
      </c>
      <c r="K1560" s="20" t="s">
        <v>20</v>
      </c>
      <c r="L1560" s="11" t="s">
        <v>21</v>
      </c>
      <c r="M1560" s="20" t="s">
        <v>45</v>
      </c>
      <c r="N1560" s="20" t="s">
        <v>24</v>
      </c>
      <c r="O1560" s="31" t="s">
        <v>29</v>
      </c>
      <c r="P1560" s="15">
        <v>225</v>
      </c>
      <c r="Q1560" s="8"/>
      <c r="R1560">
        <v>12.22</v>
      </c>
      <c r="S1560">
        <v>1825.82</v>
      </c>
      <c r="T1560">
        <v>4.1100000000000003</v>
      </c>
      <c r="U1560">
        <v>8.7799999999999994</v>
      </c>
      <c r="V1560">
        <v>122</v>
      </c>
      <c r="W1560" s="317">
        <v>3.9</v>
      </c>
      <c r="X1560" s="190">
        <f t="shared" ref="X1560:X1568" si="66">I1560*W1560</f>
        <v>29.25</v>
      </c>
      <c r="Y1560" s="8"/>
      <c r="Z1560" s="8"/>
    </row>
    <row r="1561" spans="1:26" ht="25.5" customHeight="1" x14ac:dyDescent="0.2">
      <c r="A1561" s="15">
        <v>20</v>
      </c>
      <c r="B1561" s="15">
        <v>2002</v>
      </c>
      <c r="C1561" s="15">
        <v>13</v>
      </c>
      <c r="D1561" s="15">
        <v>8</v>
      </c>
      <c r="E1561" s="29" t="s">
        <v>207</v>
      </c>
      <c r="F1561" s="20" t="s">
        <v>51</v>
      </c>
      <c r="G1561" s="32">
        <v>160</v>
      </c>
      <c r="H1561" s="15" t="s">
        <v>29</v>
      </c>
      <c r="I1561" s="33">
        <v>17</v>
      </c>
      <c r="J1561" s="11" t="s">
        <v>19</v>
      </c>
      <c r="K1561" s="20" t="s">
        <v>20</v>
      </c>
      <c r="L1561" s="11" t="s">
        <v>21</v>
      </c>
      <c r="M1561" s="20" t="s">
        <v>45</v>
      </c>
      <c r="N1561" s="20" t="s">
        <v>24</v>
      </c>
      <c r="O1561" s="31" t="s">
        <v>29</v>
      </c>
      <c r="P1561" s="15">
        <v>225</v>
      </c>
      <c r="Q1561" s="8"/>
      <c r="R1561">
        <v>14.93</v>
      </c>
      <c r="S1561">
        <v>3326.63</v>
      </c>
      <c r="T1561">
        <v>5.1100000000000003</v>
      </c>
      <c r="U1561">
        <v>10.72</v>
      </c>
      <c r="V1561">
        <v>149</v>
      </c>
      <c r="W1561" s="317">
        <v>3.9</v>
      </c>
      <c r="X1561" s="190">
        <f t="shared" si="66"/>
        <v>66.3</v>
      </c>
      <c r="Y1561" s="8"/>
      <c r="Z1561" s="8"/>
    </row>
    <row r="1562" spans="1:26" ht="25.5" customHeight="1" x14ac:dyDescent="0.2">
      <c r="A1562" s="15">
        <v>21</v>
      </c>
      <c r="B1562" s="15">
        <v>2002</v>
      </c>
      <c r="C1562" s="15">
        <v>13</v>
      </c>
      <c r="D1562" s="15">
        <v>8</v>
      </c>
      <c r="E1562" s="29" t="s">
        <v>207</v>
      </c>
      <c r="F1562" s="20" t="s">
        <v>51</v>
      </c>
      <c r="G1562" s="32">
        <v>163</v>
      </c>
      <c r="H1562" s="15" t="s">
        <v>29</v>
      </c>
      <c r="I1562" s="33">
        <v>20</v>
      </c>
      <c r="J1562" s="11" t="s">
        <v>19</v>
      </c>
      <c r="K1562" s="20" t="s">
        <v>20</v>
      </c>
      <c r="L1562" s="20" t="s">
        <v>30</v>
      </c>
      <c r="M1562" s="20" t="s">
        <v>45</v>
      </c>
      <c r="N1562" s="20" t="s">
        <v>23</v>
      </c>
      <c r="O1562" s="31" t="s">
        <v>29</v>
      </c>
      <c r="P1562" s="15">
        <v>225</v>
      </c>
      <c r="Q1562" s="8"/>
      <c r="R1562">
        <v>15.21</v>
      </c>
      <c r="S1562">
        <v>3517.29</v>
      </c>
      <c r="T1562">
        <v>5.69</v>
      </c>
      <c r="U1562">
        <v>10.92</v>
      </c>
      <c r="V1562">
        <v>152</v>
      </c>
      <c r="W1562" s="317">
        <v>4.5999999999999996</v>
      </c>
      <c r="X1562" s="190">
        <f t="shared" si="66"/>
        <v>92</v>
      </c>
      <c r="Y1562" s="8"/>
      <c r="Z1562" s="8"/>
    </row>
    <row r="1563" spans="1:26" ht="25.5" customHeight="1" x14ac:dyDescent="0.2">
      <c r="A1563" s="15">
        <v>22</v>
      </c>
      <c r="B1563" s="15">
        <v>2002</v>
      </c>
      <c r="C1563" s="15">
        <v>13</v>
      </c>
      <c r="D1563" s="15">
        <v>8</v>
      </c>
      <c r="E1563" s="29" t="s">
        <v>207</v>
      </c>
      <c r="F1563" s="20" t="s">
        <v>51</v>
      </c>
      <c r="G1563" s="32">
        <v>143</v>
      </c>
      <c r="H1563" s="15" t="s">
        <v>29</v>
      </c>
      <c r="I1563" s="33">
        <v>9</v>
      </c>
      <c r="J1563" s="11" t="s">
        <v>19</v>
      </c>
      <c r="K1563" s="20" t="s">
        <v>20</v>
      </c>
      <c r="L1563" s="11" t="s">
        <v>21</v>
      </c>
      <c r="M1563" s="20" t="s">
        <v>45</v>
      </c>
      <c r="N1563" s="20" t="s">
        <v>23</v>
      </c>
      <c r="O1563" s="31" t="s">
        <v>29</v>
      </c>
      <c r="P1563" s="15">
        <v>225</v>
      </c>
      <c r="Q1563" s="8"/>
      <c r="R1563">
        <v>13.34</v>
      </c>
      <c r="S1563">
        <v>2374.94</v>
      </c>
      <c r="T1563">
        <v>3.79</v>
      </c>
      <c r="U1563">
        <v>9.58</v>
      </c>
      <c r="V1563">
        <v>133</v>
      </c>
      <c r="W1563" s="317">
        <v>3.9</v>
      </c>
      <c r="X1563" s="190">
        <f t="shared" si="66"/>
        <v>35.1</v>
      </c>
      <c r="Y1563" s="8"/>
      <c r="Z1563" s="8"/>
    </row>
    <row r="1564" spans="1:26" ht="25.5" customHeight="1" x14ac:dyDescent="0.2">
      <c r="A1564" s="15">
        <v>23</v>
      </c>
      <c r="B1564" s="15">
        <v>2002</v>
      </c>
      <c r="C1564" s="15">
        <v>13</v>
      </c>
      <c r="D1564" s="15">
        <v>8</v>
      </c>
      <c r="E1564" s="29" t="s">
        <v>207</v>
      </c>
      <c r="F1564" s="20" t="s">
        <v>51</v>
      </c>
      <c r="G1564" s="32">
        <v>138</v>
      </c>
      <c r="H1564" s="15" t="s">
        <v>29</v>
      </c>
      <c r="I1564" s="33">
        <v>13</v>
      </c>
      <c r="J1564" s="11" t="s">
        <v>19</v>
      </c>
      <c r="K1564" s="20" t="s">
        <v>20</v>
      </c>
      <c r="L1564" s="20" t="s">
        <v>30</v>
      </c>
      <c r="M1564" s="20" t="s">
        <v>45</v>
      </c>
      <c r="N1564" s="20" t="s">
        <v>24</v>
      </c>
      <c r="O1564" s="31" t="s">
        <v>29</v>
      </c>
      <c r="P1564" s="15">
        <v>225</v>
      </c>
      <c r="Q1564" s="8"/>
      <c r="R1564">
        <v>12.88</v>
      </c>
      <c r="S1564">
        <v>2134.4299999999998</v>
      </c>
      <c r="T1564">
        <v>6.09</v>
      </c>
      <c r="U1564">
        <v>9.25</v>
      </c>
      <c r="V1564">
        <v>129</v>
      </c>
      <c r="W1564" s="317">
        <v>4.5999999999999996</v>
      </c>
      <c r="X1564" s="190">
        <f t="shared" si="66"/>
        <v>59.8</v>
      </c>
      <c r="Y1564" s="8"/>
      <c r="Z1564" s="8"/>
    </row>
    <row r="1565" spans="1:26" ht="25.5" customHeight="1" x14ac:dyDescent="0.2">
      <c r="A1565" s="15">
        <v>24</v>
      </c>
      <c r="B1565" s="15">
        <v>2002</v>
      </c>
      <c r="C1565" s="15">
        <v>13</v>
      </c>
      <c r="D1565" s="15">
        <v>8</v>
      </c>
      <c r="E1565" s="29" t="s">
        <v>207</v>
      </c>
      <c r="F1565" s="20" t="s">
        <v>51</v>
      </c>
      <c r="G1565" s="32">
        <v>117</v>
      </c>
      <c r="H1565" s="15" t="s">
        <v>29</v>
      </c>
      <c r="I1565" s="33">
        <v>7</v>
      </c>
      <c r="J1565" s="11" t="s">
        <v>19</v>
      </c>
      <c r="K1565" s="20" t="s">
        <v>20</v>
      </c>
      <c r="L1565" s="11" t="s">
        <v>21</v>
      </c>
      <c r="M1565" s="20" t="s">
        <v>45</v>
      </c>
      <c r="N1565" s="20" t="s">
        <v>25</v>
      </c>
      <c r="O1565" s="31" t="s">
        <v>29</v>
      </c>
      <c r="P1565" s="15">
        <v>225</v>
      </c>
      <c r="Q1565" s="8"/>
      <c r="R1565">
        <v>10.92</v>
      </c>
      <c r="S1565">
        <v>1300.78</v>
      </c>
      <c r="T1565">
        <v>5.38</v>
      </c>
      <c r="U1565">
        <v>7.84</v>
      </c>
      <c r="V1565">
        <v>109</v>
      </c>
      <c r="W1565" s="317">
        <v>3.9</v>
      </c>
      <c r="X1565" s="190">
        <f t="shared" si="66"/>
        <v>27.3</v>
      </c>
      <c r="Y1565" s="8"/>
      <c r="Z1565" s="8"/>
    </row>
    <row r="1566" spans="1:26" ht="25.5" customHeight="1" x14ac:dyDescent="0.2">
      <c r="A1566" s="15">
        <v>25</v>
      </c>
      <c r="B1566" s="15">
        <v>2002</v>
      </c>
      <c r="C1566" s="15">
        <v>13</v>
      </c>
      <c r="D1566" s="15">
        <v>8</v>
      </c>
      <c r="E1566" s="29" t="s">
        <v>207</v>
      </c>
      <c r="F1566" s="20" t="s">
        <v>51</v>
      </c>
      <c r="G1566" s="32">
        <v>125</v>
      </c>
      <c r="H1566" s="15" t="s">
        <v>29</v>
      </c>
      <c r="I1566" s="33">
        <v>10</v>
      </c>
      <c r="J1566" s="11" t="s">
        <v>19</v>
      </c>
      <c r="K1566" s="20" t="s">
        <v>20</v>
      </c>
      <c r="L1566" s="20" t="s">
        <v>30</v>
      </c>
      <c r="M1566" s="20" t="s">
        <v>46</v>
      </c>
      <c r="N1566" s="20" t="s">
        <v>24</v>
      </c>
      <c r="O1566" s="31" t="s">
        <v>29</v>
      </c>
      <c r="P1566" s="15">
        <v>225</v>
      </c>
      <c r="Q1566" s="8"/>
      <c r="R1566">
        <v>11.66</v>
      </c>
      <c r="S1566">
        <v>1586.26</v>
      </c>
      <c r="T1566">
        <v>6.3</v>
      </c>
      <c r="U1566">
        <v>8.3800000000000008</v>
      </c>
      <c r="V1566">
        <v>117</v>
      </c>
      <c r="W1566" s="317">
        <v>4.5999999999999996</v>
      </c>
      <c r="X1566" s="190">
        <f t="shared" si="66"/>
        <v>46</v>
      </c>
      <c r="Y1566" s="8"/>
      <c r="Z1566" s="8"/>
    </row>
    <row r="1567" spans="1:26" ht="25.5" customHeight="1" x14ac:dyDescent="0.2">
      <c r="A1567" s="15">
        <v>26</v>
      </c>
      <c r="B1567" s="15">
        <v>2002</v>
      </c>
      <c r="C1567" s="15">
        <v>13</v>
      </c>
      <c r="D1567" s="15">
        <v>8</v>
      </c>
      <c r="E1567" s="29" t="s">
        <v>207</v>
      </c>
      <c r="F1567" s="20" t="s">
        <v>51</v>
      </c>
      <c r="G1567" s="32">
        <v>146</v>
      </c>
      <c r="H1567" s="15" t="s">
        <v>29</v>
      </c>
      <c r="I1567" s="33">
        <v>16</v>
      </c>
      <c r="J1567" s="11" t="s">
        <v>19</v>
      </c>
      <c r="K1567" s="20" t="s">
        <v>20</v>
      </c>
      <c r="L1567" s="20" t="s">
        <v>30</v>
      </c>
      <c r="M1567" s="20" t="s">
        <v>45</v>
      </c>
      <c r="N1567" s="20" t="s">
        <v>25</v>
      </c>
      <c r="O1567" s="31" t="s">
        <v>29</v>
      </c>
      <c r="P1567" s="15">
        <v>225</v>
      </c>
      <c r="Q1567" s="8"/>
      <c r="R1567">
        <v>13.62</v>
      </c>
      <c r="S1567">
        <v>2527.5700000000002</v>
      </c>
      <c r="T1567">
        <v>6.33</v>
      </c>
      <c r="U1567">
        <v>9.7799999999999994</v>
      </c>
      <c r="V1567">
        <v>136</v>
      </c>
      <c r="W1567" s="317">
        <v>4.5999999999999996</v>
      </c>
      <c r="X1567" s="190">
        <f t="shared" si="66"/>
        <v>73.599999999999994</v>
      </c>
      <c r="Y1567" s="8"/>
      <c r="Z1567" s="8"/>
    </row>
    <row r="1568" spans="1:26" ht="25.5" customHeight="1" x14ac:dyDescent="0.2">
      <c r="A1568" s="15">
        <v>27</v>
      </c>
      <c r="B1568" s="15">
        <v>2002</v>
      </c>
      <c r="C1568" s="15">
        <v>13</v>
      </c>
      <c r="D1568" s="15">
        <v>8</v>
      </c>
      <c r="E1568" s="29" t="s">
        <v>207</v>
      </c>
      <c r="F1568" s="20" t="s">
        <v>51</v>
      </c>
      <c r="G1568" s="32">
        <v>157</v>
      </c>
      <c r="H1568" s="15" t="s">
        <v>29</v>
      </c>
      <c r="I1568" s="33">
        <v>21</v>
      </c>
      <c r="J1568" s="11" t="s">
        <v>19</v>
      </c>
      <c r="K1568" s="20" t="s">
        <v>34</v>
      </c>
      <c r="L1568" s="11" t="s">
        <v>41</v>
      </c>
      <c r="M1568" s="20" t="s">
        <v>46</v>
      </c>
      <c r="N1568" s="20" t="s">
        <v>24</v>
      </c>
      <c r="O1568" s="31" t="s">
        <v>29</v>
      </c>
      <c r="P1568" s="15">
        <v>225</v>
      </c>
      <c r="Q1568" s="8"/>
      <c r="R1568">
        <v>14.65</v>
      </c>
      <c r="S1568">
        <v>3143</v>
      </c>
      <c r="T1568">
        <v>6.68</v>
      </c>
      <c r="U1568">
        <v>10.52</v>
      </c>
      <c r="V1568">
        <v>146</v>
      </c>
      <c r="W1568" s="317">
        <v>3.8</v>
      </c>
      <c r="X1568" s="190">
        <f t="shared" si="66"/>
        <v>79.8</v>
      </c>
      <c r="Y1568" s="8"/>
      <c r="Z1568" s="8"/>
    </row>
    <row r="1569" spans="1:26" ht="25.5" customHeight="1" x14ac:dyDescent="0.2">
      <c r="A1569" s="15">
        <v>28</v>
      </c>
      <c r="B1569" s="15">
        <v>2002</v>
      </c>
      <c r="C1569" s="15">
        <v>13</v>
      </c>
      <c r="D1569" s="15">
        <v>8</v>
      </c>
      <c r="E1569" s="29" t="s">
        <v>207</v>
      </c>
      <c r="F1569" s="20" t="s">
        <v>51</v>
      </c>
      <c r="G1569" s="32">
        <v>131</v>
      </c>
      <c r="H1569" s="15" t="s">
        <v>29</v>
      </c>
      <c r="I1569" s="33">
        <v>10.5</v>
      </c>
      <c r="J1569" s="11" t="s">
        <v>19</v>
      </c>
      <c r="K1569" s="20" t="s">
        <v>20</v>
      </c>
      <c r="L1569" s="20" t="s">
        <v>30</v>
      </c>
      <c r="M1569" s="20" t="s">
        <v>45</v>
      </c>
      <c r="N1569" s="20" t="s">
        <v>24</v>
      </c>
      <c r="O1569" s="31" t="s">
        <v>29</v>
      </c>
      <c r="P1569" s="15">
        <v>225</v>
      </c>
      <c r="Q1569" s="8"/>
      <c r="R1569">
        <v>12.22</v>
      </c>
      <c r="S1569">
        <v>1825.82</v>
      </c>
      <c r="T1569">
        <v>5.75</v>
      </c>
      <c r="U1569">
        <v>8.7799999999999994</v>
      </c>
      <c r="V1569">
        <v>122</v>
      </c>
      <c r="W1569" s="317">
        <v>4.5999999999999996</v>
      </c>
      <c r="X1569" s="190">
        <f t="shared" ref="X1569:X1588" si="67">I1569*W1569</f>
        <v>48.3</v>
      </c>
      <c r="Y1569" s="8"/>
      <c r="Z1569" s="8"/>
    </row>
    <row r="1570" spans="1:26" ht="25.5" customHeight="1" x14ac:dyDescent="0.2">
      <c r="A1570" s="15">
        <v>29</v>
      </c>
      <c r="B1570" s="15">
        <v>2002</v>
      </c>
      <c r="C1570" s="15">
        <v>13</v>
      </c>
      <c r="D1570" s="15">
        <v>8</v>
      </c>
      <c r="E1570" s="29" t="s">
        <v>207</v>
      </c>
      <c r="F1570" s="20" t="s">
        <v>51</v>
      </c>
      <c r="G1570" s="32">
        <v>132</v>
      </c>
      <c r="H1570" s="15" t="s">
        <v>29</v>
      </c>
      <c r="I1570" s="33">
        <v>11.5</v>
      </c>
      <c r="J1570" s="11" t="s">
        <v>19</v>
      </c>
      <c r="K1570" s="20" t="s">
        <v>20</v>
      </c>
      <c r="L1570" s="20" t="s">
        <v>30</v>
      </c>
      <c r="M1570" s="20" t="s">
        <v>45</v>
      </c>
      <c r="N1570" s="20" t="s">
        <v>24</v>
      </c>
      <c r="O1570" s="31" t="s">
        <v>29</v>
      </c>
      <c r="P1570" s="15">
        <v>225</v>
      </c>
      <c r="Q1570" s="8"/>
      <c r="R1570">
        <v>12.32</v>
      </c>
      <c r="S1570">
        <v>1867.96</v>
      </c>
      <c r="T1570">
        <v>6.16</v>
      </c>
      <c r="U1570">
        <v>8.84</v>
      </c>
      <c r="V1570">
        <v>123</v>
      </c>
      <c r="W1570" s="317">
        <v>4.5999999999999996</v>
      </c>
      <c r="X1570" s="190">
        <f t="shared" si="67"/>
        <v>52.9</v>
      </c>
      <c r="Y1570" s="8"/>
      <c r="Z1570" s="8"/>
    </row>
    <row r="1571" spans="1:26" ht="25.5" customHeight="1" x14ac:dyDescent="0.2">
      <c r="A1571" s="15">
        <v>30</v>
      </c>
      <c r="B1571" s="15">
        <v>2002</v>
      </c>
      <c r="C1571" s="15">
        <v>13</v>
      </c>
      <c r="D1571" s="15">
        <v>8</v>
      </c>
      <c r="E1571" s="29" t="s">
        <v>207</v>
      </c>
      <c r="F1571" s="20" t="s">
        <v>51</v>
      </c>
      <c r="G1571" s="32">
        <v>123</v>
      </c>
      <c r="H1571" s="15" t="s">
        <v>29</v>
      </c>
      <c r="I1571" s="33">
        <v>11.5</v>
      </c>
      <c r="J1571" s="11" t="s">
        <v>19</v>
      </c>
      <c r="K1571" s="20" t="s">
        <v>20</v>
      </c>
      <c r="L1571" s="20" t="s">
        <v>30</v>
      </c>
      <c r="M1571" s="20" t="s">
        <v>45</v>
      </c>
      <c r="N1571" s="20" t="s">
        <v>23</v>
      </c>
      <c r="O1571" s="31" t="s">
        <v>29</v>
      </c>
      <c r="P1571" s="15">
        <v>225</v>
      </c>
      <c r="Q1571" s="8"/>
      <c r="R1571">
        <v>11.48</v>
      </c>
      <c r="S1571">
        <v>1511.33</v>
      </c>
      <c r="T1571">
        <v>7.61</v>
      </c>
      <c r="U1571">
        <v>8.24</v>
      </c>
      <c r="V1571">
        <v>115</v>
      </c>
      <c r="W1571" s="317">
        <v>4.5999999999999996</v>
      </c>
      <c r="X1571" s="190">
        <f t="shared" si="67"/>
        <v>52.9</v>
      </c>
      <c r="Y1571" s="8"/>
      <c r="Z1571" s="8"/>
    </row>
    <row r="1572" spans="1:26" ht="25.5" customHeight="1" x14ac:dyDescent="0.2">
      <c r="A1572" s="15">
        <v>31</v>
      </c>
      <c r="B1572" s="15">
        <v>2002</v>
      </c>
      <c r="C1572" s="15">
        <v>13</v>
      </c>
      <c r="D1572" s="15">
        <v>8</v>
      </c>
      <c r="E1572" s="29" t="s">
        <v>207</v>
      </c>
      <c r="F1572" s="20" t="s">
        <v>51</v>
      </c>
      <c r="G1572" s="32">
        <v>149</v>
      </c>
      <c r="H1572" s="15" t="s">
        <v>29</v>
      </c>
      <c r="I1572" s="33">
        <v>12.5</v>
      </c>
      <c r="J1572" s="11" t="s">
        <v>19</v>
      </c>
      <c r="K1572" s="20" t="s">
        <v>20</v>
      </c>
      <c r="L1572" s="11" t="s">
        <v>21</v>
      </c>
      <c r="M1572" s="20" t="s">
        <v>45</v>
      </c>
      <c r="N1572" s="20" t="s">
        <v>24</v>
      </c>
      <c r="O1572" s="31" t="s">
        <v>29</v>
      </c>
      <c r="P1572" s="15">
        <v>225</v>
      </c>
      <c r="Q1572" s="8"/>
      <c r="R1572">
        <v>13.9</v>
      </c>
      <c r="S1572">
        <v>2686.6</v>
      </c>
      <c r="T1572">
        <v>4.6500000000000004</v>
      </c>
      <c r="U1572">
        <v>9.98</v>
      </c>
      <c r="V1572">
        <v>139</v>
      </c>
      <c r="W1572" s="317">
        <v>3.9</v>
      </c>
      <c r="X1572" s="190">
        <f t="shared" si="67"/>
        <v>48.75</v>
      </c>
      <c r="Y1572" s="8"/>
      <c r="Z1572" s="8"/>
    </row>
    <row r="1573" spans="1:26" ht="25.5" customHeight="1" x14ac:dyDescent="0.2">
      <c r="A1573" s="15">
        <v>32</v>
      </c>
      <c r="B1573" s="15">
        <v>2002</v>
      </c>
      <c r="C1573" s="15">
        <v>13</v>
      </c>
      <c r="D1573" s="15">
        <v>8</v>
      </c>
      <c r="E1573" s="29" t="s">
        <v>207</v>
      </c>
      <c r="F1573" s="20" t="s">
        <v>51</v>
      </c>
      <c r="G1573" s="32">
        <v>133</v>
      </c>
      <c r="H1573" s="15" t="s">
        <v>29</v>
      </c>
      <c r="I1573" s="33">
        <v>11</v>
      </c>
      <c r="J1573" s="11" t="s">
        <v>19</v>
      </c>
      <c r="K1573" s="20" t="s">
        <v>20</v>
      </c>
      <c r="L1573" s="20" t="s">
        <v>30</v>
      </c>
      <c r="M1573" s="20" t="s">
        <v>46</v>
      </c>
      <c r="N1573" s="20" t="s">
        <v>25</v>
      </c>
      <c r="O1573" s="31" t="s">
        <v>29</v>
      </c>
      <c r="P1573" s="15">
        <v>225</v>
      </c>
      <c r="Q1573" s="8"/>
      <c r="R1573">
        <v>12.41</v>
      </c>
      <c r="S1573">
        <v>1910.73</v>
      </c>
      <c r="T1573">
        <v>5.76</v>
      </c>
      <c r="U1573">
        <v>8.91</v>
      </c>
      <c r="V1573">
        <v>124</v>
      </c>
      <c r="W1573" s="317">
        <v>4.5999999999999996</v>
      </c>
      <c r="X1573" s="190">
        <f t="shared" si="67"/>
        <v>50.599999999999994</v>
      </c>
      <c r="Y1573" s="8"/>
      <c r="Z1573" s="8"/>
    </row>
    <row r="1574" spans="1:26" ht="25.5" customHeight="1" x14ac:dyDescent="0.2">
      <c r="A1574" s="15">
        <v>33</v>
      </c>
      <c r="B1574" s="15">
        <v>2002</v>
      </c>
      <c r="C1574" s="15">
        <v>13</v>
      </c>
      <c r="D1574" s="15">
        <v>8</v>
      </c>
      <c r="E1574" s="29" t="s">
        <v>207</v>
      </c>
      <c r="F1574" s="20" t="s">
        <v>51</v>
      </c>
      <c r="G1574" s="32">
        <v>146</v>
      </c>
      <c r="H1574" s="15" t="s">
        <v>29</v>
      </c>
      <c r="I1574" s="33">
        <v>11.5</v>
      </c>
      <c r="J1574" s="11" t="s">
        <v>19</v>
      </c>
      <c r="K1574" s="20" t="s">
        <v>20</v>
      </c>
      <c r="L1574" s="11" t="s">
        <v>21</v>
      </c>
      <c r="M1574" s="20" t="s">
        <v>46</v>
      </c>
      <c r="N1574" s="20" t="s">
        <v>24</v>
      </c>
      <c r="O1574" s="31" t="s">
        <v>29</v>
      </c>
      <c r="P1574" s="15">
        <v>225</v>
      </c>
      <c r="Q1574" s="8"/>
      <c r="R1574">
        <v>13.62</v>
      </c>
      <c r="S1574">
        <v>2527.5700000000002</v>
      </c>
      <c r="T1574">
        <v>4.55</v>
      </c>
      <c r="U1574">
        <v>9.7799999999999994</v>
      </c>
      <c r="V1574">
        <v>136</v>
      </c>
      <c r="W1574" s="317">
        <v>3.9</v>
      </c>
      <c r="X1574" s="190">
        <f t="shared" si="67"/>
        <v>44.85</v>
      </c>
      <c r="Y1574" s="8"/>
      <c r="Z1574" s="8"/>
    </row>
    <row r="1575" spans="1:26" ht="25.5" customHeight="1" x14ac:dyDescent="0.2">
      <c r="A1575" s="15">
        <v>34</v>
      </c>
      <c r="B1575" s="15">
        <v>2002</v>
      </c>
      <c r="C1575" s="15">
        <v>13</v>
      </c>
      <c r="D1575" s="15">
        <v>8</v>
      </c>
      <c r="E1575" s="29" t="s">
        <v>207</v>
      </c>
      <c r="F1575" s="20" t="s">
        <v>51</v>
      </c>
      <c r="G1575" s="32">
        <v>118</v>
      </c>
      <c r="H1575" s="15" t="s">
        <v>29</v>
      </c>
      <c r="I1575" s="33">
        <v>8.5</v>
      </c>
      <c r="J1575" s="11" t="s">
        <v>19</v>
      </c>
      <c r="K1575" s="20" t="s">
        <v>20</v>
      </c>
      <c r="L1575" s="20" t="s">
        <v>30</v>
      </c>
      <c r="M1575" s="20" t="s">
        <v>45</v>
      </c>
      <c r="N1575" s="20" t="s">
        <v>25</v>
      </c>
      <c r="O1575" s="31" t="s">
        <v>29</v>
      </c>
      <c r="P1575" s="15">
        <v>225</v>
      </c>
      <c r="Q1575" s="8"/>
      <c r="R1575">
        <v>11.01</v>
      </c>
      <c r="S1575">
        <v>1334.42</v>
      </c>
      <c r="T1575">
        <v>6.37</v>
      </c>
      <c r="U1575">
        <v>7.91</v>
      </c>
      <c r="V1575">
        <v>110</v>
      </c>
      <c r="W1575" s="317">
        <v>4.5999999999999996</v>
      </c>
      <c r="X1575" s="190">
        <f t="shared" si="67"/>
        <v>39.099999999999994</v>
      </c>
      <c r="Y1575" s="8"/>
      <c r="Z1575" s="8"/>
    </row>
    <row r="1576" spans="1:26" ht="25.5" customHeight="1" x14ac:dyDescent="0.2">
      <c r="A1576" s="15">
        <v>35</v>
      </c>
      <c r="B1576" s="15">
        <v>2002</v>
      </c>
      <c r="C1576" s="15">
        <v>13</v>
      </c>
      <c r="D1576" s="15">
        <v>8</v>
      </c>
      <c r="E1576" s="29" t="s">
        <v>207</v>
      </c>
      <c r="F1576" s="20" t="s">
        <v>51</v>
      </c>
      <c r="G1576" s="32">
        <v>144</v>
      </c>
      <c r="H1576" s="15" t="s">
        <v>29</v>
      </c>
      <c r="I1576" s="33">
        <v>16</v>
      </c>
      <c r="J1576" s="11" t="s">
        <v>19</v>
      </c>
      <c r="K1576" s="20" t="s">
        <v>20</v>
      </c>
      <c r="L1576" s="20" t="s">
        <v>30</v>
      </c>
      <c r="M1576" s="20" t="s">
        <v>46</v>
      </c>
      <c r="N1576" s="20" t="s">
        <v>23</v>
      </c>
      <c r="O1576" s="31" t="s">
        <v>29</v>
      </c>
      <c r="P1576" s="15">
        <v>225</v>
      </c>
      <c r="Q1576" s="8"/>
      <c r="R1576">
        <v>13.44</v>
      </c>
      <c r="S1576">
        <v>2425.12</v>
      </c>
      <c r="T1576">
        <v>6.6</v>
      </c>
      <c r="U1576">
        <v>9.65</v>
      </c>
      <c r="V1576">
        <v>134</v>
      </c>
      <c r="W1576" s="317">
        <v>4.5999999999999996</v>
      </c>
      <c r="X1576" s="190">
        <f t="shared" si="67"/>
        <v>73.599999999999994</v>
      </c>
      <c r="Y1576" s="8"/>
      <c r="Z1576" s="8"/>
    </row>
    <row r="1577" spans="1:26" ht="25.5" customHeight="1" x14ac:dyDescent="0.2">
      <c r="A1577" s="15">
        <v>36</v>
      </c>
      <c r="B1577" s="15">
        <v>2002</v>
      </c>
      <c r="C1577" s="15">
        <v>13</v>
      </c>
      <c r="D1577" s="15">
        <v>8</v>
      </c>
      <c r="E1577" s="29" t="s">
        <v>207</v>
      </c>
      <c r="F1577" s="20" t="s">
        <v>51</v>
      </c>
      <c r="G1577" s="32">
        <v>124</v>
      </c>
      <c r="H1577" s="15" t="s">
        <v>29</v>
      </c>
      <c r="I1577" s="33">
        <v>7</v>
      </c>
      <c r="J1577" s="11" t="s">
        <v>19</v>
      </c>
      <c r="K1577" s="20" t="s">
        <v>20</v>
      </c>
      <c r="L1577" s="11" t="s">
        <v>21</v>
      </c>
      <c r="M1577" s="20" t="s">
        <v>45</v>
      </c>
      <c r="N1577" s="20" t="s">
        <v>24</v>
      </c>
      <c r="O1577" s="31" t="s">
        <v>29</v>
      </c>
      <c r="P1577" s="15">
        <v>225</v>
      </c>
      <c r="Q1577" s="8"/>
      <c r="R1577">
        <v>11.57</v>
      </c>
      <c r="S1577">
        <v>1548.5</v>
      </c>
      <c r="T1577">
        <v>4.5199999999999996</v>
      </c>
      <c r="U1577">
        <v>8.31</v>
      </c>
      <c r="V1577">
        <v>116</v>
      </c>
      <c r="W1577" s="317">
        <v>3.9</v>
      </c>
      <c r="X1577" s="190">
        <f t="shared" si="67"/>
        <v>27.3</v>
      </c>
      <c r="Y1577" s="8"/>
      <c r="Z1577" s="8"/>
    </row>
    <row r="1578" spans="1:26" ht="25.5" customHeight="1" x14ac:dyDescent="0.2">
      <c r="A1578" s="15">
        <v>37</v>
      </c>
      <c r="B1578" s="15">
        <v>2002</v>
      </c>
      <c r="C1578" s="15">
        <v>13</v>
      </c>
      <c r="D1578" s="15">
        <v>8</v>
      </c>
      <c r="E1578" s="29" t="s">
        <v>207</v>
      </c>
      <c r="F1578" s="20" t="s">
        <v>51</v>
      </c>
      <c r="G1578" s="32">
        <v>125</v>
      </c>
      <c r="H1578" s="15" t="s">
        <v>29</v>
      </c>
      <c r="I1578" s="33">
        <v>8.5</v>
      </c>
      <c r="J1578" s="11" t="s">
        <v>19</v>
      </c>
      <c r="K1578" s="20" t="s">
        <v>20</v>
      </c>
      <c r="L1578" s="20" t="s">
        <v>30</v>
      </c>
      <c r="M1578" s="20" t="s">
        <v>45</v>
      </c>
      <c r="N1578" s="20" t="s">
        <v>24</v>
      </c>
      <c r="O1578" s="31" t="s">
        <v>29</v>
      </c>
      <c r="P1578" s="15">
        <v>225</v>
      </c>
      <c r="Q1578" s="8"/>
      <c r="R1578">
        <v>11.66</v>
      </c>
      <c r="S1578">
        <v>1586.26</v>
      </c>
      <c r="T1578">
        <v>5.36</v>
      </c>
      <c r="U1578">
        <v>8.3800000000000008</v>
      </c>
      <c r="V1578">
        <v>117</v>
      </c>
      <c r="W1578" s="317">
        <v>4.5999999999999996</v>
      </c>
      <c r="X1578" s="190">
        <f t="shared" si="67"/>
        <v>39.099999999999994</v>
      </c>
      <c r="Y1578" s="8"/>
      <c r="Z1578" s="8"/>
    </row>
    <row r="1579" spans="1:26" ht="25.5" customHeight="1" x14ac:dyDescent="0.2">
      <c r="A1579" s="15">
        <v>38</v>
      </c>
      <c r="B1579" s="15">
        <v>2002</v>
      </c>
      <c r="C1579" s="15">
        <v>13</v>
      </c>
      <c r="D1579" s="15">
        <v>8</v>
      </c>
      <c r="E1579" s="29" t="s">
        <v>207</v>
      </c>
      <c r="F1579" s="20" t="s">
        <v>51</v>
      </c>
      <c r="G1579" s="32">
        <v>160</v>
      </c>
      <c r="H1579" s="15" t="s">
        <v>29</v>
      </c>
      <c r="I1579" s="33">
        <v>13.5</v>
      </c>
      <c r="J1579" s="11" t="s">
        <v>19</v>
      </c>
      <c r="K1579" s="20" t="s">
        <v>20</v>
      </c>
      <c r="L1579" s="11" t="s">
        <v>21</v>
      </c>
      <c r="M1579" s="20" t="s">
        <v>45</v>
      </c>
      <c r="N1579" s="20" t="s">
        <v>24</v>
      </c>
      <c r="O1579" s="31" t="s">
        <v>29</v>
      </c>
      <c r="P1579" s="15">
        <v>225</v>
      </c>
      <c r="Q1579" s="8"/>
      <c r="R1579">
        <v>14.93</v>
      </c>
      <c r="S1579">
        <v>3326.63</v>
      </c>
      <c r="T1579">
        <v>4.0599999999999996</v>
      </c>
      <c r="U1579">
        <v>10.72</v>
      </c>
      <c r="V1579">
        <v>149</v>
      </c>
      <c r="W1579" s="317">
        <v>3.9</v>
      </c>
      <c r="X1579" s="190">
        <f t="shared" si="67"/>
        <v>52.65</v>
      </c>
      <c r="Y1579" s="8"/>
      <c r="Z1579" s="8"/>
    </row>
    <row r="1580" spans="1:26" ht="25.5" customHeight="1" x14ac:dyDescent="0.2">
      <c r="A1580" s="15">
        <v>39</v>
      </c>
      <c r="B1580" s="15">
        <v>2002</v>
      </c>
      <c r="C1580" s="15">
        <v>13</v>
      </c>
      <c r="D1580" s="15">
        <v>8</v>
      </c>
      <c r="E1580" s="29" t="s">
        <v>207</v>
      </c>
      <c r="F1580" s="20" t="s">
        <v>51</v>
      </c>
      <c r="G1580" s="32">
        <v>178</v>
      </c>
      <c r="H1580" s="15" t="s">
        <v>29</v>
      </c>
      <c r="I1580" s="33">
        <v>16.5</v>
      </c>
      <c r="J1580" s="11" t="s">
        <v>19</v>
      </c>
      <c r="K1580" s="20" t="s">
        <v>20</v>
      </c>
      <c r="L1580" s="11" t="s">
        <v>21</v>
      </c>
      <c r="M1580" s="20" t="s">
        <v>27</v>
      </c>
      <c r="N1580" s="20" t="s">
        <v>23</v>
      </c>
      <c r="O1580" s="31" t="s">
        <v>29</v>
      </c>
      <c r="P1580" s="15">
        <v>225</v>
      </c>
      <c r="Q1580" s="8"/>
      <c r="R1580">
        <v>16.61</v>
      </c>
      <c r="S1580">
        <v>4580.42</v>
      </c>
      <c r="T1580">
        <v>3.6</v>
      </c>
      <c r="U1580">
        <v>11.93</v>
      </c>
      <c r="V1580">
        <v>166</v>
      </c>
      <c r="W1580" s="317">
        <v>3.9</v>
      </c>
      <c r="X1580" s="190">
        <f t="shared" si="67"/>
        <v>64.349999999999994</v>
      </c>
      <c r="Y1580" s="8"/>
      <c r="Z1580" s="8"/>
    </row>
    <row r="1581" spans="1:26" ht="25.5" customHeight="1" x14ac:dyDescent="0.2">
      <c r="A1581" s="15">
        <v>40</v>
      </c>
      <c r="B1581" s="15">
        <v>2002</v>
      </c>
      <c r="C1581" s="15">
        <v>13</v>
      </c>
      <c r="D1581" s="15">
        <v>8</v>
      </c>
      <c r="E1581" s="29" t="s">
        <v>207</v>
      </c>
      <c r="F1581" s="20" t="s">
        <v>51</v>
      </c>
      <c r="G1581" s="32">
        <v>158</v>
      </c>
      <c r="H1581" s="15" t="s">
        <v>29</v>
      </c>
      <c r="I1581" s="33">
        <v>17</v>
      </c>
      <c r="J1581" s="11" t="s">
        <v>19</v>
      </c>
      <c r="K1581" s="20" t="s">
        <v>20</v>
      </c>
      <c r="L1581" s="20" t="s">
        <v>30</v>
      </c>
      <c r="M1581" s="20" t="s">
        <v>46</v>
      </c>
      <c r="N1581" s="20" t="s">
        <v>25</v>
      </c>
      <c r="O1581" s="31" t="s">
        <v>29</v>
      </c>
      <c r="P1581" s="15">
        <v>225</v>
      </c>
      <c r="Q1581" s="8"/>
      <c r="R1581">
        <v>14.74</v>
      </c>
      <c r="S1581">
        <v>3203.44</v>
      </c>
      <c r="T1581">
        <v>5.31</v>
      </c>
      <c r="U1581">
        <v>10.59</v>
      </c>
      <c r="V1581">
        <v>147</v>
      </c>
      <c r="W1581" s="317">
        <v>4.5999999999999996</v>
      </c>
      <c r="X1581" s="190">
        <f t="shared" si="67"/>
        <v>78.199999999999989</v>
      </c>
      <c r="Y1581" s="8"/>
      <c r="Z1581" s="8"/>
    </row>
    <row r="1582" spans="1:26" ht="25.5" customHeight="1" x14ac:dyDescent="0.2">
      <c r="A1582" s="15">
        <v>41</v>
      </c>
      <c r="B1582" s="15">
        <v>2002</v>
      </c>
      <c r="C1582" s="15">
        <v>13</v>
      </c>
      <c r="D1582" s="15">
        <v>8</v>
      </c>
      <c r="E1582" s="29" t="s">
        <v>207</v>
      </c>
      <c r="F1582" s="20" t="s">
        <v>51</v>
      </c>
      <c r="G1582" s="32">
        <v>131</v>
      </c>
      <c r="H1582" s="15" t="s">
        <v>29</v>
      </c>
      <c r="I1582" s="33">
        <v>9</v>
      </c>
      <c r="J1582" s="11" t="s">
        <v>19</v>
      </c>
      <c r="K1582" s="20" t="s">
        <v>20</v>
      </c>
      <c r="L1582" s="11" t="s">
        <v>21</v>
      </c>
      <c r="M1582" s="20" t="s">
        <v>46</v>
      </c>
      <c r="N1582" s="20" t="s">
        <v>24</v>
      </c>
      <c r="O1582" s="31" t="s">
        <v>29</v>
      </c>
      <c r="P1582" s="15">
        <v>225</v>
      </c>
      <c r="Q1582" s="8"/>
      <c r="R1582">
        <v>12.22</v>
      </c>
      <c r="S1582">
        <v>1825.82</v>
      </c>
      <c r="T1582">
        <v>4.93</v>
      </c>
      <c r="U1582">
        <v>8.7799999999999994</v>
      </c>
      <c r="V1582">
        <v>122</v>
      </c>
      <c r="W1582" s="317">
        <v>3.9</v>
      </c>
      <c r="X1582" s="190">
        <f t="shared" si="67"/>
        <v>35.1</v>
      </c>
      <c r="Y1582" s="8"/>
      <c r="Z1582" s="8"/>
    </row>
    <row r="1583" spans="1:26" ht="25.5" customHeight="1" x14ac:dyDescent="0.2">
      <c r="A1583" s="15">
        <v>42</v>
      </c>
      <c r="B1583" s="15">
        <v>2002</v>
      </c>
      <c r="C1583" s="15">
        <v>13</v>
      </c>
      <c r="D1583" s="15">
        <v>8</v>
      </c>
      <c r="E1583" s="29" t="s">
        <v>207</v>
      </c>
      <c r="F1583" s="20" t="s">
        <v>51</v>
      </c>
      <c r="G1583" s="32">
        <v>159</v>
      </c>
      <c r="H1583" s="15" t="s">
        <v>29</v>
      </c>
      <c r="I1583" s="33">
        <v>16</v>
      </c>
      <c r="J1583" s="11" t="s">
        <v>19</v>
      </c>
      <c r="K1583" s="20" t="s">
        <v>20</v>
      </c>
      <c r="L1583" s="11" t="s">
        <v>21</v>
      </c>
      <c r="M1583" s="20" t="s">
        <v>46</v>
      </c>
      <c r="N1583" s="20" t="s">
        <v>24</v>
      </c>
      <c r="O1583" s="31" t="s">
        <v>29</v>
      </c>
      <c r="P1583" s="15">
        <v>225</v>
      </c>
      <c r="Q1583" s="8"/>
      <c r="R1583">
        <v>14.83</v>
      </c>
      <c r="S1583">
        <v>3264.65</v>
      </c>
      <c r="T1583">
        <v>4.9000000000000004</v>
      </c>
      <c r="U1583">
        <v>10.65</v>
      </c>
      <c r="V1583">
        <v>148</v>
      </c>
      <c r="W1583" s="317">
        <v>3.9</v>
      </c>
      <c r="X1583" s="190">
        <f t="shared" si="67"/>
        <v>62.4</v>
      </c>
      <c r="Y1583" s="8"/>
      <c r="Z1583" s="8"/>
    </row>
    <row r="1584" spans="1:26" ht="25.5" customHeight="1" x14ac:dyDescent="0.2">
      <c r="A1584" s="15">
        <v>43</v>
      </c>
      <c r="B1584" s="15">
        <v>2002</v>
      </c>
      <c r="C1584" s="15">
        <v>13</v>
      </c>
      <c r="D1584" s="15">
        <v>8</v>
      </c>
      <c r="E1584" s="29" t="s">
        <v>207</v>
      </c>
      <c r="F1584" s="20" t="s">
        <v>51</v>
      </c>
      <c r="G1584" s="32">
        <v>137</v>
      </c>
      <c r="H1584" s="15" t="s">
        <v>29</v>
      </c>
      <c r="I1584" s="33">
        <v>13.5</v>
      </c>
      <c r="J1584" s="11" t="s">
        <v>19</v>
      </c>
      <c r="K1584" s="20" t="s">
        <v>20</v>
      </c>
      <c r="L1584" s="20" t="s">
        <v>30</v>
      </c>
      <c r="M1584" s="20" t="s">
        <v>46</v>
      </c>
      <c r="N1584" s="20" t="s">
        <v>39</v>
      </c>
      <c r="O1584" s="31" t="s">
        <v>29</v>
      </c>
      <c r="P1584" s="15">
        <v>225</v>
      </c>
      <c r="Q1584" s="8"/>
      <c r="R1584">
        <v>12.78</v>
      </c>
      <c r="S1584">
        <v>2088.37</v>
      </c>
      <c r="T1584">
        <v>6.46</v>
      </c>
      <c r="U1584">
        <v>9.18</v>
      </c>
      <c r="V1584">
        <v>128</v>
      </c>
      <c r="W1584" s="317">
        <v>4.5999999999999996</v>
      </c>
      <c r="X1584" s="190">
        <f t="shared" si="67"/>
        <v>62.099999999999994</v>
      </c>
      <c r="Y1584" s="8"/>
      <c r="Z1584" s="8"/>
    </row>
    <row r="1585" spans="1:26" ht="25.5" customHeight="1" x14ac:dyDescent="0.2">
      <c r="A1585" s="15">
        <v>44</v>
      </c>
      <c r="B1585" s="15">
        <v>2002</v>
      </c>
      <c r="C1585" s="15">
        <v>13</v>
      </c>
      <c r="D1585" s="15">
        <v>8</v>
      </c>
      <c r="E1585" s="29" t="s">
        <v>207</v>
      </c>
      <c r="F1585" s="20" t="s">
        <v>51</v>
      </c>
      <c r="G1585" s="32">
        <v>135</v>
      </c>
      <c r="H1585" s="15" t="s">
        <v>29</v>
      </c>
      <c r="I1585" s="33">
        <v>10.5</v>
      </c>
      <c r="J1585" s="11" t="s">
        <v>19</v>
      </c>
      <c r="K1585" s="20" t="s">
        <v>20</v>
      </c>
      <c r="L1585" s="20" t="s">
        <v>30</v>
      </c>
      <c r="M1585" s="20" t="s">
        <v>46</v>
      </c>
      <c r="N1585" s="20" t="s">
        <v>24</v>
      </c>
      <c r="O1585" s="31" t="s">
        <v>29</v>
      </c>
      <c r="P1585" s="15">
        <v>225</v>
      </c>
      <c r="Q1585" s="8"/>
      <c r="R1585">
        <v>12.6</v>
      </c>
      <c r="S1585">
        <v>1998.23</v>
      </c>
      <c r="T1585">
        <v>5.25</v>
      </c>
      <c r="U1585">
        <v>9.0500000000000007</v>
      </c>
      <c r="V1585">
        <v>126</v>
      </c>
      <c r="W1585" s="317">
        <v>4.5999999999999996</v>
      </c>
      <c r="X1585" s="190">
        <f t="shared" si="67"/>
        <v>48.3</v>
      </c>
      <c r="Y1585" s="8"/>
      <c r="Z1585" s="8"/>
    </row>
    <row r="1586" spans="1:26" ht="25.5" customHeight="1" x14ac:dyDescent="0.2">
      <c r="A1586" s="15">
        <v>45</v>
      </c>
      <c r="B1586" s="15">
        <v>2002</v>
      </c>
      <c r="C1586" s="15">
        <v>13</v>
      </c>
      <c r="D1586" s="15">
        <v>8</v>
      </c>
      <c r="E1586" s="29" t="s">
        <v>207</v>
      </c>
      <c r="F1586" s="20" t="s">
        <v>51</v>
      </c>
      <c r="G1586" s="32">
        <v>153</v>
      </c>
      <c r="H1586" s="15" t="s">
        <v>29</v>
      </c>
      <c r="I1586" s="33">
        <v>14</v>
      </c>
      <c r="J1586" s="11" t="s">
        <v>19</v>
      </c>
      <c r="K1586" s="20" t="s">
        <v>20</v>
      </c>
      <c r="L1586" s="20" t="s">
        <v>30</v>
      </c>
      <c r="M1586" s="20" t="s">
        <v>45</v>
      </c>
      <c r="N1586" s="20" t="s">
        <v>23</v>
      </c>
      <c r="O1586" s="31" t="s">
        <v>29</v>
      </c>
      <c r="P1586" s="15">
        <v>225</v>
      </c>
      <c r="Q1586" s="8"/>
      <c r="R1586">
        <v>14.27</v>
      </c>
      <c r="S1586">
        <v>2908.84</v>
      </c>
      <c r="T1586">
        <v>4.8099999999999996</v>
      </c>
      <c r="U1586">
        <v>10.25</v>
      </c>
      <c r="V1586">
        <v>143</v>
      </c>
      <c r="W1586" s="317">
        <v>4.5999999999999996</v>
      </c>
      <c r="X1586" s="190">
        <f t="shared" si="67"/>
        <v>64.399999999999991</v>
      </c>
      <c r="Y1586" s="8"/>
      <c r="Z1586" s="8"/>
    </row>
    <row r="1587" spans="1:26" ht="25.5" customHeight="1" x14ac:dyDescent="0.2">
      <c r="A1587" s="15">
        <v>46</v>
      </c>
      <c r="B1587" s="15">
        <v>2002</v>
      </c>
      <c r="C1587" s="15">
        <v>13</v>
      </c>
      <c r="D1587" s="15">
        <v>8</v>
      </c>
      <c r="E1587" s="29" t="s">
        <v>207</v>
      </c>
      <c r="F1587" s="20" t="s">
        <v>51</v>
      </c>
      <c r="G1587" s="32">
        <v>146</v>
      </c>
      <c r="H1587" s="15" t="s">
        <v>29</v>
      </c>
      <c r="I1587" s="33">
        <v>10</v>
      </c>
      <c r="J1587" s="11" t="s">
        <v>19</v>
      </c>
      <c r="K1587" s="20" t="s">
        <v>20</v>
      </c>
      <c r="L1587" s="11" t="s">
        <v>21</v>
      </c>
      <c r="M1587" s="20" t="s">
        <v>45</v>
      </c>
      <c r="N1587" s="20" t="s">
        <v>23</v>
      </c>
      <c r="O1587" s="31" t="s">
        <v>29</v>
      </c>
      <c r="P1587" s="15">
        <v>225</v>
      </c>
      <c r="Q1587" s="8"/>
      <c r="R1587">
        <v>13.62</v>
      </c>
      <c r="S1587">
        <v>2527.5700000000002</v>
      </c>
      <c r="T1587">
        <v>3.96</v>
      </c>
      <c r="U1587">
        <v>9.7799999999999994</v>
      </c>
      <c r="V1587">
        <v>136</v>
      </c>
      <c r="W1587" s="317">
        <v>3.9</v>
      </c>
      <c r="X1587" s="190">
        <f t="shared" si="67"/>
        <v>39</v>
      </c>
      <c r="Y1587" s="8"/>
      <c r="Z1587" s="8"/>
    </row>
    <row r="1588" spans="1:26" ht="25.5" customHeight="1" x14ac:dyDescent="0.2">
      <c r="A1588" s="15">
        <v>47</v>
      </c>
      <c r="B1588" s="15">
        <v>2002</v>
      </c>
      <c r="C1588" s="15">
        <v>13</v>
      </c>
      <c r="D1588" s="15">
        <v>8</v>
      </c>
      <c r="E1588" s="29" t="s">
        <v>207</v>
      </c>
      <c r="F1588" s="20" t="s">
        <v>51</v>
      </c>
      <c r="G1588" s="32">
        <v>120</v>
      </c>
      <c r="H1588" s="15" t="s">
        <v>29</v>
      </c>
      <c r="I1588" s="33">
        <v>6.5</v>
      </c>
      <c r="J1588" s="11" t="s">
        <v>19</v>
      </c>
      <c r="K1588" s="20" t="s">
        <v>20</v>
      </c>
      <c r="L1588" s="20" t="s">
        <v>30</v>
      </c>
      <c r="M1588" s="20" t="s">
        <v>27</v>
      </c>
      <c r="N1588" s="20" t="s">
        <v>24</v>
      </c>
      <c r="O1588" s="31" t="s">
        <v>29</v>
      </c>
      <c r="P1588" s="15">
        <v>225</v>
      </c>
      <c r="Q1588" s="8"/>
      <c r="R1588">
        <v>11.2</v>
      </c>
      <c r="S1588">
        <v>1403.42</v>
      </c>
      <c r="T1588">
        <v>4.63</v>
      </c>
      <c r="U1588">
        <v>8.0399999999999991</v>
      </c>
      <c r="V1588">
        <v>112</v>
      </c>
      <c r="W1588" s="317">
        <v>4.5999999999999996</v>
      </c>
      <c r="X1588" s="190">
        <f t="shared" si="67"/>
        <v>29.9</v>
      </c>
      <c r="Y1588" s="8"/>
      <c r="Z1588" s="8"/>
    </row>
    <row r="1589" spans="1:26" ht="25.5" customHeight="1" x14ac:dyDescent="0.2">
      <c r="A1589" s="15">
        <v>273</v>
      </c>
      <c r="B1589" s="15">
        <v>2002</v>
      </c>
      <c r="C1589" s="15">
        <v>13</v>
      </c>
      <c r="D1589" s="15">
        <v>8</v>
      </c>
      <c r="E1589" s="29" t="s">
        <v>207</v>
      </c>
      <c r="F1589" s="20" t="s">
        <v>51</v>
      </c>
      <c r="G1589" s="34">
        <v>110</v>
      </c>
      <c r="H1589" s="15" t="s">
        <v>29</v>
      </c>
      <c r="I1589" s="35">
        <v>9</v>
      </c>
      <c r="J1589" s="11" t="s">
        <v>36</v>
      </c>
      <c r="K1589" s="11" t="s">
        <v>29</v>
      </c>
      <c r="L1589" s="11" t="s">
        <v>29</v>
      </c>
      <c r="M1589" s="11" t="s">
        <v>29</v>
      </c>
      <c r="N1589" s="21" t="s">
        <v>24</v>
      </c>
      <c r="O1589" s="36" t="s">
        <v>29</v>
      </c>
      <c r="P1589" s="15">
        <v>225</v>
      </c>
      <c r="Q1589" s="8"/>
      <c r="R1589">
        <v>10.26</v>
      </c>
      <c r="S1589">
        <v>1080.99</v>
      </c>
      <c r="T1589">
        <v>8.33</v>
      </c>
      <c r="U1589">
        <v>7.37</v>
      </c>
      <c r="V1589">
        <v>103</v>
      </c>
      <c r="W1589" s="8"/>
      <c r="X1589" s="8"/>
      <c r="Y1589" s="8"/>
      <c r="Z1589" s="8"/>
    </row>
    <row r="1590" spans="1:26" ht="25.5" customHeight="1" x14ac:dyDescent="0.2">
      <c r="A1590" s="15">
        <v>48</v>
      </c>
      <c r="B1590" s="15">
        <v>2002</v>
      </c>
      <c r="C1590" s="15">
        <v>11</v>
      </c>
      <c r="D1590" s="15">
        <v>8</v>
      </c>
      <c r="E1590" s="29" t="s">
        <v>208</v>
      </c>
      <c r="F1590" s="20" t="s">
        <v>51</v>
      </c>
      <c r="G1590" s="32">
        <v>138</v>
      </c>
      <c r="H1590" s="15" t="s">
        <v>29</v>
      </c>
      <c r="I1590" s="33">
        <v>7.5</v>
      </c>
      <c r="J1590" s="11" t="s">
        <v>19</v>
      </c>
      <c r="K1590" s="20" t="s">
        <v>20</v>
      </c>
      <c r="L1590" s="11" t="s">
        <v>21</v>
      </c>
      <c r="M1590" s="20" t="s">
        <v>45</v>
      </c>
      <c r="N1590" s="20" t="s">
        <v>25</v>
      </c>
      <c r="O1590" s="31" t="s">
        <v>29</v>
      </c>
      <c r="P1590" s="15">
        <v>223</v>
      </c>
      <c r="Q1590" s="8"/>
      <c r="R1590">
        <v>12.88</v>
      </c>
      <c r="S1590">
        <v>2134.4299999999998</v>
      </c>
      <c r="T1590">
        <v>3.51</v>
      </c>
      <c r="U1590">
        <v>9.25</v>
      </c>
      <c r="V1590">
        <v>129</v>
      </c>
      <c r="W1590" s="317">
        <v>3.9</v>
      </c>
      <c r="X1590" s="190">
        <f t="shared" ref="X1590:X1595" si="68">I1590*W1590</f>
        <v>29.25</v>
      </c>
      <c r="Y1590" s="8"/>
      <c r="Z1590" s="8"/>
    </row>
    <row r="1591" spans="1:26" ht="25.5" customHeight="1" x14ac:dyDescent="0.2">
      <c r="A1591" s="15">
        <v>49</v>
      </c>
      <c r="B1591" s="15">
        <v>2002</v>
      </c>
      <c r="C1591" s="15">
        <v>11</v>
      </c>
      <c r="D1591" s="15">
        <v>8</v>
      </c>
      <c r="E1591" s="29" t="s">
        <v>208</v>
      </c>
      <c r="F1591" s="20" t="s">
        <v>51</v>
      </c>
      <c r="G1591" s="32">
        <v>138</v>
      </c>
      <c r="H1591" s="15" t="s">
        <v>29</v>
      </c>
      <c r="I1591" s="33">
        <v>11</v>
      </c>
      <c r="J1591" s="11" t="s">
        <v>19</v>
      </c>
      <c r="K1591" s="20" t="s">
        <v>20</v>
      </c>
      <c r="L1591" s="20" t="s">
        <v>30</v>
      </c>
      <c r="M1591" s="20" t="s">
        <v>46</v>
      </c>
      <c r="N1591" s="20" t="s">
        <v>24</v>
      </c>
      <c r="O1591" s="31" t="s">
        <v>29</v>
      </c>
      <c r="P1591" s="15">
        <v>223</v>
      </c>
      <c r="Q1591" s="8"/>
      <c r="R1591">
        <v>12.88</v>
      </c>
      <c r="S1591">
        <v>2134.4299999999998</v>
      </c>
      <c r="T1591">
        <v>5.15</v>
      </c>
      <c r="U1591">
        <v>9.25</v>
      </c>
      <c r="V1591">
        <v>129</v>
      </c>
      <c r="W1591" s="317">
        <v>4.5999999999999996</v>
      </c>
      <c r="X1591" s="190">
        <f t="shared" si="68"/>
        <v>50.599999999999994</v>
      </c>
      <c r="Y1591" s="8"/>
      <c r="Z1591" s="8"/>
    </row>
    <row r="1592" spans="1:26" ht="25.5" customHeight="1" x14ac:dyDescent="0.2">
      <c r="A1592" s="15">
        <v>50</v>
      </c>
      <c r="B1592" s="15">
        <v>2002</v>
      </c>
      <c r="C1592" s="15">
        <v>11</v>
      </c>
      <c r="D1592" s="15">
        <v>8</v>
      </c>
      <c r="E1592" s="29" t="s">
        <v>208</v>
      </c>
      <c r="F1592" s="20" t="s">
        <v>51</v>
      </c>
      <c r="G1592" s="32">
        <v>133</v>
      </c>
      <c r="H1592" s="15" t="s">
        <v>29</v>
      </c>
      <c r="I1592" s="33">
        <v>14</v>
      </c>
      <c r="J1592" s="11" t="s">
        <v>19</v>
      </c>
      <c r="K1592" s="20" t="s">
        <v>20</v>
      </c>
      <c r="L1592" s="20" t="s">
        <v>30</v>
      </c>
      <c r="M1592" s="20" t="s">
        <v>46</v>
      </c>
      <c r="N1592" s="20" t="s">
        <v>25</v>
      </c>
      <c r="O1592" s="31" t="s">
        <v>29</v>
      </c>
      <c r="P1592" s="15">
        <v>223</v>
      </c>
      <c r="Q1592" s="8"/>
      <c r="R1592">
        <v>12.41</v>
      </c>
      <c r="S1592">
        <v>1910.73</v>
      </c>
      <c r="T1592">
        <v>7.33</v>
      </c>
      <c r="U1592">
        <v>8.91</v>
      </c>
      <c r="V1592">
        <v>124</v>
      </c>
      <c r="W1592" s="317">
        <v>4.5999999999999996</v>
      </c>
      <c r="X1592" s="190">
        <f t="shared" si="68"/>
        <v>64.399999999999991</v>
      </c>
      <c r="Y1592" s="8"/>
      <c r="Z1592" s="8"/>
    </row>
    <row r="1593" spans="1:26" ht="25.5" customHeight="1" x14ac:dyDescent="0.2">
      <c r="A1593" s="15">
        <v>51</v>
      </c>
      <c r="B1593" s="15">
        <v>2002</v>
      </c>
      <c r="C1593" s="15">
        <v>11</v>
      </c>
      <c r="D1593" s="15">
        <v>8</v>
      </c>
      <c r="E1593" s="29" t="s">
        <v>208</v>
      </c>
      <c r="F1593" s="11" t="s">
        <v>28</v>
      </c>
      <c r="G1593" s="11" t="s">
        <v>29</v>
      </c>
      <c r="H1593" s="15" t="s">
        <v>29</v>
      </c>
      <c r="I1593" s="37" t="s">
        <v>29</v>
      </c>
      <c r="J1593" s="11" t="s">
        <v>19</v>
      </c>
      <c r="K1593" s="20" t="s">
        <v>20</v>
      </c>
      <c r="L1593" s="20" t="s">
        <v>30</v>
      </c>
      <c r="M1593" s="20" t="s">
        <v>46</v>
      </c>
      <c r="N1593" s="11" t="s">
        <v>29</v>
      </c>
      <c r="O1593" s="31" t="s">
        <v>29</v>
      </c>
      <c r="P1593" s="15">
        <v>223</v>
      </c>
      <c r="Q1593" s="8"/>
      <c r="W1593" s="317">
        <v>4.5999999999999996</v>
      </c>
      <c r="X1593" s="190" t="e">
        <f t="shared" si="68"/>
        <v>#VALUE!</v>
      </c>
      <c r="Y1593" s="8"/>
      <c r="Z1593" s="8"/>
    </row>
    <row r="1594" spans="1:26" ht="25.5" customHeight="1" x14ac:dyDescent="0.2">
      <c r="A1594" s="15">
        <v>52</v>
      </c>
      <c r="B1594" s="15">
        <v>2002</v>
      </c>
      <c r="C1594" s="15">
        <v>11</v>
      </c>
      <c r="D1594" s="15">
        <v>8</v>
      </c>
      <c r="E1594" s="29" t="s">
        <v>208</v>
      </c>
      <c r="F1594" s="20" t="s">
        <v>51</v>
      </c>
      <c r="G1594" s="32">
        <v>128</v>
      </c>
      <c r="H1594" s="15" t="s">
        <v>29</v>
      </c>
      <c r="I1594" s="33">
        <v>14.5</v>
      </c>
      <c r="J1594" s="11" t="s">
        <v>19</v>
      </c>
      <c r="K1594" s="20" t="s">
        <v>20</v>
      </c>
      <c r="L1594" s="20" t="s">
        <v>30</v>
      </c>
      <c r="M1594" s="20" t="s">
        <v>45</v>
      </c>
      <c r="N1594" s="20" t="s">
        <v>24</v>
      </c>
      <c r="O1594" s="31" t="s">
        <v>29</v>
      </c>
      <c r="P1594" s="15">
        <v>223</v>
      </c>
      <c r="Q1594" s="8"/>
      <c r="R1594">
        <v>11.94</v>
      </c>
      <c r="S1594">
        <v>1703.24</v>
      </c>
      <c r="T1594">
        <v>8.51</v>
      </c>
      <c r="U1594">
        <v>8.58</v>
      </c>
      <c r="V1594">
        <v>119</v>
      </c>
      <c r="W1594" s="317">
        <v>4.5999999999999996</v>
      </c>
      <c r="X1594" s="190">
        <f t="shared" si="68"/>
        <v>66.699999999999989</v>
      </c>
      <c r="Y1594" s="8"/>
      <c r="Z1594" s="8"/>
    </row>
    <row r="1595" spans="1:26" ht="25.5" customHeight="1" x14ac:dyDescent="0.2">
      <c r="A1595" s="15">
        <v>53</v>
      </c>
      <c r="B1595" s="15">
        <v>2002</v>
      </c>
      <c r="C1595" s="15">
        <v>11</v>
      </c>
      <c r="D1595" s="15">
        <v>8</v>
      </c>
      <c r="E1595" s="29" t="s">
        <v>208</v>
      </c>
      <c r="F1595" s="20" t="s">
        <v>51</v>
      </c>
      <c r="G1595" s="32">
        <v>126</v>
      </c>
      <c r="H1595" s="15" t="s">
        <v>29</v>
      </c>
      <c r="I1595" s="33">
        <v>10</v>
      </c>
      <c r="J1595" s="11" t="s">
        <v>19</v>
      </c>
      <c r="K1595" s="20" t="s">
        <v>20</v>
      </c>
      <c r="L1595" s="20" t="s">
        <v>30</v>
      </c>
      <c r="M1595" s="20" t="s">
        <v>46</v>
      </c>
      <c r="N1595" s="20" t="s">
        <v>25</v>
      </c>
      <c r="O1595" s="31" t="s">
        <v>29</v>
      </c>
      <c r="P1595" s="15">
        <v>223</v>
      </c>
      <c r="Q1595" s="8"/>
      <c r="R1595">
        <v>11.76</v>
      </c>
      <c r="S1595">
        <v>1624.64</v>
      </c>
      <c r="T1595">
        <v>6.16</v>
      </c>
      <c r="U1595">
        <v>8.44</v>
      </c>
      <c r="V1595">
        <v>118</v>
      </c>
      <c r="W1595" s="317">
        <v>4.5999999999999996</v>
      </c>
      <c r="X1595" s="190">
        <f t="shared" si="68"/>
        <v>46</v>
      </c>
      <c r="Y1595" s="8"/>
      <c r="Z1595" s="8"/>
    </row>
    <row r="1596" spans="1:26" ht="25.5" customHeight="1" x14ac:dyDescent="0.2">
      <c r="A1596" s="15">
        <v>54</v>
      </c>
      <c r="B1596" s="15">
        <v>2002</v>
      </c>
      <c r="C1596" s="15">
        <v>11</v>
      </c>
      <c r="D1596" s="15">
        <v>8</v>
      </c>
      <c r="E1596" s="29" t="s">
        <v>208</v>
      </c>
      <c r="F1596" s="20" t="s">
        <v>51</v>
      </c>
      <c r="G1596" s="32">
        <v>148</v>
      </c>
      <c r="H1596" s="15" t="s">
        <v>29</v>
      </c>
      <c r="I1596" s="33">
        <v>10.5</v>
      </c>
      <c r="J1596" s="11" t="s">
        <v>19</v>
      </c>
      <c r="K1596" s="20" t="s">
        <v>20</v>
      </c>
      <c r="L1596" s="11" t="s">
        <v>41</v>
      </c>
      <c r="M1596" s="20" t="s">
        <v>46</v>
      </c>
      <c r="N1596" s="20" t="s">
        <v>23</v>
      </c>
      <c r="O1596" s="31" t="s">
        <v>29</v>
      </c>
      <c r="P1596" s="15">
        <v>223</v>
      </c>
      <c r="Q1596" s="8"/>
      <c r="R1596">
        <v>13.81</v>
      </c>
      <c r="S1596">
        <v>2632.87</v>
      </c>
      <c r="T1596">
        <v>3.99</v>
      </c>
      <c r="U1596">
        <v>9.92</v>
      </c>
      <c r="V1596">
        <v>138</v>
      </c>
      <c r="W1596" s="8"/>
      <c r="X1596" s="8"/>
      <c r="Y1596" s="8"/>
      <c r="Z1596" s="8"/>
    </row>
    <row r="1597" spans="1:26" ht="25.5" customHeight="1" x14ac:dyDescent="0.2">
      <c r="A1597" s="15">
        <v>55</v>
      </c>
      <c r="B1597" s="15">
        <v>2002</v>
      </c>
      <c r="C1597" s="15">
        <v>11</v>
      </c>
      <c r="D1597" s="15">
        <v>8</v>
      </c>
      <c r="E1597" s="29" t="s">
        <v>208</v>
      </c>
      <c r="F1597" s="20" t="s">
        <v>51</v>
      </c>
      <c r="G1597" s="32">
        <v>129</v>
      </c>
      <c r="H1597" s="15" t="s">
        <v>29</v>
      </c>
      <c r="I1597" s="33">
        <v>10.5</v>
      </c>
      <c r="J1597" s="11" t="s">
        <v>19</v>
      </c>
      <c r="K1597" s="20" t="s">
        <v>20</v>
      </c>
      <c r="L1597" s="20" t="s">
        <v>30</v>
      </c>
      <c r="M1597" s="20" t="s">
        <v>45</v>
      </c>
      <c r="N1597" s="20" t="s">
        <v>24</v>
      </c>
      <c r="O1597" s="31" t="s">
        <v>29</v>
      </c>
      <c r="P1597" s="15">
        <v>223</v>
      </c>
      <c r="Q1597" s="8"/>
      <c r="R1597">
        <v>12.04</v>
      </c>
      <c r="S1597">
        <v>1743.47</v>
      </c>
      <c r="T1597">
        <v>6.02</v>
      </c>
      <c r="U1597">
        <v>8.64</v>
      </c>
      <c r="V1597">
        <v>120</v>
      </c>
      <c r="W1597" s="317">
        <v>4.5999999999999996</v>
      </c>
      <c r="X1597" s="190">
        <f t="shared" ref="X1597:X1619" si="69">I1597*W1597</f>
        <v>48.3</v>
      </c>
      <c r="Y1597" s="8"/>
      <c r="Z1597" s="8"/>
    </row>
    <row r="1598" spans="1:26" ht="25.5" customHeight="1" x14ac:dyDescent="0.2">
      <c r="A1598" s="15">
        <v>56</v>
      </c>
      <c r="B1598" s="15">
        <v>2002</v>
      </c>
      <c r="C1598" s="15">
        <v>11</v>
      </c>
      <c r="D1598" s="15">
        <v>8</v>
      </c>
      <c r="E1598" s="29" t="s">
        <v>208</v>
      </c>
      <c r="F1598" s="20" t="s">
        <v>51</v>
      </c>
      <c r="G1598" s="32">
        <v>141</v>
      </c>
      <c r="H1598" s="15" t="s">
        <v>29</v>
      </c>
      <c r="I1598" s="33">
        <v>12.5</v>
      </c>
      <c r="J1598" s="11" t="s">
        <v>19</v>
      </c>
      <c r="K1598" s="20" t="s">
        <v>20</v>
      </c>
      <c r="L1598" s="20" t="s">
        <v>30</v>
      </c>
      <c r="M1598" s="20" t="s">
        <v>45</v>
      </c>
      <c r="N1598" s="20" t="s">
        <v>25</v>
      </c>
      <c r="O1598" s="31" t="s">
        <v>29</v>
      </c>
      <c r="P1598" s="15">
        <v>223</v>
      </c>
      <c r="Q1598" s="8"/>
      <c r="R1598">
        <v>13.16</v>
      </c>
      <c r="S1598">
        <v>2276.6799999999998</v>
      </c>
      <c r="T1598">
        <v>5.49</v>
      </c>
      <c r="U1598">
        <v>9.4499999999999993</v>
      </c>
      <c r="V1598">
        <v>132</v>
      </c>
      <c r="W1598" s="317">
        <v>4.5999999999999996</v>
      </c>
      <c r="X1598" s="190">
        <f t="shared" si="69"/>
        <v>57.499999999999993</v>
      </c>
      <c r="Y1598" s="8"/>
      <c r="Z1598" s="8"/>
    </row>
    <row r="1599" spans="1:26" ht="25.5" customHeight="1" x14ac:dyDescent="0.2">
      <c r="A1599" s="15">
        <v>57</v>
      </c>
      <c r="B1599" s="15">
        <v>2002</v>
      </c>
      <c r="C1599" s="15">
        <v>11</v>
      </c>
      <c r="D1599" s="15">
        <v>8</v>
      </c>
      <c r="E1599" s="29" t="s">
        <v>208</v>
      </c>
      <c r="F1599" s="20" t="s">
        <v>51</v>
      </c>
      <c r="G1599" s="32">
        <v>142</v>
      </c>
      <c r="H1599" s="15" t="s">
        <v>29</v>
      </c>
      <c r="I1599" s="33">
        <v>12</v>
      </c>
      <c r="J1599" s="11" t="s">
        <v>19</v>
      </c>
      <c r="K1599" s="20" t="s">
        <v>20</v>
      </c>
      <c r="L1599" s="11" t="s">
        <v>21</v>
      </c>
      <c r="M1599" s="20" t="s">
        <v>45</v>
      </c>
      <c r="N1599" s="20" t="s">
        <v>25</v>
      </c>
      <c r="O1599" s="31" t="s">
        <v>29</v>
      </c>
      <c r="P1599" s="15">
        <v>223</v>
      </c>
      <c r="Q1599" s="8"/>
      <c r="R1599">
        <v>13.25</v>
      </c>
      <c r="S1599">
        <v>2325.4699999999998</v>
      </c>
      <c r="T1599">
        <v>5.16</v>
      </c>
      <c r="U1599">
        <v>9.51</v>
      </c>
      <c r="V1599">
        <v>132</v>
      </c>
      <c r="W1599" s="317">
        <v>3.9</v>
      </c>
      <c r="X1599" s="190">
        <f t="shared" si="69"/>
        <v>46.8</v>
      </c>
      <c r="Y1599" s="8"/>
      <c r="Z1599" s="8"/>
    </row>
    <row r="1600" spans="1:26" ht="25.5" customHeight="1" x14ac:dyDescent="0.2">
      <c r="A1600" s="15">
        <v>58</v>
      </c>
      <c r="B1600" s="15">
        <v>2002</v>
      </c>
      <c r="C1600" s="15">
        <v>11</v>
      </c>
      <c r="D1600" s="15">
        <v>8</v>
      </c>
      <c r="E1600" s="29" t="s">
        <v>208</v>
      </c>
      <c r="F1600" s="20" t="s">
        <v>51</v>
      </c>
      <c r="G1600" s="32">
        <v>140</v>
      </c>
      <c r="H1600" s="15" t="s">
        <v>29</v>
      </c>
      <c r="I1600" s="33">
        <v>13</v>
      </c>
      <c r="J1600" s="11" t="s">
        <v>19</v>
      </c>
      <c r="K1600" s="20" t="s">
        <v>20</v>
      </c>
      <c r="L1600" s="20" t="s">
        <v>30</v>
      </c>
      <c r="M1600" s="20" t="s">
        <v>46</v>
      </c>
      <c r="N1600" s="20" t="s">
        <v>23</v>
      </c>
      <c r="O1600" s="31" t="s">
        <v>29</v>
      </c>
      <c r="P1600" s="15">
        <v>223</v>
      </c>
      <c r="Q1600" s="8"/>
      <c r="R1600">
        <v>13.06</v>
      </c>
      <c r="S1600">
        <v>2228.58</v>
      </c>
      <c r="T1600">
        <v>5.83</v>
      </c>
      <c r="U1600">
        <v>9.3800000000000008</v>
      </c>
      <c r="V1600">
        <v>131</v>
      </c>
      <c r="W1600" s="317">
        <v>4.5999999999999996</v>
      </c>
      <c r="X1600" s="190">
        <f t="shared" si="69"/>
        <v>59.8</v>
      </c>
      <c r="Y1600" s="8"/>
      <c r="Z1600" s="8"/>
    </row>
    <row r="1601" spans="1:26" ht="25.5" customHeight="1" x14ac:dyDescent="0.2">
      <c r="A1601" s="15">
        <v>59</v>
      </c>
      <c r="B1601" s="15">
        <v>2002</v>
      </c>
      <c r="C1601" s="15">
        <v>11</v>
      </c>
      <c r="D1601" s="15">
        <v>8</v>
      </c>
      <c r="E1601" s="29" t="s">
        <v>208</v>
      </c>
      <c r="F1601" s="20" t="s">
        <v>51</v>
      </c>
      <c r="G1601" s="32">
        <v>121</v>
      </c>
      <c r="H1601" s="15" t="s">
        <v>29</v>
      </c>
      <c r="I1601" s="33">
        <v>10.5</v>
      </c>
      <c r="J1601" s="11" t="s">
        <v>19</v>
      </c>
      <c r="K1601" s="20" t="s">
        <v>20</v>
      </c>
      <c r="L1601" s="20" t="s">
        <v>30</v>
      </c>
      <c r="M1601" s="20" t="s">
        <v>45</v>
      </c>
      <c r="N1601" s="20" t="s">
        <v>23</v>
      </c>
      <c r="O1601" s="31" t="s">
        <v>29</v>
      </c>
      <c r="P1601" s="15">
        <v>223</v>
      </c>
      <c r="Q1601" s="8"/>
      <c r="R1601">
        <v>11.29</v>
      </c>
      <c r="S1601">
        <v>1438.8</v>
      </c>
      <c r="T1601">
        <v>7.3</v>
      </c>
      <c r="U1601">
        <v>8.11</v>
      </c>
      <c r="V1601">
        <v>113</v>
      </c>
      <c r="W1601" s="317">
        <v>4.5999999999999996</v>
      </c>
      <c r="X1601" s="190">
        <f t="shared" si="69"/>
        <v>48.3</v>
      </c>
      <c r="Y1601" s="8"/>
      <c r="Z1601" s="8"/>
    </row>
    <row r="1602" spans="1:26" ht="25.5" customHeight="1" x14ac:dyDescent="0.2">
      <c r="A1602" s="15">
        <v>60</v>
      </c>
      <c r="B1602" s="15">
        <v>2002</v>
      </c>
      <c r="C1602" s="15">
        <v>11</v>
      </c>
      <c r="D1602" s="15">
        <v>8</v>
      </c>
      <c r="E1602" s="29" t="s">
        <v>208</v>
      </c>
      <c r="F1602" s="20" t="s">
        <v>51</v>
      </c>
      <c r="G1602" s="32">
        <v>125</v>
      </c>
      <c r="H1602" s="15" t="s">
        <v>29</v>
      </c>
      <c r="I1602" s="33">
        <v>9</v>
      </c>
      <c r="J1602" s="11" t="s">
        <v>19</v>
      </c>
      <c r="K1602" s="20" t="s">
        <v>20</v>
      </c>
      <c r="L1602" s="20" t="s">
        <v>30</v>
      </c>
      <c r="M1602" s="20" t="s">
        <v>46</v>
      </c>
      <c r="N1602" s="20" t="s">
        <v>24</v>
      </c>
      <c r="O1602" s="31" t="s">
        <v>29</v>
      </c>
      <c r="P1602" s="15">
        <v>223</v>
      </c>
      <c r="Q1602" s="8"/>
      <c r="R1602">
        <v>11.66</v>
      </c>
      <c r="S1602">
        <v>1586.26</v>
      </c>
      <c r="T1602">
        <v>5.67</v>
      </c>
      <c r="U1602">
        <v>8.3800000000000008</v>
      </c>
      <c r="V1602">
        <v>117</v>
      </c>
      <c r="W1602" s="317">
        <v>4.5999999999999996</v>
      </c>
      <c r="X1602" s="190">
        <f t="shared" si="69"/>
        <v>41.4</v>
      </c>
      <c r="Y1602" s="8"/>
      <c r="Z1602" s="8"/>
    </row>
    <row r="1603" spans="1:26" ht="25.5" customHeight="1" x14ac:dyDescent="0.2">
      <c r="A1603" s="15">
        <v>61</v>
      </c>
      <c r="B1603" s="15">
        <v>2002</v>
      </c>
      <c r="C1603" s="15">
        <v>11</v>
      </c>
      <c r="D1603" s="15">
        <v>8</v>
      </c>
      <c r="E1603" s="29" t="s">
        <v>208</v>
      </c>
      <c r="F1603" s="20" t="s">
        <v>51</v>
      </c>
      <c r="G1603" s="32">
        <v>168</v>
      </c>
      <c r="H1603" s="15" t="s">
        <v>29</v>
      </c>
      <c r="I1603" s="33">
        <v>18</v>
      </c>
      <c r="J1603" s="11" t="s">
        <v>19</v>
      </c>
      <c r="K1603" s="20" t="s">
        <v>20</v>
      </c>
      <c r="L1603" s="11" t="s">
        <v>21</v>
      </c>
      <c r="M1603" s="20" t="s">
        <v>45</v>
      </c>
      <c r="N1603" s="20" t="s">
        <v>24</v>
      </c>
      <c r="O1603" s="31" t="s">
        <v>29</v>
      </c>
      <c r="P1603" s="15">
        <v>223</v>
      </c>
      <c r="Q1603" s="8"/>
      <c r="R1603">
        <v>15.67</v>
      </c>
      <c r="S1603">
        <v>3850.99</v>
      </c>
      <c r="T1603">
        <v>4.67</v>
      </c>
      <c r="U1603">
        <v>11.26</v>
      </c>
      <c r="V1603">
        <v>157</v>
      </c>
      <c r="W1603" s="317">
        <v>3.9</v>
      </c>
      <c r="X1603" s="190">
        <f t="shared" si="69"/>
        <v>70.2</v>
      </c>
      <c r="Y1603" s="8"/>
      <c r="Z1603" s="8"/>
    </row>
    <row r="1604" spans="1:26" ht="25.5" customHeight="1" x14ac:dyDescent="0.2">
      <c r="A1604" s="15">
        <v>62</v>
      </c>
      <c r="B1604" s="15">
        <v>2002</v>
      </c>
      <c r="C1604" s="15">
        <v>11</v>
      </c>
      <c r="D1604" s="15">
        <v>8</v>
      </c>
      <c r="E1604" s="29" t="s">
        <v>208</v>
      </c>
      <c r="F1604" s="20" t="s">
        <v>51</v>
      </c>
      <c r="G1604" s="32">
        <v>128</v>
      </c>
      <c r="H1604" s="15" t="s">
        <v>29</v>
      </c>
      <c r="I1604" s="33">
        <v>13</v>
      </c>
      <c r="J1604" s="11" t="s">
        <v>19</v>
      </c>
      <c r="K1604" s="20" t="s">
        <v>20</v>
      </c>
      <c r="L1604" s="20" t="s">
        <v>30</v>
      </c>
      <c r="M1604" s="20" t="s">
        <v>45</v>
      </c>
      <c r="N1604" s="20" t="s">
        <v>25</v>
      </c>
      <c r="O1604" s="31" t="s">
        <v>29</v>
      </c>
      <c r="P1604" s="15">
        <v>223</v>
      </c>
      <c r="Q1604" s="8"/>
      <c r="R1604">
        <v>11.94</v>
      </c>
      <c r="S1604">
        <v>1703.24</v>
      </c>
      <c r="T1604">
        <v>7.63</v>
      </c>
      <c r="U1604">
        <v>8.58</v>
      </c>
      <c r="V1604">
        <v>119</v>
      </c>
      <c r="W1604" s="317">
        <v>4.5999999999999996</v>
      </c>
      <c r="X1604" s="190">
        <f t="shared" si="69"/>
        <v>59.8</v>
      </c>
      <c r="Y1604" s="8"/>
      <c r="Z1604" s="8"/>
    </row>
    <row r="1605" spans="1:26" ht="25.5" customHeight="1" x14ac:dyDescent="0.2">
      <c r="A1605" s="15">
        <v>63</v>
      </c>
      <c r="B1605" s="15">
        <v>2002</v>
      </c>
      <c r="C1605" s="15">
        <v>11</v>
      </c>
      <c r="D1605" s="15">
        <v>8</v>
      </c>
      <c r="E1605" s="29" t="s">
        <v>208</v>
      </c>
      <c r="F1605" s="20" t="s">
        <v>51</v>
      </c>
      <c r="G1605" s="32">
        <v>142</v>
      </c>
      <c r="H1605" s="15" t="s">
        <v>29</v>
      </c>
      <c r="I1605" s="33">
        <v>13.5</v>
      </c>
      <c r="J1605" s="11" t="s">
        <v>19</v>
      </c>
      <c r="K1605" s="20" t="s">
        <v>20</v>
      </c>
      <c r="L1605" s="20" t="s">
        <v>30</v>
      </c>
      <c r="M1605" s="20" t="s">
        <v>45</v>
      </c>
      <c r="N1605" s="20" t="s">
        <v>25</v>
      </c>
      <c r="O1605" s="31" t="s">
        <v>29</v>
      </c>
      <c r="P1605" s="15">
        <v>223</v>
      </c>
      <c r="Q1605" s="8"/>
      <c r="R1605">
        <v>13.25</v>
      </c>
      <c r="S1605">
        <v>2325.4699999999998</v>
      </c>
      <c r="T1605">
        <v>5.81</v>
      </c>
      <c r="U1605">
        <v>9.51</v>
      </c>
      <c r="V1605">
        <v>132</v>
      </c>
      <c r="W1605" s="317">
        <v>4.5999999999999996</v>
      </c>
      <c r="X1605" s="190">
        <f t="shared" si="69"/>
        <v>62.099999999999994</v>
      </c>
      <c r="Y1605" s="8"/>
      <c r="Z1605" s="8"/>
    </row>
    <row r="1606" spans="1:26" ht="25.5" customHeight="1" x14ac:dyDescent="0.2">
      <c r="A1606" s="15">
        <v>64</v>
      </c>
      <c r="B1606" s="15">
        <v>2002</v>
      </c>
      <c r="C1606" s="15">
        <v>11</v>
      </c>
      <c r="D1606" s="15">
        <v>8</v>
      </c>
      <c r="E1606" s="29" t="s">
        <v>208</v>
      </c>
      <c r="F1606" s="20" t="s">
        <v>51</v>
      </c>
      <c r="G1606" s="32">
        <v>144</v>
      </c>
      <c r="H1606" s="15" t="s">
        <v>29</v>
      </c>
      <c r="I1606" s="33" t="s">
        <v>29</v>
      </c>
      <c r="J1606" s="11" t="s">
        <v>19</v>
      </c>
      <c r="K1606" s="20" t="s">
        <v>20</v>
      </c>
      <c r="L1606" s="11" t="s">
        <v>21</v>
      </c>
      <c r="M1606" s="20" t="s">
        <v>27</v>
      </c>
      <c r="N1606" s="20" t="s">
        <v>25</v>
      </c>
      <c r="O1606" s="31" t="s">
        <v>29</v>
      </c>
      <c r="P1606" s="15">
        <v>223</v>
      </c>
      <c r="Q1606" s="8"/>
      <c r="R1606">
        <v>13.44</v>
      </c>
      <c r="U1606">
        <v>9.65</v>
      </c>
      <c r="V1606">
        <v>134</v>
      </c>
      <c r="W1606" s="317">
        <v>3.9</v>
      </c>
      <c r="X1606" s="190" t="e">
        <f t="shared" si="69"/>
        <v>#VALUE!</v>
      </c>
      <c r="Y1606" s="8"/>
      <c r="Z1606" s="8"/>
    </row>
    <row r="1607" spans="1:26" ht="25.5" customHeight="1" x14ac:dyDescent="0.2">
      <c r="A1607" s="15">
        <v>65</v>
      </c>
      <c r="B1607" s="15">
        <v>2002</v>
      </c>
      <c r="C1607" s="15">
        <v>11</v>
      </c>
      <c r="D1607" s="15">
        <v>8</v>
      </c>
      <c r="E1607" s="29" t="s">
        <v>208</v>
      </c>
      <c r="F1607" s="20" t="s">
        <v>51</v>
      </c>
      <c r="G1607" s="32">
        <v>120</v>
      </c>
      <c r="H1607" s="15" t="s">
        <v>29</v>
      </c>
      <c r="I1607" s="33">
        <v>9.5</v>
      </c>
      <c r="J1607" s="11" t="s">
        <v>19</v>
      </c>
      <c r="K1607" s="20" t="s">
        <v>20</v>
      </c>
      <c r="L1607" s="20" t="s">
        <v>30</v>
      </c>
      <c r="M1607" s="20" t="s">
        <v>45</v>
      </c>
      <c r="N1607" s="20" t="s">
        <v>23</v>
      </c>
      <c r="O1607" s="31" t="s">
        <v>29</v>
      </c>
      <c r="P1607" s="15">
        <v>223</v>
      </c>
      <c r="Q1607" s="8"/>
      <c r="R1607">
        <v>11.2</v>
      </c>
      <c r="S1607">
        <v>1403.42</v>
      </c>
      <c r="T1607">
        <v>6.77</v>
      </c>
      <c r="U1607">
        <v>8.0399999999999991</v>
      </c>
      <c r="V1607">
        <v>112</v>
      </c>
      <c r="W1607" s="317">
        <v>4.5999999999999996</v>
      </c>
      <c r="X1607" s="190">
        <f t="shared" si="69"/>
        <v>43.699999999999996</v>
      </c>
      <c r="Y1607" s="8"/>
      <c r="Z1607" s="8"/>
    </row>
    <row r="1608" spans="1:26" ht="25.5" customHeight="1" x14ac:dyDescent="0.2">
      <c r="A1608" s="15">
        <v>66</v>
      </c>
      <c r="B1608" s="15">
        <v>2002</v>
      </c>
      <c r="C1608" s="15">
        <v>11</v>
      </c>
      <c r="D1608" s="15">
        <v>8</v>
      </c>
      <c r="E1608" s="29" t="s">
        <v>208</v>
      </c>
      <c r="F1608" s="20" t="s">
        <v>51</v>
      </c>
      <c r="G1608" s="32">
        <v>125</v>
      </c>
      <c r="H1608" s="15" t="s">
        <v>29</v>
      </c>
      <c r="I1608" s="33">
        <v>8.5</v>
      </c>
      <c r="J1608" s="11" t="s">
        <v>19</v>
      </c>
      <c r="K1608" s="20" t="s">
        <v>20</v>
      </c>
      <c r="L1608" s="11" t="s">
        <v>21</v>
      </c>
      <c r="M1608" s="20" t="s">
        <v>46</v>
      </c>
      <c r="N1608" s="20" t="s">
        <v>25</v>
      </c>
      <c r="O1608" s="31" t="s">
        <v>29</v>
      </c>
      <c r="P1608" s="15">
        <v>223</v>
      </c>
      <c r="Q1608" s="8"/>
      <c r="R1608">
        <v>11.66</v>
      </c>
      <c r="S1608">
        <v>1586.26</v>
      </c>
      <c r="T1608">
        <v>5.36</v>
      </c>
      <c r="U1608">
        <v>8.3800000000000008</v>
      </c>
      <c r="V1608">
        <v>117</v>
      </c>
      <c r="W1608" s="317">
        <v>3.9</v>
      </c>
      <c r="X1608" s="190">
        <f t="shared" si="69"/>
        <v>33.15</v>
      </c>
      <c r="Y1608" s="8"/>
      <c r="Z1608" s="8"/>
    </row>
    <row r="1609" spans="1:26" ht="25.5" customHeight="1" x14ac:dyDescent="0.2">
      <c r="A1609" s="15">
        <v>67</v>
      </c>
      <c r="B1609" s="15">
        <v>2002</v>
      </c>
      <c r="C1609" s="15">
        <v>11</v>
      </c>
      <c r="D1609" s="15">
        <v>8</v>
      </c>
      <c r="E1609" s="29" t="s">
        <v>208</v>
      </c>
      <c r="F1609" s="20" t="s">
        <v>51</v>
      </c>
      <c r="G1609" s="32">
        <v>145</v>
      </c>
      <c r="H1609" s="15" t="s">
        <v>29</v>
      </c>
      <c r="I1609" s="33">
        <v>12.5</v>
      </c>
      <c r="J1609" s="11" t="s">
        <v>19</v>
      </c>
      <c r="K1609" s="20" t="s">
        <v>20</v>
      </c>
      <c r="L1609" s="20" t="s">
        <v>30</v>
      </c>
      <c r="M1609" s="20" t="s">
        <v>45</v>
      </c>
      <c r="N1609" s="20" t="s">
        <v>25</v>
      </c>
      <c r="O1609" s="31" t="s">
        <v>29</v>
      </c>
      <c r="P1609" s="15">
        <v>223</v>
      </c>
      <c r="Q1609" s="8"/>
      <c r="R1609">
        <v>13.53</v>
      </c>
      <c r="S1609">
        <v>2475.9899999999998</v>
      </c>
      <c r="T1609">
        <v>5.05</v>
      </c>
      <c r="U1609">
        <v>9.7200000000000006</v>
      </c>
      <c r="V1609">
        <v>135</v>
      </c>
      <c r="W1609" s="317">
        <v>4.5999999999999996</v>
      </c>
      <c r="X1609" s="190">
        <f t="shared" si="69"/>
        <v>57.499999999999993</v>
      </c>
      <c r="Y1609" s="8"/>
      <c r="Z1609" s="8"/>
    </row>
    <row r="1610" spans="1:26" ht="25.5" customHeight="1" x14ac:dyDescent="0.2">
      <c r="A1610" s="15">
        <v>68</v>
      </c>
      <c r="B1610" s="15">
        <v>2002</v>
      </c>
      <c r="C1610" s="15">
        <v>11</v>
      </c>
      <c r="D1610" s="15">
        <v>8</v>
      </c>
      <c r="E1610" s="29" t="s">
        <v>208</v>
      </c>
      <c r="F1610" s="20" t="s">
        <v>51</v>
      </c>
      <c r="G1610" s="32">
        <v>130</v>
      </c>
      <c r="H1610" s="15" t="s">
        <v>29</v>
      </c>
      <c r="I1610" s="33">
        <v>7.5</v>
      </c>
      <c r="J1610" s="11" t="s">
        <v>19</v>
      </c>
      <c r="K1610" s="20" t="s">
        <v>20</v>
      </c>
      <c r="L1610" s="11" t="s">
        <v>21</v>
      </c>
      <c r="M1610" s="20" t="s">
        <v>46</v>
      </c>
      <c r="N1610" s="20" t="s">
        <v>23</v>
      </c>
      <c r="O1610" s="31" t="s">
        <v>29</v>
      </c>
      <c r="P1610" s="15">
        <v>223</v>
      </c>
      <c r="Q1610" s="8"/>
      <c r="R1610">
        <v>12.13</v>
      </c>
      <c r="S1610">
        <v>1784.33</v>
      </c>
      <c r="T1610">
        <v>4.2</v>
      </c>
      <c r="U1610">
        <v>8.7100000000000009</v>
      </c>
      <c r="V1610">
        <v>121</v>
      </c>
      <c r="W1610" s="317">
        <v>3.9</v>
      </c>
      <c r="X1610" s="190">
        <f t="shared" si="69"/>
        <v>29.25</v>
      </c>
      <c r="Y1610" s="8"/>
      <c r="Z1610" s="8"/>
    </row>
    <row r="1611" spans="1:26" ht="25.5" customHeight="1" x14ac:dyDescent="0.2">
      <c r="A1611" s="15">
        <v>69</v>
      </c>
      <c r="B1611" s="15">
        <v>2002</v>
      </c>
      <c r="C1611" s="15">
        <v>11</v>
      </c>
      <c r="D1611" s="15">
        <v>8</v>
      </c>
      <c r="E1611" s="29" t="s">
        <v>208</v>
      </c>
      <c r="F1611" s="11" t="s">
        <v>28</v>
      </c>
      <c r="G1611" s="11" t="s">
        <v>29</v>
      </c>
      <c r="H1611" s="15" t="s">
        <v>29</v>
      </c>
      <c r="I1611" s="33" t="s">
        <v>29</v>
      </c>
      <c r="J1611" s="11" t="s">
        <v>19</v>
      </c>
      <c r="K1611" s="20" t="s">
        <v>20</v>
      </c>
      <c r="L1611" s="20" t="s">
        <v>30</v>
      </c>
      <c r="M1611" s="11" t="s">
        <v>29</v>
      </c>
      <c r="N1611" s="11" t="s">
        <v>29</v>
      </c>
      <c r="O1611" s="31" t="s">
        <v>29</v>
      </c>
      <c r="P1611" s="15">
        <v>223</v>
      </c>
      <c r="Q1611" s="8"/>
      <c r="W1611" s="317">
        <v>4.5999999999999996</v>
      </c>
      <c r="X1611" s="190" t="e">
        <f t="shared" si="69"/>
        <v>#VALUE!</v>
      </c>
      <c r="Y1611" s="8"/>
      <c r="Z1611" s="8"/>
    </row>
    <row r="1612" spans="1:26" ht="25.5" customHeight="1" x14ac:dyDescent="0.2">
      <c r="A1612" s="15">
        <v>70</v>
      </c>
      <c r="B1612" s="15">
        <v>2002</v>
      </c>
      <c r="C1612" s="15">
        <v>11</v>
      </c>
      <c r="D1612" s="15">
        <v>8</v>
      </c>
      <c r="E1612" s="29" t="s">
        <v>208</v>
      </c>
      <c r="F1612" s="20" t="s">
        <v>51</v>
      </c>
      <c r="G1612" s="32">
        <v>124</v>
      </c>
      <c r="H1612" s="15" t="s">
        <v>29</v>
      </c>
      <c r="I1612" s="33">
        <v>13</v>
      </c>
      <c r="J1612" s="11" t="s">
        <v>19</v>
      </c>
      <c r="K1612" s="20" t="s">
        <v>20</v>
      </c>
      <c r="L1612" s="20" t="s">
        <v>30</v>
      </c>
      <c r="M1612" s="20" t="s">
        <v>46</v>
      </c>
      <c r="N1612" s="20" t="s">
        <v>25</v>
      </c>
      <c r="O1612" s="31" t="s">
        <v>29</v>
      </c>
      <c r="P1612" s="15">
        <v>223</v>
      </c>
      <c r="Q1612" s="8"/>
      <c r="R1612">
        <v>11.57</v>
      </c>
      <c r="S1612">
        <v>1548.5</v>
      </c>
      <c r="T1612">
        <v>8.4</v>
      </c>
      <c r="U1612">
        <v>8.31</v>
      </c>
      <c r="V1612">
        <v>116</v>
      </c>
      <c r="W1612" s="317">
        <v>4.5999999999999996</v>
      </c>
      <c r="X1612" s="190">
        <f t="shared" si="69"/>
        <v>59.8</v>
      </c>
      <c r="Y1612" s="8"/>
      <c r="Z1612" s="8"/>
    </row>
    <row r="1613" spans="1:26" ht="25.5" customHeight="1" x14ac:dyDescent="0.2">
      <c r="A1613" s="15">
        <v>71</v>
      </c>
      <c r="B1613" s="15">
        <v>2002</v>
      </c>
      <c r="C1613" s="15">
        <v>11</v>
      </c>
      <c r="D1613" s="15">
        <v>8</v>
      </c>
      <c r="E1613" s="29" t="s">
        <v>208</v>
      </c>
      <c r="F1613" s="20" t="s">
        <v>51</v>
      </c>
      <c r="G1613" s="32">
        <v>139</v>
      </c>
      <c r="H1613" s="15" t="s">
        <v>29</v>
      </c>
      <c r="I1613" s="33">
        <v>13</v>
      </c>
      <c r="J1613" s="11" t="s">
        <v>19</v>
      </c>
      <c r="K1613" s="20" t="s">
        <v>20</v>
      </c>
      <c r="L1613" s="20" t="s">
        <v>30</v>
      </c>
      <c r="M1613" s="20" t="s">
        <v>46</v>
      </c>
      <c r="N1613" s="20" t="s">
        <v>25</v>
      </c>
      <c r="O1613" s="31" t="s">
        <v>29</v>
      </c>
      <c r="P1613" s="15">
        <v>223</v>
      </c>
      <c r="Q1613" s="8"/>
      <c r="R1613">
        <v>12.97</v>
      </c>
      <c r="S1613">
        <v>2181.17</v>
      </c>
      <c r="T1613">
        <v>5.96</v>
      </c>
      <c r="U1613">
        <v>9.31</v>
      </c>
      <c r="V1613">
        <v>130</v>
      </c>
      <c r="W1613" s="317">
        <v>4.5999999999999996</v>
      </c>
      <c r="X1613" s="190">
        <f t="shared" si="69"/>
        <v>59.8</v>
      </c>
      <c r="Y1613" s="8"/>
      <c r="Z1613" s="8"/>
    </row>
    <row r="1614" spans="1:26" ht="25.5" customHeight="1" x14ac:dyDescent="0.2">
      <c r="A1614" s="15">
        <v>72</v>
      </c>
      <c r="B1614" s="15">
        <v>2002</v>
      </c>
      <c r="C1614" s="15">
        <v>11</v>
      </c>
      <c r="D1614" s="15">
        <v>8</v>
      </c>
      <c r="E1614" s="29" t="s">
        <v>208</v>
      </c>
      <c r="F1614" s="20" t="s">
        <v>51</v>
      </c>
      <c r="G1614" s="32">
        <v>147</v>
      </c>
      <c r="H1614" s="15" t="s">
        <v>29</v>
      </c>
      <c r="I1614" s="33">
        <v>16.5</v>
      </c>
      <c r="J1614" s="11" t="s">
        <v>19</v>
      </c>
      <c r="K1614" s="20" t="s">
        <v>20</v>
      </c>
      <c r="L1614" s="20" t="s">
        <v>30</v>
      </c>
      <c r="M1614" s="20" t="s">
        <v>46</v>
      </c>
      <c r="N1614" s="20" t="s">
        <v>25</v>
      </c>
      <c r="O1614" s="31" t="s">
        <v>29</v>
      </c>
      <c r="P1614" s="15">
        <v>223</v>
      </c>
      <c r="Q1614" s="8"/>
      <c r="R1614">
        <v>13.72</v>
      </c>
      <c r="S1614">
        <v>2579.86</v>
      </c>
      <c r="T1614">
        <v>6.4</v>
      </c>
      <c r="U1614">
        <v>9.85</v>
      </c>
      <c r="V1614">
        <v>137</v>
      </c>
      <c r="W1614" s="317">
        <v>4.5999999999999996</v>
      </c>
      <c r="X1614" s="190">
        <f t="shared" si="69"/>
        <v>75.899999999999991</v>
      </c>
      <c r="Y1614" s="8"/>
      <c r="Z1614" s="8"/>
    </row>
    <row r="1615" spans="1:26" ht="25.5" customHeight="1" x14ac:dyDescent="0.2">
      <c r="A1615" s="15">
        <v>73</v>
      </c>
      <c r="B1615" s="15">
        <v>2002</v>
      </c>
      <c r="C1615" s="15">
        <v>11</v>
      </c>
      <c r="D1615" s="15">
        <v>8</v>
      </c>
      <c r="E1615" s="29" t="s">
        <v>208</v>
      </c>
      <c r="F1615" s="20" t="s">
        <v>51</v>
      </c>
      <c r="G1615" s="32">
        <v>120</v>
      </c>
      <c r="H1615" s="15" t="s">
        <v>29</v>
      </c>
      <c r="I1615" s="33">
        <v>9.5</v>
      </c>
      <c r="J1615" s="11" t="s">
        <v>19</v>
      </c>
      <c r="K1615" s="20" t="s">
        <v>20</v>
      </c>
      <c r="L1615" s="20" t="s">
        <v>30</v>
      </c>
      <c r="M1615" s="20" t="s">
        <v>46</v>
      </c>
      <c r="N1615" s="20" t="s">
        <v>25</v>
      </c>
      <c r="O1615" s="31" t="s">
        <v>29</v>
      </c>
      <c r="P1615" s="15">
        <v>223</v>
      </c>
      <c r="Q1615" s="8"/>
      <c r="R1615">
        <v>11.2</v>
      </c>
      <c r="S1615">
        <v>1403.42</v>
      </c>
      <c r="T1615">
        <v>6.77</v>
      </c>
      <c r="U1615">
        <v>8.0399999999999991</v>
      </c>
      <c r="V1615">
        <v>112</v>
      </c>
      <c r="W1615" s="317">
        <v>4.5999999999999996</v>
      </c>
      <c r="X1615" s="190">
        <f t="shared" si="69"/>
        <v>43.699999999999996</v>
      </c>
      <c r="Y1615" s="8"/>
      <c r="Z1615" s="8"/>
    </row>
    <row r="1616" spans="1:26" ht="25.5" customHeight="1" x14ac:dyDescent="0.2">
      <c r="A1616" s="15">
        <v>74</v>
      </c>
      <c r="B1616" s="15">
        <v>2002</v>
      </c>
      <c r="C1616" s="15">
        <v>11</v>
      </c>
      <c r="D1616" s="15">
        <v>8</v>
      </c>
      <c r="E1616" s="29" t="s">
        <v>208</v>
      </c>
      <c r="F1616" s="20" t="s">
        <v>51</v>
      </c>
      <c r="G1616" s="32">
        <v>146</v>
      </c>
      <c r="H1616" s="15" t="s">
        <v>29</v>
      </c>
      <c r="I1616" s="33">
        <v>14</v>
      </c>
      <c r="J1616" s="11" t="s">
        <v>19</v>
      </c>
      <c r="K1616" s="20" t="s">
        <v>20</v>
      </c>
      <c r="L1616" s="20" t="s">
        <v>30</v>
      </c>
      <c r="M1616" s="20" t="s">
        <v>45</v>
      </c>
      <c r="N1616" s="20" t="s">
        <v>23</v>
      </c>
      <c r="O1616" s="31" t="s">
        <v>29</v>
      </c>
      <c r="P1616" s="15">
        <v>223</v>
      </c>
      <c r="Q1616" s="8"/>
      <c r="R1616">
        <v>13.62</v>
      </c>
      <c r="S1616">
        <v>2527.5700000000002</v>
      </c>
      <c r="T1616">
        <v>5.54</v>
      </c>
      <c r="U1616">
        <v>9.7799999999999994</v>
      </c>
      <c r="V1616">
        <v>136</v>
      </c>
      <c r="W1616" s="317">
        <v>4.5999999999999996</v>
      </c>
      <c r="X1616" s="190">
        <f t="shared" si="69"/>
        <v>64.399999999999991</v>
      </c>
      <c r="Y1616" s="8"/>
      <c r="Z1616" s="8"/>
    </row>
    <row r="1617" spans="1:26" ht="25.5" customHeight="1" x14ac:dyDescent="0.2">
      <c r="A1617" s="15">
        <v>75</v>
      </c>
      <c r="B1617" s="15">
        <v>2002</v>
      </c>
      <c r="C1617" s="15">
        <v>11</v>
      </c>
      <c r="D1617" s="15">
        <v>8</v>
      </c>
      <c r="E1617" s="29" t="s">
        <v>208</v>
      </c>
      <c r="F1617" s="20" t="s">
        <v>51</v>
      </c>
      <c r="G1617" s="32">
        <v>141</v>
      </c>
      <c r="H1617" s="15" t="s">
        <v>29</v>
      </c>
      <c r="I1617" s="33">
        <v>10.5</v>
      </c>
      <c r="J1617" s="11" t="s">
        <v>19</v>
      </c>
      <c r="K1617" s="20" t="s">
        <v>20</v>
      </c>
      <c r="L1617" s="20" t="s">
        <v>30</v>
      </c>
      <c r="M1617" s="20" t="s">
        <v>46</v>
      </c>
      <c r="N1617" s="20" t="s">
        <v>23</v>
      </c>
      <c r="O1617" s="31" t="s">
        <v>29</v>
      </c>
      <c r="P1617" s="15">
        <v>223</v>
      </c>
      <c r="Q1617" s="8"/>
      <c r="R1617">
        <v>13.16</v>
      </c>
      <c r="S1617">
        <v>2276.6799999999998</v>
      </c>
      <c r="T1617">
        <v>4.6100000000000003</v>
      </c>
      <c r="U1617">
        <v>9.4499999999999993</v>
      </c>
      <c r="V1617">
        <v>132</v>
      </c>
      <c r="W1617" s="317">
        <v>4.5999999999999996</v>
      </c>
      <c r="X1617" s="190">
        <f t="shared" si="69"/>
        <v>48.3</v>
      </c>
      <c r="Y1617" s="8"/>
      <c r="Z1617" s="8"/>
    </row>
    <row r="1618" spans="1:26" ht="25.5" customHeight="1" x14ac:dyDescent="0.2">
      <c r="A1618" s="15">
        <v>76</v>
      </c>
      <c r="B1618" s="15">
        <v>2002</v>
      </c>
      <c r="C1618" s="15">
        <v>11</v>
      </c>
      <c r="D1618" s="15">
        <v>8</v>
      </c>
      <c r="E1618" s="29" t="s">
        <v>208</v>
      </c>
      <c r="F1618" s="20" t="s">
        <v>51</v>
      </c>
      <c r="G1618" s="32">
        <v>144</v>
      </c>
      <c r="H1618" s="15" t="s">
        <v>29</v>
      </c>
      <c r="I1618" s="33">
        <v>12</v>
      </c>
      <c r="J1618" s="11" t="s">
        <v>19</v>
      </c>
      <c r="K1618" s="20" t="s">
        <v>20</v>
      </c>
      <c r="L1618" s="20" t="s">
        <v>30</v>
      </c>
      <c r="M1618" s="20" t="s">
        <v>45</v>
      </c>
      <c r="N1618" s="20" t="s">
        <v>23</v>
      </c>
      <c r="O1618" s="31" t="s">
        <v>29</v>
      </c>
      <c r="P1618" s="15">
        <v>223</v>
      </c>
      <c r="Q1618" s="8"/>
      <c r="R1618">
        <v>13.44</v>
      </c>
      <c r="S1618">
        <v>2425.12</v>
      </c>
      <c r="T1618">
        <v>4.95</v>
      </c>
      <c r="U1618">
        <v>9.65</v>
      </c>
      <c r="V1618">
        <v>134</v>
      </c>
      <c r="W1618" s="317">
        <v>4.5999999999999996</v>
      </c>
      <c r="X1618" s="190">
        <f t="shared" si="69"/>
        <v>55.199999999999996</v>
      </c>
      <c r="Y1618" s="8"/>
      <c r="Z1618" s="8"/>
    </row>
    <row r="1619" spans="1:26" ht="25.5" customHeight="1" x14ac:dyDescent="0.2">
      <c r="A1619" s="15">
        <v>77</v>
      </c>
      <c r="B1619" s="15">
        <v>2002</v>
      </c>
      <c r="C1619" s="15">
        <v>11</v>
      </c>
      <c r="D1619" s="15">
        <v>8</v>
      </c>
      <c r="E1619" s="29" t="s">
        <v>208</v>
      </c>
      <c r="F1619" s="20" t="s">
        <v>51</v>
      </c>
      <c r="G1619" s="32">
        <v>133</v>
      </c>
      <c r="H1619" s="15" t="s">
        <v>29</v>
      </c>
      <c r="I1619" s="33">
        <v>13.5</v>
      </c>
      <c r="J1619" s="11" t="s">
        <v>19</v>
      </c>
      <c r="K1619" s="20" t="s">
        <v>20</v>
      </c>
      <c r="L1619" s="20" t="s">
        <v>30</v>
      </c>
      <c r="M1619" s="20" t="s">
        <v>46</v>
      </c>
      <c r="N1619" s="20" t="s">
        <v>25</v>
      </c>
      <c r="O1619" s="31" t="s">
        <v>29</v>
      </c>
      <c r="P1619" s="15">
        <v>223</v>
      </c>
      <c r="Q1619" s="8"/>
      <c r="R1619">
        <v>12.41</v>
      </c>
      <c r="S1619">
        <v>1910.73</v>
      </c>
      <c r="T1619">
        <v>7.07</v>
      </c>
      <c r="U1619">
        <v>8.91</v>
      </c>
      <c r="V1619">
        <v>124</v>
      </c>
      <c r="W1619" s="317">
        <v>4.5999999999999996</v>
      </c>
      <c r="X1619" s="190">
        <f t="shared" si="69"/>
        <v>62.099999999999994</v>
      </c>
      <c r="Y1619" s="8"/>
      <c r="Z1619" s="8"/>
    </row>
    <row r="1620" spans="1:26" ht="25.5" customHeight="1" x14ac:dyDescent="0.2">
      <c r="A1620" s="15">
        <v>78</v>
      </c>
      <c r="B1620" s="15">
        <v>2002</v>
      </c>
      <c r="C1620" s="15">
        <v>11</v>
      </c>
      <c r="D1620" s="15">
        <v>8</v>
      </c>
      <c r="E1620" s="29" t="s">
        <v>208</v>
      </c>
      <c r="F1620" s="11" t="s">
        <v>28</v>
      </c>
      <c r="G1620" s="11" t="s">
        <v>29</v>
      </c>
      <c r="H1620" s="15" t="s">
        <v>29</v>
      </c>
      <c r="I1620" s="33" t="s">
        <v>29</v>
      </c>
      <c r="J1620" s="11" t="s">
        <v>19</v>
      </c>
      <c r="K1620" s="20" t="s">
        <v>20</v>
      </c>
      <c r="L1620" s="11" t="s">
        <v>41</v>
      </c>
      <c r="M1620" s="11" t="s">
        <v>29</v>
      </c>
      <c r="N1620" s="11" t="s">
        <v>29</v>
      </c>
      <c r="O1620" s="31" t="s">
        <v>29</v>
      </c>
      <c r="P1620" s="15">
        <v>223</v>
      </c>
      <c r="Q1620" s="8"/>
      <c r="W1620" s="8"/>
      <c r="X1620" s="8"/>
      <c r="Y1620" s="8"/>
      <c r="Z1620" s="8"/>
    </row>
    <row r="1621" spans="1:26" ht="25.5" customHeight="1" x14ac:dyDescent="0.2">
      <c r="A1621" s="15">
        <v>79</v>
      </c>
      <c r="B1621" s="15">
        <v>2002</v>
      </c>
      <c r="C1621" s="15">
        <v>11</v>
      </c>
      <c r="D1621" s="15">
        <v>8</v>
      </c>
      <c r="E1621" s="29" t="s">
        <v>208</v>
      </c>
      <c r="F1621" s="20" t="s">
        <v>51</v>
      </c>
      <c r="G1621" s="32">
        <v>143</v>
      </c>
      <c r="H1621" s="15" t="s">
        <v>29</v>
      </c>
      <c r="I1621" s="33">
        <v>15.5</v>
      </c>
      <c r="J1621" s="11" t="s">
        <v>19</v>
      </c>
      <c r="K1621" s="20" t="s">
        <v>20</v>
      </c>
      <c r="L1621" s="20" t="s">
        <v>30</v>
      </c>
      <c r="M1621" s="20" t="s">
        <v>46</v>
      </c>
      <c r="N1621" s="20" t="s">
        <v>24</v>
      </c>
      <c r="O1621" s="31" t="s">
        <v>29</v>
      </c>
      <c r="P1621" s="15">
        <v>223</v>
      </c>
      <c r="Q1621" s="8"/>
      <c r="R1621">
        <v>13.34</v>
      </c>
      <c r="S1621">
        <v>2374.94</v>
      </c>
      <c r="T1621">
        <v>6.53</v>
      </c>
      <c r="U1621">
        <v>9.58</v>
      </c>
      <c r="V1621">
        <v>133</v>
      </c>
      <c r="W1621" s="317">
        <v>4.5999999999999996</v>
      </c>
      <c r="X1621" s="190">
        <f t="shared" ref="X1621:X1632" si="70">I1621*W1621</f>
        <v>71.3</v>
      </c>
      <c r="Y1621" s="8"/>
      <c r="Z1621" s="8"/>
    </row>
    <row r="1622" spans="1:26" ht="25.5" customHeight="1" x14ac:dyDescent="0.2">
      <c r="A1622" s="15">
        <v>80</v>
      </c>
      <c r="B1622" s="15">
        <v>2002</v>
      </c>
      <c r="C1622" s="15">
        <v>11</v>
      </c>
      <c r="D1622" s="15">
        <v>8</v>
      </c>
      <c r="E1622" s="29" t="s">
        <v>208</v>
      </c>
      <c r="F1622" s="20" t="s">
        <v>51</v>
      </c>
      <c r="G1622" s="32">
        <v>128</v>
      </c>
      <c r="H1622" s="15" t="s">
        <v>29</v>
      </c>
      <c r="I1622" s="33">
        <v>12.5</v>
      </c>
      <c r="J1622" s="11" t="s">
        <v>19</v>
      </c>
      <c r="K1622" s="20" t="s">
        <v>20</v>
      </c>
      <c r="L1622" s="20" t="s">
        <v>30</v>
      </c>
      <c r="M1622" s="20" t="s">
        <v>46</v>
      </c>
      <c r="N1622" s="20" t="s">
        <v>25</v>
      </c>
      <c r="O1622" s="31" t="s">
        <v>29</v>
      </c>
      <c r="P1622" s="15">
        <v>223</v>
      </c>
      <c r="Q1622" s="8"/>
      <c r="R1622">
        <v>11.94</v>
      </c>
      <c r="S1622">
        <v>1703.24</v>
      </c>
      <c r="T1622">
        <v>7.34</v>
      </c>
      <c r="U1622">
        <v>8.58</v>
      </c>
      <c r="V1622">
        <v>119</v>
      </c>
      <c r="W1622" s="317">
        <v>4.5999999999999996</v>
      </c>
      <c r="X1622" s="190">
        <f t="shared" si="70"/>
        <v>57.499999999999993</v>
      </c>
      <c r="Y1622" s="8"/>
      <c r="Z1622" s="8"/>
    </row>
    <row r="1623" spans="1:26" ht="25.5" customHeight="1" x14ac:dyDescent="0.2">
      <c r="A1623" s="15">
        <v>81</v>
      </c>
      <c r="B1623" s="15">
        <v>2002</v>
      </c>
      <c r="C1623" s="15">
        <v>11</v>
      </c>
      <c r="D1623" s="15">
        <v>8</v>
      </c>
      <c r="E1623" s="29" t="s">
        <v>208</v>
      </c>
      <c r="F1623" s="20" t="s">
        <v>51</v>
      </c>
      <c r="G1623" s="32">
        <v>161</v>
      </c>
      <c r="H1623" s="15" t="s">
        <v>29</v>
      </c>
      <c r="I1623" s="33">
        <v>16</v>
      </c>
      <c r="J1623" s="11" t="s">
        <v>19</v>
      </c>
      <c r="K1623" s="20" t="s">
        <v>20</v>
      </c>
      <c r="L1623" s="20" t="s">
        <v>30</v>
      </c>
      <c r="M1623" s="20" t="s">
        <v>27</v>
      </c>
      <c r="N1623" s="20" t="s">
        <v>24</v>
      </c>
      <c r="O1623" s="31" t="s">
        <v>29</v>
      </c>
      <c r="P1623" s="15">
        <v>223</v>
      </c>
      <c r="Q1623" s="8"/>
      <c r="R1623">
        <v>15.02</v>
      </c>
      <c r="S1623">
        <v>3389.4</v>
      </c>
      <c r="T1623">
        <v>4.72</v>
      </c>
      <c r="U1623">
        <v>10.79</v>
      </c>
      <c r="V1623">
        <v>150</v>
      </c>
      <c r="W1623" s="317">
        <v>4.5999999999999996</v>
      </c>
      <c r="X1623" s="190">
        <f t="shared" si="70"/>
        <v>73.599999999999994</v>
      </c>
      <c r="Y1623" s="8"/>
      <c r="Z1623" s="8"/>
    </row>
    <row r="1624" spans="1:26" ht="25.5" customHeight="1" x14ac:dyDescent="0.2">
      <c r="A1624" s="15">
        <v>82</v>
      </c>
      <c r="B1624" s="15">
        <v>2002</v>
      </c>
      <c r="C1624" s="15">
        <v>11</v>
      </c>
      <c r="D1624" s="15">
        <v>8</v>
      </c>
      <c r="E1624" s="29" t="s">
        <v>208</v>
      </c>
      <c r="F1624" s="20" t="s">
        <v>51</v>
      </c>
      <c r="G1624" s="32">
        <v>137</v>
      </c>
      <c r="H1624" s="15" t="s">
        <v>29</v>
      </c>
      <c r="I1624" s="33">
        <v>13</v>
      </c>
      <c r="J1624" s="11" t="s">
        <v>19</v>
      </c>
      <c r="K1624" s="20" t="s">
        <v>20</v>
      </c>
      <c r="L1624" s="20" t="s">
        <v>30</v>
      </c>
      <c r="M1624" s="20" t="s">
        <v>45</v>
      </c>
      <c r="N1624" s="20" t="s">
        <v>24</v>
      </c>
      <c r="O1624" s="31" t="s">
        <v>29</v>
      </c>
      <c r="P1624" s="15">
        <v>223</v>
      </c>
      <c r="Q1624" s="8"/>
      <c r="R1624">
        <v>12.78</v>
      </c>
      <c r="S1624">
        <v>2088.37</v>
      </c>
      <c r="T1624">
        <v>6.22</v>
      </c>
      <c r="U1624">
        <v>9.18</v>
      </c>
      <c r="V1624">
        <v>128</v>
      </c>
      <c r="W1624" s="317">
        <v>4.5999999999999996</v>
      </c>
      <c r="X1624" s="190">
        <f t="shared" si="70"/>
        <v>59.8</v>
      </c>
      <c r="Y1624" s="8"/>
      <c r="Z1624" s="8"/>
    </row>
    <row r="1625" spans="1:26" ht="25.5" customHeight="1" x14ac:dyDescent="0.2">
      <c r="A1625" s="15">
        <v>83</v>
      </c>
      <c r="B1625" s="15">
        <v>2002</v>
      </c>
      <c r="C1625" s="15">
        <v>11</v>
      </c>
      <c r="D1625" s="15">
        <v>8</v>
      </c>
      <c r="E1625" s="29" t="s">
        <v>208</v>
      </c>
      <c r="F1625" s="20" t="s">
        <v>51</v>
      </c>
      <c r="G1625" s="32">
        <v>129</v>
      </c>
      <c r="H1625" s="15" t="s">
        <v>29</v>
      </c>
      <c r="I1625" s="33">
        <v>13</v>
      </c>
      <c r="J1625" s="11" t="s">
        <v>19</v>
      </c>
      <c r="K1625" s="20" t="s">
        <v>20</v>
      </c>
      <c r="L1625" s="20" t="s">
        <v>30</v>
      </c>
      <c r="M1625" s="20" t="s">
        <v>45</v>
      </c>
      <c r="N1625" s="20" t="s">
        <v>24</v>
      </c>
      <c r="O1625" s="31" t="s">
        <v>29</v>
      </c>
      <c r="P1625" s="15">
        <v>223</v>
      </c>
      <c r="Q1625" s="8"/>
      <c r="R1625">
        <v>12.04</v>
      </c>
      <c r="S1625">
        <v>1743.47</v>
      </c>
      <c r="T1625">
        <v>7.46</v>
      </c>
      <c r="U1625">
        <v>8.64</v>
      </c>
      <c r="V1625">
        <v>120</v>
      </c>
      <c r="W1625" s="317">
        <v>4.5999999999999996</v>
      </c>
      <c r="X1625" s="190">
        <f t="shared" si="70"/>
        <v>59.8</v>
      </c>
      <c r="Y1625" s="8"/>
      <c r="Z1625" s="8"/>
    </row>
    <row r="1626" spans="1:26" ht="25.5" customHeight="1" x14ac:dyDescent="0.2">
      <c r="A1626" s="15">
        <v>84</v>
      </c>
      <c r="B1626" s="15">
        <v>2002</v>
      </c>
      <c r="C1626" s="15">
        <v>11</v>
      </c>
      <c r="D1626" s="15">
        <v>8</v>
      </c>
      <c r="E1626" s="29" t="s">
        <v>208</v>
      </c>
      <c r="F1626" s="20" t="s">
        <v>51</v>
      </c>
      <c r="G1626" s="32">
        <v>150</v>
      </c>
      <c r="H1626" s="15" t="s">
        <v>29</v>
      </c>
      <c r="I1626" s="33">
        <v>18</v>
      </c>
      <c r="J1626" s="11" t="s">
        <v>19</v>
      </c>
      <c r="K1626" s="20" t="s">
        <v>20</v>
      </c>
      <c r="L1626" s="20" t="s">
        <v>30</v>
      </c>
      <c r="M1626" s="20" t="s">
        <v>27</v>
      </c>
      <c r="N1626" s="20" t="s">
        <v>23</v>
      </c>
      <c r="O1626" s="31" t="s">
        <v>29</v>
      </c>
      <c r="P1626" s="15">
        <v>223</v>
      </c>
      <c r="Q1626" s="8"/>
      <c r="R1626">
        <v>14</v>
      </c>
      <c r="S1626">
        <v>2741.06</v>
      </c>
      <c r="T1626">
        <v>6.57</v>
      </c>
      <c r="U1626">
        <v>10.050000000000001</v>
      </c>
      <c r="V1626">
        <v>140</v>
      </c>
      <c r="W1626" s="317">
        <v>4.5999999999999996</v>
      </c>
      <c r="X1626" s="190">
        <f t="shared" si="70"/>
        <v>82.8</v>
      </c>
      <c r="Y1626" s="8"/>
      <c r="Z1626" s="8"/>
    </row>
    <row r="1627" spans="1:26" ht="25.5" customHeight="1" x14ac:dyDescent="0.2">
      <c r="A1627" s="15">
        <v>85</v>
      </c>
      <c r="B1627" s="15">
        <v>2002</v>
      </c>
      <c r="C1627" s="15">
        <v>11</v>
      </c>
      <c r="D1627" s="15">
        <v>8</v>
      </c>
      <c r="E1627" s="29" t="s">
        <v>208</v>
      </c>
      <c r="F1627" s="20" t="s">
        <v>51</v>
      </c>
      <c r="G1627" s="32">
        <v>128</v>
      </c>
      <c r="H1627" s="15" t="s">
        <v>29</v>
      </c>
      <c r="I1627" s="33">
        <v>13</v>
      </c>
      <c r="J1627" s="11" t="s">
        <v>19</v>
      </c>
      <c r="K1627" s="20" t="s">
        <v>20</v>
      </c>
      <c r="L1627" s="20" t="s">
        <v>30</v>
      </c>
      <c r="M1627" s="20" t="s">
        <v>46</v>
      </c>
      <c r="N1627" s="20" t="s">
        <v>33</v>
      </c>
      <c r="O1627" s="31" t="s">
        <v>29</v>
      </c>
      <c r="P1627" s="15">
        <v>223</v>
      </c>
      <c r="Q1627" s="8"/>
      <c r="R1627">
        <v>11.94</v>
      </c>
      <c r="S1627">
        <v>1703.24</v>
      </c>
      <c r="T1627">
        <v>7.63</v>
      </c>
      <c r="U1627">
        <v>8.58</v>
      </c>
      <c r="V1627">
        <v>119</v>
      </c>
      <c r="W1627" s="317">
        <v>4.5999999999999996</v>
      </c>
      <c r="X1627" s="190">
        <f t="shared" si="70"/>
        <v>59.8</v>
      </c>
      <c r="Y1627" s="8"/>
      <c r="Z1627" s="8"/>
    </row>
    <row r="1628" spans="1:26" ht="25.5" customHeight="1" x14ac:dyDescent="0.2">
      <c r="A1628" s="15">
        <v>86</v>
      </c>
      <c r="B1628" s="15">
        <v>2002</v>
      </c>
      <c r="C1628" s="15">
        <v>11</v>
      </c>
      <c r="D1628" s="15">
        <v>8</v>
      </c>
      <c r="E1628" s="29" t="s">
        <v>208</v>
      </c>
      <c r="F1628" s="20" t="s">
        <v>51</v>
      </c>
      <c r="G1628" s="32">
        <v>134</v>
      </c>
      <c r="H1628" s="15" t="s">
        <v>29</v>
      </c>
      <c r="I1628" s="33">
        <v>11</v>
      </c>
      <c r="J1628" s="11" t="s">
        <v>19</v>
      </c>
      <c r="K1628" s="20" t="s">
        <v>20</v>
      </c>
      <c r="L1628" s="20" t="s">
        <v>30</v>
      </c>
      <c r="M1628" s="20" t="s">
        <v>46</v>
      </c>
      <c r="N1628" s="20" t="s">
        <v>25</v>
      </c>
      <c r="O1628" s="31" t="s">
        <v>29</v>
      </c>
      <c r="P1628" s="15">
        <v>223</v>
      </c>
      <c r="Q1628" s="8"/>
      <c r="R1628">
        <v>12.5</v>
      </c>
      <c r="S1628">
        <v>1954.16</v>
      </c>
      <c r="T1628">
        <v>5.63</v>
      </c>
      <c r="U1628">
        <v>8.98</v>
      </c>
      <c r="V1628">
        <v>125</v>
      </c>
      <c r="W1628" s="317">
        <v>4.5999999999999996</v>
      </c>
      <c r="X1628" s="190">
        <f t="shared" si="70"/>
        <v>50.599999999999994</v>
      </c>
      <c r="Y1628" s="8"/>
      <c r="Z1628" s="8"/>
    </row>
    <row r="1629" spans="1:26" ht="25.5" customHeight="1" x14ac:dyDescent="0.2">
      <c r="A1629" s="15">
        <v>87</v>
      </c>
      <c r="B1629" s="15">
        <v>2002</v>
      </c>
      <c r="C1629" s="15">
        <v>11</v>
      </c>
      <c r="D1629" s="15">
        <v>8</v>
      </c>
      <c r="E1629" s="29" t="s">
        <v>208</v>
      </c>
      <c r="F1629" s="20" t="s">
        <v>51</v>
      </c>
      <c r="G1629" s="32">
        <v>128</v>
      </c>
      <c r="H1629" s="15" t="s">
        <v>29</v>
      </c>
      <c r="I1629" s="33">
        <v>10</v>
      </c>
      <c r="J1629" s="11" t="s">
        <v>19</v>
      </c>
      <c r="K1629" s="20" t="s">
        <v>20</v>
      </c>
      <c r="L1629" s="20" t="s">
        <v>30</v>
      </c>
      <c r="M1629" s="20" t="s">
        <v>46</v>
      </c>
      <c r="N1629" s="20" t="s">
        <v>25</v>
      </c>
      <c r="O1629" s="31" t="s">
        <v>29</v>
      </c>
      <c r="P1629" s="15">
        <v>223</v>
      </c>
      <c r="Q1629" s="8"/>
      <c r="R1629">
        <v>11.94</v>
      </c>
      <c r="S1629">
        <v>1703.24</v>
      </c>
      <c r="T1629">
        <v>5.87</v>
      </c>
      <c r="U1629">
        <v>8.58</v>
      </c>
      <c r="V1629">
        <v>119</v>
      </c>
      <c r="W1629" s="317">
        <v>4.5999999999999996</v>
      </c>
      <c r="X1629" s="190">
        <f t="shared" si="70"/>
        <v>46</v>
      </c>
      <c r="Y1629" s="8"/>
      <c r="Z1629" s="8"/>
    </row>
    <row r="1630" spans="1:26" ht="25.5" customHeight="1" x14ac:dyDescent="0.2">
      <c r="A1630" s="15">
        <v>88</v>
      </c>
      <c r="B1630" s="15">
        <v>2002</v>
      </c>
      <c r="C1630" s="15">
        <v>11</v>
      </c>
      <c r="D1630" s="15">
        <v>8</v>
      </c>
      <c r="E1630" s="29" t="s">
        <v>208</v>
      </c>
      <c r="F1630" s="20" t="s">
        <v>51</v>
      </c>
      <c r="G1630" s="32">
        <v>128</v>
      </c>
      <c r="H1630" s="15" t="s">
        <v>29</v>
      </c>
      <c r="I1630" s="33">
        <v>12.5</v>
      </c>
      <c r="J1630" s="11" t="s">
        <v>19</v>
      </c>
      <c r="K1630" s="20" t="s">
        <v>20</v>
      </c>
      <c r="L1630" s="20" t="s">
        <v>30</v>
      </c>
      <c r="M1630" s="20" t="s">
        <v>46</v>
      </c>
      <c r="N1630" s="20" t="s">
        <v>25</v>
      </c>
      <c r="O1630" s="31" t="s">
        <v>29</v>
      </c>
      <c r="P1630" s="15">
        <v>223</v>
      </c>
      <c r="Q1630" s="8"/>
      <c r="R1630">
        <v>11.94</v>
      </c>
      <c r="S1630">
        <v>1703.24</v>
      </c>
      <c r="T1630">
        <v>7.34</v>
      </c>
      <c r="U1630">
        <v>8.58</v>
      </c>
      <c r="V1630">
        <v>119</v>
      </c>
      <c r="W1630" s="317">
        <v>4.5999999999999996</v>
      </c>
      <c r="X1630" s="190">
        <f t="shared" si="70"/>
        <v>57.499999999999993</v>
      </c>
      <c r="Y1630" s="8"/>
      <c r="Z1630" s="8"/>
    </row>
    <row r="1631" spans="1:26" ht="25.5" customHeight="1" x14ac:dyDescent="0.2">
      <c r="A1631" s="15">
        <v>89</v>
      </c>
      <c r="B1631" s="15">
        <v>2002</v>
      </c>
      <c r="C1631" s="15">
        <v>11</v>
      </c>
      <c r="D1631" s="15">
        <v>8</v>
      </c>
      <c r="E1631" s="29" t="s">
        <v>208</v>
      </c>
      <c r="F1631" s="20" t="s">
        <v>51</v>
      </c>
      <c r="G1631" s="32">
        <v>159</v>
      </c>
      <c r="H1631" s="15" t="s">
        <v>29</v>
      </c>
      <c r="I1631" s="33">
        <v>14</v>
      </c>
      <c r="J1631" s="11" t="s">
        <v>19</v>
      </c>
      <c r="K1631" s="20" t="s">
        <v>20</v>
      </c>
      <c r="L1631" s="11" t="s">
        <v>21</v>
      </c>
      <c r="M1631" s="20" t="s">
        <v>46</v>
      </c>
      <c r="N1631" s="20" t="s">
        <v>23</v>
      </c>
      <c r="O1631" s="31" t="s">
        <v>29</v>
      </c>
      <c r="P1631" s="15">
        <v>223</v>
      </c>
      <c r="Q1631" s="8"/>
      <c r="R1631">
        <v>14.83</v>
      </c>
      <c r="S1631">
        <v>3264.65</v>
      </c>
      <c r="T1631">
        <v>4.29</v>
      </c>
      <c r="U1631">
        <v>10.65</v>
      </c>
      <c r="V1631">
        <v>148</v>
      </c>
      <c r="W1631" s="317">
        <v>3.9</v>
      </c>
      <c r="X1631" s="190">
        <f t="shared" si="70"/>
        <v>54.6</v>
      </c>
      <c r="Y1631" s="8"/>
      <c r="Z1631" s="8"/>
    </row>
    <row r="1632" spans="1:26" ht="25.5" customHeight="1" x14ac:dyDescent="0.2">
      <c r="A1632" s="15">
        <v>90</v>
      </c>
      <c r="B1632" s="15">
        <v>2002</v>
      </c>
      <c r="C1632" s="15">
        <v>11</v>
      </c>
      <c r="D1632" s="15">
        <v>8</v>
      </c>
      <c r="E1632" s="29" t="s">
        <v>208</v>
      </c>
      <c r="F1632" s="20" t="s">
        <v>51</v>
      </c>
      <c r="G1632" s="32">
        <v>138</v>
      </c>
      <c r="H1632" s="15" t="s">
        <v>29</v>
      </c>
      <c r="I1632" s="33">
        <v>12</v>
      </c>
      <c r="J1632" s="11" t="s">
        <v>19</v>
      </c>
      <c r="K1632" s="20" t="s">
        <v>20</v>
      </c>
      <c r="L1632" s="20" t="s">
        <v>30</v>
      </c>
      <c r="M1632" s="20" t="s">
        <v>46</v>
      </c>
      <c r="N1632" s="20" t="s">
        <v>25</v>
      </c>
      <c r="O1632" s="31" t="s">
        <v>29</v>
      </c>
      <c r="P1632" s="15">
        <v>223</v>
      </c>
      <c r="Q1632" s="8"/>
      <c r="R1632">
        <v>12.88</v>
      </c>
      <c r="S1632">
        <v>2134.4299999999998</v>
      </c>
      <c r="T1632">
        <v>5.62</v>
      </c>
      <c r="U1632">
        <v>9.25</v>
      </c>
      <c r="V1632">
        <v>129</v>
      </c>
      <c r="W1632" s="317">
        <v>4.5999999999999996</v>
      </c>
      <c r="X1632" s="190">
        <f t="shared" si="70"/>
        <v>55.199999999999996</v>
      </c>
      <c r="Y1632" s="8"/>
      <c r="Z1632" s="8"/>
    </row>
    <row r="1633" spans="1:26" ht="25.5" customHeight="1" x14ac:dyDescent="0.2">
      <c r="A1633" s="15">
        <v>91</v>
      </c>
      <c r="B1633" s="15">
        <v>2002</v>
      </c>
      <c r="C1633" s="15">
        <v>11</v>
      </c>
      <c r="D1633" s="15">
        <v>8</v>
      </c>
      <c r="E1633" s="29" t="s">
        <v>208</v>
      </c>
      <c r="F1633" s="11" t="s">
        <v>28</v>
      </c>
      <c r="G1633" s="32" t="s">
        <v>29</v>
      </c>
      <c r="H1633" s="15" t="s">
        <v>29</v>
      </c>
      <c r="I1633" s="33" t="s">
        <v>29</v>
      </c>
      <c r="J1633" s="11" t="s">
        <v>36</v>
      </c>
      <c r="K1633" s="20" t="s">
        <v>29</v>
      </c>
      <c r="L1633" s="20" t="s">
        <v>29</v>
      </c>
      <c r="M1633" s="11" t="s">
        <v>29</v>
      </c>
      <c r="N1633" s="20" t="s">
        <v>29</v>
      </c>
      <c r="O1633" s="31" t="s">
        <v>29</v>
      </c>
      <c r="P1633" s="15">
        <v>223</v>
      </c>
      <c r="Q1633" s="8"/>
      <c r="W1633" s="8"/>
      <c r="X1633" s="8"/>
      <c r="Y1633" s="8"/>
      <c r="Z1633" s="8"/>
    </row>
    <row r="1634" spans="1:26" ht="25.5" customHeight="1" x14ac:dyDescent="0.2">
      <c r="A1634" s="15">
        <v>92</v>
      </c>
      <c r="B1634" s="15">
        <v>2002</v>
      </c>
      <c r="C1634" s="15">
        <v>11</v>
      </c>
      <c r="D1634" s="15">
        <v>8</v>
      </c>
      <c r="E1634" s="29" t="s">
        <v>208</v>
      </c>
      <c r="F1634" s="20" t="s">
        <v>51</v>
      </c>
      <c r="G1634" s="32">
        <v>136</v>
      </c>
      <c r="H1634" s="15" t="s">
        <v>29</v>
      </c>
      <c r="I1634" s="33">
        <v>11.5</v>
      </c>
      <c r="J1634" s="11" t="s">
        <v>19</v>
      </c>
      <c r="K1634" s="20" t="s">
        <v>20</v>
      </c>
      <c r="L1634" s="20" t="s">
        <v>30</v>
      </c>
      <c r="M1634" s="20" t="s">
        <v>46</v>
      </c>
      <c r="N1634" s="20" t="s">
        <v>23</v>
      </c>
      <c r="O1634" s="31" t="s">
        <v>29</v>
      </c>
      <c r="P1634" s="15">
        <v>223</v>
      </c>
      <c r="Q1634" s="8"/>
      <c r="R1634">
        <v>12.69</v>
      </c>
      <c r="S1634">
        <v>2042.97</v>
      </c>
      <c r="T1634">
        <v>5.63</v>
      </c>
      <c r="U1634">
        <v>9.11</v>
      </c>
      <c r="V1634">
        <v>127</v>
      </c>
      <c r="W1634" s="317">
        <v>4.5999999999999996</v>
      </c>
      <c r="X1634" s="190">
        <f t="shared" ref="X1634:X1639" si="71">I1634*W1634</f>
        <v>52.9</v>
      </c>
      <c r="Y1634" s="8"/>
      <c r="Z1634" s="8"/>
    </row>
    <row r="1635" spans="1:26" ht="25.5" customHeight="1" x14ac:dyDescent="0.2">
      <c r="A1635" s="15">
        <v>93</v>
      </c>
      <c r="B1635" s="15">
        <v>2002</v>
      </c>
      <c r="C1635" s="15">
        <v>11</v>
      </c>
      <c r="D1635" s="15">
        <v>8</v>
      </c>
      <c r="E1635" s="29" t="s">
        <v>208</v>
      </c>
      <c r="F1635" s="20" t="s">
        <v>51</v>
      </c>
      <c r="G1635" s="32">
        <v>143</v>
      </c>
      <c r="H1635" s="15" t="s">
        <v>29</v>
      </c>
      <c r="I1635" s="33">
        <v>12.5</v>
      </c>
      <c r="J1635" s="11" t="s">
        <v>19</v>
      </c>
      <c r="K1635" s="20" t="s">
        <v>20</v>
      </c>
      <c r="L1635" s="11" t="s">
        <v>21</v>
      </c>
      <c r="M1635" s="20" t="s">
        <v>45</v>
      </c>
      <c r="N1635" s="20" t="s">
        <v>25</v>
      </c>
      <c r="O1635" s="31" t="s">
        <v>29</v>
      </c>
      <c r="P1635" s="15">
        <v>223</v>
      </c>
      <c r="Q1635" s="8"/>
      <c r="R1635">
        <v>13.34</v>
      </c>
      <c r="S1635">
        <v>2374.94</v>
      </c>
      <c r="T1635">
        <v>5.26</v>
      </c>
      <c r="U1635">
        <v>9.58</v>
      </c>
      <c r="V1635">
        <v>133</v>
      </c>
      <c r="W1635" s="317">
        <v>3.9</v>
      </c>
      <c r="X1635" s="190">
        <f t="shared" si="71"/>
        <v>48.75</v>
      </c>
      <c r="Y1635" s="8"/>
      <c r="Z1635" s="8"/>
    </row>
    <row r="1636" spans="1:26" ht="25.5" customHeight="1" x14ac:dyDescent="0.2">
      <c r="A1636" s="15">
        <v>94</v>
      </c>
      <c r="B1636" s="15">
        <v>2002</v>
      </c>
      <c r="C1636" s="15">
        <v>11</v>
      </c>
      <c r="D1636" s="15">
        <v>8</v>
      </c>
      <c r="E1636" s="29" t="s">
        <v>208</v>
      </c>
      <c r="F1636" s="20" t="s">
        <v>51</v>
      </c>
      <c r="G1636" s="32">
        <v>148</v>
      </c>
      <c r="H1636" s="15" t="s">
        <v>29</v>
      </c>
      <c r="I1636" s="33">
        <v>10.5</v>
      </c>
      <c r="J1636" s="11" t="s">
        <v>19</v>
      </c>
      <c r="K1636" s="20" t="s">
        <v>20</v>
      </c>
      <c r="L1636" s="11" t="s">
        <v>21</v>
      </c>
      <c r="M1636" s="20" t="s">
        <v>27</v>
      </c>
      <c r="N1636" s="20" t="s">
        <v>25</v>
      </c>
      <c r="O1636" s="31" t="s">
        <v>29</v>
      </c>
      <c r="P1636" s="15">
        <v>223</v>
      </c>
      <c r="Q1636" s="8"/>
      <c r="R1636">
        <v>13.81</v>
      </c>
      <c r="S1636">
        <v>2632.87</v>
      </c>
      <c r="T1636">
        <v>3.99</v>
      </c>
      <c r="U1636">
        <v>9.92</v>
      </c>
      <c r="V1636">
        <v>138</v>
      </c>
      <c r="W1636" s="317">
        <v>3.9</v>
      </c>
      <c r="X1636" s="190">
        <f t="shared" si="71"/>
        <v>40.949999999999996</v>
      </c>
      <c r="Y1636" s="8"/>
      <c r="Z1636" s="8"/>
    </row>
    <row r="1637" spans="1:26" ht="25.5" customHeight="1" x14ac:dyDescent="0.2">
      <c r="A1637" s="15">
        <v>95</v>
      </c>
      <c r="B1637" s="15">
        <v>2002</v>
      </c>
      <c r="C1637" s="15">
        <v>11</v>
      </c>
      <c r="D1637" s="15">
        <v>8</v>
      </c>
      <c r="E1637" s="29" t="s">
        <v>208</v>
      </c>
      <c r="F1637" s="20" t="s">
        <v>51</v>
      </c>
      <c r="G1637" s="32">
        <v>146</v>
      </c>
      <c r="H1637" s="15" t="s">
        <v>29</v>
      </c>
      <c r="I1637" s="33">
        <v>11.5</v>
      </c>
      <c r="J1637" s="11" t="s">
        <v>19</v>
      </c>
      <c r="K1637" s="20" t="s">
        <v>20</v>
      </c>
      <c r="L1637" s="11" t="s">
        <v>21</v>
      </c>
      <c r="M1637" s="20" t="s">
        <v>46</v>
      </c>
      <c r="N1637" s="20" t="s">
        <v>23</v>
      </c>
      <c r="O1637" s="31" t="s">
        <v>29</v>
      </c>
      <c r="P1637" s="15">
        <v>223</v>
      </c>
      <c r="Q1637" s="8"/>
      <c r="R1637">
        <v>13.62</v>
      </c>
      <c r="S1637">
        <v>2527.5700000000002</v>
      </c>
      <c r="T1637">
        <v>4.55</v>
      </c>
      <c r="U1637">
        <v>9.7799999999999994</v>
      </c>
      <c r="V1637">
        <v>136</v>
      </c>
      <c r="W1637" s="317">
        <v>3.9</v>
      </c>
      <c r="X1637" s="190">
        <f t="shared" si="71"/>
        <v>44.85</v>
      </c>
      <c r="Y1637" s="8"/>
      <c r="Z1637" s="8"/>
    </row>
    <row r="1638" spans="1:26" ht="25.5" customHeight="1" x14ac:dyDescent="0.2">
      <c r="A1638" s="15">
        <v>96</v>
      </c>
      <c r="B1638" s="15">
        <v>2002</v>
      </c>
      <c r="C1638" s="15">
        <v>11</v>
      </c>
      <c r="D1638" s="15">
        <v>8</v>
      </c>
      <c r="E1638" s="29" t="s">
        <v>208</v>
      </c>
      <c r="F1638" s="20" t="s">
        <v>51</v>
      </c>
      <c r="G1638" s="32">
        <v>123</v>
      </c>
      <c r="H1638" s="15" t="s">
        <v>29</v>
      </c>
      <c r="I1638" s="33">
        <v>9.5</v>
      </c>
      <c r="J1638" s="11" t="s">
        <v>19</v>
      </c>
      <c r="K1638" s="20" t="s">
        <v>20</v>
      </c>
      <c r="L1638" s="20" t="s">
        <v>30</v>
      </c>
      <c r="M1638" s="20" t="s">
        <v>45</v>
      </c>
      <c r="N1638" s="20" t="s">
        <v>24</v>
      </c>
      <c r="O1638" s="31" t="s">
        <v>29</v>
      </c>
      <c r="P1638" s="15">
        <v>223</v>
      </c>
      <c r="Q1638" s="8"/>
      <c r="R1638">
        <v>11.48</v>
      </c>
      <c r="S1638">
        <v>1511.33</v>
      </c>
      <c r="T1638">
        <v>6.29</v>
      </c>
      <c r="U1638">
        <v>8.24</v>
      </c>
      <c r="V1638">
        <v>115</v>
      </c>
      <c r="W1638" s="317">
        <v>4.5999999999999996</v>
      </c>
      <c r="X1638" s="190">
        <f t="shared" si="71"/>
        <v>43.699999999999996</v>
      </c>
      <c r="Y1638" s="8"/>
      <c r="Z1638" s="8"/>
    </row>
    <row r="1639" spans="1:26" ht="25.5" customHeight="1" x14ac:dyDescent="0.2">
      <c r="A1639" s="15">
        <v>97</v>
      </c>
      <c r="B1639" s="15">
        <v>2002</v>
      </c>
      <c r="C1639" s="15">
        <v>11</v>
      </c>
      <c r="D1639" s="15">
        <v>8</v>
      </c>
      <c r="E1639" s="29" t="s">
        <v>208</v>
      </c>
      <c r="F1639" s="20" t="s">
        <v>51</v>
      </c>
      <c r="G1639" s="32">
        <v>166</v>
      </c>
      <c r="H1639" s="15" t="s">
        <v>29</v>
      </c>
      <c r="I1639" s="33">
        <v>24</v>
      </c>
      <c r="J1639" s="11" t="s">
        <v>19</v>
      </c>
      <c r="K1639" s="20" t="s">
        <v>34</v>
      </c>
      <c r="L1639" s="11" t="s">
        <v>41</v>
      </c>
      <c r="M1639" s="20" t="s">
        <v>45</v>
      </c>
      <c r="N1639" s="20" t="s">
        <v>23</v>
      </c>
      <c r="O1639" s="31" t="s">
        <v>29</v>
      </c>
      <c r="P1639" s="15">
        <v>223</v>
      </c>
      <c r="Q1639" s="8"/>
      <c r="R1639">
        <v>15.49</v>
      </c>
      <c r="S1639">
        <v>3715.09</v>
      </c>
      <c r="T1639">
        <v>6.46</v>
      </c>
      <c r="U1639">
        <v>11.12</v>
      </c>
      <c r="V1639">
        <v>155</v>
      </c>
      <c r="W1639" s="317">
        <v>3.8</v>
      </c>
      <c r="X1639" s="190">
        <f t="shared" si="71"/>
        <v>91.199999999999989</v>
      </c>
      <c r="Y1639" s="8"/>
      <c r="Z1639" s="8"/>
    </row>
    <row r="1640" spans="1:26" ht="25.5" customHeight="1" x14ac:dyDescent="0.2">
      <c r="A1640" s="15">
        <v>98</v>
      </c>
      <c r="B1640" s="15">
        <v>2002</v>
      </c>
      <c r="C1640" s="15">
        <v>11</v>
      </c>
      <c r="D1640" s="15">
        <v>8</v>
      </c>
      <c r="E1640" s="29" t="s">
        <v>208</v>
      </c>
      <c r="F1640" s="20" t="s">
        <v>51</v>
      </c>
      <c r="G1640" s="32">
        <v>129</v>
      </c>
      <c r="H1640" s="15" t="s">
        <v>29</v>
      </c>
      <c r="I1640" s="33">
        <v>10.5</v>
      </c>
      <c r="J1640" s="11" t="s">
        <v>19</v>
      </c>
      <c r="K1640" s="20" t="s">
        <v>20</v>
      </c>
      <c r="L1640" s="20" t="s">
        <v>30</v>
      </c>
      <c r="M1640" s="20" t="s">
        <v>46</v>
      </c>
      <c r="N1640" s="20" t="s">
        <v>23</v>
      </c>
      <c r="O1640" s="31" t="s">
        <v>29</v>
      </c>
      <c r="P1640" s="15">
        <v>223</v>
      </c>
      <c r="Q1640" s="8"/>
      <c r="R1640">
        <v>12.04</v>
      </c>
      <c r="S1640">
        <v>1743.47</v>
      </c>
      <c r="T1640">
        <v>6.02</v>
      </c>
      <c r="U1640">
        <v>8.64</v>
      </c>
      <c r="V1640">
        <v>120</v>
      </c>
      <c r="W1640" s="317">
        <v>4.5999999999999996</v>
      </c>
      <c r="X1640" s="190">
        <f>I1640*W1640</f>
        <v>48.3</v>
      </c>
      <c r="Y1640" s="8"/>
      <c r="Z1640" s="8"/>
    </row>
    <row r="1641" spans="1:26" ht="25.5" customHeight="1" x14ac:dyDescent="0.2">
      <c r="A1641" s="15">
        <v>99</v>
      </c>
      <c r="B1641" s="15">
        <v>2002</v>
      </c>
      <c r="C1641" s="15">
        <v>11</v>
      </c>
      <c r="D1641" s="15">
        <v>8</v>
      </c>
      <c r="E1641" s="29" t="s">
        <v>208</v>
      </c>
      <c r="F1641" s="20" t="s">
        <v>51</v>
      </c>
      <c r="G1641" s="32">
        <v>141</v>
      </c>
      <c r="H1641" s="15" t="s">
        <v>29</v>
      </c>
      <c r="I1641" s="33">
        <v>10</v>
      </c>
      <c r="J1641" s="11" t="s">
        <v>19</v>
      </c>
      <c r="K1641" s="20" t="s">
        <v>20</v>
      </c>
      <c r="L1641" s="11" t="s">
        <v>21</v>
      </c>
      <c r="M1641" s="20" t="s">
        <v>46</v>
      </c>
      <c r="N1641" s="20" t="s">
        <v>33</v>
      </c>
      <c r="O1641" s="31" t="s">
        <v>29</v>
      </c>
      <c r="P1641" s="15">
        <v>223</v>
      </c>
      <c r="Q1641" s="8"/>
      <c r="R1641">
        <v>13.16</v>
      </c>
      <c r="S1641">
        <v>2276.6799999999998</v>
      </c>
      <c r="T1641">
        <v>4.3899999999999997</v>
      </c>
      <c r="U1641">
        <v>9.4499999999999993</v>
      </c>
      <c r="V1641">
        <v>132</v>
      </c>
      <c r="W1641" s="317">
        <v>3.9</v>
      </c>
      <c r="X1641" s="190">
        <f>I1641*W1641</f>
        <v>39</v>
      </c>
      <c r="Y1641" s="8"/>
      <c r="Z1641" s="8"/>
    </row>
    <row r="1642" spans="1:26" ht="25.5" customHeight="1" x14ac:dyDescent="0.2">
      <c r="A1642" s="15">
        <v>100</v>
      </c>
      <c r="B1642" s="15">
        <v>2002</v>
      </c>
      <c r="C1642" s="15">
        <v>11</v>
      </c>
      <c r="D1642" s="15">
        <v>8</v>
      </c>
      <c r="E1642" s="29" t="s">
        <v>208</v>
      </c>
      <c r="F1642" s="11" t="s">
        <v>28</v>
      </c>
      <c r="G1642" s="11" t="s">
        <v>29</v>
      </c>
      <c r="H1642" s="15" t="s">
        <v>29</v>
      </c>
      <c r="I1642" s="33">
        <v>8</v>
      </c>
      <c r="J1642" s="11" t="s">
        <v>19</v>
      </c>
      <c r="K1642" s="20" t="s">
        <v>20</v>
      </c>
      <c r="L1642" s="20" t="s">
        <v>30</v>
      </c>
      <c r="M1642" s="20" t="s">
        <v>46</v>
      </c>
      <c r="N1642" s="11" t="s">
        <v>29</v>
      </c>
      <c r="O1642" s="31" t="s">
        <v>29</v>
      </c>
      <c r="P1642" s="15">
        <v>223</v>
      </c>
      <c r="Q1642" s="8"/>
      <c r="W1642" s="317">
        <v>4.5999999999999996</v>
      </c>
      <c r="X1642" s="190">
        <f>I1642*W1642</f>
        <v>36.799999999999997</v>
      </c>
      <c r="Y1642" s="8"/>
      <c r="Z1642" s="8"/>
    </row>
    <row r="1643" spans="1:26" ht="25.5" customHeight="1" x14ac:dyDescent="0.2">
      <c r="A1643" s="15">
        <v>101</v>
      </c>
      <c r="B1643" s="15">
        <v>2002</v>
      </c>
      <c r="C1643" s="15">
        <v>11</v>
      </c>
      <c r="D1643" s="15">
        <v>8</v>
      </c>
      <c r="E1643" s="29" t="s">
        <v>208</v>
      </c>
      <c r="F1643" s="20" t="s">
        <v>51</v>
      </c>
      <c r="G1643" s="32">
        <v>131</v>
      </c>
      <c r="H1643" s="15" t="s">
        <v>29</v>
      </c>
      <c r="I1643" s="33">
        <v>15</v>
      </c>
      <c r="J1643" s="11" t="s">
        <v>19</v>
      </c>
      <c r="K1643" s="20" t="s">
        <v>20</v>
      </c>
      <c r="L1643" s="20" t="s">
        <v>30</v>
      </c>
      <c r="M1643" s="20" t="s">
        <v>45</v>
      </c>
      <c r="N1643" s="20" t="s">
        <v>23</v>
      </c>
      <c r="O1643" s="31" t="s">
        <v>29</v>
      </c>
      <c r="P1643" s="15">
        <v>223</v>
      </c>
      <c r="Q1643" s="8"/>
      <c r="R1643">
        <v>12.22</v>
      </c>
      <c r="S1643">
        <v>1825.82</v>
      </c>
      <c r="T1643">
        <v>8.2200000000000006</v>
      </c>
      <c r="U1643">
        <v>8.7799999999999994</v>
      </c>
      <c r="V1643">
        <v>122</v>
      </c>
      <c r="W1643" s="317">
        <v>4.5999999999999996</v>
      </c>
      <c r="X1643" s="190">
        <f>I1643*W1643</f>
        <v>69</v>
      </c>
      <c r="Y1643" s="8"/>
      <c r="Z1643" s="8"/>
    </row>
    <row r="1644" spans="1:26" ht="25.5" customHeight="1" x14ac:dyDescent="0.2">
      <c r="A1644" s="15">
        <v>102</v>
      </c>
      <c r="B1644" s="15">
        <v>2002</v>
      </c>
      <c r="C1644" s="15">
        <v>11</v>
      </c>
      <c r="D1644" s="15">
        <v>8</v>
      </c>
      <c r="E1644" s="29" t="s">
        <v>208</v>
      </c>
      <c r="F1644" s="20" t="s">
        <v>51</v>
      </c>
      <c r="G1644" s="32">
        <v>137</v>
      </c>
      <c r="H1644" s="15" t="s">
        <v>29</v>
      </c>
      <c r="I1644" s="33">
        <v>14</v>
      </c>
      <c r="J1644" s="11" t="s">
        <v>19</v>
      </c>
      <c r="K1644" s="20" t="s">
        <v>34</v>
      </c>
      <c r="L1644" s="11" t="s">
        <v>41</v>
      </c>
      <c r="M1644" s="20" t="s">
        <v>46</v>
      </c>
      <c r="N1644" s="20" t="s">
        <v>39</v>
      </c>
      <c r="O1644" s="31" t="s">
        <v>29</v>
      </c>
      <c r="P1644" s="15">
        <v>223</v>
      </c>
      <c r="Q1644" s="8"/>
      <c r="R1644">
        <v>12.78</v>
      </c>
      <c r="S1644">
        <v>2088.37</v>
      </c>
      <c r="T1644">
        <v>6.7</v>
      </c>
      <c r="U1644">
        <v>9.18</v>
      </c>
      <c r="V1644">
        <v>128</v>
      </c>
      <c r="W1644" s="317">
        <v>3.8</v>
      </c>
      <c r="X1644" s="190">
        <f>I1644*W1644</f>
        <v>53.199999999999996</v>
      </c>
      <c r="Y1644" s="8"/>
      <c r="Z1644" s="8"/>
    </row>
    <row r="1645" spans="1:26" ht="25.5" customHeight="1" x14ac:dyDescent="0.2">
      <c r="A1645" s="15">
        <v>272</v>
      </c>
      <c r="B1645" s="15">
        <v>2002</v>
      </c>
      <c r="C1645" s="15">
        <v>11</v>
      </c>
      <c r="D1645" s="15">
        <v>8</v>
      </c>
      <c r="E1645" s="29" t="s">
        <v>208</v>
      </c>
      <c r="F1645" s="20" t="s">
        <v>51</v>
      </c>
      <c r="G1645" s="34">
        <v>120</v>
      </c>
      <c r="H1645" s="15" t="s">
        <v>29</v>
      </c>
      <c r="I1645" s="35">
        <v>12.5</v>
      </c>
      <c r="J1645" s="5" t="s">
        <v>209</v>
      </c>
      <c r="K1645" s="11" t="s">
        <v>29</v>
      </c>
      <c r="L1645" s="11" t="s">
        <v>29</v>
      </c>
      <c r="M1645" s="11" t="s">
        <v>29</v>
      </c>
      <c r="N1645" s="21" t="s">
        <v>25</v>
      </c>
      <c r="O1645" s="36" t="s">
        <v>29</v>
      </c>
      <c r="P1645" s="15">
        <v>223</v>
      </c>
      <c r="Q1645" s="8"/>
      <c r="R1645">
        <v>11.2</v>
      </c>
      <c r="S1645">
        <v>1403.42</v>
      </c>
      <c r="T1645">
        <v>8.91</v>
      </c>
      <c r="U1645">
        <v>8.0399999999999991</v>
      </c>
      <c r="V1645">
        <v>112</v>
      </c>
      <c r="W1645" s="8"/>
      <c r="X1645" s="8"/>
      <c r="Y1645" s="8"/>
      <c r="Z1645" s="8"/>
    </row>
    <row r="1646" spans="1:26" ht="25.5" customHeight="1" x14ac:dyDescent="0.2">
      <c r="A1646" s="15">
        <v>274</v>
      </c>
      <c r="B1646" s="15">
        <v>2002</v>
      </c>
      <c r="C1646" s="15">
        <v>11</v>
      </c>
      <c r="D1646" s="15">
        <v>8</v>
      </c>
      <c r="E1646" s="29" t="s">
        <v>208</v>
      </c>
      <c r="F1646" s="20" t="s">
        <v>51</v>
      </c>
      <c r="G1646" s="11" t="s">
        <v>29</v>
      </c>
      <c r="H1646" s="15" t="s">
        <v>29</v>
      </c>
      <c r="I1646" s="35" t="s">
        <v>29</v>
      </c>
      <c r="J1646" s="11" t="s">
        <v>36</v>
      </c>
      <c r="K1646" s="11" t="s">
        <v>29</v>
      </c>
      <c r="L1646" s="11" t="s">
        <v>29</v>
      </c>
      <c r="M1646" s="11" t="s">
        <v>29</v>
      </c>
      <c r="N1646" s="21" t="s">
        <v>25</v>
      </c>
      <c r="O1646" s="36" t="s">
        <v>29</v>
      </c>
      <c r="P1646" s="15">
        <v>223</v>
      </c>
      <c r="Q1646" s="8"/>
      <c r="W1646" s="8"/>
      <c r="X1646" s="8"/>
      <c r="Y1646" s="8"/>
      <c r="Z1646" s="8"/>
    </row>
    <row r="1647" spans="1:26" ht="25.5" customHeight="1" x14ac:dyDescent="0.2">
      <c r="A1647" s="15">
        <v>103</v>
      </c>
      <c r="B1647" s="15">
        <v>2002</v>
      </c>
      <c r="C1647" s="15">
        <v>9</v>
      </c>
      <c r="D1647" s="15">
        <v>8</v>
      </c>
      <c r="E1647" s="29" t="s">
        <v>210</v>
      </c>
      <c r="F1647" s="20" t="s">
        <v>51</v>
      </c>
      <c r="G1647" s="32">
        <v>140</v>
      </c>
      <c r="H1647" s="15" t="s">
        <v>29</v>
      </c>
      <c r="I1647" s="33">
        <v>13.5</v>
      </c>
      <c r="J1647" s="11" t="s">
        <v>19</v>
      </c>
      <c r="K1647" s="20" t="s">
        <v>20</v>
      </c>
      <c r="L1647" s="20" t="s">
        <v>30</v>
      </c>
      <c r="M1647" s="20" t="s">
        <v>46</v>
      </c>
      <c r="N1647" s="20" t="s">
        <v>25</v>
      </c>
      <c r="O1647" s="31" t="s">
        <v>29</v>
      </c>
      <c r="P1647" s="15">
        <v>221</v>
      </c>
      <c r="Q1647" s="8"/>
      <c r="R1647">
        <v>13.06</v>
      </c>
      <c r="S1647">
        <v>2228.58</v>
      </c>
      <c r="T1647">
        <v>6.06</v>
      </c>
      <c r="U1647">
        <v>9.3800000000000008</v>
      </c>
      <c r="V1647">
        <v>131</v>
      </c>
      <c r="W1647" s="317">
        <v>4.5999999999999996</v>
      </c>
      <c r="X1647" s="190">
        <f t="shared" ref="X1647:X1675" si="72">I1647*W1647</f>
        <v>62.099999999999994</v>
      </c>
      <c r="Y1647" s="8"/>
      <c r="Z1647" s="8"/>
    </row>
    <row r="1648" spans="1:26" ht="25.5" customHeight="1" x14ac:dyDescent="0.2">
      <c r="A1648" s="15">
        <v>104</v>
      </c>
      <c r="B1648" s="15">
        <v>2002</v>
      </c>
      <c r="C1648" s="15">
        <v>9</v>
      </c>
      <c r="D1648" s="15">
        <v>8</v>
      </c>
      <c r="E1648" s="29" t="s">
        <v>210</v>
      </c>
      <c r="F1648" s="20" t="s">
        <v>51</v>
      </c>
      <c r="G1648" s="11" t="s">
        <v>29</v>
      </c>
      <c r="H1648" s="15" t="s">
        <v>29</v>
      </c>
      <c r="I1648" s="33">
        <v>10</v>
      </c>
      <c r="J1648" s="11" t="s">
        <v>19</v>
      </c>
      <c r="K1648" s="20" t="s">
        <v>20</v>
      </c>
      <c r="L1648" s="11" t="s">
        <v>21</v>
      </c>
      <c r="M1648" s="11" t="s">
        <v>29</v>
      </c>
      <c r="N1648" s="20" t="s">
        <v>25</v>
      </c>
      <c r="O1648" s="31" t="s">
        <v>29</v>
      </c>
      <c r="P1648" s="15">
        <v>221</v>
      </c>
      <c r="Q1648" s="8"/>
      <c r="W1648" s="317">
        <v>3.9</v>
      </c>
      <c r="X1648" s="190">
        <f t="shared" si="72"/>
        <v>39</v>
      </c>
      <c r="Y1648" s="8"/>
      <c r="Z1648" s="8"/>
    </row>
    <row r="1649" spans="1:26" ht="25.5" customHeight="1" x14ac:dyDescent="0.2">
      <c r="A1649" s="15">
        <v>105</v>
      </c>
      <c r="B1649" s="15">
        <v>2002</v>
      </c>
      <c r="C1649" s="15">
        <v>9</v>
      </c>
      <c r="D1649" s="15">
        <v>8</v>
      </c>
      <c r="E1649" s="29" t="s">
        <v>210</v>
      </c>
      <c r="F1649" s="20" t="s">
        <v>51</v>
      </c>
      <c r="G1649" s="32">
        <v>136</v>
      </c>
      <c r="H1649" s="15" t="s">
        <v>29</v>
      </c>
      <c r="I1649" s="33">
        <v>9.5</v>
      </c>
      <c r="J1649" s="11" t="s">
        <v>19</v>
      </c>
      <c r="K1649" s="20" t="s">
        <v>20</v>
      </c>
      <c r="L1649" s="11" t="s">
        <v>21</v>
      </c>
      <c r="M1649" s="20" t="s">
        <v>46</v>
      </c>
      <c r="N1649" s="20" t="s">
        <v>23</v>
      </c>
      <c r="O1649" s="31" t="s">
        <v>29</v>
      </c>
      <c r="P1649" s="15">
        <v>221</v>
      </c>
      <c r="Q1649" s="8"/>
      <c r="R1649">
        <v>12.69</v>
      </c>
      <c r="S1649">
        <v>2042.97</v>
      </c>
      <c r="T1649">
        <v>4.6500000000000004</v>
      </c>
      <c r="U1649">
        <v>9.11</v>
      </c>
      <c r="V1649">
        <v>127</v>
      </c>
      <c r="W1649" s="317">
        <v>3.9</v>
      </c>
      <c r="X1649" s="190">
        <f t="shared" si="72"/>
        <v>37.049999999999997</v>
      </c>
      <c r="Y1649" s="8"/>
      <c r="Z1649" s="8"/>
    </row>
    <row r="1650" spans="1:26" ht="25.5" customHeight="1" x14ac:dyDescent="0.2">
      <c r="A1650" s="15">
        <v>106</v>
      </c>
      <c r="B1650" s="15">
        <v>2002</v>
      </c>
      <c r="C1650" s="15">
        <v>9</v>
      </c>
      <c r="D1650" s="15">
        <v>8</v>
      </c>
      <c r="E1650" s="29" t="s">
        <v>210</v>
      </c>
      <c r="F1650" s="20" t="s">
        <v>51</v>
      </c>
      <c r="G1650" s="32">
        <v>149</v>
      </c>
      <c r="H1650" s="15" t="s">
        <v>29</v>
      </c>
      <c r="I1650" s="33">
        <v>13.5</v>
      </c>
      <c r="J1650" s="11" t="s">
        <v>19</v>
      </c>
      <c r="K1650" s="20" t="s">
        <v>20</v>
      </c>
      <c r="L1650" s="20" t="s">
        <v>30</v>
      </c>
      <c r="M1650" s="20" t="s">
        <v>46</v>
      </c>
      <c r="N1650" s="20" t="s">
        <v>25</v>
      </c>
      <c r="O1650" s="31" t="s">
        <v>29</v>
      </c>
      <c r="P1650" s="15">
        <v>221</v>
      </c>
      <c r="Q1650" s="8"/>
      <c r="R1650">
        <v>13.9</v>
      </c>
      <c r="S1650">
        <v>2686.6</v>
      </c>
      <c r="T1650">
        <v>5.0199999999999996</v>
      </c>
      <c r="U1650">
        <v>9.98</v>
      </c>
      <c r="V1650">
        <v>139</v>
      </c>
      <c r="W1650" s="317">
        <v>4.5999999999999996</v>
      </c>
      <c r="X1650" s="190">
        <f t="shared" si="72"/>
        <v>62.099999999999994</v>
      </c>
      <c r="Y1650" s="8"/>
      <c r="Z1650" s="8"/>
    </row>
    <row r="1651" spans="1:26" ht="25.5" customHeight="1" x14ac:dyDescent="0.2">
      <c r="A1651" s="15">
        <v>107</v>
      </c>
      <c r="B1651" s="15">
        <v>2002</v>
      </c>
      <c r="C1651" s="15">
        <v>9</v>
      </c>
      <c r="D1651" s="15">
        <v>8</v>
      </c>
      <c r="E1651" s="29" t="s">
        <v>210</v>
      </c>
      <c r="F1651" s="20" t="s">
        <v>51</v>
      </c>
      <c r="G1651" s="32">
        <v>137</v>
      </c>
      <c r="H1651" s="15" t="s">
        <v>29</v>
      </c>
      <c r="I1651" s="33">
        <v>10</v>
      </c>
      <c r="J1651" s="11" t="s">
        <v>19</v>
      </c>
      <c r="K1651" s="20" t="s">
        <v>20</v>
      </c>
      <c r="L1651" s="11" t="s">
        <v>21</v>
      </c>
      <c r="M1651" s="20" t="s">
        <v>46</v>
      </c>
      <c r="N1651" s="20" t="s">
        <v>24</v>
      </c>
      <c r="O1651" s="31" t="s">
        <v>29</v>
      </c>
      <c r="P1651" s="15">
        <v>221</v>
      </c>
      <c r="Q1651" s="8"/>
      <c r="R1651">
        <v>12.78</v>
      </c>
      <c r="S1651">
        <v>2088.37</v>
      </c>
      <c r="T1651">
        <v>4.79</v>
      </c>
      <c r="U1651">
        <v>9.18</v>
      </c>
      <c r="V1651">
        <v>128</v>
      </c>
      <c r="W1651" s="317">
        <v>3.9</v>
      </c>
      <c r="X1651" s="190">
        <f t="shared" si="72"/>
        <v>39</v>
      </c>
      <c r="Y1651" s="8"/>
      <c r="Z1651" s="8"/>
    </row>
    <row r="1652" spans="1:26" ht="25.5" customHeight="1" x14ac:dyDescent="0.2">
      <c r="A1652" s="15">
        <v>108</v>
      </c>
      <c r="B1652" s="15">
        <v>2002</v>
      </c>
      <c r="C1652" s="15">
        <v>9</v>
      </c>
      <c r="D1652" s="15">
        <v>8</v>
      </c>
      <c r="E1652" s="29" t="s">
        <v>210</v>
      </c>
      <c r="F1652" s="20" t="s">
        <v>51</v>
      </c>
      <c r="G1652" s="32">
        <v>127</v>
      </c>
      <c r="H1652" s="15" t="s">
        <v>29</v>
      </c>
      <c r="I1652" s="33">
        <v>8.5</v>
      </c>
      <c r="J1652" s="11" t="s">
        <v>19</v>
      </c>
      <c r="K1652" s="20" t="s">
        <v>20</v>
      </c>
      <c r="L1652" s="20" t="s">
        <v>30</v>
      </c>
      <c r="M1652" s="20" t="s">
        <v>45</v>
      </c>
      <c r="N1652" s="20" t="s">
        <v>25</v>
      </c>
      <c r="O1652" s="31" t="s">
        <v>29</v>
      </c>
      <c r="P1652" s="15">
        <v>221</v>
      </c>
      <c r="Q1652" s="8"/>
      <c r="R1652">
        <v>11.85</v>
      </c>
      <c r="S1652">
        <v>1663.63</v>
      </c>
      <c r="T1652">
        <v>5.1100000000000003</v>
      </c>
      <c r="U1652">
        <v>8.51</v>
      </c>
      <c r="V1652">
        <v>118</v>
      </c>
      <c r="W1652" s="317">
        <v>4.5999999999999996</v>
      </c>
      <c r="X1652" s="190">
        <f t="shared" si="72"/>
        <v>39.099999999999994</v>
      </c>
      <c r="Y1652" s="8"/>
      <c r="Z1652" s="8"/>
    </row>
    <row r="1653" spans="1:26" ht="25.5" customHeight="1" x14ac:dyDescent="0.2">
      <c r="A1653" s="15">
        <v>109</v>
      </c>
      <c r="B1653" s="15">
        <v>2002</v>
      </c>
      <c r="C1653" s="15">
        <v>9</v>
      </c>
      <c r="D1653" s="15">
        <v>8</v>
      </c>
      <c r="E1653" s="29" t="s">
        <v>210</v>
      </c>
      <c r="F1653" s="20" t="s">
        <v>51</v>
      </c>
      <c r="G1653" s="32">
        <v>146</v>
      </c>
      <c r="H1653" s="15" t="s">
        <v>29</v>
      </c>
      <c r="I1653" s="33">
        <v>10</v>
      </c>
      <c r="J1653" s="11" t="s">
        <v>19</v>
      </c>
      <c r="K1653" s="20" t="s">
        <v>20</v>
      </c>
      <c r="L1653" s="11" t="s">
        <v>21</v>
      </c>
      <c r="M1653" s="20" t="s">
        <v>46</v>
      </c>
      <c r="N1653" s="20" t="s">
        <v>25</v>
      </c>
      <c r="O1653" s="31" t="s">
        <v>29</v>
      </c>
      <c r="P1653" s="15">
        <v>221</v>
      </c>
      <c r="Q1653" s="8"/>
      <c r="R1653">
        <v>13.62</v>
      </c>
      <c r="S1653">
        <v>2527.5700000000002</v>
      </c>
      <c r="T1653">
        <v>3.96</v>
      </c>
      <c r="U1653">
        <v>9.7799999999999994</v>
      </c>
      <c r="V1653">
        <v>136</v>
      </c>
      <c r="W1653" s="317">
        <v>3.9</v>
      </c>
      <c r="X1653" s="190">
        <f t="shared" si="72"/>
        <v>39</v>
      </c>
      <c r="Y1653" s="8"/>
      <c r="Z1653" s="8"/>
    </row>
    <row r="1654" spans="1:26" ht="25.5" customHeight="1" x14ac:dyDescent="0.2">
      <c r="A1654" s="15">
        <v>110</v>
      </c>
      <c r="B1654" s="15">
        <v>2002</v>
      </c>
      <c r="C1654" s="15">
        <v>9</v>
      </c>
      <c r="D1654" s="15">
        <v>8</v>
      </c>
      <c r="E1654" s="29" t="s">
        <v>210</v>
      </c>
      <c r="F1654" s="20" t="s">
        <v>51</v>
      </c>
      <c r="G1654" s="32">
        <v>130</v>
      </c>
      <c r="H1654" s="15" t="s">
        <v>29</v>
      </c>
      <c r="I1654" s="33">
        <v>11</v>
      </c>
      <c r="J1654" s="11" t="s">
        <v>19</v>
      </c>
      <c r="K1654" s="20" t="s">
        <v>20</v>
      </c>
      <c r="L1654" s="20" t="s">
        <v>30</v>
      </c>
      <c r="M1654" s="20" t="s">
        <v>46</v>
      </c>
      <c r="N1654" s="20" t="s">
        <v>33</v>
      </c>
      <c r="O1654" s="31" t="s">
        <v>29</v>
      </c>
      <c r="P1654" s="15">
        <v>221</v>
      </c>
      <c r="Q1654" s="8"/>
      <c r="R1654">
        <v>12.13</v>
      </c>
      <c r="S1654">
        <v>1784.33</v>
      </c>
      <c r="T1654">
        <v>6.16</v>
      </c>
      <c r="U1654">
        <v>8.7100000000000009</v>
      </c>
      <c r="V1654">
        <v>121</v>
      </c>
      <c r="W1654" s="317">
        <v>4.5999999999999996</v>
      </c>
      <c r="X1654" s="190">
        <f t="shared" si="72"/>
        <v>50.599999999999994</v>
      </c>
      <c r="Y1654" s="8"/>
      <c r="Z1654" s="8"/>
    </row>
    <row r="1655" spans="1:26" ht="25.5" customHeight="1" x14ac:dyDescent="0.2">
      <c r="A1655" s="15">
        <v>111</v>
      </c>
      <c r="B1655" s="15">
        <v>2002</v>
      </c>
      <c r="C1655" s="15">
        <v>9</v>
      </c>
      <c r="D1655" s="15">
        <v>8</v>
      </c>
      <c r="E1655" s="29" t="s">
        <v>210</v>
      </c>
      <c r="F1655" s="20" t="s">
        <v>51</v>
      </c>
      <c r="G1655" s="32">
        <v>126</v>
      </c>
      <c r="H1655" s="15" t="s">
        <v>29</v>
      </c>
      <c r="I1655" s="33">
        <v>6.5</v>
      </c>
      <c r="J1655" s="11" t="s">
        <v>19</v>
      </c>
      <c r="K1655" s="20" t="s">
        <v>20</v>
      </c>
      <c r="L1655" s="11" t="s">
        <v>21</v>
      </c>
      <c r="M1655" s="20" t="s">
        <v>46</v>
      </c>
      <c r="N1655" s="20" t="s">
        <v>25</v>
      </c>
      <c r="O1655" s="31" t="s">
        <v>29</v>
      </c>
      <c r="P1655" s="15">
        <v>221</v>
      </c>
      <c r="Q1655" s="8"/>
      <c r="R1655">
        <v>11.76</v>
      </c>
      <c r="S1655">
        <v>1624.64</v>
      </c>
      <c r="T1655">
        <v>4</v>
      </c>
      <c r="U1655">
        <v>8.44</v>
      </c>
      <c r="V1655">
        <v>118</v>
      </c>
      <c r="W1655" s="317">
        <v>3.9</v>
      </c>
      <c r="X1655" s="190">
        <f t="shared" si="72"/>
        <v>25.349999999999998</v>
      </c>
      <c r="Y1655" s="8"/>
      <c r="Z1655" s="8"/>
    </row>
    <row r="1656" spans="1:26" ht="25.5" customHeight="1" x14ac:dyDescent="0.2">
      <c r="A1656" s="15">
        <v>112</v>
      </c>
      <c r="B1656" s="15">
        <v>2002</v>
      </c>
      <c r="C1656" s="15">
        <v>9</v>
      </c>
      <c r="D1656" s="15">
        <v>8</v>
      </c>
      <c r="E1656" s="29" t="s">
        <v>210</v>
      </c>
      <c r="F1656" s="20" t="s">
        <v>51</v>
      </c>
      <c r="G1656" s="32">
        <v>147</v>
      </c>
      <c r="H1656" s="15" t="s">
        <v>29</v>
      </c>
      <c r="I1656" s="33">
        <v>17</v>
      </c>
      <c r="J1656" s="11" t="s">
        <v>19</v>
      </c>
      <c r="K1656" s="20" t="s">
        <v>20</v>
      </c>
      <c r="L1656" s="20" t="s">
        <v>30</v>
      </c>
      <c r="M1656" s="20" t="s">
        <v>46</v>
      </c>
      <c r="N1656" s="20" t="s">
        <v>23</v>
      </c>
      <c r="O1656" s="31" t="s">
        <v>29</v>
      </c>
      <c r="P1656" s="15">
        <v>221</v>
      </c>
      <c r="Q1656" s="8"/>
      <c r="R1656">
        <v>13.72</v>
      </c>
      <c r="S1656">
        <v>2579.86</v>
      </c>
      <c r="T1656">
        <v>6.59</v>
      </c>
      <c r="U1656">
        <v>9.85</v>
      </c>
      <c r="V1656">
        <v>137</v>
      </c>
      <c r="W1656" s="317">
        <v>4.5999999999999996</v>
      </c>
      <c r="X1656" s="190">
        <f t="shared" si="72"/>
        <v>78.199999999999989</v>
      </c>
      <c r="Y1656" s="8"/>
      <c r="Z1656" s="8"/>
    </row>
    <row r="1657" spans="1:26" ht="25.5" customHeight="1" x14ac:dyDescent="0.2">
      <c r="A1657" s="15">
        <v>113</v>
      </c>
      <c r="B1657" s="15">
        <v>2002</v>
      </c>
      <c r="C1657" s="15">
        <v>9</v>
      </c>
      <c r="D1657" s="15">
        <v>8</v>
      </c>
      <c r="E1657" s="29" t="s">
        <v>210</v>
      </c>
      <c r="F1657" s="20" t="s">
        <v>51</v>
      </c>
      <c r="G1657" s="32">
        <v>142</v>
      </c>
      <c r="H1657" s="15" t="s">
        <v>29</v>
      </c>
      <c r="I1657" s="33">
        <v>12</v>
      </c>
      <c r="J1657" s="11" t="s">
        <v>19</v>
      </c>
      <c r="K1657" s="20" t="s">
        <v>20</v>
      </c>
      <c r="L1657" s="20" t="s">
        <v>30</v>
      </c>
      <c r="M1657" s="20" t="s">
        <v>27</v>
      </c>
      <c r="N1657" s="20" t="s">
        <v>23</v>
      </c>
      <c r="O1657" s="31" t="s">
        <v>29</v>
      </c>
      <c r="P1657" s="15">
        <v>221</v>
      </c>
      <c r="Q1657" s="8"/>
      <c r="R1657">
        <v>13.25</v>
      </c>
      <c r="S1657">
        <v>2325.4699999999998</v>
      </c>
      <c r="T1657">
        <v>5.16</v>
      </c>
      <c r="U1657">
        <v>9.51</v>
      </c>
      <c r="V1657">
        <v>132</v>
      </c>
      <c r="W1657" s="317">
        <v>4.5999999999999996</v>
      </c>
      <c r="X1657" s="190">
        <f t="shared" si="72"/>
        <v>55.199999999999996</v>
      </c>
      <c r="Y1657" s="8"/>
      <c r="Z1657" s="8"/>
    </row>
    <row r="1658" spans="1:26" ht="25.5" customHeight="1" x14ac:dyDescent="0.2">
      <c r="A1658" s="15">
        <v>114</v>
      </c>
      <c r="B1658" s="15">
        <v>2002</v>
      </c>
      <c r="C1658" s="15">
        <v>9</v>
      </c>
      <c r="D1658" s="15">
        <v>8</v>
      </c>
      <c r="E1658" s="29" t="s">
        <v>210</v>
      </c>
      <c r="F1658" s="20" t="s">
        <v>51</v>
      </c>
      <c r="G1658" s="11" t="s">
        <v>29</v>
      </c>
      <c r="H1658" s="15" t="s">
        <v>29</v>
      </c>
      <c r="I1658" s="33">
        <v>11.5</v>
      </c>
      <c r="J1658" s="11" t="s">
        <v>19</v>
      </c>
      <c r="K1658" s="20" t="s">
        <v>20</v>
      </c>
      <c r="L1658" s="20" t="s">
        <v>30</v>
      </c>
      <c r="M1658" s="20" t="s">
        <v>45</v>
      </c>
      <c r="N1658" s="20" t="s">
        <v>25</v>
      </c>
      <c r="O1658" s="31" t="s">
        <v>29</v>
      </c>
      <c r="P1658" s="15">
        <v>221</v>
      </c>
      <c r="Q1658" s="8"/>
      <c r="W1658" s="317">
        <v>4.5999999999999996</v>
      </c>
      <c r="X1658" s="190">
        <f t="shared" si="72"/>
        <v>52.9</v>
      </c>
      <c r="Y1658" s="8"/>
      <c r="Z1658" s="8"/>
    </row>
    <row r="1659" spans="1:26" ht="25.5" customHeight="1" x14ac:dyDescent="0.2">
      <c r="A1659" s="15">
        <v>115</v>
      </c>
      <c r="B1659" s="15">
        <v>2002</v>
      </c>
      <c r="C1659" s="15">
        <v>9</v>
      </c>
      <c r="D1659" s="15">
        <v>8</v>
      </c>
      <c r="E1659" s="29" t="s">
        <v>210</v>
      </c>
      <c r="F1659" s="20" t="s">
        <v>51</v>
      </c>
      <c r="G1659" s="32">
        <v>128</v>
      </c>
      <c r="H1659" s="15" t="s">
        <v>29</v>
      </c>
      <c r="I1659" s="33">
        <v>7</v>
      </c>
      <c r="J1659" s="11" t="s">
        <v>19</v>
      </c>
      <c r="K1659" s="20" t="s">
        <v>20</v>
      </c>
      <c r="L1659" s="11" t="s">
        <v>21</v>
      </c>
      <c r="M1659" s="20" t="s">
        <v>45</v>
      </c>
      <c r="N1659" s="20" t="s">
        <v>25</v>
      </c>
      <c r="O1659" s="31" t="s">
        <v>29</v>
      </c>
      <c r="P1659" s="15">
        <v>221</v>
      </c>
      <c r="Q1659" s="8"/>
      <c r="R1659">
        <v>11.94</v>
      </c>
      <c r="S1659">
        <v>1703.24</v>
      </c>
      <c r="T1659">
        <v>4.1100000000000003</v>
      </c>
      <c r="U1659">
        <v>8.58</v>
      </c>
      <c r="V1659">
        <v>119</v>
      </c>
      <c r="W1659" s="317">
        <v>3.9</v>
      </c>
      <c r="X1659" s="190">
        <f t="shared" si="72"/>
        <v>27.3</v>
      </c>
      <c r="Y1659" s="8"/>
      <c r="Z1659" s="8"/>
    </row>
    <row r="1660" spans="1:26" ht="25.5" customHeight="1" x14ac:dyDescent="0.2">
      <c r="A1660" s="15">
        <v>116</v>
      </c>
      <c r="B1660" s="15">
        <v>2002</v>
      </c>
      <c r="C1660" s="15">
        <v>9</v>
      </c>
      <c r="D1660" s="15">
        <v>8</v>
      </c>
      <c r="E1660" s="29" t="s">
        <v>210</v>
      </c>
      <c r="F1660" s="20" t="s">
        <v>51</v>
      </c>
      <c r="G1660" s="32">
        <v>129</v>
      </c>
      <c r="H1660" s="15" t="s">
        <v>29</v>
      </c>
      <c r="I1660" s="33">
        <v>10</v>
      </c>
      <c r="J1660" s="11" t="s">
        <v>19</v>
      </c>
      <c r="K1660" s="20" t="s">
        <v>20</v>
      </c>
      <c r="L1660" s="20" t="s">
        <v>30</v>
      </c>
      <c r="M1660" s="20" t="s">
        <v>46</v>
      </c>
      <c r="N1660" s="20" t="s">
        <v>25</v>
      </c>
      <c r="O1660" s="31" t="s">
        <v>29</v>
      </c>
      <c r="P1660" s="15">
        <v>221</v>
      </c>
      <c r="Q1660" s="8"/>
      <c r="R1660">
        <v>12.04</v>
      </c>
      <c r="S1660">
        <v>1743.47</v>
      </c>
      <c r="T1660">
        <v>5.74</v>
      </c>
      <c r="U1660">
        <v>8.64</v>
      </c>
      <c r="V1660">
        <v>120</v>
      </c>
      <c r="W1660" s="317">
        <v>4.5999999999999996</v>
      </c>
      <c r="X1660" s="190">
        <f t="shared" si="72"/>
        <v>46</v>
      </c>
      <c r="Y1660" s="8"/>
      <c r="Z1660" s="8"/>
    </row>
    <row r="1661" spans="1:26" ht="25.5" customHeight="1" x14ac:dyDescent="0.2">
      <c r="A1661" s="15">
        <v>117</v>
      </c>
      <c r="B1661" s="15">
        <v>2002</v>
      </c>
      <c r="C1661" s="15">
        <v>9</v>
      </c>
      <c r="D1661" s="15">
        <v>8</v>
      </c>
      <c r="E1661" s="29" t="s">
        <v>210</v>
      </c>
      <c r="F1661" s="20" t="s">
        <v>51</v>
      </c>
      <c r="G1661" s="32">
        <v>131</v>
      </c>
      <c r="H1661" s="15" t="s">
        <v>29</v>
      </c>
      <c r="I1661" s="33">
        <v>10</v>
      </c>
      <c r="J1661" s="11" t="s">
        <v>19</v>
      </c>
      <c r="K1661" s="20" t="s">
        <v>20</v>
      </c>
      <c r="L1661" s="20" t="s">
        <v>30</v>
      </c>
      <c r="M1661" s="20" t="s">
        <v>46</v>
      </c>
      <c r="N1661" s="20" t="s">
        <v>25</v>
      </c>
      <c r="O1661" s="31" t="s">
        <v>29</v>
      </c>
      <c r="P1661" s="15">
        <v>221</v>
      </c>
      <c r="Q1661" s="8"/>
      <c r="R1661">
        <v>12.22</v>
      </c>
      <c r="S1661">
        <v>1825.82</v>
      </c>
      <c r="T1661">
        <v>5.48</v>
      </c>
      <c r="U1661">
        <v>8.7799999999999994</v>
      </c>
      <c r="V1661">
        <v>122</v>
      </c>
      <c r="W1661" s="317">
        <v>4.5999999999999996</v>
      </c>
      <c r="X1661" s="190">
        <f t="shared" si="72"/>
        <v>46</v>
      </c>
      <c r="Y1661" s="8"/>
      <c r="Z1661" s="8"/>
    </row>
    <row r="1662" spans="1:26" ht="25.5" customHeight="1" x14ac:dyDescent="0.2">
      <c r="A1662" s="15">
        <v>118</v>
      </c>
      <c r="B1662" s="15">
        <v>2002</v>
      </c>
      <c r="C1662" s="15">
        <v>9</v>
      </c>
      <c r="D1662" s="15">
        <v>8</v>
      </c>
      <c r="E1662" s="29" t="s">
        <v>210</v>
      </c>
      <c r="F1662" s="20" t="s">
        <v>51</v>
      </c>
      <c r="G1662" s="11" t="s">
        <v>29</v>
      </c>
      <c r="H1662" s="15" t="s">
        <v>29</v>
      </c>
      <c r="I1662" s="33">
        <v>9</v>
      </c>
      <c r="J1662" s="11" t="s">
        <v>19</v>
      </c>
      <c r="K1662" s="20" t="s">
        <v>20</v>
      </c>
      <c r="L1662" s="20" t="s">
        <v>30</v>
      </c>
      <c r="M1662" s="20" t="s">
        <v>27</v>
      </c>
      <c r="N1662" s="20" t="s">
        <v>25</v>
      </c>
      <c r="O1662" s="31" t="s">
        <v>29</v>
      </c>
      <c r="P1662" s="15">
        <v>221</v>
      </c>
      <c r="Q1662" s="8"/>
      <c r="W1662" s="317">
        <v>4.5999999999999996</v>
      </c>
      <c r="X1662" s="190">
        <f t="shared" si="72"/>
        <v>41.4</v>
      </c>
      <c r="Y1662" s="8"/>
      <c r="Z1662" s="8"/>
    </row>
    <row r="1663" spans="1:26" ht="25.5" customHeight="1" x14ac:dyDescent="0.2">
      <c r="A1663" s="15">
        <v>119</v>
      </c>
      <c r="B1663" s="15">
        <v>2002</v>
      </c>
      <c r="C1663" s="15">
        <v>9</v>
      </c>
      <c r="D1663" s="15">
        <v>8</v>
      </c>
      <c r="E1663" s="29" t="s">
        <v>210</v>
      </c>
      <c r="F1663" s="11" t="s">
        <v>28</v>
      </c>
      <c r="G1663" s="11" t="s">
        <v>29</v>
      </c>
      <c r="H1663" s="15" t="s">
        <v>29</v>
      </c>
      <c r="I1663" s="33">
        <v>5.5</v>
      </c>
      <c r="J1663" s="11" t="s">
        <v>19</v>
      </c>
      <c r="K1663" s="20" t="s">
        <v>20</v>
      </c>
      <c r="L1663" s="20" t="s">
        <v>30</v>
      </c>
      <c r="M1663" s="11" t="s">
        <v>29</v>
      </c>
      <c r="N1663" s="11" t="s">
        <v>29</v>
      </c>
      <c r="O1663" s="31" t="s">
        <v>29</v>
      </c>
      <c r="P1663" s="15">
        <v>221</v>
      </c>
      <c r="Q1663" s="8"/>
      <c r="W1663" s="317">
        <v>4.5999999999999996</v>
      </c>
      <c r="X1663" s="190">
        <f t="shared" si="72"/>
        <v>25.299999999999997</v>
      </c>
      <c r="Y1663" s="8"/>
      <c r="Z1663" s="8"/>
    </row>
    <row r="1664" spans="1:26" ht="25.5" customHeight="1" x14ac:dyDescent="0.2">
      <c r="A1664" s="15">
        <v>120</v>
      </c>
      <c r="B1664" s="15">
        <v>2002</v>
      </c>
      <c r="C1664" s="15">
        <v>8</v>
      </c>
      <c r="D1664" s="15">
        <v>8</v>
      </c>
      <c r="E1664" s="29" t="s">
        <v>211</v>
      </c>
      <c r="F1664" s="20" t="s">
        <v>51</v>
      </c>
      <c r="G1664" s="32">
        <v>141</v>
      </c>
      <c r="H1664" s="15" t="s">
        <v>29</v>
      </c>
      <c r="I1664" s="33">
        <v>8.5</v>
      </c>
      <c r="J1664" s="11" t="s">
        <v>19</v>
      </c>
      <c r="K1664" s="20" t="s">
        <v>20</v>
      </c>
      <c r="L1664" s="11" t="s">
        <v>21</v>
      </c>
      <c r="M1664" s="20" t="s">
        <v>45</v>
      </c>
      <c r="N1664" s="20" t="s">
        <v>25</v>
      </c>
      <c r="O1664" s="31" t="s">
        <v>29</v>
      </c>
      <c r="P1664" s="15">
        <v>220</v>
      </c>
      <c r="Q1664" s="8"/>
      <c r="R1664">
        <v>13.16</v>
      </c>
      <c r="S1664">
        <v>2276.6799999999998</v>
      </c>
      <c r="T1664">
        <v>3.73</v>
      </c>
      <c r="U1664">
        <v>9.4499999999999993</v>
      </c>
      <c r="V1664">
        <v>132</v>
      </c>
      <c r="W1664" s="317">
        <v>3.9</v>
      </c>
      <c r="X1664" s="190">
        <f t="shared" si="72"/>
        <v>33.15</v>
      </c>
      <c r="Y1664" s="8"/>
      <c r="Z1664" s="8"/>
    </row>
    <row r="1665" spans="1:26" ht="25.5" customHeight="1" x14ac:dyDescent="0.2">
      <c r="A1665" s="15">
        <v>121</v>
      </c>
      <c r="B1665" s="15">
        <v>2002</v>
      </c>
      <c r="C1665" s="15">
        <v>8</v>
      </c>
      <c r="D1665" s="15">
        <v>8</v>
      </c>
      <c r="E1665" s="29" t="s">
        <v>211</v>
      </c>
      <c r="F1665" s="20" t="s">
        <v>51</v>
      </c>
      <c r="G1665" s="32">
        <v>136</v>
      </c>
      <c r="H1665" s="15" t="s">
        <v>29</v>
      </c>
      <c r="I1665" s="33">
        <v>12.5</v>
      </c>
      <c r="J1665" s="11" t="s">
        <v>19</v>
      </c>
      <c r="K1665" s="20" t="s">
        <v>20</v>
      </c>
      <c r="L1665" s="20" t="s">
        <v>30</v>
      </c>
      <c r="M1665" s="20" t="s">
        <v>46</v>
      </c>
      <c r="N1665" s="20" t="s">
        <v>25</v>
      </c>
      <c r="O1665" s="31" t="s">
        <v>29</v>
      </c>
      <c r="P1665" s="15">
        <v>220</v>
      </c>
      <c r="Q1665" s="8"/>
      <c r="R1665">
        <v>12.69</v>
      </c>
      <c r="S1665">
        <v>2042.97</v>
      </c>
      <c r="T1665">
        <v>6.12</v>
      </c>
      <c r="U1665">
        <v>9.11</v>
      </c>
      <c r="V1665">
        <v>127</v>
      </c>
      <c r="W1665" s="317">
        <v>4.5999999999999996</v>
      </c>
      <c r="X1665" s="190">
        <f t="shared" si="72"/>
        <v>57.499999999999993</v>
      </c>
      <c r="Y1665" s="8"/>
      <c r="Z1665" s="8"/>
    </row>
    <row r="1666" spans="1:26" ht="25.5" customHeight="1" x14ac:dyDescent="0.2">
      <c r="A1666" s="15">
        <v>122</v>
      </c>
      <c r="B1666" s="15">
        <v>2002</v>
      </c>
      <c r="C1666" s="15">
        <v>8</v>
      </c>
      <c r="D1666" s="15">
        <v>8</v>
      </c>
      <c r="E1666" s="29" t="s">
        <v>211</v>
      </c>
      <c r="F1666" s="20" t="s">
        <v>51</v>
      </c>
      <c r="G1666" s="32">
        <v>155</v>
      </c>
      <c r="H1666" s="15" t="s">
        <v>29</v>
      </c>
      <c r="I1666" s="33">
        <v>21</v>
      </c>
      <c r="J1666" s="11" t="s">
        <v>19</v>
      </c>
      <c r="K1666" s="20" t="s">
        <v>20</v>
      </c>
      <c r="L1666" s="20" t="s">
        <v>30</v>
      </c>
      <c r="M1666" s="20" t="s">
        <v>46</v>
      </c>
      <c r="N1666" s="20" t="s">
        <v>25</v>
      </c>
      <c r="O1666" s="31" t="s">
        <v>29</v>
      </c>
      <c r="P1666" s="15">
        <v>220</v>
      </c>
      <c r="Q1666" s="8"/>
      <c r="R1666">
        <v>14.46</v>
      </c>
      <c r="S1666">
        <v>3024.41</v>
      </c>
      <c r="T1666">
        <v>6.94</v>
      </c>
      <c r="U1666">
        <v>10.39</v>
      </c>
      <c r="V1666">
        <v>145</v>
      </c>
      <c r="W1666" s="317">
        <v>4.5999999999999996</v>
      </c>
      <c r="X1666" s="190">
        <f t="shared" si="72"/>
        <v>96.6</v>
      </c>
      <c r="Y1666" s="8"/>
      <c r="Z1666" s="8"/>
    </row>
    <row r="1667" spans="1:26" ht="25.5" customHeight="1" x14ac:dyDescent="0.2">
      <c r="A1667" s="15">
        <v>123</v>
      </c>
      <c r="B1667" s="15">
        <v>2002</v>
      </c>
      <c r="C1667" s="15">
        <v>8</v>
      </c>
      <c r="D1667" s="15">
        <v>8</v>
      </c>
      <c r="E1667" s="29" t="s">
        <v>211</v>
      </c>
      <c r="F1667" s="20" t="s">
        <v>51</v>
      </c>
      <c r="G1667" s="32">
        <v>156</v>
      </c>
      <c r="H1667" s="15" t="s">
        <v>29</v>
      </c>
      <c r="I1667" s="33">
        <v>13</v>
      </c>
      <c r="J1667" s="11" t="s">
        <v>19</v>
      </c>
      <c r="K1667" s="20" t="s">
        <v>20</v>
      </c>
      <c r="L1667" s="11" t="s">
        <v>21</v>
      </c>
      <c r="M1667" s="20" t="s">
        <v>46</v>
      </c>
      <c r="N1667" s="20" t="s">
        <v>24</v>
      </c>
      <c r="O1667" s="31" t="s">
        <v>29</v>
      </c>
      <c r="P1667" s="15">
        <v>220</v>
      </c>
      <c r="Q1667" s="8"/>
      <c r="R1667">
        <v>14.55</v>
      </c>
      <c r="S1667">
        <v>3083.32</v>
      </c>
      <c r="T1667">
        <v>4.22</v>
      </c>
      <c r="U1667">
        <v>10.45</v>
      </c>
      <c r="V1667">
        <v>146</v>
      </c>
      <c r="W1667" s="317">
        <v>3.9</v>
      </c>
      <c r="X1667" s="190">
        <f t="shared" si="72"/>
        <v>50.699999999999996</v>
      </c>
      <c r="Y1667" s="8"/>
      <c r="Z1667" s="8"/>
    </row>
    <row r="1668" spans="1:26" ht="25.5" customHeight="1" x14ac:dyDescent="0.2">
      <c r="A1668" s="15">
        <v>124</v>
      </c>
      <c r="B1668" s="15">
        <v>2002</v>
      </c>
      <c r="C1668" s="15">
        <v>8</v>
      </c>
      <c r="D1668" s="15">
        <v>8</v>
      </c>
      <c r="E1668" s="29" t="s">
        <v>211</v>
      </c>
      <c r="F1668" s="20" t="s">
        <v>51</v>
      </c>
      <c r="G1668" s="32">
        <v>152</v>
      </c>
      <c r="H1668" s="15" t="s">
        <v>29</v>
      </c>
      <c r="I1668" s="33">
        <v>17.5</v>
      </c>
      <c r="J1668" s="11" t="s">
        <v>19</v>
      </c>
      <c r="K1668" s="20" t="s">
        <v>20</v>
      </c>
      <c r="L1668" s="20" t="s">
        <v>30</v>
      </c>
      <c r="M1668" s="20" t="s">
        <v>45</v>
      </c>
      <c r="N1668" s="20" t="s">
        <v>25</v>
      </c>
      <c r="O1668" s="31" t="s">
        <v>29</v>
      </c>
      <c r="P1668" s="15">
        <v>220</v>
      </c>
      <c r="Q1668" s="8"/>
      <c r="R1668">
        <v>14.18</v>
      </c>
      <c r="S1668">
        <v>2852.17</v>
      </c>
      <c r="T1668">
        <v>6.14</v>
      </c>
      <c r="U1668">
        <v>10.18</v>
      </c>
      <c r="V1668">
        <v>142</v>
      </c>
      <c r="W1668" s="317">
        <v>4.5999999999999996</v>
      </c>
      <c r="X1668" s="190">
        <f t="shared" si="72"/>
        <v>80.5</v>
      </c>
      <c r="Y1668" s="8"/>
      <c r="Z1668" s="8"/>
    </row>
    <row r="1669" spans="1:26" ht="25.5" customHeight="1" x14ac:dyDescent="0.2">
      <c r="A1669" s="15">
        <v>125</v>
      </c>
      <c r="B1669" s="15">
        <v>2002</v>
      </c>
      <c r="C1669" s="15">
        <v>8</v>
      </c>
      <c r="D1669" s="15">
        <v>8</v>
      </c>
      <c r="E1669" s="29" t="s">
        <v>211</v>
      </c>
      <c r="F1669" s="20" t="s">
        <v>51</v>
      </c>
      <c r="G1669" s="32">
        <v>142</v>
      </c>
      <c r="H1669" s="15" t="s">
        <v>29</v>
      </c>
      <c r="I1669" s="33">
        <v>14</v>
      </c>
      <c r="J1669" s="11" t="s">
        <v>19</v>
      </c>
      <c r="K1669" s="20" t="s">
        <v>20</v>
      </c>
      <c r="L1669" s="20" t="s">
        <v>30</v>
      </c>
      <c r="M1669" s="20" t="s">
        <v>27</v>
      </c>
      <c r="N1669" s="20" t="s">
        <v>24</v>
      </c>
      <c r="O1669" s="31" t="s">
        <v>29</v>
      </c>
      <c r="P1669" s="15">
        <v>220</v>
      </c>
      <c r="Q1669" s="8"/>
      <c r="R1669">
        <v>13.25</v>
      </c>
      <c r="S1669">
        <v>2325.4699999999998</v>
      </c>
      <c r="T1669">
        <v>6.02</v>
      </c>
      <c r="U1669">
        <v>9.51</v>
      </c>
      <c r="V1669">
        <v>132</v>
      </c>
      <c r="W1669" s="317">
        <v>4.5999999999999996</v>
      </c>
      <c r="X1669" s="190">
        <f t="shared" si="72"/>
        <v>64.399999999999991</v>
      </c>
      <c r="Y1669" s="8"/>
      <c r="Z1669" s="8"/>
    </row>
    <row r="1670" spans="1:26" ht="25.5" customHeight="1" x14ac:dyDescent="0.2">
      <c r="A1670" s="15">
        <v>126</v>
      </c>
      <c r="B1670" s="15">
        <v>2002</v>
      </c>
      <c r="C1670" s="15">
        <v>8</v>
      </c>
      <c r="D1670" s="15">
        <v>8</v>
      </c>
      <c r="E1670" s="29" t="s">
        <v>211</v>
      </c>
      <c r="F1670" s="20" t="s">
        <v>51</v>
      </c>
      <c r="G1670" s="32">
        <v>133</v>
      </c>
      <c r="H1670" s="15" t="s">
        <v>29</v>
      </c>
      <c r="I1670" s="33">
        <v>9.5</v>
      </c>
      <c r="J1670" s="11" t="s">
        <v>19</v>
      </c>
      <c r="K1670" s="20" t="s">
        <v>20</v>
      </c>
      <c r="L1670" s="11" t="s">
        <v>21</v>
      </c>
      <c r="M1670" s="20" t="s">
        <v>45</v>
      </c>
      <c r="N1670" s="20" t="s">
        <v>24</v>
      </c>
      <c r="O1670" s="31" t="s">
        <v>29</v>
      </c>
      <c r="P1670" s="15">
        <v>220</v>
      </c>
      <c r="Q1670" s="8"/>
      <c r="R1670">
        <v>12.41</v>
      </c>
      <c r="S1670">
        <v>1910.73</v>
      </c>
      <c r="T1670">
        <v>4.97</v>
      </c>
      <c r="U1670">
        <v>8.91</v>
      </c>
      <c r="V1670">
        <v>124</v>
      </c>
      <c r="W1670" s="317">
        <v>3.9</v>
      </c>
      <c r="X1670" s="190">
        <f t="shared" si="72"/>
        <v>37.049999999999997</v>
      </c>
      <c r="Y1670" s="8"/>
      <c r="Z1670" s="8"/>
    </row>
    <row r="1671" spans="1:26" ht="25.5" customHeight="1" x14ac:dyDescent="0.2">
      <c r="A1671" s="15">
        <v>127</v>
      </c>
      <c r="B1671" s="15">
        <v>2002</v>
      </c>
      <c r="C1671" s="15">
        <v>8</v>
      </c>
      <c r="D1671" s="15">
        <v>8</v>
      </c>
      <c r="E1671" s="29" t="s">
        <v>211</v>
      </c>
      <c r="F1671" s="20" t="s">
        <v>51</v>
      </c>
      <c r="G1671" s="32">
        <v>154</v>
      </c>
      <c r="H1671" s="15" t="s">
        <v>29</v>
      </c>
      <c r="I1671" s="33">
        <v>20</v>
      </c>
      <c r="J1671" s="11" t="s">
        <v>19</v>
      </c>
      <c r="K1671" s="20" t="s">
        <v>20</v>
      </c>
      <c r="L1671" s="20" t="s">
        <v>30</v>
      </c>
      <c r="M1671" s="20" t="s">
        <v>46</v>
      </c>
      <c r="N1671" s="20" t="s">
        <v>24</v>
      </c>
      <c r="O1671" s="31" t="s">
        <v>29</v>
      </c>
      <c r="P1671" s="15">
        <v>220</v>
      </c>
      <c r="Q1671" s="8"/>
      <c r="R1671">
        <v>14.37</v>
      </c>
      <c r="S1671">
        <v>2966.25</v>
      </c>
      <c r="T1671">
        <v>6.74</v>
      </c>
      <c r="U1671">
        <v>10.32</v>
      </c>
      <c r="V1671">
        <v>144</v>
      </c>
      <c r="W1671" s="317">
        <v>4.5999999999999996</v>
      </c>
      <c r="X1671" s="190">
        <f t="shared" si="72"/>
        <v>92</v>
      </c>
      <c r="Y1671" s="8"/>
      <c r="Z1671" s="8"/>
    </row>
    <row r="1672" spans="1:26" ht="25.5" customHeight="1" x14ac:dyDescent="0.2">
      <c r="A1672" s="15">
        <v>128</v>
      </c>
      <c r="B1672" s="15">
        <v>2002</v>
      </c>
      <c r="C1672" s="15">
        <v>8</v>
      </c>
      <c r="D1672" s="15">
        <v>8</v>
      </c>
      <c r="E1672" s="29" t="s">
        <v>211</v>
      </c>
      <c r="F1672" s="20" t="s">
        <v>51</v>
      </c>
      <c r="G1672" s="32">
        <v>149</v>
      </c>
      <c r="H1672" s="15" t="s">
        <v>29</v>
      </c>
      <c r="I1672" s="33">
        <v>16</v>
      </c>
      <c r="J1672" s="11" t="s">
        <v>19</v>
      </c>
      <c r="K1672" s="20" t="s">
        <v>20</v>
      </c>
      <c r="L1672" s="11" t="s">
        <v>21</v>
      </c>
      <c r="M1672" s="20" t="s">
        <v>27</v>
      </c>
      <c r="N1672" s="20" t="s">
        <v>24</v>
      </c>
      <c r="O1672" s="31" t="s">
        <v>29</v>
      </c>
      <c r="P1672" s="15">
        <v>220</v>
      </c>
      <c r="Q1672" s="8"/>
      <c r="R1672">
        <v>13.9</v>
      </c>
      <c r="S1672">
        <v>2686.6</v>
      </c>
      <c r="T1672">
        <v>5.96</v>
      </c>
      <c r="U1672">
        <v>9.98</v>
      </c>
      <c r="V1672">
        <v>139</v>
      </c>
      <c r="W1672" s="317">
        <v>3.9</v>
      </c>
      <c r="X1672" s="190">
        <f t="shared" si="72"/>
        <v>62.4</v>
      </c>
      <c r="Y1672" s="8"/>
      <c r="Z1672" s="8"/>
    </row>
    <row r="1673" spans="1:26" ht="25.5" customHeight="1" x14ac:dyDescent="0.2">
      <c r="A1673" s="15">
        <v>129</v>
      </c>
      <c r="B1673" s="15">
        <v>2002</v>
      </c>
      <c r="C1673" s="15">
        <v>8</v>
      </c>
      <c r="D1673" s="15">
        <v>8</v>
      </c>
      <c r="E1673" s="29" t="s">
        <v>211</v>
      </c>
      <c r="F1673" s="20" t="s">
        <v>51</v>
      </c>
      <c r="G1673" s="32">
        <v>149</v>
      </c>
      <c r="H1673" s="15" t="s">
        <v>29</v>
      </c>
      <c r="I1673" s="33">
        <v>15.5</v>
      </c>
      <c r="J1673" s="11" t="s">
        <v>19</v>
      </c>
      <c r="K1673" s="20" t="s">
        <v>20</v>
      </c>
      <c r="L1673" s="20" t="s">
        <v>30</v>
      </c>
      <c r="M1673" s="20" t="s">
        <v>27</v>
      </c>
      <c r="N1673" s="20" t="s">
        <v>24</v>
      </c>
      <c r="O1673" s="31" t="s">
        <v>29</v>
      </c>
      <c r="P1673" s="15">
        <v>220</v>
      </c>
      <c r="Q1673" s="8"/>
      <c r="R1673">
        <v>13.9</v>
      </c>
      <c r="S1673">
        <v>2686.6</v>
      </c>
      <c r="T1673">
        <v>5.77</v>
      </c>
      <c r="U1673">
        <v>9.98</v>
      </c>
      <c r="V1673">
        <v>139</v>
      </c>
      <c r="W1673" s="317">
        <v>4.5999999999999996</v>
      </c>
      <c r="X1673" s="190">
        <f t="shared" si="72"/>
        <v>71.3</v>
      </c>
      <c r="Y1673" s="8"/>
      <c r="Z1673" s="8"/>
    </row>
    <row r="1674" spans="1:26" ht="25.5" customHeight="1" x14ac:dyDescent="0.2">
      <c r="A1674" s="15">
        <v>130</v>
      </c>
      <c r="B1674" s="15">
        <v>2002</v>
      </c>
      <c r="C1674" s="15">
        <v>8</v>
      </c>
      <c r="D1674" s="15">
        <v>8</v>
      </c>
      <c r="E1674" s="29" t="s">
        <v>211</v>
      </c>
      <c r="F1674" s="20" t="s">
        <v>51</v>
      </c>
      <c r="G1674" s="32">
        <v>157</v>
      </c>
      <c r="H1674" s="15" t="s">
        <v>29</v>
      </c>
      <c r="I1674" s="33">
        <v>20.5</v>
      </c>
      <c r="J1674" s="11" t="s">
        <v>19</v>
      </c>
      <c r="K1674" s="20" t="s">
        <v>20</v>
      </c>
      <c r="L1674" s="20" t="s">
        <v>30</v>
      </c>
      <c r="M1674" s="20" t="s">
        <v>27</v>
      </c>
      <c r="N1674" s="20" t="s">
        <v>24</v>
      </c>
      <c r="O1674" s="31" t="s">
        <v>29</v>
      </c>
      <c r="P1674" s="15">
        <v>220</v>
      </c>
      <c r="Q1674" s="8"/>
      <c r="R1674">
        <v>14.65</v>
      </c>
      <c r="S1674">
        <v>3143</v>
      </c>
      <c r="T1674">
        <v>6.52</v>
      </c>
      <c r="U1674">
        <v>10.52</v>
      </c>
      <c r="V1674">
        <v>146</v>
      </c>
      <c r="W1674" s="317">
        <v>4.5999999999999996</v>
      </c>
      <c r="X1674" s="190">
        <f t="shared" si="72"/>
        <v>94.3</v>
      </c>
      <c r="Y1674" s="8"/>
      <c r="Z1674" s="8"/>
    </row>
    <row r="1675" spans="1:26" ht="25.5" customHeight="1" x14ac:dyDescent="0.2">
      <c r="A1675" s="15">
        <v>131</v>
      </c>
      <c r="B1675" s="15">
        <v>2002</v>
      </c>
      <c r="C1675" s="15">
        <v>8</v>
      </c>
      <c r="D1675" s="15">
        <v>8</v>
      </c>
      <c r="E1675" s="29" t="s">
        <v>211</v>
      </c>
      <c r="F1675" s="20" t="s">
        <v>51</v>
      </c>
      <c r="G1675" s="11" t="s">
        <v>29</v>
      </c>
      <c r="H1675" s="15" t="s">
        <v>29</v>
      </c>
      <c r="I1675" s="33">
        <v>16.5</v>
      </c>
      <c r="J1675" s="11" t="s">
        <v>19</v>
      </c>
      <c r="K1675" s="20" t="s">
        <v>34</v>
      </c>
      <c r="L1675" s="11" t="s">
        <v>41</v>
      </c>
      <c r="M1675" s="20" t="s">
        <v>45</v>
      </c>
      <c r="N1675" s="20" t="s">
        <v>25</v>
      </c>
      <c r="O1675" s="31" t="s">
        <v>29</v>
      </c>
      <c r="P1675" s="15">
        <v>220</v>
      </c>
      <c r="Q1675" s="8"/>
      <c r="W1675" s="317">
        <v>3.8</v>
      </c>
      <c r="X1675" s="190">
        <f t="shared" si="72"/>
        <v>62.699999999999996</v>
      </c>
      <c r="Y1675" s="8"/>
      <c r="Z1675" s="8"/>
    </row>
    <row r="1676" spans="1:26" ht="25.5" customHeight="1" x14ac:dyDescent="0.2">
      <c r="A1676" s="15">
        <v>132</v>
      </c>
      <c r="B1676" s="15">
        <v>2002</v>
      </c>
      <c r="C1676" s="15">
        <v>8</v>
      </c>
      <c r="D1676" s="15">
        <v>8</v>
      </c>
      <c r="E1676" s="29" t="s">
        <v>211</v>
      </c>
      <c r="F1676" s="20" t="s">
        <v>51</v>
      </c>
      <c r="G1676" s="32">
        <v>130</v>
      </c>
      <c r="H1676" s="15" t="s">
        <v>29</v>
      </c>
      <c r="I1676" s="33">
        <v>12.5</v>
      </c>
      <c r="J1676" s="11" t="s">
        <v>19</v>
      </c>
      <c r="K1676" s="20" t="s">
        <v>20</v>
      </c>
      <c r="L1676" s="20" t="s">
        <v>30</v>
      </c>
      <c r="M1676" s="20" t="s">
        <v>46</v>
      </c>
      <c r="N1676" s="20" t="s">
        <v>23</v>
      </c>
      <c r="O1676" s="31" t="s">
        <v>29</v>
      </c>
      <c r="P1676" s="15">
        <v>220</v>
      </c>
      <c r="Q1676" s="8"/>
      <c r="R1676">
        <v>12.13</v>
      </c>
      <c r="S1676">
        <v>1784.33</v>
      </c>
      <c r="T1676">
        <v>7.01</v>
      </c>
      <c r="U1676">
        <v>8.7100000000000009</v>
      </c>
      <c r="V1676">
        <v>121</v>
      </c>
      <c r="W1676" s="317">
        <v>4.5999999999999996</v>
      </c>
      <c r="X1676" s="190">
        <f>I1676*W1676</f>
        <v>57.499999999999993</v>
      </c>
      <c r="Y1676" s="8"/>
      <c r="Z1676" s="8"/>
    </row>
    <row r="1677" spans="1:26" ht="25.5" customHeight="1" x14ac:dyDescent="0.2">
      <c r="A1677" s="15">
        <v>133</v>
      </c>
      <c r="B1677" s="15">
        <v>2002</v>
      </c>
      <c r="C1677" s="15">
        <v>8</v>
      </c>
      <c r="D1677" s="15">
        <v>8</v>
      </c>
      <c r="E1677" s="29" t="s">
        <v>211</v>
      </c>
      <c r="F1677" s="20" t="s">
        <v>51</v>
      </c>
      <c r="G1677" s="15">
        <v>145</v>
      </c>
      <c r="H1677" s="15" t="s">
        <v>29</v>
      </c>
      <c r="I1677" s="33">
        <v>11</v>
      </c>
      <c r="J1677" s="11" t="s">
        <v>19</v>
      </c>
      <c r="K1677" s="20" t="s">
        <v>20</v>
      </c>
      <c r="L1677" s="11" t="s">
        <v>21</v>
      </c>
      <c r="M1677" s="20" t="s">
        <v>45</v>
      </c>
      <c r="N1677" s="20" t="s">
        <v>25</v>
      </c>
      <c r="O1677" s="31" t="s">
        <v>29</v>
      </c>
      <c r="P1677" s="15">
        <v>220</v>
      </c>
      <c r="Q1677" s="8"/>
      <c r="R1677">
        <v>13.53</v>
      </c>
      <c r="S1677">
        <v>2475.9899999999998</v>
      </c>
      <c r="T1677">
        <v>4.4400000000000004</v>
      </c>
      <c r="U1677">
        <v>9.7200000000000006</v>
      </c>
      <c r="V1677">
        <v>135</v>
      </c>
      <c r="W1677" s="317">
        <v>3.9</v>
      </c>
      <c r="X1677" s="190">
        <f>I1677*W1677</f>
        <v>42.9</v>
      </c>
      <c r="Y1677" s="8"/>
      <c r="Z1677" s="8"/>
    </row>
    <row r="1678" spans="1:26" ht="25.5" customHeight="1" x14ac:dyDescent="0.2">
      <c r="A1678" s="15">
        <v>134</v>
      </c>
      <c r="B1678" s="15">
        <v>2002</v>
      </c>
      <c r="C1678" s="15">
        <v>8</v>
      </c>
      <c r="D1678" s="15">
        <v>8</v>
      </c>
      <c r="E1678" s="29" t="s">
        <v>211</v>
      </c>
      <c r="F1678" s="20" t="s">
        <v>51</v>
      </c>
      <c r="G1678" s="32">
        <v>136</v>
      </c>
      <c r="H1678" s="15" t="s">
        <v>29</v>
      </c>
      <c r="I1678" s="33">
        <v>13</v>
      </c>
      <c r="J1678" s="11" t="s">
        <v>19</v>
      </c>
      <c r="K1678" s="20" t="s">
        <v>20</v>
      </c>
      <c r="L1678" s="20" t="s">
        <v>30</v>
      </c>
      <c r="M1678" s="20" t="s">
        <v>45</v>
      </c>
      <c r="N1678" s="20" t="s">
        <v>24</v>
      </c>
      <c r="O1678" s="31" t="s">
        <v>29</v>
      </c>
      <c r="P1678" s="15">
        <v>220</v>
      </c>
      <c r="Q1678" s="8"/>
      <c r="R1678">
        <v>12.69</v>
      </c>
      <c r="S1678">
        <v>2042.97</v>
      </c>
      <c r="T1678">
        <v>6.36</v>
      </c>
      <c r="U1678">
        <v>9.11</v>
      </c>
      <c r="V1678">
        <v>127</v>
      </c>
      <c r="W1678" s="317">
        <v>4.5999999999999996</v>
      </c>
      <c r="X1678" s="190">
        <f>I1678*W1678</f>
        <v>59.8</v>
      </c>
      <c r="Y1678" s="8"/>
      <c r="Z1678" s="8"/>
    </row>
    <row r="1679" spans="1:26" ht="25.5" customHeight="1" x14ac:dyDescent="0.2">
      <c r="A1679" s="15">
        <v>135</v>
      </c>
      <c r="B1679" s="15">
        <v>2002</v>
      </c>
      <c r="C1679" s="15">
        <v>8</v>
      </c>
      <c r="D1679" s="15">
        <v>8</v>
      </c>
      <c r="E1679" s="29" t="s">
        <v>211</v>
      </c>
      <c r="F1679" s="20" t="s">
        <v>51</v>
      </c>
      <c r="G1679" s="32">
        <v>124</v>
      </c>
      <c r="H1679" s="15" t="s">
        <v>29</v>
      </c>
      <c r="I1679" s="33">
        <v>6.5</v>
      </c>
      <c r="J1679" s="11" t="s">
        <v>19</v>
      </c>
      <c r="K1679" s="20" t="s">
        <v>20</v>
      </c>
      <c r="L1679" s="11" t="s">
        <v>21</v>
      </c>
      <c r="M1679" s="20" t="s">
        <v>27</v>
      </c>
      <c r="N1679" s="20" t="s">
        <v>25</v>
      </c>
      <c r="O1679" s="31" t="s">
        <v>29</v>
      </c>
      <c r="P1679" s="15">
        <v>220</v>
      </c>
      <c r="Q1679" s="8"/>
      <c r="R1679">
        <v>11.57</v>
      </c>
      <c r="S1679">
        <v>1548.5</v>
      </c>
      <c r="T1679">
        <v>4.2</v>
      </c>
      <c r="U1679">
        <v>8.31</v>
      </c>
      <c r="V1679">
        <v>116</v>
      </c>
      <c r="W1679" s="317">
        <v>3.9</v>
      </c>
      <c r="X1679" s="190">
        <f>I1679*W1679</f>
        <v>25.349999999999998</v>
      </c>
      <c r="Y1679" s="8"/>
      <c r="Z1679" s="8"/>
    </row>
    <row r="1680" spans="1:26" ht="25.5" customHeight="1" x14ac:dyDescent="0.2">
      <c r="A1680" s="15">
        <v>136</v>
      </c>
      <c r="B1680" s="15">
        <v>2002</v>
      </c>
      <c r="C1680" s="15">
        <v>8</v>
      </c>
      <c r="D1680" s="15">
        <v>8</v>
      </c>
      <c r="E1680" s="29" t="s">
        <v>211</v>
      </c>
      <c r="F1680" s="20" t="s">
        <v>51</v>
      </c>
      <c r="G1680" s="32">
        <v>121</v>
      </c>
      <c r="H1680" s="15" t="s">
        <v>29</v>
      </c>
      <c r="I1680" s="33">
        <v>8</v>
      </c>
      <c r="J1680" s="11" t="s">
        <v>19</v>
      </c>
      <c r="K1680" s="20" t="s">
        <v>20</v>
      </c>
      <c r="L1680" s="20" t="s">
        <v>30</v>
      </c>
      <c r="M1680" s="20" t="s">
        <v>45</v>
      </c>
      <c r="N1680" s="20" t="s">
        <v>25</v>
      </c>
      <c r="O1680" s="31" t="s">
        <v>29</v>
      </c>
      <c r="P1680" s="15">
        <v>220</v>
      </c>
      <c r="Q1680" s="8"/>
      <c r="R1680">
        <v>11.29</v>
      </c>
      <c r="S1680">
        <v>1438.8</v>
      </c>
      <c r="T1680">
        <v>5.56</v>
      </c>
      <c r="U1680">
        <v>8.11</v>
      </c>
      <c r="V1680">
        <v>113</v>
      </c>
      <c r="W1680" s="317">
        <v>4.5999999999999996</v>
      </c>
      <c r="X1680" s="190">
        <f>I1680*W1680</f>
        <v>36.799999999999997</v>
      </c>
      <c r="Y1680" s="8"/>
      <c r="Z1680" s="8"/>
    </row>
    <row r="1681" spans="1:26" ht="25.5" customHeight="1" x14ac:dyDescent="0.2">
      <c r="A1681" s="15">
        <v>137</v>
      </c>
      <c r="B1681" s="15">
        <v>2002</v>
      </c>
      <c r="C1681" s="15">
        <v>8</v>
      </c>
      <c r="D1681" s="15">
        <v>8</v>
      </c>
      <c r="E1681" s="29" t="s">
        <v>211</v>
      </c>
      <c r="F1681" s="11" t="s">
        <v>28</v>
      </c>
      <c r="G1681" s="11" t="s">
        <v>29</v>
      </c>
      <c r="H1681" s="15" t="s">
        <v>29</v>
      </c>
      <c r="I1681" s="33">
        <v>3.5</v>
      </c>
      <c r="J1681" s="11" t="s">
        <v>19</v>
      </c>
      <c r="K1681" s="20" t="s">
        <v>20</v>
      </c>
      <c r="L1681" s="11" t="s">
        <v>41</v>
      </c>
      <c r="M1681" s="11" t="s">
        <v>29</v>
      </c>
      <c r="N1681" s="11" t="s">
        <v>29</v>
      </c>
      <c r="O1681" s="31" t="s">
        <v>29</v>
      </c>
      <c r="P1681" s="15">
        <v>220</v>
      </c>
      <c r="Q1681" s="8"/>
      <c r="W1681" s="8"/>
      <c r="X1681" s="8"/>
      <c r="Y1681" s="8"/>
      <c r="Z1681" s="8"/>
    </row>
    <row r="1682" spans="1:26" ht="25.5" customHeight="1" x14ac:dyDescent="0.2">
      <c r="A1682" s="15">
        <v>138</v>
      </c>
      <c r="B1682" s="15">
        <v>2002</v>
      </c>
      <c r="C1682" s="15">
        <v>8</v>
      </c>
      <c r="D1682" s="15">
        <v>8</v>
      </c>
      <c r="E1682" s="29" t="s">
        <v>211</v>
      </c>
      <c r="F1682" s="11" t="s">
        <v>28</v>
      </c>
      <c r="G1682" s="11" t="s">
        <v>29</v>
      </c>
      <c r="H1682" s="15" t="s">
        <v>29</v>
      </c>
      <c r="I1682" s="33">
        <v>7</v>
      </c>
      <c r="J1682" s="11" t="s">
        <v>19</v>
      </c>
      <c r="K1682" s="20" t="s">
        <v>20</v>
      </c>
      <c r="L1682" s="20" t="s">
        <v>30</v>
      </c>
      <c r="M1682" s="11" t="s">
        <v>29</v>
      </c>
      <c r="N1682" s="11" t="s">
        <v>29</v>
      </c>
      <c r="O1682" s="31" t="s">
        <v>29</v>
      </c>
      <c r="P1682" s="15">
        <v>220</v>
      </c>
      <c r="Q1682" s="8"/>
      <c r="W1682" s="317">
        <v>4.5999999999999996</v>
      </c>
      <c r="X1682" s="190">
        <f t="shared" ref="X1682:X1707" si="73">I1682*W1682</f>
        <v>32.199999999999996</v>
      </c>
      <c r="Y1682" s="8"/>
      <c r="Z1682" s="8"/>
    </row>
    <row r="1683" spans="1:26" ht="25.5" customHeight="1" x14ac:dyDescent="0.2">
      <c r="A1683" s="15">
        <v>139</v>
      </c>
      <c r="B1683" s="15">
        <v>2002</v>
      </c>
      <c r="C1683" s="15">
        <v>8</v>
      </c>
      <c r="D1683" s="15">
        <v>8</v>
      </c>
      <c r="E1683" s="29" t="s">
        <v>211</v>
      </c>
      <c r="F1683" s="20" t="s">
        <v>51</v>
      </c>
      <c r="G1683" s="32">
        <v>136</v>
      </c>
      <c r="H1683" s="15" t="s">
        <v>29</v>
      </c>
      <c r="I1683" s="33">
        <v>13.5</v>
      </c>
      <c r="J1683" s="11" t="s">
        <v>19</v>
      </c>
      <c r="K1683" s="20" t="s">
        <v>20</v>
      </c>
      <c r="L1683" s="20" t="s">
        <v>30</v>
      </c>
      <c r="M1683" s="20" t="s">
        <v>46</v>
      </c>
      <c r="N1683" s="20" t="s">
        <v>24</v>
      </c>
      <c r="O1683" s="31" t="s">
        <v>29</v>
      </c>
      <c r="P1683" s="15">
        <v>220</v>
      </c>
      <c r="Q1683" s="8"/>
      <c r="R1683">
        <v>12.69</v>
      </c>
      <c r="S1683">
        <v>2042.97</v>
      </c>
      <c r="T1683">
        <v>6.61</v>
      </c>
      <c r="U1683">
        <v>9.11</v>
      </c>
      <c r="V1683">
        <v>127</v>
      </c>
      <c r="W1683" s="317">
        <v>4.5999999999999996</v>
      </c>
      <c r="X1683" s="190">
        <f t="shared" si="73"/>
        <v>62.099999999999994</v>
      </c>
      <c r="Y1683" s="8"/>
      <c r="Z1683" s="8"/>
    </row>
    <row r="1684" spans="1:26" ht="25.5" customHeight="1" x14ac:dyDescent="0.2">
      <c r="A1684" s="15">
        <v>140</v>
      </c>
      <c r="B1684" s="15">
        <v>2002</v>
      </c>
      <c r="C1684" s="15">
        <v>8</v>
      </c>
      <c r="D1684" s="15">
        <v>8</v>
      </c>
      <c r="E1684" s="29" t="s">
        <v>211</v>
      </c>
      <c r="F1684" s="20" t="s">
        <v>51</v>
      </c>
      <c r="G1684" s="32">
        <v>128</v>
      </c>
      <c r="H1684" s="15" t="s">
        <v>29</v>
      </c>
      <c r="I1684" s="33">
        <v>10</v>
      </c>
      <c r="J1684" s="11" t="s">
        <v>19</v>
      </c>
      <c r="K1684" s="20" t="s">
        <v>20</v>
      </c>
      <c r="L1684" s="11" t="s">
        <v>21</v>
      </c>
      <c r="M1684" s="11" t="s">
        <v>29</v>
      </c>
      <c r="N1684" s="20" t="s">
        <v>24</v>
      </c>
      <c r="O1684" s="31" t="s">
        <v>29</v>
      </c>
      <c r="P1684" s="15">
        <v>220</v>
      </c>
      <c r="Q1684" s="8"/>
      <c r="R1684">
        <v>11.94</v>
      </c>
      <c r="S1684">
        <v>1703.24</v>
      </c>
      <c r="T1684">
        <v>5.87</v>
      </c>
      <c r="U1684">
        <v>8.58</v>
      </c>
      <c r="V1684">
        <v>119</v>
      </c>
      <c r="W1684" s="317">
        <v>3.9</v>
      </c>
      <c r="X1684" s="190">
        <f t="shared" si="73"/>
        <v>39</v>
      </c>
      <c r="Y1684" s="8"/>
      <c r="Z1684" s="8"/>
    </row>
    <row r="1685" spans="1:26" ht="25.5" customHeight="1" x14ac:dyDescent="0.2">
      <c r="A1685" s="15">
        <v>141</v>
      </c>
      <c r="B1685" s="15">
        <v>2002</v>
      </c>
      <c r="C1685" s="15">
        <v>8</v>
      </c>
      <c r="D1685" s="15">
        <v>8</v>
      </c>
      <c r="E1685" s="29" t="s">
        <v>211</v>
      </c>
      <c r="F1685" s="20" t="s">
        <v>51</v>
      </c>
      <c r="G1685" s="32">
        <v>163</v>
      </c>
      <c r="H1685" s="15" t="s">
        <v>29</v>
      </c>
      <c r="I1685" s="33">
        <v>17</v>
      </c>
      <c r="J1685" s="11" t="s">
        <v>19</v>
      </c>
      <c r="K1685" s="20" t="s">
        <v>20</v>
      </c>
      <c r="L1685" s="11" t="s">
        <v>21</v>
      </c>
      <c r="M1685" s="20" t="s">
        <v>46</v>
      </c>
      <c r="N1685" s="20" t="s">
        <v>23</v>
      </c>
      <c r="O1685" s="31" t="s">
        <v>29</v>
      </c>
      <c r="P1685" s="15">
        <v>220</v>
      </c>
      <c r="Q1685" s="8"/>
      <c r="R1685">
        <v>15.21</v>
      </c>
      <c r="S1685">
        <v>3517.29</v>
      </c>
      <c r="T1685">
        <v>4.83</v>
      </c>
      <c r="U1685">
        <v>10.92</v>
      </c>
      <c r="V1685">
        <v>152</v>
      </c>
      <c r="W1685" s="317">
        <v>3.9</v>
      </c>
      <c r="X1685" s="190">
        <f t="shared" si="73"/>
        <v>66.3</v>
      </c>
      <c r="Y1685" s="8"/>
      <c r="Z1685" s="8"/>
    </row>
    <row r="1686" spans="1:26" ht="25.5" customHeight="1" x14ac:dyDescent="0.2">
      <c r="A1686" s="15">
        <v>142</v>
      </c>
      <c r="B1686" s="15">
        <v>2002</v>
      </c>
      <c r="C1686" s="15">
        <v>8</v>
      </c>
      <c r="D1686" s="15">
        <v>8</v>
      </c>
      <c r="E1686" s="29" t="s">
        <v>211</v>
      </c>
      <c r="F1686" s="20" t="s">
        <v>51</v>
      </c>
      <c r="G1686" s="32">
        <v>150</v>
      </c>
      <c r="H1686" s="15" t="s">
        <v>29</v>
      </c>
      <c r="I1686" s="33">
        <v>9.5</v>
      </c>
      <c r="J1686" s="11" t="s">
        <v>19</v>
      </c>
      <c r="K1686" s="20" t="s">
        <v>20</v>
      </c>
      <c r="L1686" s="11" t="s">
        <v>21</v>
      </c>
      <c r="M1686" s="20" t="s">
        <v>27</v>
      </c>
      <c r="N1686" s="20" t="s">
        <v>25</v>
      </c>
      <c r="O1686" s="31" t="s">
        <v>29</v>
      </c>
      <c r="P1686" s="15">
        <v>220</v>
      </c>
      <c r="Q1686" s="8"/>
      <c r="R1686">
        <v>14</v>
      </c>
      <c r="S1686">
        <v>2741.06</v>
      </c>
      <c r="T1686">
        <v>3.47</v>
      </c>
      <c r="U1686">
        <v>10.050000000000001</v>
      </c>
      <c r="V1686">
        <v>140</v>
      </c>
      <c r="W1686" s="317">
        <v>3.9</v>
      </c>
      <c r="X1686" s="190">
        <f t="shared" si="73"/>
        <v>37.049999999999997</v>
      </c>
      <c r="Y1686" s="8"/>
      <c r="Z1686" s="8"/>
    </row>
    <row r="1687" spans="1:26" ht="25.5" customHeight="1" x14ac:dyDescent="0.2">
      <c r="A1687" s="15">
        <v>143</v>
      </c>
      <c r="B1687" s="15">
        <v>2002</v>
      </c>
      <c r="C1687" s="15">
        <v>8</v>
      </c>
      <c r="D1687" s="15">
        <v>8</v>
      </c>
      <c r="E1687" s="29" t="s">
        <v>211</v>
      </c>
      <c r="F1687" s="20" t="s">
        <v>51</v>
      </c>
      <c r="G1687" s="32">
        <v>136</v>
      </c>
      <c r="H1687" s="15" t="s">
        <v>29</v>
      </c>
      <c r="I1687" s="33">
        <v>10.5</v>
      </c>
      <c r="J1687" s="11" t="s">
        <v>19</v>
      </c>
      <c r="K1687" s="20" t="s">
        <v>20</v>
      </c>
      <c r="L1687" s="20" t="s">
        <v>30</v>
      </c>
      <c r="M1687" s="20" t="s">
        <v>46</v>
      </c>
      <c r="N1687" s="20" t="s">
        <v>25</v>
      </c>
      <c r="O1687" s="31" t="s">
        <v>29</v>
      </c>
      <c r="P1687" s="15">
        <v>220</v>
      </c>
      <c r="Q1687" s="8"/>
      <c r="R1687">
        <v>12.69</v>
      </c>
      <c r="S1687">
        <v>2042.97</v>
      </c>
      <c r="T1687">
        <v>5.14</v>
      </c>
      <c r="U1687">
        <v>9.11</v>
      </c>
      <c r="V1687">
        <v>127</v>
      </c>
      <c r="W1687" s="317">
        <v>4.5999999999999996</v>
      </c>
      <c r="X1687" s="190">
        <f t="shared" si="73"/>
        <v>48.3</v>
      </c>
      <c r="Y1687" s="8"/>
      <c r="Z1687" s="8"/>
    </row>
    <row r="1688" spans="1:26" ht="25.5" customHeight="1" x14ac:dyDescent="0.2">
      <c r="A1688" s="15">
        <v>144</v>
      </c>
      <c r="B1688" s="15">
        <v>2002</v>
      </c>
      <c r="C1688" s="15">
        <v>8</v>
      </c>
      <c r="D1688" s="15">
        <v>8</v>
      </c>
      <c r="E1688" s="29" t="s">
        <v>211</v>
      </c>
      <c r="F1688" s="20" t="s">
        <v>51</v>
      </c>
      <c r="G1688" s="32">
        <v>151</v>
      </c>
      <c r="H1688" s="15" t="s">
        <v>29</v>
      </c>
      <c r="I1688" s="33">
        <v>13</v>
      </c>
      <c r="J1688" s="11" t="s">
        <v>19</v>
      </c>
      <c r="K1688" s="20" t="s">
        <v>20</v>
      </c>
      <c r="L1688" s="11" t="s">
        <v>21</v>
      </c>
      <c r="M1688" s="20" t="s">
        <v>46</v>
      </c>
      <c r="N1688" s="20" t="s">
        <v>24</v>
      </c>
      <c r="O1688" s="31" t="s">
        <v>29</v>
      </c>
      <c r="P1688" s="15">
        <v>220</v>
      </c>
      <c r="Q1688" s="8"/>
      <c r="R1688">
        <v>14.09</v>
      </c>
      <c r="S1688">
        <v>2796.25</v>
      </c>
      <c r="T1688">
        <v>4.6500000000000004</v>
      </c>
      <c r="U1688">
        <v>10.119999999999999</v>
      </c>
      <c r="V1688">
        <v>141</v>
      </c>
      <c r="W1688" s="317">
        <v>3.9</v>
      </c>
      <c r="X1688" s="190">
        <f t="shared" si="73"/>
        <v>50.699999999999996</v>
      </c>
      <c r="Y1688" s="8"/>
      <c r="Z1688" s="8"/>
    </row>
    <row r="1689" spans="1:26" ht="25.5" customHeight="1" x14ac:dyDescent="0.2">
      <c r="A1689" s="15">
        <v>145</v>
      </c>
      <c r="B1689" s="15">
        <v>2002</v>
      </c>
      <c r="C1689" s="15">
        <v>8</v>
      </c>
      <c r="D1689" s="15">
        <v>8</v>
      </c>
      <c r="E1689" s="29" t="s">
        <v>211</v>
      </c>
      <c r="F1689" s="20" t="s">
        <v>51</v>
      </c>
      <c r="G1689" s="32">
        <v>146</v>
      </c>
      <c r="H1689" s="15" t="s">
        <v>29</v>
      </c>
      <c r="I1689" s="33">
        <v>15.5</v>
      </c>
      <c r="J1689" s="11" t="s">
        <v>19</v>
      </c>
      <c r="K1689" s="20" t="s">
        <v>20</v>
      </c>
      <c r="L1689" s="20" t="s">
        <v>30</v>
      </c>
      <c r="M1689" s="20" t="s">
        <v>46</v>
      </c>
      <c r="N1689" s="20" t="s">
        <v>24</v>
      </c>
      <c r="O1689" s="31" t="s">
        <v>29</v>
      </c>
      <c r="P1689" s="15">
        <v>220</v>
      </c>
      <c r="Q1689" s="8"/>
      <c r="R1689">
        <v>13.62</v>
      </c>
      <c r="S1689">
        <v>2527.5700000000002</v>
      </c>
      <c r="T1689">
        <v>6.13</v>
      </c>
      <c r="U1689">
        <v>9.7799999999999994</v>
      </c>
      <c r="V1689">
        <v>136</v>
      </c>
      <c r="W1689" s="317">
        <v>4.5999999999999996</v>
      </c>
      <c r="X1689" s="190">
        <f t="shared" si="73"/>
        <v>71.3</v>
      </c>
      <c r="Y1689" s="8"/>
      <c r="Z1689" s="8"/>
    </row>
    <row r="1690" spans="1:26" ht="25.5" customHeight="1" x14ac:dyDescent="0.2">
      <c r="A1690" s="15">
        <v>146</v>
      </c>
      <c r="B1690" s="15">
        <v>2002</v>
      </c>
      <c r="C1690" s="15">
        <v>8</v>
      </c>
      <c r="D1690" s="15">
        <v>8</v>
      </c>
      <c r="E1690" s="29" t="s">
        <v>211</v>
      </c>
      <c r="F1690" s="20" t="s">
        <v>51</v>
      </c>
      <c r="G1690" s="32">
        <v>164</v>
      </c>
      <c r="H1690" s="15" t="s">
        <v>29</v>
      </c>
      <c r="I1690" s="33">
        <v>16.5</v>
      </c>
      <c r="J1690" s="11" t="s">
        <v>19</v>
      </c>
      <c r="K1690" s="20" t="s">
        <v>20</v>
      </c>
      <c r="L1690" s="11" t="s">
        <v>21</v>
      </c>
      <c r="M1690" s="20" t="s">
        <v>46</v>
      </c>
      <c r="N1690" s="20" t="s">
        <v>24</v>
      </c>
      <c r="O1690" s="31" t="s">
        <v>29</v>
      </c>
      <c r="P1690" s="15">
        <v>220</v>
      </c>
      <c r="Q1690" s="8"/>
      <c r="R1690">
        <v>15.3</v>
      </c>
      <c r="S1690">
        <v>3582.42</v>
      </c>
      <c r="T1690">
        <v>4.6100000000000003</v>
      </c>
      <c r="U1690">
        <v>10.99</v>
      </c>
      <c r="V1690">
        <v>153</v>
      </c>
      <c r="W1690" s="317">
        <v>3.9</v>
      </c>
      <c r="X1690" s="190">
        <f t="shared" si="73"/>
        <v>64.349999999999994</v>
      </c>
      <c r="Y1690" s="8"/>
      <c r="Z1690" s="8"/>
    </row>
    <row r="1691" spans="1:26" ht="25.5" customHeight="1" x14ac:dyDescent="0.2">
      <c r="A1691" s="15">
        <v>147</v>
      </c>
      <c r="B1691" s="15">
        <v>2002</v>
      </c>
      <c r="C1691" s="15">
        <v>8</v>
      </c>
      <c r="D1691" s="15">
        <v>8</v>
      </c>
      <c r="E1691" s="29" t="s">
        <v>211</v>
      </c>
      <c r="F1691" s="20" t="s">
        <v>51</v>
      </c>
      <c r="G1691" s="32">
        <v>125</v>
      </c>
      <c r="H1691" s="15" t="s">
        <v>29</v>
      </c>
      <c r="I1691" s="33">
        <v>9</v>
      </c>
      <c r="J1691" s="11" t="s">
        <v>19</v>
      </c>
      <c r="K1691" s="20" t="s">
        <v>20</v>
      </c>
      <c r="L1691" s="20" t="s">
        <v>30</v>
      </c>
      <c r="M1691" s="20" t="s">
        <v>46</v>
      </c>
      <c r="N1691" s="20" t="s">
        <v>24</v>
      </c>
      <c r="O1691" s="31" t="s">
        <v>29</v>
      </c>
      <c r="P1691" s="15">
        <v>220</v>
      </c>
      <c r="Q1691" s="8"/>
      <c r="R1691">
        <v>11.66</v>
      </c>
      <c r="S1691">
        <v>1586.26</v>
      </c>
      <c r="T1691">
        <v>5.67</v>
      </c>
      <c r="U1691">
        <v>8.3800000000000008</v>
      </c>
      <c r="V1691">
        <v>117</v>
      </c>
      <c r="W1691" s="317">
        <v>4.5999999999999996</v>
      </c>
      <c r="X1691" s="190">
        <f t="shared" si="73"/>
        <v>41.4</v>
      </c>
      <c r="Y1691" s="8"/>
      <c r="Z1691" s="8"/>
    </row>
    <row r="1692" spans="1:26" ht="25.5" customHeight="1" x14ac:dyDescent="0.2">
      <c r="A1692" s="15">
        <v>148</v>
      </c>
      <c r="B1692" s="15">
        <v>2002</v>
      </c>
      <c r="C1692" s="15">
        <v>8</v>
      </c>
      <c r="D1692" s="15">
        <v>8</v>
      </c>
      <c r="E1692" s="29" t="s">
        <v>211</v>
      </c>
      <c r="F1692" s="20" t="s">
        <v>51</v>
      </c>
      <c r="G1692" s="32">
        <v>138</v>
      </c>
      <c r="H1692" s="15" t="s">
        <v>29</v>
      </c>
      <c r="I1692" s="33">
        <v>13.5</v>
      </c>
      <c r="J1692" s="11" t="s">
        <v>19</v>
      </c>
      <c r="K1692" s="20" t="s">
        <v>20</v>
      </c>
      <c r="L1692" s="20" t="s">
        <v>30</v>
      </c>
      <c r="M1692" s="20" t="s">
        <v>45</v>
      </c>
      <c r="N1692" s="20" t="s">
        <v>24</v>
      </c>
      <c r="O1692" s="31" t="s">
        <v>29</v>
      </c>
      <c r="P1692" s="15">
        <v>220</v>
      </c>
      <c r="Q1692" s="8"/>
      <c r="R1692">
        <v>12.88</v>
      </c>
      <c r="S1692">
        <v>2134.4299999999998</v>
      </c>
      <c r="T1692">
        <v>6.32</v>
      </c>
      <c r="U1692">
        <v>9.25</v>
      </c>
      <c r="V1692">
        <v>129</v>
      </c>
      <c r="W1692" s="317">
        <v>4.5999999999999996</v>
      </c>
      <c r="X1692" s="190">
        <f t="shared" si="73"/>
        <v>62.099999999999994</v>
      </c>
      <c r="Y1692" s="8"/>
      <c r="Z1692" s="8"/>
    </row>
    <row r="1693" spans="1:26" ht="25.5" customHeight="1" x14ac:dyDescent="0.2">
      <c r="A1693" s="15">
        <v>149</v>
      </c>
      <c r="B1693" s="15">
        <v>2002</v>
      </c>
      <c r="C1693" s="15">
        <v>8</v>
      </c>
      <c r="D1693" s="15">
        <v>8</v>
      </c>
      <c r="E1693" s="29" t="s">
        <v>211</v>
      </c>
      <c r="F1693" s="20" t="s">
        <v>51</v>
      </c>
      <c r="G1693" s="32">
        <v>140</v>
      </c>
      <c r="H1693" s="15" t="s">
        <v>29</v>
      </c>
      <c r="I1693" s="33">
        <v>13.5</v>
      </c>
      <c r="J1693" s="11" t="s">
        <v>19</v>
      </c>
      <c r="K1693" s="20" t="s">
        <v>20</v>
      </c>
      <c r="L1693" s="20" t="s">
        <v>30</v>
      </c>
      <c r="M1693" s="20" t="s">
        <v>46</v>
      </c>
      <c r="N1693" s="20" t="s">
        <v>23</v>
      </c>
      <c r="O1693" s="31" t="s">
        <v>29</v>
      </c>
      <c r="P1693" s="15">
        <v>220</v>
      </c>
      <c r="Q1693" s="8"/>
      <c r="R1693">
        <v>13.06</v>
      </c>
      <c r="S1693">
        <v>2228.58</v>
      </c>
      <c r="T1693">
        <v>6.06</v>
      </c>
      <c r="U1693">
        <v>9.3800000000000008</v>
      </c>
      <c r="V1693">
        <v>131</v>
      </c>
      <c r="W1693" s="317">
        <v>4.5999999999999996</v>
      </c>
      <c r="X1693" s="190">
        <f t="shared" si="73"/>
        <v>62.099999999999994</v>
      </c>
      <c r="Y1693" s="8"/>
      <c r="Z1693" s="8"/>
    </row>
    <row r="1694" spans="1:26" ht="25.5" customHeight="1" x14ac:dyDescent="0.2">
      <c r="A1694" s="15">
        <v>150</v>
      </c>
      <c r="B1694" s="15">
        <v>2002</v>
      </c>
      <c r="C1694" s="15">
        <v>8</v>
      </c>
      <c r="D1694" s="15">
        <v>8</v>
      </c>
      <c r="E1694" s="29" t="s">
        <v>211</v>
      </c>
      <c r="F1694" s="20" t="s">
        <v>51</v>
      </c>
      <c r="G1694" s="32">
        <v>133</v>
      </c>
      <c r="H1694" s="15" t="s">
        <v>29</v>
      </c>
      <c r="I1694" s="33">
        <v>11.5</v>
      </c>
      <c r="J1694" s="11" t="s">
        <v>19</v>
      </c>
      <c r="K1694" s="20" t="s">
        <v>20</v>
      </c>
      <c r="L1694" s="20" t="s">
        <v>30</v>
      </c>
      <c r="M1694" s="20" t="s">
        <v>45</v>
      </c>
      <c r="N1694" s="20" t="s">
        <v>25</v>
      </c>
      <c r="O1694" s="31" t="s">
        <v>29</v>
      </c>
      <c r="P1694" s="15">
        <v>220</v>
      </c>
      <c r="Q1694" s="8"/>
      <c r="R1694">
        <v>12.41</v>
      </c>
      <c r="S1694">
        <v>1910.73</v>
      </c>
      <c r="T1694">
        <v>6.02</v>
      </c>
      <c r="U1694">
        <v>8.91</v>
      </c>
      <c r="V1694">
        <v>124</v>
      </c>
      <c r="W1694" s="317">
        <v>4.5999999999999996</v>
      </c>
      <c r="X1694" s="190">
        <f t="shared" si="73"/>
        <v>52.9</v>
      </c>
      <c r="Y1694" s="8"/>
      <c r="Z1694" s="8"/>
    </row>
    <row r="1695" spans="1:26" ht="25.5" customHeight="1" x14ac:dyDescent="0.2">
      <c r="A1695" s="15">
        <v>151</v>
      </c>
      <c r="B1695" s="15">
        <v>2002</v>
      </c>
      <c r="C1695" s="15">
        <v>8</v>
      </c>
      <c r="D1695" s="15">
        <v>8</v>
      </c>
      <c r="E1695" s="29" t="s">
        <v>211</v>
      </c>
      <c r="F1695" s="20" t="s">
        <v>51</v>
      </c>
      <c r="G1695" s="32">
        <v>130</v>
      </c>
      <c r="H1695" s="15" t="s">
        <v>29</v>
      </c>
      <c r="I1695" s="33">
        <v>12.5</v>
      </c>
      <c r="J1695" s="11" t="s">
        <v>19</v>
      </c>
      <c r="K1695" s="20" t="s">
        <v>20</v>
      </c>
      <c r="L1695" s="20" t="s">
        <v>30</v>
      </c>
      <c r="M1695" s="20" t="s">
        <v>45</v>
      </c>
      <c r="N1695" s="20" t="s">
        <v>24</v>
      </c>
      <c r="O1695" s="31" t="s">
        <v>29</v>
      </c>
      <c r="P1695" s="15">
        <v>220</v>
      </c>
      <c r="Q1695" s="8"/>
      <c r="R1695">
        <v>12.13</v>
      </c>
      <c r="S1695">
        <v>1784.33</v>
      </c>
      <c r="T1695">
        <v>7.01</v>
      </c>
      <c r="U1695">
        <v>8.7100000000000009</v>
      </c>
      <c r="V1695">
        <v>121</v>
      </c>
      <c r="W1695" s="317">
        <v>4.5999999999999996</v>
      </c>
      <c r="X1695" s="190">
        <f t="shared" si="73"/>
        <v>57.499999999999993</v>
      </c>
      <c r="Y1695" s="8"/>
      <c r="Z1695" s="8"/>
    </row>
    <row r="1696" spans="1:26" ht="25.5" customHeight="1" x14ac:dyDescent="0.2">
      <c r="A1696" s="15">
        <v>152</v>
      </c>
      <c r="B1696" s="15">
        <v>2002</v>
      </c>
      <c r="C1696" s="15">
        <v>8</v>
      </c>
      <c r="D1696" s="15">
        <v>8</v>
      </c>
      <c r="E1696" s="29" t="s">
        <v>211</v>
      </c>
      <c r="F1696" s="20" t="s">
        <v>51</v>
      </c>
      <c r="G1696" s="32">
        <v>132</v>
      </c>
      <c r="H1696" s="15" t="s">
        <v>29</v>
      </c>
      <c r="I1696" s="33">
        <v>11.5</v>
      </c>
      <c r="J1696" s="11" t="s">
        <v>19</v>
      </c>
      <c r="K1696" s="20" t="s">
        <v>20</v>
      </c>
      <c r="L1696" s="20" t="s">
        <v>30</v>
      </c>
      <c r="M1696" s="20" t="s">
        <v>45</v>
      </c>
      <c r="N1696" s="20" t="s">
        <v>25</v>
      </c>
      <c r="O1696" s="31" t="s">
        <v>29</v>
      </c>
      <c r="P1696" s="15">
        <v>220</v>
      </c>
      <c r="Q1696" s="8"/>
      <c r="R1696">
        <v>12.32</v>
      </c>
      <c r="S1696">
        <v>1867.96</v>
      </c>
      <c r="T1696">
        <v>6.16</v>
      </c>
      <c r="U1696">
        <v>8.84</v>
      </c>
      <c r="V1696">
        <v>123</v>
      </c>
      <c r="W1696" s="317">
        <v>4.5999999999999996</v>
      </c>
      <c r="X1696" s="190">
        <f t="shared" si="73"/>
        <v>52.9</v>
      </c>
      <c r="Y1696" s="8"/>
      <c r="Z1696" s="8"/>
    </row>
    <row r="1697" spans="1:26" ht="25.5" customHeight="1" x14ac:dyDescent="0.2">
      <c r="A1697" s="15">
        <v>153</v>
      </c>
      <c r="B1697" s="15">
        <v>2002</v>
      </c>
      <c r="C1697" s="15">
        <v>8</v>
      </c>
      <c r="D1697" s="15">
        <v>8</v>
      </c>
      <c r="E1697" s="29" t="s">
        <v>211</v>
      </c>
      <c r="F1697" s="20" t="s">
        <v>51</v>
      </c>
      <c r="G1697" s="32">
        <v>135</v>
      </c>
      <c r="H1697" s="15" t="s">
        <v>29</v>
      </c>
      <c r="I1697" s="33">
        <v>11</v>
      </c>
      <c r="J1697" s="11" t="s">
        <v>19</v>
      </c>
      <c r="K1697" s="20" t="s">
        <v>20</v>
      </c>
      <c r="L1697" s="20" t="s">
        <v>30</v>
      </c>
      <c r="M1697" s="20" t="s">
        <v>46</v>
      </c>
      <c r="N1697" s="20" t="s">
        <v>25</v>
      </c>
      <c r="O1697" s="31" t="s">
        <v>29</v>
      </c>
      <c r="P1697" s="15">
        <v>220</v>
      </c>
      <c r="Q1697" s="8"/>
      <c r="R1697">
        <v>12.6</v>
      </c>
      <c r="S1697">
        <v>1998.23</v>
      </c>
      <c r="T1697">
        <v>5.5</v>
      </c>
      <c r="U1697">
        <v>9.0500000000000007</v>
      </c>
      <c r="V1697">
        <v>126</v>
      </c>
      <c r="W1697" s="317">
        <v>4.5999999999999996</v>
      </c>
      <c r="X1697" s="190">
        <f t="shared" si="73"/>
        <v>50.599999999999994</v>
      </c>
      <c r="Y1697" s="8"/>
      <c r="Z1697" s="8"/>
    </row>
    <row r="1698" spans="1:26" ht="25.5" customHeight="1" x14ac:dyDescent="0.2">
      <c r="A1698" s="15">
        <v>154</v>
      </c>
      <c r="B1698" s="15">
        <v>2002</v>
      </c>
      <c r="C1698" s="15">
        <v>8</v>
      </c>
      <c r="D1698" s="15">
        <v>8</v>
      </c>
      <c r="E1698" s="29" t="s">
        <v>211</v>
      </c>
      <c r="F1698" s="20" t="s">
        <v>51</v>
      </c>
      <c r="G1698" s="32">
        <v>140</v>
      </c>
      <c r="H1698" s="15" t="s">
        <v>29</v>
      </c>
      <c r="I1698" s="33">
        <v>11.5</v>
      </c>
      <c r="J1698" s="11" t="s">
        <v>19</v>
      </c>
      <c r="K1698" s="20" t="s">
        <v>20</v>
      </c>
      <c r="L1698" s="20" t="s">
        <v>30</v>
      </c>
      <c r="M1698" s="20" t="s">
        <v>46</v>
      </c>
      <c r="N1698" s="20" t="s">
        <v>23</v>
      </c>
      <c r="O1698" s="31" t="s">
        <v>29</v>
      </c>
      <c r="P1698" s="15">
        <v>220</v>
      </c>
      <c r="Q1698" s="8"/>
      <c r="R1698">
        <v>13.06</v>
      </c>
      <c r="S1698">
        <v>2228.58</v>
      </c>
      <c r="T1698">
        <v>5.16</v>
      </c>
      <c r="U1698">
        <v>9.3800000000000008</v>
      </c>
      <c r="V1698">
        <v>131</v>
      </c>
      <c r="W1698" s="317">
        <v>4.5999999999999996</v>
      </c>
      <c r="X1698" s="190">
        <f t="shared" si="73"/>
        <v>52.9</v>
      </c>
      <c r="Y1698" s="8"/>
      <c r="Z1698" s="8"/>
    </row>
    <row r="1699" spans="1:26" ht="25.5" customHeight="1" x14ac:dyDescent="0.2">
      <c r="A1699" s="15">
        <v>155</v>
      </c>
      <c r="B1699" s="15">
        <v>2002</v>
      </c>
      <c r="C1699" s="15">
        <v>8</v>
      </c>
      <c r="D1699" s="15">
        <v>8</v>
      </c>
      <c r="E1699" s="29" t="s">
        <v>211</v>
      </c>
      <c r="F1699" s="20" t="s">
        <v>51</v>
      </c>
      <c r="G1699" s="32">
        <v>162</v>
      </c>
      <c r="H1699" s="15" t="s">
        <v>29</v>
      </c>
      <c r="I1699" s="33">
        <v>19</v>
      </c>
      <c r="J1699" s="11" t="s">
        <v>19</v>
      </c>
      <c r="K1699" s="20" t="s">
        <v>20</v>
      </c>
      <c r="L1699" s="11" t="s">
        <v>21</v>
      </c>
      <c r="M1699" s="20" t="s">
        <v>45</v>
      </c>
      <c r="N1699" s="20" t="s">
        <v>33</v>
      </c>
      <c r="O1699" s="31" t="s">
        <v>29</v>
      </c>
      <c r="P1699" s="15">
        <v>220</v>
      </c>
      <c r="Q1699" s="8"/>
      <c r="R1699">
        <v>15.11</v>
      </c>
      <c r="S1699">
        <v>3452.95</v>
      </c>
      <c r="T1699">
        <v>5.5</v>
      </c>
      <c r="U1699">
        <v>10.85</v>
      </c>
      <c r="V1699">
        <v>151</v>
      </c>
      <c r="W1699" s="317">
        <v>3.9</v>
      </c>
      <c r="X1699" s="190">
        <f t="shared" si="73"/>
        <v>74.099999999999994</v>
      </c>
      <c r="Y1699" s="8"/>
      <c r="Z1699" s="8"/>
    </row>
    <row r="1700" spans="1:26" ht="25.5" customHeight="1" x14ac:dyDescent="0.2">
      <c r="A1700" s="15">
        <v>156</v>
      </c>
      <c r="B1700" s="15">
        <v>2002</v>
      </c>
      <c r="C1700" s="15">
        <v>8</v>
      </c>
      <c r="D1700" s="15">
        <v>8</v>
      </c>
      <c r="E1700" s="29" t="s">
        <v>211</v>
      </c>
      <c r="F1700" s="20" t="s">
        <v>51</v>
      </c>
      <c r="G1700" s="32">
        <v>132</v>
      </c>
      <c r="H1700" s="15" t="s">
        <v>29</v>
      </c>
      <c r="I1700" s="33">
        <v>14</v>
      </c>
      <c r="J1700" s="11" t="s">
        <v>19</v>
      </c>
      <c r="K1700" s="20" t="s">
        <v>20</v>
      </c>
      <c r="L1700" s="20" t="s">
        <v>30</v>
      </c>
      <c r="M1700" s="20" t="s">
        <v>46</v>
      </c>
      <c r="N1700" s="20" t="s">
        <v>24</v>
      </c>
      <c r="O1700" s="31" t="s">
        <v>29</v>
      </c>
      <c r="P1700" s="15">
        <v>220</v>
      </c>
      <c r="Q1700" s="8"/>
      <c r="R1700">
        <v>12.32</v>
      </c>
      <c r="S1700">
        <v>1867.96</v>
      </c>
      <c r="T1700">
        <v>7.49</v>
      </c>
      <c r="U1700">
        <v>8.84</v>
      </c>
      <c r="V1700">
        <v>123</v>
      </c>
      <c r="W1700" s="317">
        <v>4.5999999999999996</v>
      </c>
      <c r="X1700" s="190">
        <f t="shared" si="73"/>
        <v>64.399999999999991</v>
      </c>
      <c r="Y1700" s="8"/>
      <c r="Z1700" s="8"/>
    </row>
    <row r="1701" spans="1:26" ht="25.5" customHeight="1" x14ac:dyDescent="0.2">
      <c r="A1701" s="15">
        <v>157</v>
      </c>
      <c r="B1701" s="15">
        <v>2002</v>
      </c>
      <c r="C1701" s="15">
        <v>8</v>
      </c>
      <c r="D1701" s="15">
        <v>8</v>
      </c>
      <c r="E1701" s="29" t="s">
        <v>211</v>
      </c>
      <c r="F1701" s="20" t="s">
        <v>51</v>
      </c>
      <c r="G1701" s="32">
        <v>163</v>
      </c>
      <c r="H1701" s="15" t="s">
        <v>29</v>
      </c>
      <c r="I1701" s="33">
        <v>17</v>
      </c>
      <c r="J1701" s="11" t="s">
        <v>19</v>
      </c>
      <c r="K1701" s="20" t="s">
        <v>20</v>
      </c>
      <c r="L1701" s="11" t="s">
        <v>21</v>
      </c>
      <c r="M1701" s="20" t="s">
        <v>27</v>
      </c>
      <c r="N1701" s="20" t="s">
        <v>23</v>
      </c>
      <c r="O1701" s="31" t="s">
        <v>29</v>
      </c>
      <c r="P1701" s="15">
        <v>220</v>
      </c>
      <c r="Q1701" s="8"/>
      <c r="R1701">
        <v>15.21</v>
      </c>
      <c r="S1701">
        <v>3517.29</v>
      </c>
      <c r="T1701">
        <v>4.83</v>
      </c>
      <c r="U1701">
        <v>10.92</v>
      </c>
      <c r="V1701">
        <v>152</v>
      </c>
      <c r="W1701" s="317">
        <v>3.9</v>
      </c>
      <c r="X1701" s="190">
        <f t="shared" si="73"/>
        <v>66.3</v>
      </c>
      <c r="Y1701" s="8"/>
      <c r="Z1701" s="8"/>
    </row>
    <row r="1702" spans="1:26" ht="25.5" customHeight="1" x14ac:dyDescent="0.2">
      <c r="A1702" s="15">
        <v>158</v>
      </c>
      <c r="B1702" s="15">
        <v>2002</v>
      </c>
      <c r="C1702" s="15">
        <v>8</v>
      </c>
      <c r="D1702" s="15">
        <v>8</v>
      </c>
      <c r="E1702" s="29" t="s">
        <v>211</v>
      </c>
      <c r="F1702" s="20" t="s">
        <v>51</v>
      </c>
      <c r="G1702" s="32">
        <v>133</v>
      </c>
      <c r="H1702" s="15" t="s">
        <v>29</v>
      </c>
      <c r="I1702" s="33">
        <v>9</v>
      </c>
      <c r="J1702" s="11" t="s">
        <v>19</v>
      </c>
      <c r="K1702" s="20" t="s">
        <v>20</v>
      </c>
      <c r="L1702" s="20" t="s">
        <v>30</v>
      </c>
      <c r="M1702" s="20" t="s">
        <v>45</v>
      </c>
      <c r="N1702" s="20" t="s">
        <v>25</v>
      </c>
      <c r="O1702" s="31" t="s">
        <v>29</v>
      </c>
      <c r="P1702" s="15">
        <v>220</v>
      </c>
      <c r="Q1702" s="8"/>
      <c r="R1702">
        <v>12.41</v>
      </c>
      <c r="S1702">
        <v>1910.73</v>
      </c>
      <c r="T1702">
        <v>4.71</v>
      </c>
      <c r="U1702">
        <v>8.91</v>
      </c>
      <c r="V1702">
        <v>124</v>
      </c>
      <c r="W1702" s="317">
        <v>4.5999999999999996</v>
      </c>
      <c r="X1702" s="190">
        <f t="shared" si="73"/>
        <v>41.4</v>
      </c>
      <c r="Y1702" s="8"/>
      <c r="Z1702" s="8"/>
    </row>
    <row r="1703" spans="1:26" ht="25.5" customHeight="1" x14ac:dyDescent="0.2">
      <c r="A1703" s="15">
        <v>159</v>
      </c>
      <c r="B1703" s="15">
        <v>2002</v>
      </c>
      <c r="C1703" s="15">
        <v>8</v>
      </c>
      <c r="D1703" s="15">
        <v>8</v>
      </c>
      <c r="E1703" s="29" t="s">
        <v>211</v>
      </c>
      <c r="F1703" s="20" t="s">
        <v>51</v>
      </c>
      <c r="G1703" s="32">
        <v>139</v>
      </c>
      <c r="H1703" s="15" t="s">
        <v>29</v>
      </c>
      <c r="I1703" s="33">
        <v>13</v>
      </c>
      <c r="J1703" s="11" t="s">
        <v>19</v>
      </c>
      <c r="K1703" s="20" t="s">
        <v>20</v>
      </c>
      <c r="L1703" s="20" t="s">
        <v>30</v>
      </c>
      <c r="M1703" s="20" t="s">
        <v>46</v>
      </c>
      <c r="N1703" s="20" t="s">
        <v>23</v>
      </c>
      <c r="O1703" s="31" t="s">
        <v>29</v>
      </c>
      <c r="P1703" s="15">
        <v>220</v>
      </c>
      <c r="Q1703" s="8"/>
      <c r="R1703">
        <v>12.97</v>
      </c>
      <c r="S1703">
        <v>2181.17</v>
      </c>
      <c r="T1703">
        <v>5.96</v>
      </c>
      <c r="U1703">
        <v>9.31</v>
      </c>
      <c r="V1703">
        <v>130</v>
      </c>
      <c r="W1703" s="317">
        <v>4.5999999999999996</v>
      </c>
      <c r="X1703" s="190">
        <f t="shared" si="73"/>
        <v>59.8</v>
      </c>
      <c r="Y1703" s="8"/>
      <c r="Z1703" s="8"/>
    </row>
    <row r="1704" spans="1:26" ht="25.5" customHeight="1" x14ac:dyDescent="0.2">
      <c r="A1704" s="15">
        <v>160</v>
      </c>
      <c r="B1704" s="15">
        <v>2002</v>
      </c>
      <c r="C1704" s="15">
        <v>8</v>
      </c>
      <c r="D1704" s="15">
        <v>8</v>
      </c>
      <c r="E1704" s="29" t="s">
        <v>211</v>
      </c>
      <c r="F1704" s="20" t="s">
        <v>51</v>
      </c>
      <c r="G1704" s="32">
        <v>157</v>
      </c>
      <c r="H1704" s="15" t="s">
        <v>29</v>
      </c>
      <c r="I1704" s="33">
        <v>16.5</v>
      </c>
      <c r="J1704" s="11" t="s">
        <v>19</v>
      </c>
      <c r="K1704" s="20" t="s">
        <v>20</v>
      </c>
      <c r="L1704" s="11" t="s">
        <v>21</v>
      </c>
      <c r="M1704" s="20" t="s">
        <v>45</v>
      </c>
      <c r="N1704" s="20" t="s">
        <v>24</v>
      </c>
      <c r="O1704" s="31" t="s">
        <v>29</v>
      </c>
      <c r="P1704" s="15">
        <v>220</v>
      </c>
      <c r="Q1704" s="8"/>
      <c r="R1704">
        <v>14.65</v>
      </c>
      <c r="S1704">
        <v>3143</v>
      </c>
      <c r="T1704">
        <v>5.25</v>
      </c>
      <c r="U1704">
        <v>10.52</v>
      </c>
      <c r="V1704">
        <v>146</v>
      </c>
      <c r="W1704" s="317">
        <v>3.9</v>
      </c>
      <c r="X1704" s="190">
        <f t="shared" si="73"/>
        <v>64.349999999999994</v>
      </c>
      <c r="Y1704" s="8"/>
      <c r="Z1704" s="8"/>
    </row>
    <row r="1705" spans="1:26" ht="25.5" customHeight="1" x14ac:dyDescent="0.2">
      <c r="A1705" s="15">
        <v>161</v>
      </c>
      <c r="B1705" s="15">
        <v>2002</v>
      </c>
      <c r="C1705" s="15">
        <v>8</v>
      </c>
      <c r="D1705" s="15">
        <v>8</v>
      </c>
      <c r="E1705" s="29" t="s">
        <v>211</v>
      </c>
      <c r="F1705" s="20" t="s">
        <v>51</v>
      </c>
      <c r="G1705" s="11" t="s">
        <v>29</v>
      </c>
      <c r="H1705" s="15" t="s">
        <v>29</v>
      </c>
      <c r="I1705" s="33">
        <v>12</v>
      </c>
      <c r="J1705" s="11" t="s">
        <v>19</v>
      </c>
      <c r="K1705" s="20" t="s">
        <v>20</v>
      </c>
      <c r="L1705" s="11" t="s">
        <v>21</v>
      </c>
      <c r="M1705" s="20" t="s">
        <v>46</v>
      </c>
      <c r="N1705" s="20" t="s">
        <v>25</v>
      </c>
      <c r="O1705" s="31" t="s">
        <v>29</v>
      </c>
      <c r="P1705" s="15">
        <v>220</v>
      </c>
      <c r="Q1705" s="8"/>
      <c r="W1705" s="317">
        <v>3.9</v>
      </c>
      <c r="X1705" s="190">
        <f t="shared" si="73"/>
        <v>46.8</v>
      </c>
      <c r="Y1705" s="8"/>
      <c r="Z1705" s="8"/>
    </row>
    <row r="1706" spans="1:26" ht="25.5" customHeight="1" x14ac:dyDescent="0.2">
      <c r="A1706" s="15">
        <v>162</v>
      </c>
      <c r="B1706" s="15">
        <v>2002</v>
      </c>
      <c r="C1706" s="15">
        <v>8</v>
      </c>
      <c r="D1706" s="15">
        <v>8</v>
      </c>
      <c r="E1706" s="29" t="s">
        <v>211</v>
      </c>
      <c r="F1706" s="20" t="s">
        <v>51</v>
      </c>
      <c r="G1706" s="32">
        <v>145</v>
      </c>
      <c r="H1706" s="15" t="s">
        <v>29</v>
      </c>
      <c r="I1706" s="33">
        <v>16</v>
      </c>
      <c r="J1706" s="11" t="s">
        <v>19</v>
      </c>
      <c r="K1706" s="20" t="s">
        <v>20</v>
      </c>
      <c r="L1706" s="20" t="s">
        <v>30</v>
      </c>
      <c r="M1706" s="20" t="s">
        <v>46</v>
      </c>
      <c r="N1706" s="20" t="s">
        <v>24</v>
      </c>
      <c r="O1706" s="31" t="s">
        <v>29</v>
      </c>
      <c r="P1706" s="15">
        <v>220</v>
      </c>
      <c r="Q1706" s="8"/>
      <c r="R1706">
        <v>13.53</v>
      </c>
      <c r="S1706">
        <v>2475.9899999999998</v>
      </c>
      <c r="T1706">
        <v>6.46</v>
      </c>
      <c r="U1706">
        <v>9.7200000000000006</v>
      </c>
      <c r="V1706">
        <v>135</v>
      </c>
      <c r="W1706" s="317">
        <v>4.5999999999999996</v>
      </c>
      <c r="X1706" s="190">
        <f t="shared" si="73"/>
        <v>73.599999999999994</v>
      </c>
      <c r="Y1706" s="8"/>
      <c r="Z1706" s="8"/>
    </row>
    <row r="1707" spans="1:26" ht="25.5" customHeight="1" x14ac:dyDescent="0.2">
      <c r="A1707" s="15">
        <v>163</v>
      </c>
      <c r="B1707" s="15">
        <v>2002</v>
      </c>
      <c r="C1707" s="15">
        <v>8</v>
      </c>
      <c r="D1707" s="15">
        <v>8</v>
      </c>
      <c r="E1707" s="29" t="s">
        <v>211</v>
      </c>
      <c r="F1707" s="20" t="s">
        <v>51</v>
      </c>
      <c r="G1707" s="32">
        <v>143</v>
      </c>
      <c r="H1707" s="15" t="s">
        <v>29</v>
      </c>
      <c r="I1707" s="33">
        <v>15.5</v>
      </c>
      <c r="J1707" s="11" t="s">
        <v>19</v>
      </c>
      <c r="K1707" s="20" t="s">
        <v>34</v>
      </c>
      <c r="L1707" s="11" t="s">
        <v>41</v>
      </c>
      <c r="M1707" s="20" t="s">
        <v>45</v>
      </c>
      <c r="N1707" s="20" t="s">
        <v>24</v>
      </c>
      <c r="O1707" s="31" t="s">
        <v>29</v>
      </c>
      <c r="P1707" s="15">
        <v>220</v>
      </c>
      <c r="Q1707" s="8"/>
      <c r="R1707">
        <v>13.34</v>
      </c>
      <c r="S1707">
        <v>2374.94</v>
      </c>
      <c r="T1707">
        <v>6.53</v>
      </c>
      <c r="U1707">
        <v>9.58</v>
      </c>
      <c r="V1707">
        <v>133</v>
      </c>
      <c r="W1707" s="317">
        <v>3.8</v>
      </c>
      <c r="X1707" s="190">
        <f t="shared" si="73"/>
        <v>58.9</v>
      </c>
      <c r="Y1707" s="8"/>
      <c r="Z1707" s="8"/>
    </row>
    <row r="1708" spans="1:26" ht="25.5" customHeight="1" x14ac:dyDescent="0.2">
      <c r="A1708" s="15">
        <v>164</v>
      </c>
      <c r="B1708" s="15">
        <v>2002</v>
      </c>
      <c r="C1708" s="15">
        <v>8</v>
      </c>
      <c r="D1708" s="15">
        <v>8</v>
      </c>
      <c r="E1708" s="29" t="s">
        <v>211</v>
      </c>
      <c r="F1708" s="20" t="s">
        <v>51</v>
      </c>
      <c r="G1708" s="32">
        <v>120</v>
      </c>
      <c r="H1708" s="15" t="s">
        <v>29</v>
      </c>
      <c r="I1708" s="33">
        <v>8</v>
      </c>
      <c r="J1708" s="11" t="s">
        <v>19</v>
      </c>
      <c r="K1708" s="20" t="s">
        <v>20</v>
      </c>
      <c r="L1708" s="20" t="s">
        <v>30</v>
      </c>
      <c r="M1708" s="20" t="s">
        <v>45</v>
      </c>
      <c r="N1708" s="20" t="s">
        <v>24</v>
      </c>
      <c r="O1708" s="31" t="s">
        <v>29</v>
      </c>
      <c r="P1708" s="15">
        <v>220</v>
      </c>
      <c r="Q1708" s="8"/>
      <c r="R1708">
        <v>11.2</v>
      </c>
      <c r="S1708">
        <v>1403.42</v>
      </c>
      <c r="T1708">
        <v>5.7</v>
      </c>
      <c r="U1708">
        <v>8.0399999999999991</v>
      </c>
      <c r="V1708">
        <v>112</v>
      </c>
      <c r="W1708" s="317">
        <v>4.5999999999999996</v>
      </c>
      <c r="X1708" s="190">
        <f t="shared" ref="X1708:X1714" si="74">I1708*W1708</f>
        <v>36.799999999999997</v>
      </c>
      <c r="Y1708" s="8"/>
      <c r="Z1708" s="8"/>
    </row>
    <row r="1709" spans="1:26" ht="25.5" customHeight="1" x14ac:dyDescent="0.2">
      <c r="A1709" s="15">
        <v>165</v>
      </c>
      <c r="B1709" s="15">
        <v>2002</v>
      </c>
      <c r="C1709" s="15">
        <v>8</v>
      </c>
      <c r="D1709" s="15">
        <v>8</v>
      </c>
      <c r="E1709" s="29" t="s">
        <v>211</v>
      </c>
      <c r="F1709" s="20" t="s">
        <v>51</v>
      </c>
      <c r="G1709" s="32">
        <v>140</v>
      </c>
      <c r="H1709" s="15" t="s">
        <v>29</v>
      </c>
      <c r="I1709" s="33">
        <v>14</v>
      </c>
      <c r="J1709" s="11" t="s">
        <v>19</v>
      </c>
      <c r="K1709" s="20" t="s">
        <v>20</v>
      </c>
      <c r="L1709" s="20" t="s">
        <v>30</v>
      </c>
      <c r="M1709" s="20" t="s">
        <v>46</v>
      </c>
      <c r="N1709" s="20" t="s">
        <v>24</v>
      </c>
      <c r="O1709" s="31" t="s">
        <v>29</v>
      </c>
      <c r="P1709" s="15">
        <v>220</v>
      </c>
      <c r="Q1709" s="8"/>
      <c r="R1709">
        <v>13.06</v>
      </c>
      <c r="S1709">
        <v>2228.58</v>
      </c>
      <c r="T1709">
        <v>6.28</v>
      </c>
      <c r="U1709">
        <v>9.3800000000000008</v>
      </c>
      <c r="V1709">
        <v>131</v>
      </c>
      <c r="W1709" s="317">
        <v>4.5999999999999996</v>
      </c>
      <c r="X1709" s="190">
        <f t="shared" si="74"/>
        <v>64.399999999999991</v>
      </c>
      <c r="Y1709" s="8"/>
      <c r="Z1709" s="8"/>
    </row>
    <row r="1710" spans="1:26" ht="25.5" customHeight="1" x14ac:dyDescent="0.2">
      <c r="A1710" s="15">
        <v>166</v>
      </c>
      <c r="B1710" s="15">
        <v>2002</v>
      </c>
      <c r="C1710" s="15">
        <v>8</v>
      </c>
      <c r="D1710" s="15">
        <v>8</v>
      </c>
      <c r="E1710" s="29" t="s">
        <v>211</v>
      </c>
      <c r="F1710" s="20" t="s">
        <v>51</v>
      </c>
      <c r="G1710" s="32">
        <v>160</v>
      </c>
      <c r="H1710" s="15" t="s">
        <v>29</v>
      </c>
      <c r="I1710" s="33">
        <v>19.5</v>
      </c>
      <c r="J1710" s="11" t="s">
        <v>19</v>
      </c>
      <c r="K1710" s="20" t="s">
        <v>20</v>
      </c>
      <c r="L1710" s="11" t="s">
        <v>21</v>
      </c>
      <c r="M1710" s="20" t="s">
        <v>27</v>
      </c>
      <c r="N1710" s="20" t="s">
        <v>24</v>
      </c>
      <c r="O1710" s="31" t="s">
        <v>29</v>
      </c>
      <c r="P1710" s="15">
        <v>220</v>
      </c>
      <c r="Q1710" s="8"/>
      <c r="R1710">
        <v>14.93</v>
      </c>
      <c r="S1710">
        <v>3326.63</v>
      </c>
      <c r="T1710">
        <v>5.86</v>
      </c>
      <c r="U1710">
        <v>10.72</v>
      </c>
      <c r="V1710">
        <v>149</v>
      </c>
      <c r="W1710" s="317">
        <v>3.9</v>
      </c>
      <c r="X1710" s="190">
        <f t="shared" si="74"/>
        <v>76.05</v>
      </c>
      <c r="Y1710" s="8"/>
      <c r="Z1710" s="8"/>
    </row>
    <row r="1711" spans="1:26" ht="25.5" customHeight="1" x14ac:dyDescent="0.2">
      <c r="A1711" s="15">
        <v>167</v>
      </c>
      <c r="B1711" s="15">
        <v>2002</v>
      </c>
      <c r="C1711" s="15">
        <v>8</v>
      </c>
      <c r="D1711" s="15">
        <v>8</v>
      </c>
      <c r="E1711" s="29" t="s">
        <v>211</v>
      </c>
      <c r="F1711" s="20" t="s">
        <v>51</v>
      </c>
      <c r="G1711" s="32">
        <v>148</v>
      </c>
      <c r="H1711" s="15" t="s">
        <v>29</v>
      </c>
      <c r="I1711" s="33">
        <v>17.5</v>
      </c>
      <c r="J1711" s="11" t="s">
        <v>19</v>
      </c>
      <c r="K1711" s="20" t="s">
        <v>20</v>
      </c>
      <c r="L1711" s="20" t="s">
        <v>30</v>
      </c>
      <c r="M1711" s="20" t="s">
        <v>45</v>
      </c>
      <c r="N1711" s="20" t="s">
        <v>23</v>
      </c>
      <c r="O1711" s="31" t="s">
        <v>29</v>
      </c>
      <c r="P1711" s="15">
        <v>220</v>
      </c>
      <c r="Q1711" s="8"/>
      <c r="R1711">
        <v>13.81</v>
      </c>
      <c r="S1711">
        <v>2632.87</v>
      </c>
      <c r="T1711">
        <v>6.65</v>
      </c>
      <c r="U1711">
        <v>9.92</v>
      </c>
      <c r="V1711">
        <v>138</v>
      </c>
      <c r="W1711" s="317">
        <v>4.5999999999999996</v>
      </c>
      <c r="X1711" s="190">
        <f t="shared" si="74"/>
        <v>80.5</v>
      </c>
      <c r="Y1711" s="8"/>
      <c r="Z1711" s="8"/>
    </row>
    <row r="1712" spans="1:26" ht="25.5" customHeight="1" x14ac:dyDescent="0.2">
      <c r="A1712" s="15">
        <v>168</v>
      </c>
      <c r="B1712" s="15">
        <v>2002</v>
      </c>
      <c r="C1712" s="15">
        <v>8</v>
      </c>
      <c r="D1712" s="15">
        <v>8</v>
      </c>
      <c r="E1712" s="29" t="s">
        <v>211</v>
      </c>
      <c r="F1712" s="20" t="s">
        <v>51</v>
      </c>
      <c r="G1712" s="32">
        <v>153</v>
      </c>
      <c r="H1712" s="15" t="s">
        <v>29</v>
      </c>
      <c r="I1712" s="33">
        <v>13.5</v>
      </c>
      <c r="J1712" s="11" t="s">
        <v>19</v>
      </c>
      <c r="K1712" s="20" t="s">
        <v>20</v>
      </c>
      <c r="L1712" s="11" t="s">
        <v>21</v>
      </c>
      <c r="M1712" s="20" t="s">
        <v>46</v>
      </c>
      <c r="N1712" s="20" t="s">
        <v>23</v>
      </c>
      <c r="O1712" s="31" t="s">
        <v>29</v>
      </c>
      <c r="P1712" s="15">
        <v>220</v>
      </c>
      <c r="Q1712" s="8"/>
      <c r="R1712">
        <v>14.27</v>
      </c>
      <c r="S1712">
        <v>2908.84</v>
      </c>
      <c r="T1712">
        <v>4.6399999999999997</v>
      </c>
      <c r="U1712">
        <v>10.25</v>
      </c>
      <c r="V1712">
        <v>143</v>
      </c>
      <c r="W1712" s="317">
        <v>3.9</v>
      </c>
      <c r="X1712" s="190">
        <f t="shared" si="74"/>
        <v>52.65</v>
      </c>
      <c r="Y1712" s="8"/>
      <c r="Z1712" s="8"/>
    </row>
    <row r="1713" spans="1:26" ht="25.5" customHeight="1" x14ac:dyDescent="0.2">
      <c r="A1713" s="15">
        <v>169</v>
      </c>
      <c r="B1713" s="15">
        <v>2002</v>
      </c>
      <c r="C1713" s="15">
        <v>8</v>
      </c>
      <c r="D1713" s="15">
        <v>8</v>
      </c>
      <c r="E1713" s="29" t="s">
        <v>211</v>
      </c>
      <c r="F1713" s="20" t="s">
        <v>51</v>
      </c>
      <c r="G1713" s="32">
        <v>149</v>
      </c>
      <c r="H1713" s="15" t="s">
        <v>29</v>
      </c>
      <c r="I1713" s="33">
        <v>15</v>
      </c>
      <c r="J1713" s="11" t="s">
        <v>19</v>
      </c>
      <c r="K1713" s="20" t="s">
        <v>20</v>
      </c>
      <c r="L1713" s="20" t="s">
        <v>30</v>
      </c>
      <c r="M1713" s="20" t="s">
        <v>46</v>
      </c>
      <c r="N1713" s="20" t="s">
        <v>25</v>
      </c>
      <c r="O1713" s="31" t="s">
        <v>29</v>
      </c>
      <c r="P1713" s="15">
        <v>220</v>
      </c>
      <c r="Q1713" s="8"/>
      <c r="R1713">
        <v>13.9</v>
      </c>
      <c r="S1713">
        <v>2686.6</v>
      </c>
      <c r="T1713">
        <v>5.58</v>
      </c>
      <c r="U1713">
        <v>9.98</v>
      </c>
      <c r="V1713">
        <v>139</v>
      </c>
      <c r="W1713" s="317">
        <v>4.5999999999999996</v>
      </c>
      <c r="X1713" s="190">
        <f t="shared" si="74"/>
        <v>69</v>
      </c>
      <c r="Y1713" s="8"/>
      <c r="Z1713" s="8"/>
    </row>
    <row r="1714" spans="1:26" ht="25.5" customHeight="1" x14ac:dyDescent="0.2">
      <c r="A1714" s="15">
        <v>170</v>
      </c>
      <c r="B1714" s="15">
        <v>2002</v>
      </c>
      <c r="C1714" s="15">
        <v>7</v>
      </c>
      <c r="D1714" s="15">
        <v>8</v>
      </c>
      <c r="E1714" s="29" t="s">
        <v>212</v>
      </c>
      <c r="F1714" s="20" t="s">
        <v>51</v>
      </c>
      <c r="G1714" s="32">
        <v>147</v>
      </c>
      <c r="H1714" s="15" t="s">
        <v>29</v>
      </c>
      <c r="I1714" s="33">
        <v>14</v>
      </c>
      <c r="J1714" s="11" t="s">
        <v>19</v>
      </c>
      <c r="K1714" s="20" t="s">
        <v>34</v>
      </c>
      <c r="L1714" s="11" t="s">
        <v>41</v>
      </c>
      <c r="M1714" s="20" t="s">
        <v>45</v>
      </c>
      <c r="N1714" s="20" t="s">
        <v>23</v>
      </c>
      <c r="O1714" s="31" t="s">
        <v>29</v>
      </c>
      <c r="P1714" s="15">
        <v>219</v>
      </c>
      <c r="Q1714" s="8"/>
      <c r="R1714">
        <v>13.72</v>
      </c>
      <c r="S1714">
        <v>2579.86</v>
      </c>
      <c r="T1714">
        <v>5.43</v>
      </c>
      <c r="U1714">
        <v>9.85</v>
      </c>
      <c r="V1714">
        <v>137</v>
      </c>
      <c r="W1714" s="317">
        <v>3.8</v>
      </c>
      <c r="X1714" s="190">
        <f t="shared" si="74"/>
        <v>53.199999999999996</v>
      </c>
      <c r="Y1714" s="8"/>
      <c r="Z1714" s="8"/>
    </row>
    <row r="1715" spans="1:26" ht="25.5" customHeight="1" x14ac:dyDescent="0.2">
      <c r="A1715" s="15">
        <v>171</v>
      </c>
      <c r="B1715" s="15">
        <v>2002</v>
      </c>
      <c r="C1715" s="15">
        <v>7</v>
      </c>
      <c r="D1715" s="15">
        <v>8</v>
      </c>
      <c r="E1715" s="29" t="s">
        <v>212</v>
      </c>
      <c r="F1715" s="20" t="s">
        <v>51</v>
      </c>
      <c r="G1715" s="32">
        <v>139</v>
      </c>
      <c r="H1715" s="15" t="s">
        <v>29</v>
      </c>
      <c r="I1715" s="33">
        <v>9</v>
      </c>
      <c r="J1715" s="11" t="s">
        <v>19</v>
      </c>
      <c r="K1715" s="20" t="s">
        <v>20</v>
      </c>
      <c r="L1715" s="11" t="s">
        <v>21</v>
      </c>
      <c r="M1715" s="20" t="s">
        <v>47</v>
      </c>
      <c r="N1715" s="20" t="s">
        <v>24</v>
      </c>
      <c r="O1715" s="31" t="s">
        <v>29</v>
      </c>
      <c r="P1715" s="15">
        <v>219</v>
      </c>
      <c r="Q1715" s="8"/>
      <c r="R1715">
        <v>12.97</v>
      </c>
      <c r="S1715">
        <v>2181.17</v>
      </c>
      <c r="T1715">
        <v>4.13</v>
      </c>
      <c r="U1715">
        <v>9.31</v>
      </c>
      <c r="V1715">
        <v>130</v>
      </c>
      <c r="W1715" s="317">
        <v>3.9</v>
      </c>
      <c r="X1715" s="190">
        <f>I1715*W1715</f>
        <v>35.1</v>
      </c>
      <c r="Y1715" s="8"/>
      <c r="Z1715" s="8"/>
    </row>
    <row r="1716" spans="1:26" ht="25.5" customHeight="1" x14ac:dyDescent="0.2">
      <c r="A1716" s="15">
        <v>172</v>
      </c>
      <c r="B1716" s="15">
        <v>2002</v>
      </c>
      <c r="C1716" s="15">
        <v>7</v>
      </c>
      <c r="D1716" s="15">
        <v>8</v>
      </c>
      <c r="E1716" s="29" t="s">
        <v>212</v>
      </c>
      <c r="F1716" s="20" t="s">
        <v>51</v>
      </c>
      <c r="G1716" s="32">
        <v>165</v>
      </c>
      <c r="H1716" s="15" t="s">
        <v>29</v>
      </c>
      <c r="I1716" s="33">
        <v>23</v>
      </c>
      <c r="J1716" s="11" t="s">
        <v>19</v>
      </c>
      <c r="K1716" s="20" t="s">
        <v>34</v>
      </c>
      <c r="L1716" s="11" t="s">
        <v>41</v>
      </c>
      <c r="M1716" s="20" t="s">
        <v>46</v>
      </c>
      <c r="N1716" s="20" t="s">
        <v>23</v>
      </c>
      <c r="O1716" s="31" t="s">
        <v>29</v>
      </c>
      <c r="P1716" s="15">
        <v>219</v>
      </c>
      <c r="Q1716" s="8"/>
      <c r="R1716">
        <v>15.39</v>
      </c>
      <c r="S1716">
        <v>3648.35</v>
      </c>
      <c r="T1716">
        <v>6.3</v>
      </c>
      <c r="U1716">
        <v>11.06</v>
      </c>
      <c r="V1716">
        <v>154</v>
      </c>
      <c r="W1716" s="317">
        <v>3.8</v>
      </c>
      <c r="X1716" s="190">
        <f>I1716*W1716</f>
        <v>87.399999999999991</v>
      </c>
      <c r="Y1716" s="8"/>
      <c r="Z1716" s="8"/>
    </row>
    <row r="1717" spans="1:26" ht="25.5" customHeight="1" x14ac:dyDescent="0.2">
      <c r="A1717" s="15">
        <v>173</v>
      </c>
      <c r="B1717" s="15">
        <v>2002</v>
      </c>
      <c r="C1717" s="15">
        <v>7</v>
      </c>
      <c r="D1717" s="15">
        <v>8</v>
      </c>
      <c r="E1717" s="29" t="s">
        <v>212</v>
      </c>
      <c r="F1717" s="20" t="s">
        <v>51</v>
      </c>
      <c r="G1717" s="32">
        <v>162</v>
      </c>
      <c r="H1717" s="15" t="s">
        <v>29</v>
      </c>
      <c r="I1717" s="33">
        <v>21.5</v>
      </c>
      <c r="J1717" s="11" t="s">
        <v>19</v>
      </c>
      <c r="K1717" s="20" t="s">
        <v>20</v>
      </c>
      <c r="L1717" s="20" t="s">
        <v>30</v>
      </c>
      <c r="M1717" s="20" t="s">
        <v>27</v>
      </c>
      <c r="N1717" s="20" t="s">
        <v>23</v>
      </c>
      <c r="O1717" s="31" t="s">
        <v>29</v>
      </c>
      <c r="P1717" s="15">
        <v>219</v>
      </c>
      <c r="Q1717" s="8"/>
      <c r="R1717">
        <v>15.11</v>
      </c>
      <c r="S1717">
        <v>3452.95</v>
      </c>
      <c r="T1717">
        <v>6.23</v>
      </c>
      <c r="U1717">
        <v>10.85</v>
      </c>
      <c r="V1717">
        <v>151</v>
      </c>
      <c r="W1717" s="317">
        <v>4.5999999999999996</v>
      </c>
      <c r="X1717" s="190">
        <f t="shared" ref="X1717:X1763" si="75">I1717*W1717</f>
        <v>98.899999999999991</v>
      </c>
      <c r="Y1717" s="8"/>
      <c r="Z1717" s="8"/>
    </row>
    <row r="1718" spans="1:26" ht="25.5" customHeight="1" x14ac:dyDescent="0.2">
      <c r="A1718" s="15">
        <v>174</v>
      </c>
      <c r="B1718" s="15">
        <v>2002</v>
      </c>
      <c r="C1718" s="15">
        <v>7</v>
      </c>
      <c r="D1718" s="15">
        <v>8</v>
      </c>
      <c r="E1718" s="29" t="s">
        <v>212</v>
      </c>
      <c r="F1718" s="20" t="s">
        <v>51</v>
      </c>
      <c r="G1718" s="32">
        <v>158</v>
      </c>
      <c r="H1718" s="15" t="s">
        <v>29</v>
      </c>
      <c r="I1718" s="33">
        <v>15</v>
      </c>
      <c r="J1718" s="11" t="s">
        <v>19</v>
      </c>
      <c r="K1718" s="20" t="s">
        <v>20</v>
      </c>
      <c r="L1718" s="20" t="s">
        <v>30</v>
      </c>
      <c r="M1718" s="20" t="s">
        <v>46</v>
      </c>
      <c r="N1718" s="20" t="s">
        <v>24</v>
      </c>
      <c r="O1718" s="31" t="s">
        <v>29</v>
      </c>
      <c r="P1718" s="15">
        <v>219</v>
      </c>
      <c r="Q1718" s="8"/>
      <c r="R1718">
        <v>14.74</v>
      </c>
      <c r="S1718">
        <v>3203.44</v>
      </c>
      <c r="T1718">
        <v>4.68</v>
      </c>
      <c r="U1718">
        <v>10.59</v>
      </c>
      <c r="V1718">
        <v>147</v>
      </c>
      <c r="W1718" s="317">
        <v>4.5999999999999996</v>
      </c>
      <c r="X1718" s="190">
        <f t="shared" si="75"/>
        <v>69</v>
      </c>
      <c r="Y1718" s="8"/>
      <c r="Z1718" s="8"/>
    </row>
    <row r="1719" spans="1:26" ht="25.5" customHeight="1" x14ac:dyDescent="0.2">
      <c r="A1719" s="15">
        <v>175</v>
      </c>
      <c r="B1719" s="15">
        <v>2002</v>
      </c>
      <c r="C1719" s="15">
        <v>7</v>
      </c>
      <c r="D1719" s="15">
        <v>8</v>
      </c>
      <c r="E1719" s="29" t="s">
        <v>212</v>
      </c>
      <c r="F1719" s="20" t="s">
        <v>51</v>
      </c>
      <c r="G1719" s="11" t="s">
        <v>29</v>
      </c>
      <c r="H1719" s="15" t="s">
        <v>29</v>
      </c>
      <c r="I1719" s="33">
        <v>16</v>
      </c>
      <c r="J1719" s="11" t="s">
        <v>19</v>
      </c>
      <c r="K1719" s="20" t="s">
        <v>20</v>
      </c>
      <c r="L1719" s="11" t="s">
        <v>21</v>
      </c>
      <c r="M1719" s="20" t="s">
        <v>27</v>
      </c>
      <c r="N1719" s="20" t="s">
        <v>25</v>
      </c>
      <c r="O1719" s="31" t="s">
        <v>29</v>
      </c>
      <c r="P1719" s="15">
        <v>219</v>
      </c>
      <c r="Q1719" s="8"/>
      <c r="W1719" s="317">
        <v>3.9</v>
      </c>
      <c r="X1719" s="190">
        <f t="shared" si="75"/>
        <v>62.4</v>
      </c>
      <c r="Y1719" s="8"/>
      <c r="Z1719" s="8"/>
    </row>
    <row r="1720" spans="1:26" ht="25.5" customHeight="1" x14ac:dyDescent="0.2">
      <c r="A1720" s="15">
        <v>176</v>
      </c>
      <c r="B1720" s="15">
        <v>2002</v>
      </c>
      <c r="C1720" s="15">
        <v>7</v>
      </c>
      <c r="D1720" s="15">
        <v>8</v>
      </c>
      <c r="E1720" s="29" t="s">
        <v>212</v>
      </c>
      <c r="F1720" s="20" t="s">
        <v>51</v>
      </c>
      <c r="G1720" s="32">
        <v>144</v>
      </c>
      <c r="H1720" s="15" t="s">
        <v>29</v>
      </c>
      <c r="I1720" s="33">
        <v>15.5</v>
      </c>
      <c r="J1720" s="11" t="s">
        <v>19</v>
      </c>
      <c r="K1720" s="20" t="s">
        <v>20</v>
      </c>
      <c r="L1720" s="20" t="s">
        <v>30</v>
      </c>
      <c r="M1720" s="20" t="s">
        <v>45</v>
      </c>
      <c r="N1720" s="20" t="s">
        <v>25</v>
      </c>
      <c r="O1720" s="31" t="s">
        <v>29</v>
      </c>
      <c r="P1720" s="15">
        <v>219</v>
      </c>
      <c r="Q1720" s="8"/>
      <c r="R1720">
        <v>13.44</v>
      </c>
      <c r="S1720">
        <v>2425.12</v>
      </c>
      <c r="T1720">
        <v>6.39</v>
      </c>
      <c r="U1720">
        <v>9.65</v>
      </c>
      <c r="V1720">
        <v>134</v>
      </c>
      <c r="W1720" s="317">
        <v>4.5999999999999996</v>
      </c>
      <c r="X1720" s="190">
        <f t="shared" si="75"/>
        <v>71.3</v>
      </c>
      <c r="Y1720" s="8"/>
      <c r="Z1720" s="8"/>
    </row>
    <row r="1721" spans="1:26" ht="25.5" customHeight="1" x14ac:dyDescent="0.2">
      <c r="A1721" s="15">
        <v>177</v>
      </c>
      <c r="B1721" s="15">
        <v>2002</v>
      </c>
      <c r="C1721" s="15">
        <v>7</v>
      </c>
      <c r="D1721" s="15">
        <v>8</v>
      </c>
      <c r="E1721" s="29" t="s">
        <v>212</v>
      </c>
      <c r="F1721" s="20" t="s">
        <v>51</v>
      </c>
      <c r="G1721" s="32">
        <v>143</v>
      </c>
      <c r="H1721" s="15" t="s">
        <v>29</v>
      </c>
      <c r="I1721" s="33">
        <v>11</v>
      </c>
      <c r="J1721" s="11" t="s">
        <v>19</v>
      </c>
      <c r="K1721" s="20" t="s">
        <v>20</v>
      </c>
      <c r="L1721" s="11" t="s">
        <v>21</v>
      </c>
      <c r="M1721" s="20" t="s">
        <v>46</v>
      </c>
      <c r="N1721" s="20" t="s">
        <v>24</v>
      </c>
      <c r="O1721" s="31" t="s">
        <v>29</v>
      </c>
      <c r="P1721" s="15">
        <v>219</v>
      </c>
      <c r="Q1721" s="8"/>
      <c r="R1721">
        <v>13.34</v>
      </c>
      <c r="S1721">
        <v>2374.94</v>
      </c>
      <c r="T1721">
        <v>4.63</v>
      </c>
      <c r="U1721">
        <v>9.58</v>
      </c>
      <c r="V1721">
        <v>133</v>
      </c>
      <c r="W1721" s="317">
        <v>3.9</v>
      </c>
      <c r="X1721" s="190">
        <f t="shared" si="75"/>
        <v>42.9</v>
      </c>
      <c r="Y1721" s="8"/>
      <c r="Z1721" s="8"/>
    </row>
    <row r="1722" spans="1:26" ht="25.5" customHeight="1" x14ac:dyDescent="0.2">
      <c r="A1722" s="15">
        <v>178</v>
      </c>
      <c r="B1722" s="15">
        <v>2002</v>
      </c>
      <c r="C1722" s="15">
        <v>7</v>
      </c>
      <c r="D1722" s="15">
        <v>8</v>
      </c>
      <c r="E1722" s="29" t="s">
        <v>212</v>
      </c>
      <c r="F1722" s="20" t="s">
        <v>51</v>
      </c>
      <c r="G1722" s="32">
        <v>130</v>
      </c>
      <c r="H1722" s="15" t="s">
        <v>29</v>
      </c>
      <c r="I1722" s="33">
        <v>9</v>
      </c>
      <c r="J1722" s="11" t="s">
        <v>19</v>
      </c>
      <c r="K1722" s="20" t="s">
        <v>20</v>
      </c>
      <c r="L1722" s="11" t="s">
        <v>21</v>
      </c>
      <c r="M1722" s="20" t="s">
        <v>27</v>
      </c>
      <c r="N1722" s="20" t="s">
        <v>24</v>
      </c>
      <c r="O1722" s="31" t="s">
        <v>29</v>
      </c>
      <c r="P1722" s="15">
        <v>219</v>
      </c>
      <c r="Q1722" s="8"/>
      <c r="R1722">
        <v>12.13</v>
      </c>
      <c r="S1722">
        <v>1784.33</v>
      </c>
      <c r="T1722">
        <v>5.04</v>
      </c>
      <c r="U1722">
        <v>8.7100000000000009</v>
      </c>
      <c r="V1722">
        <v>121</v>
      </c>
      <c r="W1722" s="317">
        <v>3.9</v>
      </c>
      <c r="X1722" s="190">
        <f t="shared" si="75"/>
        <v>35.1</v>
      </c>
      <c r="Y1722" s="8"/>
      <c r="Z1722" s="8"/>
    </row>
    <row r="1723" spans="1:26" ht="25.5" customHeight="1" x14ac:dyDescent="0.2">
      <c r="A1723" s="15">
        <v>179</v>
      </c>
      <c r="B1723" s="15">
        <v>2002</v>
      </c>
      <c r="C1723" s="15">
        <v>7</v>
      </c>
      <c r="D1723" s="15">
        <v>8</v>
      </c>
      <c r="E1723" s="29" t="s">
        <v>212</v>
      </c>
      <c r="F1723" s="20" t="s">
        <v>51</v>
      </c>
      <c r="G1723" s="32">
        <v>142</v>
      </c>
      <c r="H1723" s="15" t="s">
        <v>29</v>
      </c>
      <c r="I1723" s="33">
        <v>9.5</v>
      </c>
      <c r="J1723" s="11" t="s">
        <v>19</v>
      </c>
      <c r="K1723" s="20" t="s">
        <v>20</v>
      </c>
      <c r="L1723" s="11" t="s">
        <v>21</v>
      </c>
      <c r="M1723" s="20" t="s">
        <v>27</v>
      </c>
      <c r="N1723" s="20" t="s">
        <v>23</v>
      </c>
      <c r="O1723" s="31" t="s">
        <v>29</v>
      </c>
      <c r="P1723" s="15">
        <v>219</v>
      </c>
      <c r="Q1723" s="8"/>
      <c r="R1723">
        <v>13.25</v>
      </c>
      <c r="S1723">
        <v>2325.4699999999998</v>
      </c>
      <c r="T1723">
        <v>4.09</v>
      </c>
      <c r="U1723">
        <v>9.51</v>
      </c>
      <c r="V1723">
        <v>132</v>
      </c>
      <c r="W1723" s="317">
        <v>3.9</v>
      </c>
      <c r="X1723" s="190">
        <f t="shared" si="75"/>
        <v>37.049999999999997</v>
      </c>
      <c r="Y1723" s="8"/>
      <c r="Z1723" s="8"/>
    </row>
    <row r="1724" spans="1:26" ht="25.5" customHeight="1" x14ac:dyDescent="0.2">
      <c r="A1724" s="15">
        <v>180</v>
      </c>
      <c r="B1724" s="15">
        <v>2002</v>
      </c>
      <c r="C1724" s="15">
        <v>7</v>
      </c>
      <c r="D1724" s="15">
        <v>8</v>
      </c>
      <c r="E1724" s="29" t="s">
        <v>212</v>
      </c>
      <c r="F1724" s="20" t="s">
        <v>51</v>
      </c>
      <c r="G1724" s="32">
        <v>142</v>
      </c>
      <c r="H1724" s="15" t="s">
        <v>29</v>
      </c>
      <c r="I1724" s="33">
        <v>15.5</v>
      </c>
      <c r="J1724" s="11" t="s">
        <v>19</v>
      </c>
      <c r="K1724" s="20" t="s">
        <v>20</v>
      </c>
      <c r="L1724" s="20" t="s">
        <v>30</v>
      </c>
      <c r="M1724" s="20" t="s">
        <v>47</v>
      </c>
      <c r="N1724" s="20" t="s">
        <v>24</v>
      </c>
      <c r="O1724" s="31" t="s">
        <v>29</v>
      </c>
      <c r="P1724" s="15">
        <v>219</v>
      </c>
      <c r="Q1724" s="8"/>
      <c r="R1724">
        <v>13.25</v>
      </c>
      <c r="S1724">
        <v>2325.4699999999998</v>
      </c>
      <c r="T1724">
        <v>6.67</v>
      </c>
      <c r="U1724">
        <v>9.51</v>
      </c>
      <c r="V1724">
        <v>132</v>
      </c>
      <c r="W1724" s="317">
        <v>4.5999999999999996</v>
      </c>
      <c r="X1724" s="190">
        <f t="shared" si="75"/>
        <v>71.3</v>
      </c>
      <c r="Y1724" s="8"/>
      <c r="Z1724" s="8"/>
    </row>
    <row r="1725" spans="1:26" ht="25.5" customHeight="1" x14ac:dyDescent="0.2">
      <c r="A1725" s="15">
        <v>181</v>
      </c>
      <c r="B1725" s="15">
        <v>2002</v>
      </c>
      <c r="C1725" s="15">
        <v>7</v>
      </c>
      <c r="D1725" s="15">
        <v>8</v>
      </c>
      <c r="E1725" s="29" t="s">
        <v>212</v>
      </c>
      <c r="F1725" s="20" t="s">
        <v>51</v>
      </c>
      <c r="G1725" s="32">
        <v>139</v>
      </c>
      <c r="H1725" s="15" t="s">
        <v>29</v>
      </c>
      <c r="I1725" s="33">
        <v>14</v>
      </c>
      <c r="J1725" s="11" t="s">
        <v>19</v>
      </c>
      <c r="K1725" s="20" t="s">
        <v>20</v>
      </c>
      <c r="L1725" s="20" t="s">
        <v>30</v>
      </c>
      <c r="M1725" s="20" t="s">
        <v>45</v>
      </c>
      <c r="N1725" s="20" t="s">
        <v>23</v>
      </c>
      <c r="O1725" s="31" t="s">
        <v>29</v>
      </c>
      <c r="P1725" s="15">
        <v>219</v>
      </c>
      <c r="Q1725" s="8"/>
      <c r="R1725">
        <v>12.97</v>
      </c>
      <c r="S1725">
        <v>2181.17</v>
      </c>
      <c r="T1725">
        <v>6.42</v>
      </c>
      <c r="U1725">
        <v>9.31</v>
      </c>
      <c r="V1725">
        <v>130</v>
      </c>
      <c r="W1725" s="317">
        <v>4.5999999999999996</v>
      </c>
      <c r="X1725" s="190">
        <f t="shared" si="75"/>
        <v>64.399999999999991</v>
      </c>
      <c r="Y1725" s="8"/>
      <c r="Z1725" s="8"/>
    </row>
    <row r="1726" spans="1:26" ht="25.5" customHeight="1" x14ac:dyDescent="0.2">
      <c r="A1726" s="15">
        <v>182</v>
      </c>
      <c r="B1726" s="15">
        <v>2002</v>
      </c>
      <c r="C1726" s="15">
        <v>7</v>
      </c>
      <c r="D1726" s="15">
        <v>8</v>
      </c>
      <c r="E1726" s="29" t="s">
        <v>212</v>
      </c>
      <c r="F1726" s="20" t="s">
        <v>51</v>
      </c>
      <c r="G1726" s="32">
        <v>130</v>
      </c>
      <c r="H1726" s="15" t="s">
        <v>29</v>
      </c>
      <c r="I1726" s="33">
        <v>9</v>
      </c>
      <c r="J1726" s="11" t="s">
        <v>19</v>
      </c>
      <c r="K1726" s="20" t="s">
        <v>20</v>
      </c>
      <c r="L1726" s="20" t="s">
        <v>30</v>
      </c>
      <c r="M1726" s="20" t="s">
        <v>27</v>
      </c>
      <c r="N1726" s="20" t="s">
        <v>23</v>
      </c>
      <c r="O1726" s="31" t="s">
        <v>29</v>
      </c>
      <c r="P1726" s="15">
        <v>219</v>
      </c>
      <c r="Q1726" s="8"/>
      <c r="R1726">
        <v>12.13</v>
      </c>
      <c r="S1726">
        <v>1784.33</v>
      </c>
      <c r="T1726">
        <v>5.04</v>
      </c>
      <c r="U1726">
        <v>8.7100000000000009</v>
      </c>
      <c r="V1726">
        <v>121</v>
      </c>
      <c r="W1726" s="317">
        <v>4.5999999999999996</v>
      </c>
      <c r="X1726" s="190">
        <f t="shared" si="75"/>
        <v>41.4</v>
      </c>
      <c r="Y1726" s="8"/>
      <c r="Z1726" s="8"/>
    </row>
    <row r="1727" spans="1:26" ht="25.5" customHeight="1" x14ac:dyDescent="0.2">
      <c r="A1727" s="15">
        <v>183</v>
      </c>
      <c r="B1727" s="15">
        <v>2002</v>
      </c>
      <c r="C1727" s="15">
        <v>7</v>
      </c>
      <c r="D1727" s="15">
        <v>8</v>
      </c>
      <c r="E1727" s="29" t="s">
        <v>212</v>
      </c>
      <c r="F1727" s="20" t="s">
        <v>51</v>
      </c>
      <c r="G1727" s="32">
        <v>125</v>
      </c>
      <c r="H1727" s="15" t="s">
        <v>29</v>
      </c>
      <c r="I1727" s="33">
        <v>8</v>
      </c>
      <c r="J1727" s="11" t="s">
        <v>19</v>
      </c>
      <c r="K1727" s="20" t="s">
        <v>20</v>
      </c>
      <c r="L1727" s="20" t="s">
        <v>30</v>
      </c>
      <c r="M1727" s="20" t="s">
        <v>45</v>
      </c>
      <c r="N1727" s="20" t="s">
        <v>24</v>
      </c>
      <c r="O1727" s="31" t="s">
        <v>29</v>
      </c>
      <c r="P1727" s="15">
        <v>219</v>
      </c>
      <c r="Q1727" s="8"/>
      <c r="R1727">
        <v>11.66</v>
      </c>
      <c r="S1727">
        <v>1586.26</v>
      </c>
      <c r="T1727">
        <v>5.04</v>
      </c>
      <c r="U1727">
        <v>8.3800000000000008</v>
      </c>
      <c r="V1727">
        <v>117</v>
      </c>
      <c r="W1727" s="317">
        <v>4.5999999999999996</v>
      </c>
      <c r="X1727" s="190">
        <f t="shared" si="75"/>
        <v>36.799999999999997</v>
      </c>
      <c r="Y1727" s="8"/>
      <c r="Z1727" s="8"/>
    </row>
    <row r="1728" spans="1:26" ht="25.5" customHeight="1" x14ac:dyDescent="0.2">
      <c r="A1728" s="15">
        <v>184</v>
      </c>
      <c r="B1728" s="15">
        <v>2002</v>
      </c>
      <c r="C1728" s="15">
        <v>7</v>
      </c>
      <c r="D1728" s="15">
        <v>8</v>
      </c>
      <c r="E1728" s="29" t="s">
        <v>212</v>
      </c>
      <c r="F1728" s="20" t="s">
        <v>51</v>
      </c>
      <c r="G1728" s="32">
        <v>139</v>
      </c>
      <c r="H1728" s="15" t="s">
        <v>29</v>
      </c>
      <c r="I1728" s="33">
        <v>7.5</v>
      </c>
      <c r="J1728" s="11" t="s">
        <v>19</v>
      </c>
      <c r="K1728" s="20" t="s">
        <v>20</v>
      </c>
      <c r="L1728" s="11" t="s">
        <v>21</v>
      </c>
      <c r="M1728" s="20" t="s">
        <v>27</v>
      </c>
      <c r="N1728" s="20" t="s">
        <v>25</v>
      </c>
      <c r="O1728" s="31" t="s">
        <v>29</v>
      </c>
      <c r="P1728" s="15">
        <v>219</v>
      </c>
      <c r="Q1728" s="8"/>
      <c r="R1728">
        <v>12.97</v>
      </c>
      <c r="S1728">
        <v>2181.17</v>
      </c>
      <c r="T1728">
        <v>3.44</v>
      </c>
      <c r="U1728">
        <v>9.31</v>
      </c>
      <c r="V1728">
        <v>130</v>
      </c>
      <c r="W1728" s="317">
        <v>3.9</v>
      </c>
      <c r="X1728" s="190">
        <f t="shared" si="75"/>
        <v>29.25</v>
      </c>
      <c r="Y1728" s="8"/>
      <c r="Z1728" s="8"/>
    </row>
    <row r="1729" spans="1:26" ht="25.5" customHeight="1" x14ac:dyDescent="0.2">
      <c r="A1729" s="15">
        <v>185</v>
      </c>
      <c r="B1729" s="15">
        <v>2002</v>
      </c>
      <c r="C1729" s="15">
        <v>7</v>
      </c>
      <c r="D1729" s="15">
        <v>8</v>
      </c>
      <c r="E1729" s="29" t="s">
        <v>212</v>
      </c>
      <c r="F1729" s="20" t="s">
        <v>51</v>
      </c>
      <c r="G1729" s="32">
        <v>129</v>
      </c>
      <c r="H1729" s="15" t="s">
        <v>29</v>
      </c>
      <c r="I1729" s="33">
        <v>7.5</v>
      </c>
      <c r="J1729" s="11" t="s">
        <v>19</v>
      </c>
      <c r="K1729" s="20" t="s">
        <v>20</v>
      </c>
      <c r="L1729" s="20" t="s">
        <v>30</v>
      </c>
      <c r="M1729" s="20" t="s">
        <v>46</v>
      </c>
      <c r="N1729" s="20" t="s">
        <v>25</v>
      </c>
      <c r="O1729" s="31" t="s">
        <v>29</v>
      </c>
      <c r="P1729" s="15">
        <v>219</v>
      </c>
      <c r="Q1729" s="8"/>
      <c r="R1729">
        <v>12.04</v>
      </c>
      <c r="S1729">
        <v>1743.47</v>
      </c>
      <c r="T1729">
        <v>4.3</v>
      </c>
      <c r="U1729">
        <v>8.64</v>
      </c>
      <c r="V1729">
        <v>120</v>
      </c>
      <c r="W1729" s="317">
        <v>4.5999999999999996</v>
      </c>
      <c r="X1729" s="190">
        <f t="shared" si="75"/>
        <v>34.5</v>
      </c>
      <c r="Y1729" s="8"/>
      <c r="Z1729" s="8"/>
    </row>
    <row r="1730" spans="1:26" ht="25.5" customHeight="1" x14ac:dyDescent="0.2">
      <c r="A1730" s="15">
        <v>186</v>
      </c>
      <c r="B1730" s="15">
        <v>2002</v>
      </c>
      <c r="C1730" s="15">
        <v>7</v>
      </c>
      <c r="D1730" s="15">
        <v>8</v>
      </c>
      <c r="E1730" s="29" t="s">
        <v>212</v>
      </c>
      <c r="F1730" s="20" t="s">
        <v>51</v>
      </c>
      <c r="G1730" s="32">
        <v>150</v>
      </c>
      <c r="H1730" s="15" t="s">
        <v>29</v>
      </c>
      <c r="I1730" s="33">
        <v>10.5</v>
      </c>
      <c r="J1730" s="11" t="s">
        <v>19</v>
      </c>
      <c r="K1730" s="20" t="s">
        <v>20</v>
      </c>
      <c r="L1730" s="11" t="s">
        <v>21</v>
      </c>
      <c r="M1730" s="20" t="s">
        <v>46</v>
      </c>
      <c r="N1730" s="20" t="s">
        <v>24</v>
      </c>
      <c r="O1730" s="31" t="s">
        <v>29</v>
      </c>
      <c r="P1730" s="15">
        <v>219</v>
      </c>
      <c r="Q1730" s="8"/>
      <c r="R1730">
        <v>14</v>
      </c>
      <c r="S1730">
        <v>2741.06</v>
      </c>
      <c r="T1730">
        <v>3.83</v>
      </c>
      <c r="U1730">
        <v>10.050000000000001</v>
      </c>
      <c r="V1730">
        <v>140</v>
      </c>
      <c r="W1730" s="317">
        <v>3.9</v>
      </c>
      <c r="X1730" s="190">
        <f t="shared" si="75"/>
        <v>40.949999999999996</v>
      </c>
      <c r="Y1730" s="8"/>
      <c r="Z1730" s="8"/>
    </row>
    <row r="1731" spans="1:26" ht="25.5" customHeight="1" x14ac:dyDescent="0.2">
      <c r="A1731" s="15">
        <v>187</v>
      </c>
      <c r="B1731" s="15">
        <v>2002</v>
      </c>
      <c r="C1731" s="15">
        <v>7</v>
      </c>
      <c r="D1731" s="15">
        <v>8</v>
      </c>
      <c r="E1731" s="29" t="s">
        <v>212</v>
      </c>
      <c r="F1731" s="20" t="s">
        <v>51</v>
      </c>
      <c r="G1731" s="32">
        <v>153</v>
      </c>
      <c r="H1731" s="15" t="s">
        <v>29</v>
      </c>
      <c r="I1731" s="33">
        <v>10</v>
      </c>
      <c r="J1731" s="11" t="s">
        <v>19</v>
      </c>
      <c r="K1731" s="20" t="s">
        <v>20</v>
      </c>
      <c r="L1731" s="11" t="s">
        <v>21</v>
      </c>
      <c r="M1731" s="20" t="s">
        <v>27</v>
      </c>
      <c r="N1731" s="20" t="s">
        <v>23</v>
      </c>
      <c r="O1731" s="31" t="s">
        <v>29</v>
      </c>
      <c r="P1731" s="15">
        <v>219</v>
      </c>
      <c r="Q1731" s="8"/>
      <c r="R1731">
        <v>14.27</v>
      </c>
      <c r="S1731">
        <v>2908.84</v>
      </c>
      <c r="T1731">
        <v>3.44</v>
      </c>
      <c r="U1731">
        <v>10.25</v>
      </c>
      <c r="V1731">
        <v>143</v>
      </c>
      <c r="W1731" s="317">
        <v>3.9</v>
      </c>
      <c r="X1731" s="190">
        <f t="shared" si="75"/>
        <v>39</v>
      </c>
      <c r="Y1731" s="8"/>
      <c r="Z1731" s="8"/>
    </row>
    <row r="1732" spans="1:26" ht="25.5" customHeight="1" x14ac:dyDescent="0.2">
      <c r="A1732" s="15">
        <v>188</v>
      </c>
      <c r="B1732" s="15">
        <v>2002</v>
      </c>
      <c r="C1732" s="15">
        <v>7</v>
      </c>
      <c r="D1732" s="15">
        <v>8</v>
      </c>
      <c r="E1732" s="29" t="s">
        <v>212</v>
      </c>
      <c r="F1732" s="20" t="s">
        <v>51</v>
      </c>
      <c r="G1732" s="32">
        <v>130</v>
      </c>
      <c r="H1732" s="15" t="s">
        <v>29</v>
      </c>
      <c r="I1732" s="33">
        <v>10</v>
      </c>
      <c r="J1732" s="11" t="s">
        <v>19</v>
      </c>
      <c r="K1732" s="20" t="s">
        <v>20</v>
      </c>
      <c r="L1732" s="11" t="s">
        <v>21</v>
      </c>
      <c r="M1732" s="20" t="s">
        <v>27</v>
      </c>
      <c r="N1732" s="20" t="s">
        <v>24</v>
      </c>
      <c r="O1732" s="31" t="s">
        <v>29</v>
      </c>
      <c r="P1732" s="15">
        <v>219</v>
      </c>
      <c r="Q1732" s="8"/>
      <c r="R1732">
        <v>12.13</v>
      </c>
      <c r="S1732">
        <v>1784.33</v>
      </c>
      <c r="T1732">
        <v>5.6</v>
      </c>
      <c r="U1732">
        <v>8.7100000000000009</v>
      </c>
      <c r="V1732">
        <v>121</v>
      </c>
      <c r="W1732" s="317">
        <v>3.9</v>
      </c>
      <c r="X1732" s="190">
        <f t="shared" si="75"/>
        <v>39</v>
      </c>
      <c r="Y1732" s="8"/>
      <c r="Z1732" s="8"/>
    </row>
    <row r="1733" spans="1:26" ht="25.5" customHeight="1" x14ac:dyDescent="0.2">
      <c r="A1733" s="15">
        <v>189</v>
      </c>
      <c r="B1733" s="15">
        <v>2002</v>
      </c>
      <c r="C1733" s="15">
        <v>7</v>
      </c>
      <c r="D1733" s="15">
        <v>8</v>
      </c>
      <c r="E1733" s="29" t="s">
        <v>212</v>
      </c>
      <c r="F1733" s="20" t="s">
        <v>51</v>
      </c>
      <c r="G1733" s="32">
        <v>140</v>
      </c>
      <c r="H1733" s="15" t="s">
        <v>29</v>
      </c>
      <c r="I1733" s="33">
        <v>12.5</v>
      </c>
      <c r="J1733" s="11" t="s">
        <v>19</v>
      </c>
      <c r="K1733" s="20" t="s">
        <v>20</v>
      </c>
      <c r="L1733" s="20" t="s">
        <v>30</v>
      </c>
      <c r="M1733" s="20" t="s">
        <v>46</v>
      </c>
      <c r="N1733" s="20" t="s">
        <v>24</v>
      </c>
      <c r="O1733" s="31" t="s">
        <v>29</v>
      </c>
      <c r="P1733" s="15">
        <v>219</v>
      </c>
      <c r="Q1733" s="8"/>
      <c r="R1733">
        <v>13.06</v>
      </c>
      <c r="S1733">
        <v>2228.58</v>
      </c>
      <c r="T1733">
        <v>5.61</v>
      </c>
      <c r="U1733">
        <v>9.3800000000000008</v>
      </c>
      <c r="V1733">
        <v>131</v>
      </c>
      <c r="W1733" s="317">
        <v>4.5999999999999996</v>
      </c>
      <c r="X1733" s="190">
        <f t="shared" si="75"/>
        <v>57.499999999999993</v>
      </c>
      <c r="Y1733" s="8"/>
      <c r="Z1733" s="8"/>
    </row>
    <row r="1734" spans="1:26" ht="25.5" customHeight="1" x14ac:dyDescent="0.2">
      <c r="A1734" s="15">
        <v>190</v>
      </c>
      <c r="B1734" s="15">
        <v>2002</v>
      </c>
      <c r="C1734" s="15">
        <v>7</v>
      </c>
      <c r="D1734" s="15">
        <v>8</v>
      </c>
      <c r="E1734" s="29" t="s">
        <v>212</v>
      </c>
      <c r="F1734" s="20" t="s">
        <v>51</v>
      </c>
      <c r="G1734" s="32">
        <v>166</v>
      </c>
      <c r="H1734" s="15" t="s">
        <v>29</v>
      </c>
      <c r="I1734" s="33">
        <v>16</v>
      </c>
      <c r="J1734" s="11" t="s">
        <v>19</v>
      </c>
      <c r="K1734" s="20" t="s">
        <v>20</v>
      </c>
      <c r="L1734" s="11" t="s">
        <v>21</v>
      </c>
      <c r="M1734" s="20" t="s">
        <v>27</v>
      </c>
      <c r="N1734" s="20" t="s">
        <v>25</v>
      </c>
      <c r="O1734" s="31" t="s">
        <v>29</v>
      </c>
      <c r="P1734" s="15">
        <v>219</v>
      </c>
      <c r="Q1734" s="8"/>
      <c r="R1734">
        <v>15.49</v>
      </c>
      <c r="S1734">
        <v>3715.09</v>
      </c>
      <c r="T1734">
        <v>4.3099999999999996</v>
      </c>
      <c r="U1734">
        <v>11.12</v>
      </c>
      <c r="V1734">
        <v>155</v>
      </c>
      <c r="W1734" s="317">
        <v>3.9</v>
      </c>
      <c r="X1734" s="190">
        <f t="shared" si="75"/>
        <v>62.4</v>
      </c>
      <c r="Y1734" s="8"/>
      <c r="Z1734" s="8"/>
    </row>
    <row r="1735" spans="1:26" ht="25.5" customHeight="1" x14ac:dyDescent="0.2">
      <c r="A1735" s="15">
        <v>191</v>
      </c>
      <c r="B1735" s="15">
        <v>2002</v>
      </c>
      <c r="C1735" s="15">
        <v>7</v>
      </c>
      <c r="D1735" s="15">
        <v>8</v>
      </c>
      <c r="E1735" s="29" t="s">
        <v>212</v>
      </c>
      <c r="F1735" s="20" t="s">
        <v>51</v>
      </c>
      <c r="G1735" s="32">
        <v>146</v>
      </c>
      <c r="H1735" s="15" t="s">
        <v>29</v>
      </c>
      <c r="I1735" s="33">
        <v>13.5</v>
      </c>
      <c r="J1735" s="11" t="s">
        <v>19</v>
      </c>
      <c r="K1735" s="20" t="s">
        <v>20</v>
      </c>
      <c r="L1735" s="20" t="s">
        <v>30</v>
      </c>
      <c r="M1735" s="20" t="s">
        <v>47</v>
      </c>
      <c r="N1735" s="20" t="s">
        <v>23</v>
      </c>
      <c r="O1735" s="31" t="s">
        <v>29</v>
      </c>
      <c r="P1735" s="15">
        <v>219</v>
      </c>
      <c r="Q1735" s="8"/>
      <c r="R1735">
        <v>13.62</v>
      </c>
      <c r="S1735">
        <v>2527.5700000000002</v>
      </c>
      <c r="T1735">
        <v>5.34</v>
      </c>
      <c r="U1735">
        <v>9.7799999999999994</v>
      </c>
      <c r="V1735">
        <v>136</v>
      </c>
      <c r="W1735" s="317">
        <v>4.5999999999999996</v>
      </c>
      <c r="X1735" s="190">
        <f t="shared" si="75"/>
        <v>62.099999999999994</v>
      </c>
      <c r="Y1735" s="8"/>
      <c r="Z1735" s="8"/>
    </row>
    <row r="1736" spans="1:26" ht="25.5" customHeight="1" x14ac:dyDescent="0.2">
      <c r="A1736" s="15">
        <v>192</v>
      </c>
      <c r="B1736" s="15">
        <v>2002</v>
      </c>
      <c r="C1736" s="15">
        <v>7</v>
      </c>
      <c r="D1736" s="15">
        <v>8</v>
      </c>
      <c r="E1736" s="29" t="s">
        <v>212</v>
      </c>
      <c r="F1736" s="20" t="s">
        <v>51</v>
      </c>
      <c r="G1736" s="32">
        <v>150</v>
      </c>
      <c r="H1736" s="15" t="s">
        <v>29</v>
      </c>
      <c r="I1736" s="33">
        <v>9.5</v>
      </c>
      <c r="J1736" s="11" t="s">
        <v>19</v>
      </c>
      <c r="K1736" s="20" t="s">
        <v>20</v>
      </c>
      <c r="L1736" s="11" t="s">
        <v>21</v>
      </c>
      <c r="M1736" s="20" t="s">
        <v>27</v>
      </c>
      <c r="N1736" s="20" t="s">
        <v>23</v>
      </c>
      <c r="O1736" s="31" t="s">
        <v>29</v>
      </c>
      <c r="P1736" s="15">
        <v>219</v>
      </c>
      <c r="Q1736" s="8"/>
      <c r="R1736">
        <v>14</v>
      </c>
      <c r="S1736">
        <v>2741.06</v>
      </c>
      <c r="T1736">
        <v>3.47</v>
      </c>
      <c r="U1736">
        <v>10.050000000000001</v>
      </c>
      <c r="V1736">
        <v>140</v>
      </c>
      <c r="W1736" s="317">
        <v>3.9</v>
      </c>
      <c r="X1736" s="190">
        <f t="shared" si="75"/>
        <v>37.049999999999997</v>
      </c>
      <c r="Y1736" s="8"/>
      <c r="Z1736" s="8"/>
    </row>
    <row r="1737" spans="1:26" ht="25.5" customHeight="1" x14ac:dyDescent="0.2">
      <c r="A1737" s="15">
        <v>193</v>
      </c>
      <c r="B1737" s="15">
        <v>2002</v>
      </c>
      <c r="C1737" s="15">
        <v>7</v>
      </c>
      <c r="D1737" s="15">
        <v>8</v>
      </c>
      <c r="E1737" s="29" t="s">
        <v>212</v>
      </c>
      <c r="F1737" s="20" t="s">
        <v>51</v>
      </c>
      <c r="G1737" s="32">
        <v>158</v>
      </c>
      <c r="H1737" s="15" t="s">
        <v>29</v>
      </c>
      <c r="I1737" s="33">
        <v>14</v>
      </c>
      <c r="J1737" s="11" t="s">
        <v>19</v>
      </c>
      <c r="K1737" s="20" t="s">
        <v>20</v>
      </c>
      <c r="L1737" s="11" t="s">
        <v>21</v>
      </c>
      <c r="M1737" s="20" t="s">
        <v>27</v>
      </c>
      <c r="N1737" s="20" t="s">
        <v>25</v>
      </c>
      <c r="O1737" s="31" t="s">
        <v>29</v>
      </c>
      <c r="P1737" s="15">
        <v>219</v>
      </c>
      <c r="Q1737" s="8"/>
      <c r="R1737">
        <v>14.74</v>
      </c>
      <c r="S1737">
        <v>3203.44</v>
      </c>
      <c r="T1737">
        <v>4.37</v>
      </c>
      <c r="U1737">
        <v>10.59</v>
      </c>
      <c r="V1737">
        <v>147</v>
      </c>
      <c r="W1737" s="317">
        <v>3.9</v>
      </c>
      <c r="X1737" s="190">
        <f t="shared" si="75"/>
        <v>54.6</v>
      </c>
      <c r="Y1737" s="8"/>
      <c r="Z1737" s="8"/>
    </row>
    <row r="1738" spans="1:26" ht="25.5" customHeight="1" x14ac:dyDescent="0.2">
      <c r="A1738" s="15">
        <v>194</v>
      </c>
      <c r="B1738" s="15">
        <v>2002</v>
      </c>
      <c r="C1738" s="15">
        <v>7</v>
      </c>
      <c r="D1738" s="15">
        <v>8</v>
      </c>
      <c r="E1738" s="29" t="s">
        <v>212</v>
      </c>
      <c r="F1738" s="20" t="s">
        <v>51</v>
      </c>
      <c r="G1738" s="32">
        <v>138</v>
      </c>
      <c r="H1738" s="15" t="s">
        <v>29</v>
      </c>
      <c r="I1738" s="33">
        <v>13</v>
      </c>
      <c r="J1738" s="11" t="s">
        <v>19</v>
      </c>
      <c r="K1738" s="20" t="s">
        <v>20</v>
      </c>
      <c r="L1738" s="20" t="s">
        <v>30</v>
      </c>
      <c r="M1738" s="20" t="s">
        <v>27</v>
      </c>
      <c r="N1738" s="20" t="s">
        <v>24</v>
      </c>
      <c r="O1738" s="31" t="s">
        <v>29</v>
      </c>
      <c r="P1738" s="15">
        <v>219</v>
      </c>
      <c r="Q1738" s="8"/>
      <c r="R1738">
        <v>12.88</v>
      </c>
      <c r="S1738">
        <v>2134.4299999999998</v>
      </c>
      <c r="T1738">
        <v>6.09</v>
      </c>
      <c r="U1738">
        <v>9.25</v>
      </c>
      <c r="V1738">
        <v>129</v>
      </c>
      <c r="W1738" s="317">
        <v>4.5999999999999996</v>
      </c>
      <c r="X1738" s="190">
        <f t="shared" si="75"/>
        <v>59.8</v>
      </c>
      <c r="Y1738" s="8"/>
      <c r="Z1738" s="8"/>
    </row>
    <row r="1739" spans="1:26" ht="25.5" customHeight="1" x14ac:dyDescent="0.2">
      <c r="A1739" s="15">
        <v>195</v>
      </c>
      <c r="B1739" s="15">
        <v>2002</v>
      </c>
      <c r="C1739" s="15">
        <v>7</v>
      </c>
      <c r="D1739" s="15">
        <v>8</v>
      </c>
      <c r="E1739" s="29" t="s">
        <v>212</v>
      </c>
      <c r="F1739" s="20" t="s">
        <v>51</v>
      </c>
      <c r="G1739" s="32">
        <v>158</v>
      </c>
      <c r="H1739" s="15" t="s">
        <v>29</v>
      </c>
      <c r="I1739" s="33">
        <v>13</v>
      </c>
      <c r="J1739" s="11" t="s">
        <v>19</v>
      </c>
      <c r="K1739" s="20" t="s">
        <v>20</v>
      </c>
      <c r="L1739" s="20" t="s">
        <v>30</v>
      </c>
      <c r="M1739" s="20" t="s">
        <v>27</v>
      </c>
      <c r="N1739" s="20" t="s">
        <v>24</v>
      </c>
      <c r="O1739" s="31" t="s">
        <v>29</v>
      </c>
      <c r="P1739" s="15">
        <v>219</v>
      </c>
      <c r="Q1739" s="8"/>
      <c r="R1739">
        <v>14.74</v>
      </c>
      <c r="S1739">
        <v>3203.44</v>
      </c>
      <c r="T1739">
        <v>4.0599999999999996</v>
      </c>
      <c r="U1739">
        <v>10.59</v>
      </c>
      <c r="V1739">
        <v>147</v>
      </c>
      <c r="W1739" s="317">
        <v>4.5999999999999996</v>
      </c>
      <c r="X1739" s="190">
        <f t="shared" si="75"/>
        <v>59.8</v>
      </c>
      <c r="Y1739" s="8"/>
      <c r="Z1739" s="8"/>
    </row>
    <row r="1740" spans="1:26" ht="25.5" customHeight="1" x14ac:dyDescent="0.2">
      <c r="A1740" s="15">
        <v>196</v>
      </c>
      <c r="B1740" s="15">
        <v>2002</v>
      </c>
      <c r="C1740" s="15">
        <v>7</v>
      </c>
      <c r="D1740" s="15">
        <v>8</v>
      </c>
      <c r="E1740" s="29" t="s">
        <v>212</v>
      </c>
      <c r="F1740" s="20" t="s">
        <v>51</v>
      </c>
      <c r="G1740" s="11" t="s">
        <v>29</v>
      </c>
      <c r="H1740" s="15" t="s">
        <v>29</v>
      </c>
      <c r="I1740" s="33">
        <v>9</v>
      </c>
      <c r="J1740" s="11" t="s">
        <v>19</v>
      </c>
      <c r="K1740" s="20" t="s">
        <v>20</v>
      </c>
      <c r="L1740" s="20" t="s">
        <v>30</v>
      </c>
      <c r="M1740" s="20" t="s">
        <v>47</v>
      </c>
      <c r="N1740" s="20" t="s">
        <v>23</v>
      </c>
      <c r="O1740" s="31" t="s">
        <v>29</v>
      </c>
      <c r="P1740" s="15">
        <v>219</v>
      </c>
      <c r="Q1740" s="8"/>
      <c r="W1740" s="317">
        <v>4.5999999999999996</v>
      </c>
      <c r="X1740" s="190">
        <f t="shared" si="75"/>
        <v>41.4</v>
      </c>
      <c r="Y1740" s="8"/>
      <c r="Z1740" s="8"/>
    </row>
    <row r="1741" spans="1:26" ht="25.5" customHeight="1" x14ac:dyDescent="0.2">
      <c r="A1741" s="15">
        <v>197</v>
      </c>
      <c r="B1741" s="15">
        <v>2002</v>
      </c>
      <c r="C1741" s="15">
        <v>7</v>
      </c>
      <c r="D1741" s="15">
        <v>8</v>
      </c>
      <c r="E1741" s="29" t="s">
        <v>212</v>
      </c>
      <c r="F1741" s="20" t="s">
        <v>51</v>
      </c>
      <c r="G1741" s="32">
        <v>162</v>
      </c>
      <c r="H1741" s="15" t="s">
        <v>29</v>
      </c>
      <c r="I1741" s="33">
        <v>18</v>
      </c>
      <c r="J1741" s="11" t="s">
        <v>19</v>
      </c>
      <c r="K1741" s="20" t="s">
        <v>20</v>
      </c>
      <c r="L1741" s="20" t="s">
        <v>30</v>
      </c>
      <c r="M1741" s="20" t="s">
        <v>45</v>
      </c>
      <c r="N1741" s="20" t="s">
        <v>23</v>
      </c>
      <c r="O1741" s="31" t="s">
        <v>29</v>
      </c>
      <c r="P1741" s="15">
        <v>219</v>
      </c>
      <c r="Q1741" s="8"/>
      <c r="R1741">
        <v>15.11</v>
      </c>
      <c r="S1741">
        <v>3452.95</v>
      </c>
      <c r="T1741">
        <v>5.21</v>
      </c>
      <c r="U1741">
        <v>10.85</v>
      </c>
      <c r="V1741">
        <v>151</v>
      </c>
      <c r="W1741" s="317">
        <v>4.5999999999999996</v>
      </c>
      <c r="X1741" s="190">
        <f t="shared" si="75"/>
        <v>82.8</v>
      </c>
      <c r="Y1741" s="8"/>
      <c r="Z1741" s="8"/>
    </row>
    <row r="1742" spans="1:26" ht="25.5" customHeight="1" x14ac:dyDescent="0.2">
      <c r="A1742" s="15">
        <v>198</v>
      </c>
      <c r="B1742" s="15">
        <v>2002</v>
      </c>
      <c r="C1742" s="15">
        <v>7</v>
      </c>
      <c r="D1742" s="15">
        <v>8</v>
      </c>
      <c r="E1742" s="29" t="s">
        <v>212</v>
      </c>
      <c r="F1742" s="20" t="s">
        <v>51</v>
      </c>
      <c r="G1742" s="32">
        <v>147</v>
      </c>
      <c r="H1742" s="15" t="s">
        <v>29</v>
      </c>
      <c r="I1742" s="33">
        <v>11.5</v>
      </c>
      <c r="J1742" s="11" t="s">
        <v>19</v>
      </c>
      <c r="K1742" s="20" t="s">
        <v>20</v>
      </c>
      <c r="L1742" s="11" t="s">
        <v>21</v>
      </c>
      <c r="M1742" s="20" t="s">
        <v>46</v>
      </c>
      <c r="N1742" s="20" t="s">
        <v>24</v>
      </c>
      <c r="O1742" s="31" t="s">
        <v>29</v>
      </c>
      <c r="P1742" s="15">
        <v>219</v>
      </c>
      <c r="Q1742" s="8"/>
      <c r="R1742">
        <v>13.72</v>
      </c>
      <c r="S1742">
        <v>2579.86</v>
      </c>
      <c r="T1742">
        <v>4.46</v>
      </c>
      <c r="U1742">
        <v>9.85</v>
      </c>
      <c r="V1742">
        <v>137</v>
      </c>
      <c r="W1742" s="317">
        <v>3.9</v>
      </c>
      <c r="X1742" s="190">
        <f t="shared" si="75"/>
        <v>44.85</v>
      </c>
      <c r="Y1742" s="8"/>
      <c r="Z1742" s="8"/>
    </row>
    <row r="1743" spans="1:26" ht="25.5" customHeight="1" x14ac:dyDescent="0.2">
      <c r="A1743" s="15">
        <v>199</v>
      </c>
      <c r="B1743" s="15">
        <v>2002</v>
      </c>
      <c r="C1743" s="15">
        <v>7</v>
      </c>
      <c r="D1743" s="15">
        <v>8</v>
      </c>
      <c r="E1743" s="29" t="s">
        <v>212</v>
      </c>
      <c r="F1743" s="20" t="s">
        <v>51</v>
      </c>
      <c r="G1743" s="32">
        <v>130</v>
      </c>
      <c r="H1743" s="15" t="s">
        <v>29</v>
      </c>
      <c r="I1743" s="33">
        <v>9</v>
      </c>
      <c r="J1743" s="11" t="s">
        <v>19</v>
      </c>
      <c r="K1743" s="20" t="s">
        <v>20</v>
      </c>
      <c r="L1743" s="20" t="s">
        <v>30</v>
      </c>
      <c r="M1743" s="20" t="s">
        <v>46</v>
      </c>
      <c r="N1743" s="20" t="s">
        <v>25</v>
      </c>
      <c r="O1743" s="31" t="s">
        <v>29</v>
      </c>
      <c r="P1743" s="15">
        <v>219</v>
      </c>
      <c r="Q1743" s="8"/>
      <c r="R1743">
        <v>12.13</v>
      </c>
      <c r="S1743">
        <v>1784.33</v>
      </c>
      <c r="T1743">
        <v>5.04</v>
      </c>
      <c r="U1743">
        <v>8.7100000000000009</v>
      </c>
      <c r="V1743">
        <v>121</v>
      </c>
      <c r="W1743" s="317">
        <v>4.5999999999999996</v>
      </c>
      <c r="X1743" s="190">
        <f t="shared" si="75"/>
        <v>41.4</v>
      </c>
      <c r="Y1743" s="8"/>
      <c r="Z1743" s="8"/>
    </row>
    <row r="1744" spans="1:26" ht="25.5" customHeight="1" x14ac:dyDescent="0.2">
      <c r="A1744" s="15">
        <v>200</v>
      </c>
      <c r="B1744" s="15">
        <v>2002</v>
      </c>
      <c r="C1744" s="15">
        <v>7</v>
      </c>
      <c r="D1744" s="15">
        <v>8</v>
      </c>
      <c r="E1744" s="29" t="s">
        <v>212</v>
      </c>
      <c r="F1744" s="11" t="s">
        <v>28</v>
      </c>
      <c r="G1744" s="11" t="s">
        <v>29</v>
      </c>
      <c r="H1744" s="15" t="s">
        <v>29</v>
      </c>
      <c r="I1744" s="33">
        <v>5</v>
      </c>
      <c r="J1744" s="11" t="s">
        <v>19</v>
      </c>
      <c r="K1744" s="20" t="s">
        <v>20</v>
      </c>
      <c r="L1744" s="20" t="s">
        <v>30</v>
      </c>
      <c r="M1744" s="20" t="s">
        <v>45</v>
      </c>
      <c r="N1744" s="11" t="s">
        <v>29</v>
      </c>
      <c r="O1744" s="31" t="s">
        <v>29</v>
      </c>
      <c r="P1744" s="15">
        <v>219</v>
      </c>
      <c r="Q1744" s="8"/>
      <c r="W1744" s="317">
        <v>4.5999999999999996</v>
      </c>
      <c r="X1744" s="190">
        <f t="shared" si="75"/>
        <v>23</v>
      </c>
      <c r="Y1744" s="8"/>
      <c r="Z1744" s="8"/>
    </row>
    <row r="1745" spans="1:26" ht="25.5" customHeight="1" x14ac:dyDescent="0.2">
      <c r="A1745" s="15">
        <v>201</v>
      </c>
      <c r="B1745" s="15">
        <v>2002</v>
      </c>
      <c r="C1745" s="15">
        <v>7</v>
      </c>
      <c r="D1745" s="15">
        <v>8</v>
      </c>
      <c r="E1745" s="29" t="s">
        <v>212</v>
      </c>
      <c r="F1745" s="11" t="s">
        <v>28</v>
      </c>
      <c r="G1745" s="11" t="s">
        <v>29</v>
      </c>
      <c r="H1745" s="15" t="s">
        <v>29</v>
      </c>
      <c r="I1745" s="33">
        <v>9</v>
      </c>
      <c r="J1745" s="11" t="s">
        <v>19</v>
      </c>
      <c r="K1745" s="20" t="s">
        <v>20</v>
      </c>
      <c r="L1745" s="20" t="s">
        <v>30</v>
      </c>
      <c r="M1745" s="20" t="s">
        <v>27</v>
      </c>
      <c r="N1745" s="11" t="s">
        <v>29</v>
      </c>
      <c r="O1745" s="31" t="s">
        <v>29</v>
      </c>
      <c r="P1745" s="15">
        <v>219</v>
      </c>
      <c r="Q1745" s="8"/>
      <c r="W1745" s="317">
        <v>4.5999999999999996</v>
      </c>
      <c r="X1745" s="190">
        <f t="shared" si="75"/>
        <v>41.4</v>
      </c>
      <c r="Y1745" s="8"/>
      <c r="Z1745" s="8"/>
    </row>
    <row r="1746" spans="1:26" ht="25.5" customHeight="1" x14ac:dyDescent="0.2">
      <c r="A1746" s="15">
        <v>202</v>
      </c>
      <c r="B1746" s="15">
        <v>2002</v>
      </c>
      <c r="C1746" s="15">
        <v>7</v>
      </c>
      <c r="D1746" s="15">
        <v>8</v>
      </c>
      <c r="E1746" s="29" t="s">
        <v>212</v>
      </c>
      <c r="F1746" s="20" t="s">
        <v>51</v>
      </c>
      <c r="G1746" s="32">
        <v>152</v>
      </c>
      <c r="H1746" s="15" t="s">
        <v>29</v>
      </c>
      <c r="I1746" s="33">
        <v>13.5</v>
      </c>
      <c r="J1746" s="11" t="s">
        <v>19</v>
      </c>
      <c r="K1746" s="20" t="s">
        <v>20</v>
      </c>
      <c r="L1746" s="11" t="s">
        <v>21</v>
      </c>
      <c r="M1746" s="20" t="s">
        <v>27</v>
      </c>
      <c r="N1746" s="20" t="s">
        <v>24</v>
      </c>
      <c r="O1746" s="31" t="s">
        <v>29</v>
      </c>
      <c r="P1746" s="15">
        <v>219</v>
      </c>
      <c r="Q1746" s="8"/>
      <c r="R1746">
        <v>14.18</v>
      </c>
      <c r="S1746">
        <v>2852.17</v>
      </c>
      <c r="T1746">
        <v>4.7300000000000004</v>
      </c>
      <c r="U1746">
        <v>10.18</v>
      </c>
      <c r="V1746">
        <v>142</v>
      </c>
      <c r="W1746" s="317">
        <v>3.9</v>
      </c>
      <c r="X1746" s="190">
        <f t="shared" si="75"/>
        <v>52.65</v>
      </c>
      <c r="Y1746" s="8"/>
      <c r="Z1746" s="8"/>
    </row>
    <row r="1747" spans="1:26" ht="25.5" customHeight="1" x14ac:dyDescent="0.2">
      <c r="A1747" s="15">
        <v>203</v>
      </c>
      <c r="B1747" s="15">
        <v>2002</v>
      </c>
      <c r="C1747" s="15">
        <v>7</v>
      </c>
      <c r="D1747" s="15">
        <v>8</v>
      </c>
      <c r="E1747" s="29" t="s">
        <v>212</v>
      </c>
      <c r="F1747" s="20" t="s">
        <v>51</v>
      </c>
      <c r="G1747" s="32">
        <v>132</v>
      </c>
      <c r="H1747" s="15" t="s">
        <v>29</v>
      </c>
      <c r="I1747" s="33">
        <v>11</v>
      </c>
      <c r="J1747" s="11" t="s">
        <v>19</v>
      </c>
      <c r="K1747" s="20" t="s">
        <v>20</v>
      </c>
      <c r="L1747" s="20" t="s">
        <v>30</v>
      </c>
      <c r="M1747" s="20" t="s">
        <v>27</v>
      </c>
      <c r="N1747" s="20" t="s">
        <v>25</v>
      </c>
      <c r="O1747" s="31" t="s">
        <v>29</v>
      </c>
      <c r="P1747" s="15">
        <v>219</v>
      </c>
      <c r="Q1747" s="8"/>
      <c r="R1747">
        <v>12.32</v>
      </c>
      <c r="S1747">
        <v>1867.96</v>
      </c>
      <c r="T1747">
        <v>5.89</v>
      </c>
      <c r="U1747">
        <v>8.84</v>
      </c>
      <c r="V1747">
        <v>123</v>
      </c>
      <c r="W1747" s="317">
        <v>4.5999999999999996</v>
      </c>
      <c r="X1747" s="190">
        <f t="shared" si="75"/>
        <v>50.599999999999994</v>
      </c>
      <c r="Y1747" s="8"/>
      <c r="Z1747" s="8"/>
    </row>
    <row r="1748" spans="1:26" ht="25.5" customHeight="1" x14ac:dyDescent="0.2">
      <c r="A1748" s="15">
        <v>204</v>
      </c>
      <c r="B1748" s="15">
        <v>2002</v>
      </c>
      <c r="C1748" s="15">
        <v>7</v>
      </c>
      <c r="D1748" s="15">
        <v>8</v>
      </c>
      <c r="E1748" s="29" t="s">
        <v>212</v>
      </c>
      <c r="F1748" s="20" t="s">
        <v>51</v>
      </c>
      <c r="G1748" s="32">
        <v>138</v>
      </c>
      <c r="H1748" s="15" t="s">
        <v>29</v>
      </c>
      <c r="I1748" s="33">
        <v>10</v>
      </c>
      <c r="J1748" s="11" t="s">
        <v>19</v>
      </c>
      <c r="K1748" s="20" t="s">
        <v>20</v>
      </c>
      <c r="L1748" s="20" t="s">
        <v>30</v>
      </c>
      <c r="M1748" s="20" t="s">
        <v>45</v>
      </c>
      <c r="N1748" s="20" t="s">
        <v>24</v>
      </c>
      <c r="O1748" s="31" t="s">
        <v>29</v>
      </c>
      <c r="P1748" s="15">
        <v>219</v>
      </c>
      <c r="Q1748" s="8"/>
      <c r="R1748">
        <v>12.88</v>
      </c>
      <c r="S1748">
        <v>2134.4299999999998</v>
      </c>
      <c r="T1748">
        <v>4.6900000000000004</v>
      </c>
      <c r="U1748">
        <v>9.25</v>
      </c>
      <c r="V1748">
        <v>129</v>
      </c>
      <c r="W1748" s="317">
        <v>4.5999999999999996</v>
      </c>
      <c r="X1748" s="190">
        <f t="shared" si="75"/>
        <v>46</v>
      </c>
      <c r="Y1748" s="8"/>
      <c r="Z1748" s="8"/>
    </row>
    <row r="1749" spans="1:26" ht="25.5" customHeight="1" x14ac:dyDescent="0.2">
      <c r="A1749" s="15">
        <v>205</v>
      </c>
      <c r="B1749" s="15">
        <v>2002</v>
      </c>
      <c r="C1749" s="15">
        <v>7</v>
      </c>
      <c r="D1749" s="15">
        <v>8</v>
      </c>
      <c r="E1749" s="29" t="s">
        <v>212</v>
      </c>
      <c r="F1749" s="20" t="s">
        <v>51</v>
      </c>
      <c r="G1749" s="32">
        <v>152</v>
      </c>
      <c r="H1749" s="15" t="s">
        <v>29</v>
      </c>
      <c r="I1749" s="33">
        <v>14</v>
      </c>
      <c r="J1749" s="11" t="s">
        <v>19</v>
      </c>
      <c r="K1749" s="20" t="s">
        <v>20</v>
      </c>
      <c r="L1749" s="11" t="s">
        <v>21</v>
      </c>
      <c r="M1749" s="20" t="s">
        <v>45</v>
      </c>
      <c r="N1749" s="20" t="s">
        <v>25</v>
      </c>
      <c r="O1749" s="31" t="s">
        <v>29</v>
      </c>
      <c r="P1749" s="15">
        <v>219</v>
      </c>
      <c r="Q1749" s="8"/>
      <c r="R1749">
        <v>14.18</v>
      </c>
      <c r="S1749">
        <v>2852.17</v>
      </c>
      <c r="T1749">
        <v>4.91</v>
      </c>
      <c r="U1749">
        <v>10.18</v>
      </c>
      <c r="V1749">
        <v>142</v>
      </c>
      <c r="W1749" s="317">
        <v>3.9</v>
      </c>
      <c r="X1749" s="190">
        <f t="shared" si="75"/>
        <v>54.6</v>
      </c>
      <c r="Y1749" s="8"/>
      <c r="Z1749" s="8"/>
    </row>
    <row r="1750" spans="1:26" ht="25.5" customHeight="1" x14ac:dyDescent="0.2">
      <c r="A1750" s="15">
        <v>206</v>
      </c>
      <c r="B1750" s="15">
        <v>2002</v>
      </c>
      <c r="C1750" s="15">
        <v>7</v>
      </c>
      <c r="D1750" s="15">
        <v>8</v>
      </c>
      <c r="E1750" s="29" t="s">
        <v>212</v>
      </c>
      <c r="F1750" s="20" t="s">
        <v>51</v>
      </c>
      <c r="G1750" s="32">
        <v>140</v>
      </c>
      <c r="H1750" s="15" t="s">
        <v>29</v>
      </c>
      <c r="I1750" s="33">
        <v>13</v>
      </c>
      <c r="J1750" s="11" t="s">
        <v>19</v>
      </c>
      <c r="K1750" s="20" t="s">
        <v>20</v>
      </c>
      <c r="L1750" s="11" t="s">
        <v>21</v>
      </c>
      <c r="M1750" s="20" t="s">
        <v>45</v>
      </c>
      <c r="N1750" s="20" t="s">
        <v>24</v>
      </c>
      <c r="O1750" s="31" t="s">
        <v>29</v>
      </c>
      <c r="P1750" s="15">
        <v>219</v>
      </c>
      <c r="Q1750" s="8"/>
      <c r="R1750">
        <v>13.06</v>
      </c>
      <c r="S1750">
        <v>2228.58</v>
      </c>
      <c r="T1750">
        <v>5.83</v>
      </c>
      <c r="U1750">
        <v>9.3800000000000008</v>
      </c>
      <c r="V1750">
        <v>131</v>
      </c>
      <c r="W1750" s="317">
        <v>3.9</v>
      </c>
      <c r="X1750" s="190">
        <f t="shared" si="75"/>
        <v>50.699999999999996</v>
      </c>
      <c r="Y1750" s="8"/>
      <c r="Z1750" s="8"/>
    </row>
    <row r="1751" spans="1:26" ht="25.5" customHeight="1" x14ac:dyDescent="0.2">
      <c r="A1751" s="15">
        <v>207</v>
      </c>
      <c r="B1751" s="15">
        <v>2002</v>
      </c>
      <c r="C1751" s="15">
        <v>7</v>
      </c>
      <c r="D1751" s="15">
        <v>8</v>
      </c>
      <c r="E1751" s="29" t="s">
        <v>212</v>
      </c>
      <c r="F1751" s="20" t="s">
        <v>51</v>
      </c>
      <c r="G1751" s="32">
        <v>136</v>
      </c>
      <c r="H1751" s="15" t="s">
        <v>29</v>
      </c>
      <c r="I1751" s="33">
        <v>10</v>
      </c>
      <c r="J1751" s="11" t="s">
        <v>19</v>
      </c>
      <c r="K1751" s="20" t="s">
        <v>20</v>
      </c>
      <c r="L1751" s="20" t="s">
        <v>30</v>
      </c>
      <c r="M1751" s="20" t="s">
        <v>45</v>
      </c>
      <c r="N1751" s="20" t="s">
        <v>25</v>
      </c>
      <c r="O1751" s="31" t="s">
        <v>29</v>
      </c>
      <c r="P1751" s="15">
        <v>219</v>
      </c>
      <c r="Q1751" s="8"/>
      <c r="R1751">
        <v>12.69</v>
      </c>
      <c r="S1751">
        <v>2042.97</v>
      </c>
      <c r="T1751">
        <v>4.8899999999999997</v>
      </c>
      <c r="U1751">
        <v>9.11</v>
      </c>
      <c r="V1751">
        <v>127</v>
      </c>
      <c r="W1751" s="317">
        <v>4.5999999999999996</v>
      </c>
      <c r="X1751" s="190">
        <f t="shared" si="75"/>
        <v>46</v>
      </c>
      <c r="Y1751" s="8"/>
      <c r="Z1751" s="8"/>
    </row>
    <row r="1752" spans="1:26" ht="25.5" customHeight="1" x14ac:dyDescent="0.2">
      <c r="A1752" s="15">
        <v>208</v>
      </c>
      <c r="B1752" s="15">
        <v>2002</v>
      </c>
      <c r="C1752" s="15">
        <v>7</v>
      </c>
      <c r="D1752" s="15">
        <v>8</v>
      </c>
      <c r="E1752" s="29" t="s">
        <v>212</v>
      </c>
      <c r="F1752" s="20" t="s">
        <v>51</v>
      </c>
      <c r="G1752" s="32">
        <v>145</v>
      </c>
      <c r="H1752" s="15" t="s">
        <v>29</v>
      </c>
      <c r="I1752" s="33">
        <v>10</v>
      </c>
      <c r="J1752" s="11" t="s">
        <v>19</v>
      </c>
      <c r="K1752" s="20" t="s">
        <v>20</v>
      </c>
      <c r="L1752" s="20" t="s">
        <v>30</v>
      </c>
      <c r="M1752" s="20" t="s">
        <v>27</v>
      </c>
      <c r="N1752" s="20" t="s">
        <v>25</v>
      </c>
      <c r="O1752" s="31" t="s">
        <v>29</v>
      </c>
      <c r="P1752" s="15">
        <v>219</v>
      </c>
      <c r="Q1752" s="8"/>
      <c r="R1752">
        <v>13.53</v>
      </c>
      <c r="S1752">
        <v>2475.9899999999998</v>
      </c>
      <c r="T1752">
        <v>4.04</v>
      </c>
      <c r="U1752">
        <v>9.7200000000000006</v>
      </c>
      <c r="V1752">
        <v>135</v>
      </c>
      <c r="W1752" s="317">
        <v>4.5999999999999996</v>
      </c>
      <c r="X1752" s="190">
        <f t="shared" si="75"/>
        <v>46</v>
      </c>
      <c r="Y1752" s="8"/>
      <c r="Z1752" s="8"/>
    </row>
    <row r="1753" spans="1:26" ht="25.5" customHeight="1" x14ac:dyDescent="0.2">
      <c r="A1753" s="15">
        <v>209</v>
      </c>
      <c r="B1753" s="15">
        <v>2002</v>
      </c>
      <c r="C1753" s="15">
        <v>7</v>
      </c>
      <c r="D1753" s="15">
        <v>8</v>
      </c>
      <c r="E1753" s="29" t="s">
        <v>212</v>
      </c>
      <c r="F1753" s="20" t="s">
        <v>51</v>
      </c>
      <c r="G1753" s="32">
        <v>142</v>
      </c>
      <c r="H1753" s="15" t="s">
        <v>29</v>
      </c>
      <c r="I1753" s="33">
        <v>9.5</v>
      </c>
      <c r="J1753" s="11" t="s">
        <v>19</v>
      </c>
      <c r="K1753" s="20" t="s">
        <v>20</v>
      </c>
      <c r="L1753" s="11" t="s">
        <v>21</v>
      </c>
      <c r="M1753" s="20" t="s">
        <v>47</v>
      </c>
      <c r="N1753" s="20" t="s">
        <v>25</v>
      </c>
      <c r="O1753" s="31" t="s">
        <v>29</v>
      </c>
      <c r="P1753" s="15">
        <v>219</v>
      </c>
      <c r="Q1753" s="8"/>
      <c r="R1753">
        <v>13.25</v>
      </c>
      <c r="S1753">
        <v>2325.4699999999998</v>
      </c>
      <c r="T1753">
        <v>4.09</v>
      </c>
      <c r="U1753">
        <v>9.51</v>
      </c>
      <c r="V1753">
        <v>132</v>
      </c>
      <c r="W1753" s="317">
        <v>3.9</v>
      </c>
      <c r="X1753" s="190">
        <f t="shared" si="75"/>
        <v>37.049999999999997</v>
      </c>
      <c r="Y1753" s="8"/>
      <c r="Z1753" s="8"/>
    </row>
    <row r="1754" spans="1:26" ht="25.5" customHeight="1" x14ac:dyDescent="0.2">
      <c r="A1754" s="15">
        <v>210</v>
      </c>
      <c r="B1754" s="15">
        <v>2002</v>
      </c>
      <c r="C1754" s="15">
        <v>7</v>
      </c>
      <c r="D1754" s="15">
        <v>8</v>
      </c>
      <c r="E1754" s="29" t="s">
        <v>212</v>
      </c>
      <c r="F1754" s="20" t="s">
        <v>51</v>
      </c>
      <c r="G1754" s="32">
        <v>162</v>
      </c>
      <c r="H1754" s="15" t="s">
        <v>29</v>
      </c>
      <c r="I1754" s="33">
        <v>15</v>
      </c>
      <c r="J1754" s="11" t="s">
        <v>19</v>
      </c>
      <c r="K1754" s="20" t="s">
        <v>20</v>
      </c>
      <c r="L1754" s="11" t="s">
        <v>21</v>
      </c>
      <c r="M1754" s="20" t="s">
        <v>46</v>
      </c>
      <c r="N1754" s="20" t="s">
        <v>24</v>
      </c>
      <c r="O1754" s="31" t="s">
        <v>29</v>
      </c>
      <c r="P1754" s="15">
        <v>219</v>
      </c>
      <c r="Q1754" s="8"/>
      <c r="R1754">
        <v>15.11</v>
      </c>
      <c r="S1754">
        <v>3452.95</v>
      </c>
      <c r="T1754">
        <v>4.34</v>
      </c>
      <c r="U1754">
        <v>10.85</v>
      </c>
      <c r="V1754">
        <v>151</v>
      </c>
      <c r="W1754" s="317">
        <v>3.9</v>
      </c>
      <c r="X1754" s="190">
        <f t="shared" si="75"/>
        <v>58.5</v>
      </c>
      <c r="Y1754" s="8"/>
      <c r="Z1754" s="8"/>
    </row>
    <row r="1755" spans="1:26" ht="25.5" customHeight="1" x14ac:dyDescent="0.2">
      <c r="A1755" s="15">
        <v>211</v>
      </c>
      <c r="B1755" s="15">
        <v>2002</v>
      </c>
      <c r="C1755" s="15">
        <v>7</v>
      </c>
      <c r="D1755" s="15">
        <v>8</v>
      </c>
      <c r="E1755" s="29" t="s">
        <v>212</v>
      </c>
      <c r="F1755" s="20" t="s">
        <v>51</v>
      </c>
      <c r="G1755" s="32">
        <v>139</v>
      </c>
      <c r="H1755" s="15" t="s">
        <v>29</v>
      </c>
      <c r="I1755" s="33">
        <v>11</v>
      </c>
      <c r="J1755" s="11" t="s">
        <v>19</v>
      </c>
      <c r="K1755" s="20" t="s">
        <v>20</v>
      </c>
      <c r="L1755" s="20" t="s">
        <v>30</v>
      </c>
      <c r="M1755" s="20" t="s">
        <v>45</v>
      </c>
      <c r="N1755" s="20" t="s">
        <v>23</v>
      </c>
      <c r="O1755" s="31" t="s">
        <v>29</v>
      </c>
      <c r="P1755" s="15">
        <v>219</v>
      </c>
      <c r="Q1755" s="8"/>
      <c r="R1755">
        <v>12.97</v>
      </c>
      <c r="S1755">
        <v>2181.17</v>
      </c>
      <c r="T1755">
        <v>5.04</v>
      </c>
      <c r="U1755">
        <v>9.31</v>
      </c>
      <c r="V1755">
        <v>130</v>
      </c>
      <c r="W1755" s="317">
        <v>4.5999999999999996</v>
      </c>
      <c r="X1755" s="190">
        <f t="shared" si="75"/>
        <v>50.599999999999994</v>
      </c>
      <c r="Y1755" s="8"/>
      <c r="Z1755" s="8"/>
    </row>
    <row r="1756" spans="1:26" ht="25.5" customHeight="1" x14ac:dyDescent="0.2">
      <c r="A1756" s="15">
        <v>212</v>
      </c>
      <c r="B1756" s="15">
        <v>2002</v>
      </c>
      <c r="C1756" s="15">
        <v>7</v>
      </c>
      <c r="D1756" s="15">
        <v>8</v>
      </c>
      <c r="E1756" s="29" t="s">
        <v>212</v>
      </c>
      <c r="F1756" s="20" t="s">
        <v>51</v>
      </c>
      <c r="G1756" s="32">
        <v>140</v>
      </c>
      <c r="H1756" s="15" t="s">
        <v>29</v>
      </c>
      <c r="I1756" s="33">
        <v>10</v>
      </c>
      <c r="J1756" s="11" t="s">
        <v>19</v>
      </c>
      <c r="K1756" s="20" t="s">
        <v>20</v>
      </c>
      <c r="L1756" s="20" t="s">
        <v>30</v>
      </c>
      <c r="M1756" s="20" t="s">
        <v>45</v>
      </c>
      <c r="N1756" s="20" t="s">
        <v>23</v>
      </c>
      <c r="O1756" s="31" t="s">
        <v>29</v>
      </c>
      <c r="P1756" s="15">
        <v>219</v>
      </c>
      <c r="Q1756" s="8"/>
      <c r="R1756">
        <v>13.06</v>
      </c>
      <c r="S1756">
        <v>2228.58</v>
      </c>
      <c r="T1756">
        <v>4.49</v>
      </c>
      <c r="U1756">
        <v>9.3800000000000008</v>
      </c>
      <c r="V1756">
        <v>131</v>
      </c>
      <c r="W1756" s="317">
        <v>4.5999999999999996</v>
      </c>
      <c r="X1756" s="190">
        <f t="shared" si="75"/>
        <v>46</v>
      </c>
      <c r="Y1756" s="8"/>
      <c r="Z1756" s="8"/>
    </row>
    <row r="1757" spans="1:26" ht="25.5" customHeight="1" x14ac:dyDescent="0.2">
      <c r="A1757" s="15">
        <v>213</v>
      </c>
      <c r="B1757" s="15">
        <v>2002</v>
      </c>
      <c r="C1757" s="15">
        <v>7</v>
      </c>
      <c r="D1757" s="15">
        <v>8</v>
      </c>
      <c r="E1757" s="29" t="s">
        <v>212</v>
      </c>
      <c r="F1757" s="20" t="s">
        <v>51</v>
      </c>
      <c r="G1757" s="32">
        <v>133</v>
      </c>
      <c r="H1757" s="15" t="s">
        <v>29</v>
      </c>
      <c r="I1757" s="33">
        <v>9.5</v>
      </c>
      <c r="J1757" s="11" t="s">
        <v>19</v>
      </c>
      <c r="K1757" s="20" t="s">
        <v>20</v>
      </c>
      <c r="L1757" s="20" t="s">
        <v>30</v>
      </c>
      <c r="M1757" s="20" t="s">
        <v>27</v>
      </c>
      <c r="N1757" s="20" t="s">
        <v>23</v>
      </c>
      <c r="O1757" s="31" t="s">
        <v>29</v>
      </c>
      <c r="P1757" s="15">
        <v>219</v>
      </c>
      <c r="Q1757" s="8"/>
      <c r="R1757">
        <v>12.41</v>
      </c>
      <c r="S1757">
        <v>1910.73</v>
      </c>
      <c r="T1757">
        <v>4.97</v>
      </c>
      <c r="U1757">
        <v>8.91</v>
      </c>
      <c r="V1757">
        <v>124</v>
      </c>
      <c r="W1757" s="317">
        <v>4.5999999999999996</v>
      </c>
      <c r="X1757" s="190">
        <f t="shared" si="75"/>
        <v>43.699999999999996</v>
      </c>
      <c r="Y1757" s="8"/>
      <c r="Z1757" s="8"/>
    </row>
    <row r="1758" spans="1:26" ht="25.5" customHeight="1" x14ac:dyDescent="0.2">
      <c r="A1758" s="15">
        <v>214</v>
      </c>
      <c r="B1758" s="15">
        <v>2002</v>
      </c>
      <c r="C1758" s="15">
        <v>7</v>
      </c>
      <c r="D1758" s="15">
        <v>8</v>
      </c>
      <c r="E1758" s="29" t="s">
        <v>212</v>
      </c>
      <c r="F1758" s="20" t="s">
        <v>51</v>
      </c>
      <c r="G1758" s="32">
        <v>152</v>
      </c>
      <c r="H1758" s="15" t="s">
        <v>29</v>
      </c>
      <c r="I1758" s="33">
        <v>12</v>
      </c>
      <c r="J1758" s="11" t="s">
        <v>19</v>
      </c>
      <c r="K1758" s="20" t="s">
        <v>20</v>
      </c>
      <c r="L1758" s="11" t="s">
        <v>21</v>
      </c>
      <c r="M1758" s="20" t="s">
        <v>45</v>
      </c>
      <c r="N1758" s="20" t="s">
        <v>24</v>
      </c>
      <c r="O1758" s="31" t="s">
        <v>29</v>
      </c>
      <c r="P1758" s="15">
        <v>219</v>
      </c>
      <c r="Q1758" s="8"/>
      <c r="R1758">
        <v>14.18</v>
      </c>
      <c r="S1758">
        <v>2852.17</v>
      </c>
      <c r="T1758">
        <v>4.21</v>
      </c>
      <c r="U1758">
        <v>10.18</v>
      </c>
      <c r="V1758">
        <v>142</v>
      </c>
      <c r="W1758" s="317">
        <v>3.9</v>
      </c>
      <c r="X1758" s="190">
        <f t="shared" si="75"/>
        <v>46.8</v>
      </c>
      <c r="Y1758" s="8"/>
      <c r="Z1758" s="8"/>
    </row>
    <row r="1759" spans="1:26" ht="25.5" customHeight="1" x14ac:dyDescent="0.2">
      <c r="A1759" s="15">
        <v>215</v>
      </c>
      <c r="B1759" s="15">
        <v>2002</v>
      </c>
      <c r="C1759" s="15">
        <v>7</v>
      </c>
      <c r="D1759" s="15">
        <v>8</v>
      </c>
      <c r="E1759" s="29" t="s">
        <v>212</v>
      </c>
      <c r="F1759" s="20" t="s">
        <v>51</v>
      </c>
      <c r="G1759" s="32">
        <v>161</v>
      </c>
      <c r="H1759" s="15" t="s">
        <v>29</v>
      </c>
      <c r="I1759" s="33">
        <v>13.5</v>
      </c>
      <c r="J1759" s="11" t="s">
        <v>19</v>
      </c>
      <c r="K1759" s="20" t="s">
        <v>20</v>
      </c>
      <c r="L1759" s="11" t="s">
        <v>21</v>
      </c>
      <c r="M1759" s="20" t="s">
        <v>45</v>
      </c>
      <c r="N1759" s="20" t="s">
        <v>24</v>
      </c>
      <c r="O1759" s="31" t="s">
        <v>29</v>
      </c>
      <c r="P1759" s="15">
        <v>219</v>
      </c>
      <c r="Q1759" s="8"/>
      <c r="R1759">
        <v>15.02</v>
      </c>
      <c r="S1759">
        <v>3389.4</v>
      </c>
      <c r="T1759">
        <v>3.98</v>
      </c>
      <c r="U1759">
        <v>10.79</v>
      </c>
      <c r="V1759">
        <v>150</v>
      </c>
      <c r="W1759" s="317">
        <v>3.9</v>
      </c>
      <c r="X1759" s="190">
        <f t="shared" si="75"/>
        <v>52.65</v>
      </c>
      <c r="Y1759" s="8"/>
      <c r="Z1759" s="8"/>
    </row>
    <row r="1760" spans="1:26" ht="25.5" customHeight="1" x14ac:dyDescent="0.2">
      <c r="A1760" s="15">
        <v>216</v>
      </c>
      <c r="B1760" s="15">
        <v>2002</v>
      </c>
      <c r="C1760" s="15">
        <v>7</v>
      </c>
      <c r="D1760" s="15">
        <v>8</v>
      </c>
      <c r="E1760" s="29" t="s">
        <v>212</v>
      </c>
      <c r="F1760" s="20" t="s">
        <v>51</v>
      </c>
      <c r="G1760" s="32">
        <v>139</v>
      </c>
      <c r="H1760" s="15" t="s">
        <v>29</v>
      </c>
      <c r="I1760" s="33">
        <v>10.5</v>
      </c>
      <c r="J1760" s="11" t="s">
        <v>19</v>
      </c>
      <c r="K1760" s="20" t="s">
        <v>20</v>
      </c>
      <c r="L1760" s="20" t="s">
        <v>30</v>
      </c>
      <c r="M1760" s="20" t="s">
        <v>45</v>
      </c>
      <c r="N1760" s="20" t="s">
        <v>25</v>
      </c>
      <c r="O1760" s="31" t="s">
        <v>29</v>
      </c>
      <c r="P1760" s="15">
        <v>219</v>
      </c>
      <c r="Q1760" s="8"/>
      <c r="R1760">
        <v>12.97</v>
      </c>
      <c r="S1760">
        <v>2181.17</v>
      </c>
      <c r="T1760">
        <v>4.8099999999999996</v>
      </c>
      <c r="U1760">
        <v>9.31</v>
      </c>
      <c r="V1760">
        <v>130</v>
      </c>
      <c r="W1760" s="317">
        <v>4.5999999999999996</v>
      </c>
      <c r="X1760" s="190">
        <f t="shared" si="75"/>
        <v>48.3</v>
      </c>
      <c r="Y1760" s="8"/>
      <c r="Z1760" s="8"/>
    </row>
    <row r="1761" spans="1:26" ht="25.5" customHeight="1" x14ac:dyDescent="0.2">
      <c r="A1761" s="15">
        <v>217</v>
      </c>
      <c r="B1761" s="15">
        <v>2002</v>
      </c>
      <c r="C1761" s="15">
        <v>7</v>
      </c>
      <c r="D1761" s="15">
        <v>8</v>
      </c>
      <c r="E1761" s="29" t="s">
        <v>212</v>
      </c>
      <c r="F1761" s="20" t="s">
        <v>51</v>
      </c>
      <c r="G1761" s="32">
        <v>137</v>
      </c>
      <c r="H1761" s="15" t="s">
        <v>29</v>
      </c>
      <c r="I1761" s="33">
        <v>9.5</v>
      </c>
      <c r="J1761" s="11" t="s">
        <v>19</v>
      </c>
      <c r="K1761" s="20" t="s">
        <v>20</v>
      </c>
      <c r="L1761" s="20" t="s">
        <v>30</v>
      </c>
      <c r="M1761" s="20" t="s">
        <v>45</v>
      </c>
      <c r="N1761" s="20" t="s">
        <v>24</v>
      </c>
      <c r="O1761" s="31" t="s">
        <v>29</v>
      </c>
      <c r="P1761" s="15">
        <v>219</v>
      </c>
      <c r="Q1761" s="8"/>
      <c r="R1761">
        <v>12.78</v>
      </c>
      <c r="S1761">
        <v>2088.37</v>
      </c>
      <c r="T1761">
        <v>4.55</v>
      </c>
      <c r="U1761">
        <v>9.18</v>
      </c>
      <c r="V1761">
        <v>128</v>
      </c>
      <c r="W1761" s="317">
        <v>4.5999999999999996</v>
      </c>
      <c r="X1761" s="190">
        <f t="shared" si="75"/>
        <v>43.699999999999996</v>
      </c>
      <c r="Y1761" s="8"/>
      <c r="Z1761" s="8"/>
    </row>
    <row r="1762" spans="1:26" ht="25.5" customHeight="1" x14ac:dyDescent="0.2">
      <c r="A1762" s="15">
        <v>218</v>
      </c>
      <c r="B1762" s="15">
        <v>2002</v>
      </c>
      <c r="C1762" s="15">
        <v>7</v>
      </c>
      <c r="D1762" s="15">
        <v>8</v>
      </c>
      <c r="E1762" s="29" t="s">
        <v>212</v>
      </c>
      <c r="F1762" s="20" t="s">
        <v>51</v>
      </c>
      <c r="G1762" s="32">
        <v>140</v>
      </c>
      <c r="H1762" s="15" t="s">
        <v>29</v>
      </c>
      <c r="I1762" s="33">
        <v>9.5</v>
      </c>
      <c r="J1762" s="11" t="s">
        <v>19</v>
      </c>
      <c r="K1762" s="20" t="s">
        <v>20</v>
      </c>
      <c r="L1762" s="20" t="s">
        <v>30</v>
      </c>
      <c r="M1762" s="20" t="s">
        <v>46</v>
      </c>
      <c r="N1762" s="20" t="s">
        <v>24</v>
      </c>
      <c r="O1762" s="31" t="s">
        <v>29</v>
      </c>
      <c r="P1762" s="15">
        <v>219</v>
      </c>
      <c r="Q1762" s="8"/>
      <c r="R1762">
        <v>13.06</v>
      </c>
      <c r="S1762">
        <v>2228.58</v>
      </c>
      <c r="T1762">
        <v>4.26</v>
      </c>
      <c r="U1762">
        <v>9.3800000000000008</v>
      </c>
      <c r="V1762">
        <v>131</v>
      </c>
      <c r="W1762" s="317">
        <v>4.5999999999999996</v>
      </c>
      <c r="X1762" s="190">
        <f t="shared" si="75"/>
        <v>43.699999999999996</v>
      </c>
      <c r="Y1762" s="8"/>
      <c r="Z1762" s="8"/>
    </row>
    <row r="1763" spans="1:26" ht="25.5" customHeight="1" x14ac:dyDescent="0.2">
      <c r="A1763" s="15">
        <v>219</v>
      </c>
      <c r="B1763" s="15">
        <v>2002</v>
      </c>
      <c r="C1763" s="15">
        <v>7</v>
      </c>
      <c r="D1763" s="15">
        <v>8</v>
      </c>
      <c r="E1763" s="29" t="s">
        <v>212</v>
      </c>
      <c r="F1763" s="20" t="s">
        <v>51</v>
      </c>
      <c r="G1763" s="32">
        <v>143</v>
      </c>
      <c r="H1763" s="15" t="s">
        <v>29</v>
      </c>
      <c r="I1763" s="33">
        <v>15.5</v>
      </c>
      <c r="J1763" s="11" t="s">
        <v>19</v>
      </c>
      <c r="K1763" s="20" t="s">
        <v>20</v>
      </c>
      <c r="L1763" s="20" t="s">
        <v>30</v>
      </c>
      <c r="M1763" s="20" t="s">
        <v>45</v>
      </c>
      <c r="N1763" s="20" t="s">
        <v>25</v>
      </c>
      <c r="O1763" s="31" t="s">
        <v>29</v>
      </c>
      <c r="P1763" s="15">
        <v>219</v>
      </c>
      <c r="Q1763" s="8"/>
      <c r="R1763">
        <v>13.34</v>
      </c>
      <c r="S1763">
        <v>2374.94</v>
      </c>
      <c r="T1763">
        <v>6.53</v>
      </c>
      <c r="U1763">
        <v>9.58</v>
      </c>
      <c r="V1763">
        <v>133</v>
      </c>
      <c r="W1763" s="317">
        <v>4.5999999999999996</v>
      </c>
      <c r="X1763" s="190">
        <f t="shared" si="75"/>
        <v>71.3</v>
      </c>
      <c r="Y1763" s="8"/>
      <c r="Z1763" s="8"/>
    </row>
    <row r="1764" spans="1:26" ht="25.5" customHeight="1" x14ac:dyDescent="0.2">
      <c r="A1764" s="15">
        <v>275</v>
      </c>
      <c r="B1764" s="15">
        <v>2002</v>
      </c>
      <c r="C1764" s="15">
        <v>7</v>
      </c>
      <c r="D1764" s="15">
        <v>8</v>
      </c>
      <c r="E1764" s="29" t="s">
        <v>212</v>
      </c>
      <c r="F1764" s="20" t="s">
        <v>51</v>
      </c>
      <c r="G1764" s="34">
        <v>114</v>
      </c>
      <c r="H1764" s="15" t="s">
        <v>29</v>
      </c>
      <c r="I1764" s="35">
        <v>8.5</v>
      </c>
      <c r="J1764" s="11" t="s">
        <v>36</v>
      </c>
      <c r="K1764" s="11" t="s">
        <v>29</v>
      </c>
      <c r="L1764" s="11" t="s">
        <v>29</v>
      </c>
      <c r="M1764" s="21" t="s">
        <v>46</v>
      </c>
      <c r="N1764" s="21" t="s">
        <v>24</v>
      </c>
      <c r="O1764" s="36" t="s">
        <v>29</v>
      </c>
      <c r="P1764" s="15">
        <v>219</v>
      </c>
      <c r="Q1764" s="8"/>
      <c r="R1764">
        <v>10.64</v>
      </c>
      <c r="S1764">
        <v>1203.26</v>
      </c>
      <c r="T1764">
        <v>7.06</v>
      </c>
      <c r="U1764">
        <v>7.64</v>
      </c>
      <c r="V1764">
        <v>106</v>
      </c>
      <c r="W1764" s="8"/>
      <c r="X1764" s="8"/>
      <c r="Y1764" s="8"/>
      <c r="Z1764" s="8"/>
    </row>
    <row r="1765" spans="1:26" ht="25.5" customHeight="1" x14ac:dyDescent="0.2">
      <c r="A1765" s="15">
        <v>220</v>
      </c>
      <c r="B1765" s="15">
        <v>2002</v>
      </c>
      <c r="C1765" s="15">
        <v>6</v>
      </c>
      <c r="D1765" s="15">
        <v>8</v>
      </c>
      <c r="E1765" s="29" t="s">
        <v>213</v>
      </c>
      <c r="F1765" s="20" t="s">
        <v>51</v>
      </c>
      <c r="G1765" s="32">
        <v>144</v>
      </c>
      <c r="H1765" s="15" t="s">
        <v>29</v>
      </c>
      <c r="I1765" s="33">
        <v>16</v>
      </c>
      <c r="J1765" s="11" t="s">
        <v>19</v>
      </c>
      <c r="K1765" s="20" t="s">
        <v>20</v>
      </c>
      <c r="L1765" s="20" t="s">
        <v>30</v>
      </c>
      <c r="M1765" s="20" t="s">
        <v>27</v>
      </c>
      <c r="N1765" s="20" t="s">
        <v>24</v>
      </c>
      <c r="O1765" s="31" t="s">
        <v>29</v>
      </c>
      <c r="P1765" s="15">
        <v>218</v>
      </c>
      <c r="Q1765" s="8"/>
      <c r="R1765">
        <v>13.44</v>
      </c>
      <c r="S1765">
        <v>2425.12</v>
      </c>
      <c r="T1765">
        <v>6.6</v>
      </c>
      <c r="U1765">
        <v>9.65</v>
      </c>
      <c r="V1765">
        <v>134</v>
      </c>
      <c r="W1765" s="317">
        <v>4.5999999999999996</v>
      </c>
      <c r="X1765" s="190">
        <f t="shared" ref="X1765:X1773" si="76">I1765*W1765</f>
        <v>73.599999999999994</v>
      </c>
      <c r="Y1765" s="8"/>
      <c r="Z1765" s="8"/>
    </row>
    <row r="1766" spans="1:26" ht="25.5" customHeight="1" x14ac:dyDescent="0.2">
      <c r="A1766" s="15">
        <v>221</v>
      </c>
      <c r="B1766" s="15">
        <v>2002</v>
      </c>
      <c r="C1766" s="15">
        <v>6</v>
      </c>
      <c r="D1766" s="15">
        <v>8</v>
      </c>
      <c r="E1766" s="29" t="s">
        <v>213</v>
      </c>
      <c r="F1766" s="20" t="s">
        <v>51</v>
      </c>
      <c r="G1766" s="32">
        <v>133</v>
      </c>
      <c r="H1766" s="15" t="s">
        <v>29</v>
      </c>
      <c r="I1766" s="33">
        <v>6.5</v>
      </c>
      <c r="J1766" s="11" t="s">
        <v>19</v>
      </c>
      <c r="K1766" s="20" t="s">
        <v>20</v>
      </c>
      <c r="L1766" s="11" t="s">
        <v>21</v>
      </c>
      <c r="M1766" s="20" t="s">
        <v>27</v>
      </c>
      <c r="N1766" s="20" t="s">
        <v>24</v>
      </c>
      <c r="O1766" s="31" t="s">
        <v>29</v>
      </c>
      <c r="P1766" s="15">
        <v>218</v>
      </c>
      <c r="Q1766" s="8"/>
      <c r="R1766">
        <v>12.41</v>
      </c>
      <c r="S1766">
        <v>1910.73</v>
      </c>
      <c r="T1766">
        <v>3.4</v>
      </c>
      <c r="U1766">
        <v>8.91</v>
      </c>
      <c r="V1766">
        <v>124</v>
      </c>
      <c r="W1766" s="317">
        <v>3.9</v>
      </c>
      <c r="X1766" s="190">
        <f t="shared" si="76"/>
        <v>25.349999999999998</v>
      </c>
      <c r="Y1766" s="8"/>
      <c r="Z1766" s="8"/>
    </row>
    <row r="1767" spans="1:26" ht="25.5" customHeight="1" x14ac:dyDescent="0.2">
      <c r="A1767" s="15">
        <v>222</v>
      </c>
      <c r="B1767" s="15">
        <v>2002</v>
      </c>
      <c r="C1767" s="15">
        <v>6</v>
      </c>
      <c r="D1767" s="15">
        <v>8</v>
      </c>
      <c r="E1767" s="29" t="s">
        <v>213</v>
      </c>
      <c r="F1767" s="20" t="s">
        <v>51</v>
      </c>
      <c r="G1767" s="32">
        <v>147</v>
      </c>
      <c r="H1767" s="15" t="s">
        <v>29</v>
      </c>
      <c r="I1767" s="33">
        <v>11.5</v>
      </c>
      <c r="J1767" s="11" t="s">
        <v>19</v>
      </c>
      <c r="K1767" s="20" t="s">
        <v>20</v>
      </c>
      <c r="L1767" s="11" t="s">
        <v>21</v>
      </c>
      <c r="M1767" s="20" t="s">
        <v>47</v>
      </c>
      <c r="N1767" s="20" t="s">
        <v>25</v>
      </c>
      <c r="O1767" s="31" t="s">
        <v>29</v>
      </c>
      <c r="P1767" s="15">
        <v>218</v>
      </c>
      <c r="Q1767" s="8"/>
      <c r="R1767">
        <v>13.72</v>
      </c>
      <c r="S1767">
        <v>2579.86</v>
      </c>
      <c r="T1767">
        <v>4.46</v>
      </c>
      <c r="U1767">
        <v>9.85</v>
      </c>
      <c r="V1767">
        <v>137</v>
      </c>
      <c r="W1767" s="317">
        <v>3.9</v>
      </c>
      <c r="X1767" s="190">
        <f t="shared" si="76"/>
        <v>44.85</v>
      </c>
      <c r="Y1767" s="8"/>
      <c r="Z1767" s="8"/>
    </row>
    <row r="1768" spans="1:26" ht="25.5" customHeight="1" x14ac:dyDescent="0.2">
      <c r="A1768" s="15">
        <v>223</v>
      </c>
      <c r="B1768" s="15">
        <v>2002</v>
      </c>
      <c r="C1768" s="15">
        <v>6</v>
      </c>
      <c r="D1768" s="15">
        <v>8</v>
      </c>
      <c r="E1768" s="29" t="s">
        <v>213</v>
      </c>
      <c r="F1768" s="20" t="s">
        <v>51</v>
      </c>
      <c r="G1768" s="32">
        <v>165</v>
      </c>
      <c r="H1768" s="15" t="s">
        <v>29</v>
      </c>
      <c r="I1768" s="33">
        <v>15.5</v>
      </c>
      <c r="J1768" s="11" t="s">
        <v>19</v>
      </c>
      <c r="K1768" s="20" t="s">
        <v>20</v>
      </c>
      <c r="L1768" s="20" t="s">
        <v>30</v>
      </c>
      <c r="M1768" s="20" t="s">
        <v>47</v>
      </c>
      <c r="N1768" s="20" t="s">
        <v>23</v>
      </c>
      <c r="O1768" s="31" t="s">
        <v>29</v>
      </c>
      <c r="P1768" s="15">
        <v>218</v>
      </c>
      <c r="Q1768" s="8"/>
      <c r="R1768">
        <v>15.39</v>
      </c>
      <c r="S1768">
        <v>3648.35</v>
      </c>
      <c r="T1768">
        <v>4.25</v>
      </c>
      <c r="U1768">
        <v>11.06</v>
      </c>
      <c r="V1768">
        <v>154</v>
      </c>
      <c r="W1768" s="317">
        <v>4.5999999999999996</v>
      </c>
      <c r="X1768" s="190">
        <f t="shared" si="76"/>
        <v>71.3</v>
      </c>
      <c r="Y1768" s="8"/>
      <c r="Z1768" s="8"/>
    </row>
    <row r="1769" spans="1:26" ht="25.5" customHeight="1" x14ac:dyDescent="0.2">
      <c r="A1769" s="15">
        <v>224</v>
      </c>
      <c r="B1769" s="15">
        <v>2002</v>
      </c>
      <c r="C1769" s="15">
        <v>6</v>
      </c>
      <c r="D1769" s="15">
        <v>8</v>
      </c>
      <c r="E1769" s="29" t="s">
        <v>213</v>
      </c>
      <c r="F1769" s="20" t="s">
        <v>51</v>
      </c>
      <c r="G1769" s="32">
        <v>145</v>
      </c>
      <c r="H1769" s="15" t="s">
        <v>29</v>
      </c>
      <c r="I1769" s="33">
        <v>12.5</v>
      </c>
      <c r="J1769" s="11" t="s">
        <v>19</v>
      </c>
      <c r="K1769" s="20" t="s">
        <v>20</v>
      </c>
      <c r="L1769" s="20" t="s">
        <v>30</v>
      </c>
      <c r="M1769" s="20" t="s">
        <v>46</v>
      </c>
      <c r="N1769" s="20" t="s">
        <v>24</v>
      </c>
      <c r="O1769" s="31" t="s">
        <v>29</v>
      </c>
      <c r="P1769" s="15">
        <v>218</v>
      </c>
      <c r="Q1769" s="8"/>
      <c r="R1769">
        <v>13.53</v>
      </c>
      <c r="S1769">
        <v>2475.9899999999998</v>
      </c>
      <c r="T1769">
        <v>5.05</v>
      </c>
      <c r="U1769">
        <v>9.7200000000000006</v>
      </c>
      <c r="V1769">
        <v>135</v>
      </c>
      <c r="W1769" s="317">
        <v>4.5999999999999996</v>
      </c>
      <c r="X1769" s="190">
        <f t="shared" si="76"/>
        <v>57.499999999999993</v>
      </c>
      <c r="Y1769" s="8"/>
      <c r="Z1769" s="8"/>
    </row>
    <row r="1770" spans="1:26" ht="25.5" customHeight="1" x14ac:dyDescent="0.2">
      <c r="A1770" s="15">
        <v>225</v>
      </c>
      <c r="B1770" s="15">
        <v>2002</v>
      </c>
      <c r="C1770" s="15">
        <v>6</v>
      </c>
      <c r="D1770" s="15">
        <v>8</v>
      </c>
      <c r="E1770" s="29" t="s">
        <v>213</v>
      </c>
      <c r="F1770" s="20" t="s">
        <v>51</v>
      </c>
      <c r="G1770" s="32">
        <v>163</v>
      </c>
      <c r="H1770" s="15" t="s">
        <v>29</v>
      </c>
      <c r="I1770" s="33">
        <v>13.5</v>
      </c>
      <c r="J1770" s="11" t="s">
        <v>19</v>
      </c>
      <c r="K1770" s="20" t="s">
        <v>20</v>
      </c>
      <c r="L1770" s="11" t="s">
        <v>21</v>
      </c>
      <c r="M1770" s="20" t="s">
        <v>45</v>
      </c>
      <c r="N1770" s="20" t="s">
        <v>23</v>
      </c>
      <c r="O1770" s="31" t="s">
        <v>29</v>
      </c>
      <c r="P1770" s="15">
        <v>218</v>
      </c>
      <c r="Q1770" s="8"/>
      <c r="R1770">
        <v>15.21</v>
      </c>
      <c r="S1770">
        <v>3517.29</v>
      </c>
      <c r="T1770">
        <v>3.84</v>
      </c>
      <c r="U1770">
        <v>10.92</v>
      </c>
      <c r="V1770">
        <v>152</v>
      </c>
      <c r="W1770" s="317">
        <v>3.9</v>
      </c>
      <c r="X1770" s="190">
        <f t="shared" si="76"/>
        <v>52.65</v>
      </c>
      <c r="Y1770" s="8"/>
      <c r="Z1770" s="8"/>
    </row>
    <row r="1771" spans="1:26" ht="25.5" customHeight="1" x14ac:dyDescent="0.2">
      <c r="A1771" s="15">
        <v>226</v>
      </c>
      <c r="B1771" s="15">
        <v>2002</v>
      </c>
      <c r="C1771" s="15">
        <v>6</v>
      </c>
      <c r="D1771" s="15">
        <v>8</v>
      </c>
      <c r="E1771" s="29" t="s">
        <v>213</v>
      </c>
      <c r="F1771" s="20" t="s">
        <v>51</v>
      </c>
      <c r="G1771" s="32">
        <v>137</v>
      </c>
      <c r="H1771" s="15" t="s">
        <v>29</v>
      </c>
      <c r="I1771" s="33">
        <v>12</v>
      </c>
      <c r="J1771" s="11" t="s">
        <v>19</v>
      </c>
      <c r="K1771" s="20" t="s">
        <v>20</v>
      </c>
      <c r="L1771" s="20" t="s">
        <v>30</v>
      </c>
      <c r="M1771" s="20" t="s">
        <v>46</v>
      </c>
      <c r="N1771" s="20" t="s">
        <v>24</v>
      </c>
      <c r="O1771" s="31" t="s">
        <v>29</v>
      </c>
      <c r="P1771" s="15">
        <v>218</v>
      </c>
      <c r="Q1771" s="8"/>
      <c r="R1771">
        <v>12.78</v>
      </c>
      <c r="S1771">
        <v>2088.37</v>
      </c>
      <c r="T1771">
        <v>5.75</v>
      </c>
      <c r="U1771">
        <v>9.18</v>
      </c>
      <c r="V1771">
        <v>128</v>
      </c>
      <c r="W1771" s="317">
        <v>4.5999999999999996</v>
      </c>
      <c r="X1771" s="190">
        <f t="shared" si="76"/>
        <v>55.199999999999996</v>
      </c>
      <c r="Y1771" s="8"/>
      <c r="Z1771" s="8"/>
    </row>
    <row r="1772" spans="1:26" ht="25.5" customHeight="1" x14ac:dyDescent="0.2">
      <c r="A1772" s="15">
        <v>227</v>
      </c>
      <c r="B1772" s="15">
        <v>2002</v>
      </c>
      <c r="C1772" s="15">
        <v>6</v>
      </c>
      <c r="D1772" s="15">
        <v>8</v>
      </c>
      <c r="E1772" s="29" t="s">
        <v>213</v>
      </c>
      <c r="F1772" s="20" t="s">
        <v>51</v>
      </c>
      <c r="G1772" s="32">
        <v>150</v>
      </c>
      <c r="H1772" s="15" t="s">
        <v>29</v>
      </c>
      <c r="I1772" s="33">
        <v>12.5</v>
      </c>
      <c r="J1772" s="11" t="s">
        <v>19</v>
      </c>
      <c r="K1772" s="20" t="s">
        <v>20</v>
      </c>
      <c r="L1772" s="20" t="s">
        <v>30</v>
      </c>
      <c r="M1772" s="20" t="s">
        <v>45</v>
      </c>
      <c r="N1772" s="20" t="s">
        <v>23</v>
      </c>
      <c r="O1772" s="31" t="s">
        <v>29</v>
      </c>
      <c r="P1772" s="15">
        <v>218</v>
      </c>
      <c r="Q1772" s="8"/>
      <c r="R1772">
        <v>14</v>
      </c>
      <c r="S1772">
        <v>2741.06</v>
      </c>
      <c r="T1772">
        <v>4.5599999999999996</v>
      </c>
      <c r="U1772">
        <v>10.050000000000001</v>
      </c>
      <c r="V1772">
        <v>140</v>
      </c>
      <c r="W1772" s="317">
        <v>4.5999999999999996</v>
      </c>
      <c r="X1772" s="190">
        <f t="shared" si="76"/>
        <v>57.499999999999993</v>
      </c>
      <c r="Y1772" s="8"/>
      <c r="Z1772" s="8"/>
    </row>
    <row r="1773" spans="1:26" ht="25.5" customHeight="1" x14ac:dyDescent="0.2">
      <c r="A1773" s="15">
        <v>228</v>
      </c>
      <c r="B1773" s="15">
        <v>2002</v>
      </c>
      <c r="C1773" s="15">
        <v>6</v>
      </c>
      <c r="D1773" s="15">
        <v>8</v>
      </c>
      <c r="E1773" s="29" t="s">
        <v>213</v>
      </c>
      <c r="F1773" s="20" t="s">
        <v>51</v>
      </c>
      <c r="G1773" s="32">
        <v>137</v>
      </c>
      <c r="H1773" s="15" t="s">
        <v>29</v>
      </c>
      <c r="I1773" s="33">
        <v>10.5</v>
      </c>
      <c r="J1773" s="11" t="s">
        <v>19</v>
      </c>
      <c r="K1773" s="20" t="s">
        <v>20</v>
      </c>
      <c r="L1773" s="20" t="s">
        <v>30</v>
      </c>
      <c r="M1773" s="20" t="s">
        <v>46</v>
      </c>
      <c r="N1773" s="20" t="s">
        <v>24</v>
      </c>
      <c r="O1773" s="31" t="s">
        <v>29</v>
      </c>
      <c r="P1773" s="15">
        <v>218</v>
      </c>
      <c r="Q1773" s="8"/>
      <c r="R1773">
        <v>12.78</v>
      </c>
      <c r="S1773">
        <v>2088.37</v>
      </c>
      <c r="T1773">
        <v>5.03</v>
      </c>
      <c r="U1773">
        <v>9.18</v>
      </c>
      <c r="V1773">
        <v>128</v>
      </c>
      <c r="W1773" s="317">
        <v>4.5999999999999996</v>
      </c>
      <c r="X1773" s="190">
        <f t="shared" si="76"/>
        <v>48.3</v>
      </c>
      <c r="Y1773" s="8"/>
      <c r="Z1773" s="8"/>
    </row>
    <row r="1774" spans="1:26" ht="25.5" customHeight="1" x14ac:dyDescent="0.2">
      <c r="A1774" s="15">
        <v>229</v>
      </c>
      <c r="B1774" s="15">
        <v>2002</v>
      </c>
      <c r="C1774" s="15">
        <v>6</v>
      </c>
      <c r="D1774" s="15">
        <v>8</v>
      </c>
      <c r="E1774" s="29" t="s">
        <v>213</v>
      </c>
      <c r="F1774" s="11" t="s">
        <v>28</v>
      </c>
      <c r="G1774" s="11" t="s">
        <v>29</v>
      </c>
      <c r="H1774" s="15" t="s">
        <v>29</v>
      </c>
      <c r="I1774" s="33">
        <v>10</v>
      </c>
      <c r="J1774" s="11" t="s">
        <v>19</v>
      </c>
      <c r="K1774" s="20" t="s">
        <v>20</v>
      </c>
      <c r="L1774" s="11" t="s">
        <v>41</v>
      </c>
      <c r="M1774" s="20" t="s">
        <v>46</v>
      </c>
      <c r="N1774" s="11" t="s">
        <v>29</v>
      </c>
      <c r="O1774" s="31" t="s">
        <v>29</v>
      </c>
      <c r="P1774" s="15">
        <v>218</v>
      </c>
      <c r="Q1774" s="8"/>
      <c r="W1774" s="8"/>
      <c r="X1774" s="8"/>
      <c r="Y1774" s="8"/>
      <c r="Z1774" s="8"/>
    </row>
    <row r="1775" spans="1:26" ht="25.5" customHeight="1" x14ac:dyDescent="0.2">
      <c r="A1775" s="15">
        <v>230</v>
      </c>
      <c r="B1775" s="15">
        <v>2002</v>
      </c>
      <c r="C1775" s="15">
        <v>6</v>
      </c>
      <c r="D1775" s="15">
        <v>8</v>
      </c>
      <c r="E1775" s="29" t="s">
        <v>213</v>
      </c>
      <c r="F1775" s="20" t="s">
        <v>51</v>
      </c>
      <c r="G1775" s="32">
        <v>150</v>
      </c>
      <c r="H1775" s="15" t="s">
        <v>29</v>
      </c>
      <c r="I1775" s="33">
        <v>9.5</v>
      </c>
      <c r="J1775" s="11" t="s">
        <v>19</v>
      </c>
      <c r="K1775" s="20" t="s">
        <v>20</v>
      </c>
      <c r="L1775" s="11" t="s">
        <v>21</v>
      </c>
      <c r="M1775" s="20" t="s">
        <v>27</v>
      </c>
      <c r="N1775" s="20" t="s">
        <v>25</v>
      </c>
      <c r="O1775" s="31" t="s">
        <v>29</v>
      </c>
      <c r="P1775" s="15">
        <v>218</v>
      </c>
      <c r="Q1775" s="8"/>
      <c r="R1775">
        <v>14</v>
      </c>
      <c r="S1775">
        <v>2741.06</v>
      </c>
      <c r="T1775">
        <v>3.47</v>
      </c>
      <c r="U1775">
        <v>10.050000000000001</v>
      </c>
      <c r="V1775">
        <v>140</v>
      </c>
      <c r="W1775" s="317">
        <v>3.9</v>
      </c>
      <c r="X1775" s="190">
        <f t="shared" ref="X1775:X1791" si="77">I1775*W1775</f>
        <v>37.049999999999997</v>
      </c>
      <c r="Y1775" s="8"/>
      <c r="Z1775" s="8"/>
    </row>
    <row r="1776" spans="1:26" ht="25.5" customHeight="1" x14ac:dyDescent="0.2">
      <c r="A1776" s="15">
        <v>231</v>
      </c>
      <c r="B1776" s="15">
        <v>2002</v>
      </c>
      <c r="C1776" s="15">
        <v>6</v>
      </c>
      <c r="D1776" s="15">
        <v>8</v>
      </c>
      <c r="E1776" s="29" t="s">
        <v>213</v>
      </c>
      <c r="F1776" s="20" t="s">
        <v>51</v>
      </c>
      <c r="G1776" s="32">
        <v>158</v>
      </c>
      <c r="H1776" s="15" t="s">
        <v>29</v>
      </c>
      <c r="I1776" s="33">
        <v>18.5</v>
      </c>
      <c r="J1776" s="11" t="s">
        <v>19</v>
      </c>
      <c r="K1776" s="20" t="s">
        <v>20</v>
      </c>
      <c r="L1776" s="20" t="s">
        <v>30</v>
      </c>
      <c r="M1776" s="20" t="s">
        <v>27</v>
      </c>
      <c r="N1776" s="20" t="s">
        <v>25</v>
      </c>
      <c r="O1776" s="31" t="s">
        <v>29</v>
      </c>
      <c r="P1776" s="15">
        <v>218</v>
      </c>
      <c r="Q1776" s="8"/>
      <c r="R1776">
        <v>14.74</v>
      </c>
      <c r="S1776">
        <v>3203.44</v>
      </c>
      <c r="T1776">
        <v>5.78</v>
      </c>
      <c r="U1776">
        <v>10.59</v>
      </c>
      <c r="V1776">
        <v>147</v>
      </c>
      <c r="W1776" s="317">
        <v>4.5999999999999996</v>
      </c>
      <c r="X1776" s="190">
        <f t="shared" si="77"/>
        <v>85.1</v>
      </c>
      <c r="Y1776" s="8"/>
      <c r="Z1776" s="8"/>
    </row>
    <row r="1777" spans="1:26" ht="25.5" customHeight="1" x14ac:dyDescent="0.2">
      <c r="A1777" s="15">
        <v>232</v>
      </c>
      <c r="B1777" s="15">
        <v>2002</v>
      </c>
      <c r="C1777" s="15">
        <v>6</v>
      </c>
      <c r="D1777" s="15">
        <v>8</v>
      </c>
      <c r="E1777" s="29" t="s">
        <v>213</v>
      </c>
      <c r="F1777" s="20" t="s">
        <v>51</v>
      </c>
      <c r="G1777" s="32">
        <v>130</v>
      </c>
      <c r="H1777" s="15" t="s">
        <v>29</v>
      </c>
      <c r="I1777" s="33">
        <v>13</v>
      </c>
      <c r="J1777" s="11" t="s">
        <v>19</v>
      </c>
      <c r="K1777" s="20" t="s">
        <v>20</v>
      </c>
      <c r="L1777" s="20" t="s">
        <v>30</v>
      </c>
      <c r="M1777" s="20" t="s">
        <v>46</v>
      </c>
      <c r="N1777" s="20" t="s">
        <v>24</v>
      </c>
      <c r="O1777" s="31" t="s">
        <v>29</v>
      </c>
      <c r="P1777" s="15">
        <v>218</v>
      </c>
      <c r="Q1777" s="8"/>
      <c r="R1777">
        <v>12.13</v>
      </c>
      <c r="S1777">
        <v>1784.33</v>
      </c>
      <c r="T1777">
        <v>7.29</v>
      </c>
      <c r="U1777">
        <v>8.7100000000000009</v>
      </c>
      <c r="V1777">
        <v>121</v>
      </c>
      <c r="W1777" s="317">
        <v>4.5999999999999996</v>
      </c>
      <c r="X1777" s="190">
        <f t="shared" si="77"/>
        <v>59.8</v>
      </c>
      <c r="Y1777" s="8"/>
      <c r="Z1777" s="8"/>
    </row>
    <row r="1778" spans="1:26" ht="25.5" customHeight="1" x14ac:dyDescent="0.2">
      <c r="A1778" s="15">
        <v>233</v>
      </c>
      <c r="B1778" s="15">
        <v>2002</v>
      </c>
      <c r="C1778" s="15">
        <v>6</v>
      </c>
      <c r="D1778" s="15">
        <v>8</v>
      </c>
      <c r="E1778" s="29" t="s">
        <v>213</v>
      </c>
      <c r="F1778" s="20" t="s">
        <v>51</v>
      </c>
      <c r="G1778" s="32">
        <v>137</v>
      </c>
      <c r="H1778" s="15" t="s">
        <v>29</v>
      </c>
      <c r="I1778" s="33">
        <v>9</v>
      </c>
      <c r="J1778" s="11" t="s">
        <v>19</v>
      </c>
      <c r="K1778" s="20" t="s">
        <v>20</v>
      </c>
      <c r="L1778" s="11" t="s">
        <v>21</v>
      </c>
      <c r="M1778" s="20" t="s">
        <v>27</v>
      </c>
      <c r="N1778" s="20" t="s">
        <v>25</v>
      </c>
      <c r="O1778" s="31" t="s">
        <v>29</v>
      </c>
      <c r="P1778" s="15">
        <v>218</v>
      </c>
      <c r="Q1778" s="8"/>
      <c r="R1778">
        <v>12.78</v>
      </c>
      <c r="S1778">
        <v>2088.37</v>
      </c>
      <c r="T1778">
        <v>4.3099999999999996</v>
      </c>
      <c r="U1778">
        <v>9.18</v>
      </c>
      <c r="V1778">
        <v>128</v>
      </c>
      <c r="W1778" s="317">
        <v>3.9</v>
      </c>
      <c r="X1778" s="190">
        <f t="shared" si="77"/>
        <v>35.1</v>
      </c>
      <c r="Y1778" s="8"/>
      <c r="Z1778" s="8"/>
    </row>
    <row r="1779" spans="1:26" ht="25.5" customHeight="1" x14ac:dyDescent="0.2">
      <c r="A1779" s="15">
        <v>234</v>
      </c>
      <c r="B1779" s="15">
        <v>2002</v>
      </c>
      <c r="C1779" s="15">
        <v>6</v>
      </c>
      <c r="D1779" s="15">
        <v>8</v>
      </c>
      <c r="E1779" s="29" t="s">
        <v>213</v>
      </c>
      <c r="F1779" s="20" t="s">
        <v>51</v>
      </c>
      <c r="G1779" s="32">
        <v>136</v>
      </c>
      <c r="H1779" s="15" t="s">
        <v>29</v>
      </c>
      <c r="I1779" s="33">
        <v>13</v>
      </c>
      <c r="J1779" s="11" t="s">
        <v>19</v>
      </c>
      <c r="K1779" s="20" t="s">
        <v>20</v>
      </c>
      <c r="L1779" s="20" t="s">
        <v>30</v>
      </c>
      <c r="M1779" s="20" t="s">
        <v>46</v>
      </c>
      <c r="N1779" s="20" t="s">
        <v>24</v>
      </c>
      <c r="O1779" s="31" t="s">
        <v>29</v>
      </c>
      <c r="P1779" s="15">
        <v>218</v>
      </c>
      <c r="Q1779" s="8"/>
      <c r="R1779">
        <v>12.69</v>
      </c>
      <c r="S1779">
        <v>2042.97</v>
      </c>
      <c r="T1779">
        <v>6.36</v>
      </c>
      <c r="U1779">
        <v>9.11</v>
      </c>
      <c r="V1779">
        <v>127</v>
      </c>
      <c r="W1779" s="317">
        <v>4.5999999999999996</v>
      </c>
      <c r="X1779" s="190">
        <f t="shared" si="77"/>
        <v>59.8</v>
      </c>
      <c r="Y1779" s="8"/>
      <c r="Z1779" s="8"/>
    </row>
    <row r="1780" spans="1:26" ht="25.5" customHeight="1" x14ac:dyDescent="0.2">
      <c r="A1780" s="15">
        <v>235</v>
      </c>
      <c r="B1780" s="15">
        <v>2002</v>
      </c>
      <c r="C1780" s="15">
        <v>6</v>
      </c>
      <c r="D1780" s="15">
        <v>8</v>
      </c>
      <c r="E1780" s="29" t="s">
        <v>213</v>
      </c>
      <c r="F1780" s="20" t="s">
        <v>51</v>
      </c>
      <c r="G1780" s="32">
        <v>131</v>
      </c>
      <c r="H1780" s="15" t="s">
        <v>29</v>
      </c>
      <c r="I1780" s="33">
        <v>10</v>
      </c>
      <c r="J1780" s="11" t="s">
        <v>19</v>
      </c>
      <c r="K1780" s="20" t="s">
        <v>20</v>
      </c>
      <c r="L1780" s="20" t="s">
        <v>30</v>
      </c>
      <c r="M1780" s="20" t="s">
        <v>46</v>
      </c>
      <c r="N1780" s="20" t="s">
        <v>24</v>
      </c>
      <c r="O1780" s="31" t="s">
        <v>29</v>
      </c>
      <c r="P1780" s="15">
        <v>218</v>
      </c>
      <c r="Q1780" s="8"/>
      <c r="R1780">
        <v>12.22</v>
      </c>
      <c r="S1780">
        <v>1825.82</v>
      </c>
      <c r="T1780">
        <v>5.48</v>
      </c>
      <c r="U1780">
        <v>8.7799999999999994</v>
      </c>
      <c r="V1780">
        <v>122</v>
      </c>
      <c r="W1780" s="317">
        <v>4.5999999999999996</v>
      </c>
      <c r="X1780" s="190">
        <f t="shared" si="77"/>
        <v>46</v>
      </c>
      <c r="Y1780" s="8"/>
      <c r="Z1780" s="8"/>
    </row>
    <row r="1781" spans="1:26" ht="25.5" customHeight="1" x14ac:dyDescent="0.2">
      <c r="A1781" s="15">
        <v>236</v>
      </c>
      <c r="B1781" s="15">
        <v>2002</v>
      </c>
      <c r="C1781" s="15">
        <v>6</v>
      </c>
      <c r="D1781" s="15">
        <v>8</v>
      </c>
      <c r="E1781" s="29" t="s">
        <v>213</v>
      </c>
      <c r="F1781" s="20" t="s">
        <v>51</v>
      </c>
      <c r="G1781" s="32">
        <v>155</v>
      </c>
      <c r="H1781" s="15" t="s">
        <v>29</v>
      </c>
      <c r="I1781" s="33">
        <v>14.5</v>
      </c>
      <c r="J1781" s="11" t="s">
        <v>19</v>
      </c>
      <c r="K1781" s="20" t="s">
        <v>20</v>
      </c>
      <c r="L1781" s="11" t="s">
        <v>21</v>
      </c>
      <c r="M1781" s="20" t="s">
        <v>45</v>
      </c>
      <c r="N1781" s="20" t="s">
        <v>24</v>
      </c>
      <c r="O1781" s="31" t="s">
        <v>29</v>
      </c>
      <c r="P1781" s="15">
        <v>218</v>
      </c>
      <c r="Q1781" s="8"/>
      <c r="R1781">
        <v>14.46</v>
      </c>
      <c r="S1781">
        <v>3024.41</v>
      </c>
      <c r="T1781">
        <v>4.79</v>
      </c>
      <c r="U1781">
        <v>10.39</v>
      </c>
      <c r="V1781">
        <v>145</v>
      </c>
      <c r="W1781" s="317">
        <v>3.9</v>
      </c>
      <c r="X1781" s="190">
        <f t="shared" si="77"/>
        <v>56.55</v>
      </c>
      <c r="Y1781" s="8"/>
      <c r="Z1781" s="8"/>
    </row>
    <row r="1782" spans="1:26" ht="25.5" customHeight="1" x14ac:dyDescent="0.2">
      <c r="A1782" s="15">
        <v>237</v>
      </c>
      <c r="B1782" s="15">
        <v>2002</v>
      </c>
      <c r="C1782" s="15">
        <v>6</v>
      </c>
      <c r="D1782" s="15">
        <v>8</v>
      </c>
      <c r="E1782" s="29" t="s">
        <v>213</v>
      </c>
      <c r="F1782" s="20" t="s">
        <v>51</v>
      </c>
      <c r="G1782" s="32">
        <v>134</v>
      </c>
      <c r="H1782" s="15" t="s">
        <v>29</v>
      </c>
      <c r="I1782" s="33">
        <v>9.5</v>
      </c>
      <c r="J1782" s="11" t="s">
        <v>19</v>
      </c>
      <c r="K1782" s="20" t="s">
        <v>20</v>
      </c>
      <c r="L1782" s="11" t="s">
        <v>21</v>
      </c>
      <c r="M1782" s="20" t="s">
        <v>27</v>
      </c>
      <c r="N1782" s="20" t="s">
        <v>23</v>
      </c>
      <c r="O1782" s="31" t="s">
        <v>29</v>
      </c>
      <c r="P1782" s="15">
        <v>218</v>
      </c>
      <c r="Q1782" s="8"/>
      <c r="R1782">
        <v>12.5</v>
      </c>
      <c r="S1782">
        <v>1954.16</v>
      </c>
      <c r="T1782">
        <v>4.8600000000000003</v>
      </c>
      <c r="U1782">
        <v>8.98</v>
      </c>
      <c r="V1782">
        <v>125</v>
      </c>
      <c r="W1782" s="317">
        <v>3.9</v>
      </c>
      <c r="X1782" s="190">
        <f t="shared" si="77"/>
        <v>37.049999999999997</v>
      </c>
      <c r="Y1782" s="8"/>
      <c r="Z1782" s="8"/>
    </row>
    <row r="1783" spans="1:26" ht="25.5" customHeight="1" x14ac:dyDescent="0.2">
      <c r="A1783" s="15">
        <v>238</v>
      </c>
      <c r="B1783" s="15">
        <v>2002</v>
      </c>
      <c r="C1783" s="15">
        <v>6</v>
      </c>
      <c r="D1783" s="15">
        <v>8</v>
      </c>
      <c r="E1783" s="29" t="s">
        <v>213</v>
      </c>
      <c r="F1783" s="20" t="s">
        <v>51</v>
      </c>
      <c r="G1783" s="32">
        <v>155</v>
      </c>
      <c r="H1783" s="15" t="s">
        <v>29</v>
      </c>
      <c r="I1783" s="33">
        <v>14</v>
      </c>
      <c r="J1783" s="11" t="s">
        <v>19</v>
      </c>
      <c r="K1783" s="20" t="s">
        <v>20</v>
      </c>
      <c r="L1783" s="11" t="s">
        <v>21</v>
      </c>
      <c r="M1783" s="20" t="s">
        <v>46</v>
      </c>
      <c r="N1783" s="20" t="s">
        <v>23</v>
      </c>
      <c r="O1783" s="31" t="s">
        <v>29</v>
      </c>
      <c r="P1783" s="15">
        <v>218</v>
      </c>
      <c r="Q1783" s="8"/>
      <c r="R1783">
        <v>14.46</v>
      </c>
      <c r="S1783">
        <v>3024.41</v>
      </c>
      <c r="T1783">
        <v>4.63</v>
      </c>
      <c r="U1783">
        <v>10.39</v>
      </c>
      <c r="V1783">
        <v>145</v>
      </c>
      <c r="W1783" s="317">
        <v>3.9</v>
      </c>
      <c r="X1783" s="190">
        <f t="shared" si="77"/>
        <v>54.6</v>
      </c>
      <c r="Y1783" s="8"/>
      <c r="Z1783" s="8"/>
    </row>
    <row r="1784" spans="1:26" ht="25.5" customHeight="1" x14ac:dyDescent="0.2">
      <c r="A1784" s="15">
        <v>239</v>
      </c>
      <c r="B1784" s="15">
        <v>2002</v>
      </c>
      <c r="C1784" s="15">
        <v>6</v>
      </c>
      <c r="D1784" s="15">
        <v>8</v>
      </c>
      <c r="E1784" s="29" t="s">
        <v>213</v>
      </c>
      <c r="F1784" s="20" t="s">
        <v>51</v>
      </c>
      <c r="G1784" s="32">
        <v>165</v>
      </c>
      <c r="H1784" s="15" t="s">
        <v>29</v>
      </c>
      <c r="I1784" s="33">
        <v>15.5</v>
      </c>
      <c r="J1784" s="11" t="s">
        <v>19</v>
      </c>
      <c r="K1784" s="20" t="s">
        <v>20</v>
      </c>
      <c r="L1784" s="11" t="s">
        <v>21</v>
      </c>
      <c r="M1784" s="20" t="s">
        <v>47</v>
      </c>
      <c r="N1784" s="20" t="s">
        <v>23</v>
      </c>
      <c r="O1784" s="31" t="s">
        <v>29</v>
      </c>
      <c r="P1784" s="15">
        <v>218</v>
      </c>
      <c r="Q1784" s="8"/>
      <c r="R1784">
        <v>15.39</v>
      </c>
      <c r="S1784">
        <v>3648.35</v>
      </c>
      <c r="T1784">
        <v>4.25</v>
      </c>
      <c r="U1784">
        <v>11.06</v>
      </c>
      <c r="V1784">
        <v>154</v>
      </c>
      <c r="W1784" s="317">
        <v>3.9</v>
      </c>
      <c r="X1784" s="190">
        <f t="shared" si="77"/>
        <v>60.449999999999996</v>
      </c>
      <c r="Y1784" s="8"/>
      <c r="Z1784" s="8"/>
    </row>
    <row r="1785" spans="1:26" ht="25.5" customHeight="1" x14ac:dyDescent="0.2">
      <c r="A1785" s="15">
        <v>240</v>
      </c>
      <c r="B1785" s="15">
        <v>2002</v>
      </c>
      <c r="C1785" s="15">
        <v>6</v>
      </c>
      <c r="D1785" s="15">
        <v>8</v>
      </c>
      <c r="E1785" s="29" t="s">
        <v>213</v>
      </c>
      <c r="F1785" s="20" t="s">
        <v>51</v>
      </c>
      <c r="G1785" s="32">
        <v>130</v>
      </c>
      <c r="H1785" s="15" t="s">
        <v>29</v>
      </c>
      <c r="I1785" s="33">
        <v>8.5</v>
      </c>
      <c r="J1785" s="11" t="s">
        <v>19</v>
      </c>
      <c r="K1785" s="20" t="s">
        <v>20</v>
      </c>
      <c r="L1785" s="11" t="s">
        <v>21</v>
      </c>
      <c r="M1785" s="20" t="s">
        <v>47</v>
      </c>
      <c r="N1785" s="20" t="s">
        <v>33</v>
      </c>
      <c r="O1785" s="31" t="s">
        <v>29</v>
      </c>
      <c r="P1785" s="15">
        <v>218</v>
      </c>
      <c r="Q1785" s="8"/>
      <c r="R1785">
        <v>12.13</v>
      </c>
      <c r="S1785">
        <v>1784.33</v>
      </c>
      <c r="T1785">
        <v>4.76</v>
      </c>
      <c r="U1785">
        <v>8.7100000000000009</v>
      </c>
      <c r="V1785">
        <v>121</v>
      </c>
      <c r="W1785" s="317">
        <v>3.9</v>
      </c>
      <c r="X1785" s="190">
        <f t="shared" si="77"/>
        <v>33.15</v>
      </c>
      <c r="Y1785" s="8"/>
      <c r="Z1785" s="8"/>
    </row>
    <row r="1786" spans="1:26" ht="25.5" customHeight="1" x14ac:dyDescent="0.2">
      <c r="A1786" s="15">
        <v>241</v>
      </c>
      <c r="B1786" s="15">
        <v>2002</v>
      </c>
      <c r="C1786" s="15">
        <v>6</v>
      </c>
      <c r="D1786" s="15">
        <v>8</v>
      </c>
      <c r="E1786" s="29" t="s">
        <v>213</v>
      </c>
      <c r="F1786" s="20" t="s">
        <v>51</v>
      </c>
      <c r="G1786" s="32">
        <v>150</v>
      </c>
      <c r="H1786" s="15" t="s">
        <v>29</v>
      </c>
      <c r="I1786" s="33">
        <v>15.5</v>
      </c>
      <c r="J1786" s="11" t="s">
        <v>19</v>
      </c>
      <c r="K1786" s="20" t="s">
        <v>20</v>
      </c>
      <c r="L1786" s="11" t="s">
        <v>21</v>
      </c>
      <c r="M1786" s="20" t="s">
        <v>47</v>
      </c>
      <c r="N1786" s="20" t="s">
        <v>33</v>
      </c>
      <c r="O1786" s="31" t="s">
        <v>29</v>
      </c>
      <c r="P1786" s="15">
        <v>218</v>
      </c>
      <c r="Q1786" s="8"/>
      <c r="R1786">
        <v>14</v>
      </c>
      <c r="S1786">
        <v>2741.06</v>
      </c>
      <c r="T1786">
        <v>5.65</v>
      </c>
      <c r="U1786">
        <v>10.050000000000001</v>
      </c>
      <c r="V1786">
        <v>140</v>
      </c>
      <c r="W1786" s="317">
        <v>3.9</v>
      </c>
      <c r="X1786" s="190">
        <f t="shared" si="77"/>
        <v>60.449999999999996</v>
      </c>
      <c r="Y1786" s="8"/>
      <c r="Z1786" s="8"/>
    </row>
    <row r="1787" spans="1:26" ht="25.5" customHeight="1" x14ac:dyDescent="0.2">
      <c r="A1787" s="15">
        <v>242</v>
      </c>
      <c r="B1787" s="15">
        <v>2002</v>
      </c>
      <c r="C1787" s="15">
        <v>6</v>
      </c>
      <c r="D1787" s="15">
        <v>8</v>
      </c>
      <c r="E1787" s="29" t="s">
        <v>213</v>
      </c>
      <c r="F1787" s="20" t="s">
        <v>51</v>
      </c>
      <c r="G1787" s="32">
        <v>132</v>
      </c>
      <c r="H1787" s="15" t="s">
        <v>29</v>
      </c>
      <c r="I1787" s="33">
        <v>7</v>
      </c>
      <c r="J1787" s="11" t="s">
        <v>19</v>
      </c>
      <c r="K1787" s="20" t="s">
        <v>20</v>
      </c>
      <c r="L1787" s="11" t="s">
        <v>21</v>
      </c>
      <c r="M1787" s="20" t="s">
        <v>46</v>
      </c>
      <c r="N1787" s="20" t="s">
        <v>25</v>
      </c>
      <c r="O1787" s="31" t="s">
        <v>29</v>
      </c>
      <c r="P1787" s="15">
        <v>218</v>
      </c>
      <c r="Q1787" s="8"/>
      <c r="R1787">
        <v>12.32</v>
      </c>
      <c r="S1787">
        <v>1867.96</v>
      </c>
      <c r="T1787">
        <v>3.75</v>
      </c>
      <c r="U1787">
        <v>8.84</v>
      </c>
      <c r="V1787">
        <v>123</v>
      </c>
      <c r="W1787" s="317">
        <v>3.9</v>
      </c>
      <c r="X1787" s="190">
        <f t="shared" si="77"/>
        <v>27.3</v>
      </c>
      <c r="Y1787" s="8"/>
      <c r="Z1787" s="8"/>
    </row>
    <row r="1788" spans="1:26" ht="25.5" customHeight="1" x14ac:dyDescent="0.2">
      <c r="A1788" s="15">
        <v>243</v>
      </c>
      <c r="B1788" s="15">
        <v>2002</v>
      </c>
      <c r="C1788" s="15">
        <v>6</v>
      </c>
      <c r="D1788" s="15">
        <v>8</v>
      </c>
      <c r="E1788" s="29" t="s">
        <v>213</v>
      </c>
      <c r="F1788" s="20" t="s">
        <v>51</v>
      </c>
      <c r="G1788" s="32">
        <v>129</v>
      </c>
      <c r="H1788" s="15" t="s">
        <v>29</v>
      </c>
      <c r="I1788" s="33">
        <v>10</v>
      </c>
      <c r="J1788" s="11" t="s">
        <v>19</v>
      </c>
      <c r="K1788" s="20" t="s">
        <v>20</v>
      </c>
      <c r="L1788" s="20" t="s">
        <v>30</v>
      </c>
      <c r="M1788" s="20" t="s">
        <v>46</v>
      </c>
      <c r="N1788" s="20" t="s">
        <v>23</v>
      </c>
      <c r="O1788" s="31" t="s">
        <v>29</v>
      </c>
      <c r="P1788" s="15">
        <v>218</v>
      </c>
      <c r="Q1788" s="8"/>
      <c r="R1788">
        <v>12.04</v>
      </c>
      <c r="S1788">
        <v>1743.47</v>
      </c>
      <c r="T1788">
        <v>5.74</v>
      </c>
      <c r="U1788">
        <v>8.64</v>
      </c>
      <c r="V1788">
        <v>120</v>
      </c>
      <c r="W1788" s="317">
        <v>4.5999999999999996</v>
      </c>
      <c r="X1788" s="190">
        <f t="shared" si="77"/>
        <v>46</v>
      </c>
      <c r="Y1788" s="8"/>
      <c r="Z1788" s="8"/>
    </row>
    <row r="1789" spans="1:26" ht="25.5" customHeight="1" x14ac:dyDescent="0.2">
      <c r="A1789" s="15">
        <v>244</v>
      </c>
      <c r="B1789" s="15">
        <v>2002</v>
      </c>
      <c r="C1789" s="15">
        <v>6</v>
      </c>
      <c r="D1789" s="15">
        <v>8</v>
      </c>
      <c r="E1789" s="29" t="s">
        <v>213</v>
      </c>
      <c r="F1789" s="20" t="s">
        <v>51</v>
      </c>
      <c r="G1789" s="32">
        <v>122</v>
      </c>
      <c r="H1789" s="15" t="s">
        <v>29</v>
      </c>
      <c r="I1789" s="33">
        <v>6.5</v>
      </c>
      <c r="J1789" s="11" t="s">
        <v>19</v>
      </c>
      <c r="K1789" s="20" t="s">
        <v>20</v>
      </c>
      <c r="L1789" s="20" t="s">
        <v>35</v>
      </c>
      <c r="M1789" s="20" t="s">
        <v>47</v>
      </c>
      <c r="N1789" s="20" t="s">
        <v>23</v>
      </c>
      <c r="O1789" s="31" t="s">
        <v>29</v>
      </c>
      <c r="P1789" s="15">
        <v>218</v>
      </c>
      <c r="Q1789" s="8"/>
      <c r="R1789">
        <v>11.38</v>
      </c>
      <c r="S1789">
        <v>1474.77</v>
      </c>
      <c r="T1789">
        <v>4.41</v>
      </c>
      <c r="U1789">
        <v>8.17</v>
      </c>
      <c r="V1789">
        <v>114</v>
      </c>
      <c r="W1789" s="317">
        <v>3.9</v>
      </c>
      <c r="X1789" s="190">
        <f t="shared" si="77"/>
        <v>25.349999999999998</v>
      </c>
      <c r="Y1789" s="8"/>
      <c r="Z1789" s="8"/>
    </row>
    <row r="1790" spans="1:26" ht="25.5" customHeight="1" x14ac:dyDescent="0.2">
      <c r="A1790" s="15">
        <v>245</v>
      </c>
      <c r="B1790" s="15">
        <v>2002</v>
      </c>
      <c r="C1790" s="15">
        <v>6</v>
      </c>
      <c r="D1790" s="15">
        <v>8</v>
      </c>
      <c r="E1790" s="29" t="s">
        <v>213</v>
      </c>
      <c r="F1790" s="20" t="s">
        <v>51</v>
      </c>
      <c r="G1790" s="32">
        <v>145</v>
      </c>
      <c r="H1790" s="15" t="s">
        <v>29</v>
      </c>
      <c r="I1790" s="33">
        <v>10.5</v>
      </c>
      <c r="J1790" s="11" t="s">
        <v>19</v>
      </c>
      <c r="K1790" s="20" t="s">
        <v>20</v>
      </c>
      <c r="L1790" s="11" t="s">
        <v>21</v>
      </c>
      <c r="M1790" s="20" t="s">
        <v>45</v>
      </c>
      <c r="N1790" s="20" t="s">
        <v>23</v>
      </c>
      <c r="O1790" s="31" t="s">
        <v>29</v>
      </c>
      <c r="P1790" s="15">
        <v>218</v>
      </c>
      <c r="Q1790" s="8"/>
      <c r="R1790">
        <v>13.53</v>
      </c>
      <c r="S1790">
        <v>2475.9899999999998</v>
      </c>
      <c r="T1790">
        <v>4.24</v>
      </c>
      <c r="U1790">
        <v>9.7200000000000006</v>
      </c>
      <c r="V1790">
        <v>135</v>
      </c>
      <c r="W1790" s="317">
        <v>3.9</v>
      </c>
      <c r="X1790" s="190">
        <f t="shared" si="77"/>
        <v>40.949999999999996</v>
      </c>
      <c r="Y1790" s="8"/>
      <c r="Z1790" s="8"/>
    </row>
    <row r="1791" spans="1:26" ht="25.5" customHeight="1" x14ac:dyDescent="0.2">
      <c r="A1791" s="15">
        <v>246</v>
      </c>
      <c r="B1791" s="15">
        <v>2002</v>
      </c>
      <c r="C1791" s="15">
        <v>6</v>
      </c>
      <c r="D1791" s="15">
        <v>8</v>
      </c>
      <c r="E1791" s="29" t="s">
        <v>213</v>
      </c>
      <c r="F1791" s="20" t="s">
        <v>51</v>
      </c>
      <c r="G1791" s="32">
        <v>143</v>
      </c>
      <c r="H1791" s="15" t="s">
        <v>29</v>
      </c>
      <c r="I1791" s="33">
        <v>10</v>
      </c>
      <c r="J1791" s="11" t="s">
        <v>19</v>
      </c>
      <c r="K1791" s="20" t="s">
        <v>20</v>
      </c>
      <c r="L1791" s="11" t="s">
        <v>21</v>
      </c>
      <c r="M1791" s="20" t="s">
        <v>45</v>
      </c>
      <c r="N1791" s="20" t="s">
        <v>23</v>
      </c>
      <c r="O1791" s="31" t="s">
        <v>29</v>
      </c>
      <c r="P1791" s="15">
        <v>218</v>
      </c>
      <c r="Q1791" s="8"/>
      <c r="R1791">
        <v>13.34</v>
      </c>
      <c r="S1791">
        <v>2374.94</v>
      </c>
      <c r="T1791">
        <v>4.21</v>
      </c>
      <c r="U1791">
        <v>9.58</v>
      </c>
      <c r="V1791">
        <v>133</v>
      </c>
      <c r="W1791" s="317">
        <v>3.9</v>
      </c>
      <c r="X1791" s="190">
        <f t="shared" si="77"/>
        <v>39</v>
      </c>
      <c r="Y1791" s="8"/>
      <c r="Z1791" s="8"/>
    </row>
    <row r="1792" spans="1:26" ht="25.5" customHeight="1" x14ac:dyDescent="0.2">
      <c r="A1792" s="15">
        <v>247</v>
      </c>
      <c r="B1792" s="15">
        <v>2002</v>
      </c>
      <c r="C1792" s="15">
        <v>6</v>
      </c>
      <c r="D1792" s="15">
        <v>8</v>
      </c>
      <c r="E1792" s="29" t="s">
        <v>213</v>
      </c>
      <c r="F1792" s="11" t="s">
        <v>28</v>
      </c>
      <c r="G1792" s="11" t="s">
        <v>29</v>
      </c>
      <c r="H1792" s="15" t="s">
        <v>29</v>
      </c>
      <c r="I1792" s="33">
        <v>8.5</v>
      </c>
      <c r="J1792" s="11" t="s">
        <v>19</v>
      </c>
      <c r="K1792" s="20" t="s">
        <v>20</v>
      </c>
      <c r="L1792" s="11" t="s">
        <v>41</v>
      </c>
      <c r="M1792" s="20" t="s">
        <v>45</v>
      </c>
      <c r="N1792" s="11" t="s">
        <v>29</v>
      </c>
      <c r="O1792" s="31" t="s">
        <v>29</v>
      </c>
      <c r="P1792" s="15">
        <v>218</v>
      </c>
      <c r="Q1792" s="8"/>
      <c r="W1792" s="8"/>
      <c r="X1792" s="8"/>
      <c r="Y1792" s="8"/>
      <c r="Z1792" s="8"/>
    </row>
    <row r="1793" spans="1:26" ht="25.5" customHeight="1" x14ac:dyDescent="0.2">
      <c r="A1793" s="15">
        <v>248</v>
      </c>
      <c r="B1793" s="15">
        <v>2002</v>
      </c>
      <c r="C1793" s="15">
        <v>6</v>
      </c>
      <c r="D1793" s="15">
        <v>8</v>
      </c>
      <c r="E1793" s="29" t="s">
        <v>213</v>
      </c>
      <c r="F1793" s="20" t="s">
        <v>51</v>
      </c>
      <c r="G1793" s="32">
        <v>151</v>
      </c>
      <c r="H1793" s="15" t="s">
        <v>29</v>
      </c>
      <c r="I1793" s="33">
        <v>15.5</v>
      </c>
      <c r="J1793" s="11" t="s">
        <v>19</v>
      </c>
      <c r="K1793" s="20" t="s">
        <v>20</v>
      </c>
      <c r="L1793" s="11" t="s">
        <v>21</v>
      </c>
      <c r="M1793" s="20" t="s">
        <v>46</v>
      </c>
      <c r="N1793" s="20" t="s">
        <v>23</v>
      </c>
      <c r="O1793" s="31" t="s">
        <v>29</v>
      </c>
      <c r="P1793" s="15">
        <v>218</v>
      </c>
      <c r="Q1793" s="8"/>
      <c r="R1793">
        <v>14.09</v>
      </c>
      <c r="S1793">
        <v>2796.25</v>
      </c>
      <c r="T1793">
        <v>5.54</v>
      </c>
      <c r="U1793">
        <v>10.119999999999999</v>
      </c>
      <c r="V1793">
        <v>141</v>
      </c>
      <c r="W1793" s="317">
        <v>3.9</v>
      </c>
      <c r="X1793" s="190">
        <f t="shared" ref="X1793:X1816" si="78">I1793*W1793</f>
        <v>60.449999999999996</v>
      </c>
      <c r="Y1793" s="8"/>
      <c r="Z1793" s="8"/>
    </row>
    <row r="1794" spans="1:26" ht="25.5" customHeight="1" x14ac:dyDescent="0.2">
      <c r="A1794" s="15">
        <v>249</v>
      </c>
      <c r="B1794" s="15">
        <v>2002</v>
      </c>
      <c r="C1794" s="15">
        <v>6</v>
      </c>
      <c r="D1794" s="15">
        <v>8</v>
      </c>
      <c r="E1794" s="29" t="s">
        <v>213</v>
      </c>
      <c r="F1794" s="20" t="s">
        <v>51</v>
      </c>
      <c r="G1794" s="32">
        <v>136</v>
      </c>
      <c r="H1794" s="15" t="s">
        <v>29</v>
      </c>
      <c r="I1794" s="33">
        <v>8</v>
      </c>
      <c r="J1794" s="11" t="s">
        <v>19</v>
      </c>
      <c r="K1794" s="20" t="s">
        <v>20</v>
      </c>
      <c r="L1794" s="11" t="s">
        <v>21</v>
      </c>
      <c r="M1794" s="20" t="s">
        <v>46</v>
      </c>
      <c r="N1794" s="20" t="s">
        <v>33</v>
      </c>
      <c r="O1794" s="31" t="s">
        <v>29</v>
      </c>
      <c r="P1794" s="15">
        <v>218</v>
      </c>
      <c r="Q1794" s="8"/>
      <c r="R1794">
        <v>12.69</v>
      </c>
      <c r="S1794">
        <v>2042.97</v>
      </c>
      <c r="T1794">
        <v>3.92</v>
      </c>
      <c r="U1794">
        <v>9.11</v>
      </c>
      <c r="V1794">
        <v>127</v>
      </c>
      <c r="W1794" s="317">
        <v>3.9</v>
      </c>
      <c r="X1794" s="190">
        <f t="shared" si="78"/>
        <v>31.2</v>
      </c>
      <c r="Y1794" s="8"/>
      <c r="Z1794" s="8"/>
    </row>
    <row r="1795" spans="1:26" ht="25.5" customHeight="1" x14ac:dyDescent="0.2">
      <c r="A1795" s="15">
        <v>250</v>
      </c>
      <c r="B1795" s="15">
        <v>2002</v>
      </c>
      <c r="C1795" s="15">
        <v>6</v>
      </c>
      <c r="D1795" s="15">
        <v>8</v>
      </c>
      <c r="E1795" s="29" t="s">
        <v>213</v>
      </c>
      <c r="F1795" s="20" t="s">
        <v>51</v>
      </c>
      <c r="G1795" s="32">
        <v>154</v>
      </c>
      <c r="H1795" s="15" t="s">
        <v>29</v>
      </c>
      <c r="I1795" s="33">
        <v>12</v>
      </c>
      <c r="J1795" s="11" t="s">
        <v>19</v>
      </c>
      <c r="K1795" s="20" t="s">
        <v>20</v>
      </c>
      <c r="L1795" s="11" t="s">
        <v>21</v>
      </c>
      <c r="M1795" s="20" t="s">
        <v>46</v>
      </c>
      <c r="N1795" s="20" t="s">
        <v>23</v>
      </c>
      <c r="O1795" s="31" t="s">
        <v>29</v>
      </c>
      <c r="P1795" s="15">
        <v>218</v>
      </c>
      <c r="Q1795" s="8"/>
      <c r="R1795">
        <v>14.37</v>
      </c>
      <c r="S1795">
        <v>2966.25</v>
      </c>
      <c r="T1795">
        <v>4.05</v>
      </c>
      <c r="U1795">
        <v>10.32</v>
      </c>
      <c r="V1795">
        <v>144</v>
      </c>
      <c r="W1795" s="317">
        <v>3.9</v>
      </c>
      <c r="X1795" s="190">
        <f t="shared" si="78"/>
        <v>46.8</v>
      </c>
      <c r="Y1795" s="8"/>
      <c r="Z1795" s="8"/>
    </row>
    <row r="1796" spans="1:26" ht="25.5" customHeight="1" x14ac:dyDescent="0.2">
      <c r="A1796" s="15">
        <v>251</v>
      </c>
      <c r="B1796" s="15">
        <v>2002</v>
      </c>
      <c r="C1796" s="15">
        <v>6</v>
      </c>
      <c r="D1796" s="15">
        <v>8</v>
      </c>
      <c r="E1796" s="29" t="s">
        <v>213</v>
      </c>
      <c r="F1796" s="20" t="s">
        <v>51</v>
      </c>
      <c r="G1796" s="32">
        <v>125</v>
      </c>
      <c r="H1796" s="15" t="s">
        <v>29</v>
      </c>
      <c r="I1796" s="33">
        <v>8</v>
      </c>
      <c r="J1796" s="11" t="s">
        <v>19</v>
      </c>
      <c r="K1796" s="20" t="s">
        <v>20</v>
      </c>
      <c r="L1796" s="20" t="s">
        <v>30</v>
      </c>
      <c r="M1796" s="20" t="s">
        <v>47</v>
      </c>
      <c r="N1796" s="20" t="s">
        <v>39</v>
      </c>
      <c r="O1796" s="31" t="s">
        <v>29</v>
      </c>
      <c r="P1796" s="15">
        <v>218</v>
      </c>
      <c r="Q1796" s="8"/>
      <c r="R1796">
        <v>11.66</v>
      </c>
      <c r="S1796">
        <v>1586.26</v>
      </c>
      <c r="T1796">
        <v>5.04</v>
      </c>
      <c r="U1796">
        <v>8.3800000000000008</v>
      </c>
      <c r="V1796">
        <v>117</v>
      </c>
      <c r="W1796" s="317">
        <v>4.5999999999999996</v>
      </c>
      <c r="X1796" s="190">
        <f t="shared" si="78"/>
        <v>36.799999999999997</v>
      </c>
      <c r="Y1796" s="8"/>
      <c r="Z1796" s="8"/>
    </row>
    <row r="1797" spans="1:26" ht="25.5" customHeight="1" x14ac:dyDescent="0.2">
      <c r="A1797" s="15">
        <v>252</v>
      </c>
      <c r="B1797" s="15">
        <v>2002</v>
      </c>
      <c r="C1797" s="15">
        <v>6</v>
      </c>
      <c r="D1797" s="15">
        <v>8</v>
      </c>
      <c r="E1797" s="29" t="s">
        <v>213</v>
      </c>
      <c r="F1797" s="20" t="s">
        <v>51</v>
      </c>
      <c r="G1797" s="32">
        <v>134</v>
      </c>
      <c r="H1797" s="15" t="s">
        <v>29</v>
      </c>
      <c r="I1797" s="33">
        <v>10.5</v>
      </c>
      <c r="J1797" s="11" t="s">
        <v>19</v>
      </c>
      <c r="K1797" s="20" t="s">
        <v>20</v>
      </c>
      <c r="L1797" s="20" t="s">
        <v>30</v>
      </c>
      <c r="M1797" s="20" t="s">
        <v>46</v>
      </c>
      <c r="N1797" s="20" t="s">
        <v>24</v>
      </c>
      <c r="O1797" s="31" t="s">
        <v>29</v>
      </c>
      <c r="P1797" s="15">
        <v>218</v>
      </c>
      <c r="Q1797" s="8"/>
      <c r="R1797">
        <v>12.5</v>
      </c>
      <c r="S1797">
        <v>1954.16</v>
      </c>
      <c r="T1797">
        <v>5.37</v>
      </c>
      <c r="U1797">
        <v>8.98</v>
      </c>
      <c r="V1797">
        <v>125</v>
      </c>
      <c r="W1797" s="317">
        <v>4.5999999999999996</v>
      </c>
      <c r="X1797" s="190">
        <f t="shared" si="78"/>
        <v>48.3</v>
      </c>
      <c r="Y1797" s="8"/>
      <c r="Z1797" s="8"/>
    </row>
    <row r="1798" spans="1:26" ht="25.5" customHeight="1" x14ac:dyDescent="0.2">
      <c r="A1798" s="15">
        <v>253</v>
      </c>
      <c r="B1798" s="15">
        <v>2002</v>
      </c>
      <c r="C1798" s="15">
        <v>6</v>
      </c>
      <c r="D1798" s="15">
        <v>8</v>
      </c>
      <c r="E1798" s="29" t="s">
        <v>213</v>
      </c>
      <c r="F1798" s="20" t="s">
        <v>51</v>
      </c>
      <c r="G1798" s="32">
        <v>132</v>
      </c>
      <c r="H1798" s="15" t="s">
        <v>29</v>
      </c>
      <c r="I1798" s="33">
        <v>10.5</v>
      </c>
      <c r="J1798" s="11" t="s">
        <v>19</v>
      </c>
      <c r="K1798" s="20" t="s">
        <v>20</v>
      </c>
      <c r="L1798" s="20" t="s">
        <v>30</v>
      </c>
      <c r="M1798" s="20" t="s">
        <v>27</v>
      </c>
      <c r="N1798" s="20" t="s">
        <v>25</v>
      </c>
      <c r="O1798" s="31" t="s">
        <v>29</v>
      </c>
      <c r="P1798" s="15">
        <v>218</v>
      </c>
      <c r="Q1798" s="8"/>
      <c r="R1798">
        <v>12.32</v>
      </c>
      <c r="S1798">
        <v>1867.96</v>
      </c>
      <c r="T1798">
        <v>5.62</v>
      </c>
      <c r="U1798">
        <v>8.84</v>
      </c>
      <c r="V1798">
        <v>123</v>
      </c>
      <c r="W1798" s="317">
        <v>4.5999999999999996</v>
      </c>
      <c r="X1798" s="190">
        <f t="shared" si="78"/>
        <v>48.3</v>
      </c>
      <c r="Y1798" s="8"/>
      <c r="Z1798" s="8"/>
    </row>
    <row r="1799" spans="1:26" ht="25.5" customHeight="1" x14ac:dyDescent="0.2">
      <c r="A1799" s="15">
        <v>254</v>
      </c>
      <c r="B1799" s="15">
        <v>2002</v>
      </c>
      <c r="C1799" s="15">
        <v>6</v>
      </c>
      <c r="D1799" s="15">
        <v>8</v>
      </c>
      <c r="E1799" s="29" t="s">
        <v>213</v>
      </c>
      <c r="F1799" s="20" t="s">
        <v>51</v>
      </c>
      <c r="G1799" s="32">
        <v>140</v>
      </c>
      <c r="H1799" s="15" t="s">
        <v>29</v>
      </c>
      <c r="I1799" s="33">
        <v>10.5</v>
      </c>
      <c r="J1799" s="11" t="s">
        <v>19</v>
      </c>
      <c r="K1799" s="20" t="s">
        <v>20</v>
      </c>
      <c r="L1799" s="11" t="s">
        <v>21</v>
      </c>
      <c r="M1799" s="20" t="s">
        <v>45</v>
      </c>
      <c r="N1799" s="20" t="s">
        <v>24</v>
      </c>
      <c r="O1799" s="31" t="s">
        <v>29</v>
      </c>
      <c r="P1799" s="15">
        <v>218</v>
      </c>
      <c r="Q1799" s="8"/>
      <c r="R1799">
        <v>13.06</v>
      </c>
      <c r="S1799">
        <v>2228.58</v>
      </c>
      <c r="T1799">
        <v>4.71</v>
      </c>
      <c r="U1799">
        <v>9.3800000000000008</v>
      </c>
      <c r="V1799">
        <v>131</v>
      </c>
      <c r="W1799" s="317">
        <v>3.9</v>
      </c>
      <c r="X1799" s="190">
        <f t="shared" si="78"/>
        <v>40.949999999999996</v>
      </c>
      <c r="Y1799" s="8"/>
      <c r="Z1799" s="8"/>
    </row>
    <row r="1800" spans="1:26" ht="25.5" customHeight="1" x14ac:dyDescent="0.2">
      <c r="A1800" s="15">
        <v>255</v>
      </c>
      <c r="B1800" s="15">
        <v>2002</v>
      </c>
      <c r="C1800" s="15">
        <v>6</v>
      </c>
      <c r="D1800" s="15">
        <v>8</v>
      </c>
      <c r="E1800" s="29" t="s">
        <v>213</v>
      </c>
      <c r="F1800" s="20" t="s">
        <v>51</v>
      </c>
      <c r="G1800" s="32">
        <v>146</v>
      </c>
      <c r="H1800" s="15" t="s">
        <v>29</v>
      </c>
      <c r="I1800" s="33">
        <v>13.5</v>
      </c>
      <c r="J1800" s="11" t="s">
        <v>19</v>
      </c>
      <c r="K1800" s="20" t="s">
        <v>20</v>
      </c>
      <c r="L1800" s="20" t="s">
        <v>30</v>
      </c>
      <c r="M1800" s="20" t="s">
        <v>46</v>
      </c>
      <c r="N1800" s="20" t="s">
        <v>24</v>
      </c>
      <c r="O1800" s="31" t="s">
        <v>29</v>
      </c>
      <c r="P1800" s="15">
        <v>218</v>
      </c>
      <c r="Q1800" s="8"/>
      <c r="R1800">
        <v>13.62</v>
      </c>
      <c r="S1800">
        <v>2527.5700000000002</v>
      </c>
      <c r="T1800">
        <v>5.34</v>
      </c>
      <c r="U1800">
        <v>9.7799999999999994</v>
      </c>
      <c r="V1800">
        <v>136</v>
      </c>
      <c r="W1800" s="317">
        <v>4.5999999999999996</v>
      </c>
      <c r="X1800" s="190">
        <f t="shared" si="78"/>
        <v>62.099999999999994</v>
      </c>
      <c r="Y1800" s="8"/>
      <c r="Z1800" s="8"/>
    </row>
    <row r="1801" spans="1:26" ht="25.5" customHeight="1" x14ac:dyDescent="0.2">
      <c r="A1801" s="15">
        <v>256</v>
      </c>
      <c r="B1801" s="15">
        <v>2002</v>
      </c>
      <c r="C1801" s="15">
        <v>6</v>
      </c>
      <c r="D1801" s="15">
        <v>8</v>
      </c>
      <c r="E1801" s="29" t="s">
        <v>213</v>
      </c>
      <c r="F1801" s="20" t="s">
        <v>51</v>
      </c>
      <c r="G1801" s="32">
        <v>134</v>
      </c>
      <c r="H1801" s="15" t="s">
        <v>29</v>
      </c>
      <c r="I1801" s="33">
        <v>13</v>
      </c>
      <c r="J1801" s="11" t="s">
        <v>19</v>
      </c>
      <c r="K1801" s="20" t="s">
        <v>20</v>
      </c>
      <c r="L1801" s="20" t="s">
        <v>30</v>
      </c>
      <c r="M1801" s="20" t="s">
        <v>27</v>
      </c>
      <c r="N1801" s="20" t="s">
        <v>24</v>
      </c>
      <c r="O1801" s="31" t="s">
        <v>29</v>
      </c>
      <c r="P1801" s="15">
        <v>218</v>
      </c>
      <c r="Q1801" s="8"/>
      <c r="R1801">
        <v>12.5</v>
      </c>
      <c r="S1801">
        <v>1954.16</v>
      </c>
      <c r="T1801">
        <v>6.65</v>
      </c>
      <c r="U1801">
        <v>8.98</v>
      </c>
      <c r="V1801">
        <v>125</v>
      </c>
      <c r="W1801" s="317">
        <v>4.5999999999999996</v>
      </c>
      <c r="X1801" s="190">
        <f t="shared" si="78"/>
        <v>59.8</v>
      </c>
      <c r="Y1801" s="8"/>
      <c r="Z1801" s="8"/>
    </row>
    <row r="1802" spans="1:26" ht="25.5" customHeight="1" x14ac:dyDescent="0.2">
      <c r="A1802" s="15">
        <v>257</v>
      </c>
      <c r="B1802" s="15">
        <v>2002</v>
      </c>
      <c r="C1802" s="15">
        <v>6</v>
      </c>
      <c r="D1802" s="15">
        <v>8</v>
      </c>
      <c r="E1802" s="29" t="s">
        <v>213</v>
      </c>
      <c r="F1802" s="20" t="s">
        <v>51</v>
      </c>
      <c r="G1802" s="32">
        <v>136</v>
      </c>
      <c r="H1802" s="15" t="s">
        <v>29</v>
      </c>
      <c r="I1802" s="33">
        <v>13.5</v>
      </c>
      <c r="J1802" s="11" t="s">
        <v>19</v>
      </c>
      <c r="K1802" s="20" t="s">
        <v>20</v>
      </c>
      <c r="L1802" s="20" t="s">
        <v>30</v>
      </c>
      <c r="M1802" s="20" t="s">
        <v>27</v>
      </c>
      <c r="N1802" s="20" t="s">
        <v>24</v>
      </c>
      <c r="O1802" s="31" t="s">
        <v>29</v>
      </c>
      <c r="P1802" s="15">
        <v>218</v>
      </c>
      <c r="Q1802" s="8"/>
      <c r="R1802">
        <v>12.69</v>
      </c>
      <c r="S1802">
        <v>2042.97</v>
      </c>
      <c r="T1802">
        <v>6.61</v>
      </c>
      <c r="U1802">
        <v>9.11</v>
      </c>
      <c r="V1802">
        <v>127</v>
      </c>
      <c r="W1802" s="317">
        <v>4.5999999999999996</v>
      </c>
      <c r="X1802" s="190">
        <f t="shared" si="78"/>
        <v>62.099999999999994</v>
      </c>
      <c r="Y1802" s="8"/>
      <c r="Z1802" s="8"/>
    </row>
    <row r="1803" spans="1:26" ht="25.5" customHeight="1" x14ac:dyDescent="0.2">
      <c r="A1803" s="15">
        <v>258</v>
      </c>
      <c r="B1803" s="15">
        <v>2002</v>
      </c>
      <c r="C1803" s="15">
        <v>6</v>
      </c>
      <c r="D1803" s="15">
        <v>8</v>
      </c>
      <c r="E1803" s="29" t="s">
        <v>213</v>
      </c>
      <c r="F1803" s="20" t="s">
        <v>51</v>
      </c>
      <c r="G1803" s="32">
        <v>146</v>
      </c>
      <c r="H1803" s="15" t="s">
        <v>29</v>
      </c>
      <c r="I1803" s="33">
        <v>16.5</v>
      </c>
      <c r="J1803" s="11" t="s">
        <v>19</v>
      </c>
      <c r="K1803" s="20" t="s">
        <v>20</v>
      </c>
      <c r="L1803" s="20" t="s">
        <v>30</v>
      </c>
      <c r="M1803" s="20" t="s">
        <v>47</v>
      </c>
      <c r="N1803" s="20" t="s">
        <v>23</v>
      </c>
      <c r="O1803" s="31" t="s">
        <v>29</v>
      </c>
      <c r="P1803" s="15">
        <v>218</v>
      </c>
      <c r="Q1803" s="8"/>
      <c r="R1803">
        <v>13.62</v>
      </c>
      <c r="S1803">
        <v>2527.5700000000002</v>
      </c>
      <c r="T1803">
        <v>6.53</v>
      </c>
      <c r="U1803">
        <v>9.7799999999999994</v>
      </c>
      <c r="V1803">
        <v>136</v>
      </c>
      <c r="W1803" s="317">
        <v>4.5999999999999996</v>
      </c>
      <c r="X1803" s="190">
        <f t="shared" si="78"/>
        <v>75.899999999999991</v>
      </c>
      <c r="Y1803" s="8"/>
      <c r="Z1803" s="8"/>
    </row>
    <row r="1804" spans="1:26" ht="25.5" customHeight="1" x14ac:dyDescent="0.2">
      <c r="A1804" s="15">
        <v>259</v>
      </c>
      <c r="B1804" s="15">
        <v>2002</v>
      </c>
      <c r="C1804" s="15">
        <v>6</v>
      </c>
      <c r="D1804" s="15">
        <v>8</v>
      </c>
      <c r="E1804" s="29" t="s">
        <v>213</v>
      </c>
      <c r="F1804" s="20" t="s">
        <v>51</v>
      </c>
      <c r="G1804" s="32">
        <v>150</v>
      </c>
      <c r="H1804" s="15" t="s">
        <v>29</v>
      </c>
      <c r="I1804" s="33">
        <v>14.5</v>
      </c>
      <c r="J1804" s="11" t="s">
        <v>19</v>
      </c>
      <c r="K1804" s="20" t="s">
        <v>20</v>
      </c>
      <c r="L1804" s="11" t="s">
        <v>21</v>
      </c>
      <c r="M1804" s="20" t="s">
        <v>45</v>
      </c>
      <c r="N1804" s="20" t="s">
        <v>24</v>
      </c>
      <c r="O1804" s="31" t="s">
        <v>29</v>
      </c>
      <c r="P1804" s="15">
        <v>218</v>
      </c>
      <c r="Q1804" s="8"/>
      <c r="R1804">
        <v>14</v>
      </c>
      <c r="S1804">
        <v>2741.06</v>
      </c>
      <c r="T1804">
        <v>5.29</v>
      </c>
      <c r="U1804">
        <v>10.050000000000001</v>
      </c>
      <c r="V1804">
        <v>140</v>
      </c>
      <c r="W1804" s="317">
        <v>3.9</v>
      </c>
      <c r="X1804" s="190">
        <f t="shared" si="78"/>
        <v>56.55</v>
      </c>
      <c r="Y1804" s="8"/>
      <c r="Z1804" s="8"/>
    </row>
    <row r="1805" spans="1:26" ht="25.5" customHeight="1" x14ac:dyDescent="0.2">
      <c r="A1805" s="15">
        <v>260</v>
      </c>
      <c r="B1805" s="15">
        <v>2002</v>
      </c>
      <c r="C1805" s="15">
        <v>6</v>
      </c>
      <c r="D1805" s="15">
        <v>8</v>
      </c>
      <c r="E1805" s="29" t="s">
        <v>213</v>
      </c>
      <c r="F1805" s="20" t="s">
        <v>51</v>
      </c>
      <c r="G1805" s="32">
        <v>171</v>
      </c>
      <c r="H1805" s="15" t="s">
        <v>29</v>
      </c>
      <c r="I1805" s="33">
        <v>24.5</v>
      </c>
      <c r="J1805" s="11" t="s">
        <v>19</v>
      </c>
      <c r="K1805" s="20" t="s">
        <v>20</v>
      </c>
      <c r="L1805" s="20" t="s">
        <v>30</v>
      </c>
      <c r="M1805" s="20" t="s">
        <v>27</v>
      </c>
      <c r="N1805" s="20" t="s">
        <v>24</v>
      </c>
      <c r="O1805" s="31" t="s">
        <v>29</v>
      </c>
      <c r="P1805" s="15">
        <v>218</v>
      </c>
      <c r="Q1805" s="8"/>
      <c r="R1805">
        <v>15.95</v>
      </c>
      <c r="S1805">
        <v>4061</v>
      </c>
      <c r="T1805">
        <v>6.03</v>
      </c>
      <c r="U1805">
        <v>11.46</v>
      </c>
      <c r="V1805">
        <v>160</v>
      </c>
      <c r="W1805" s="317">
        <v>4.5999999999999996</v>
      </c>
      <c r="X1805" s="190">
        <f t="shared" si="78"/>
        <v>112.69999999999999</v>
      </c>
      <c r="Y1805" s="8"/>
      <c r="Z1805" s="8"/>
    </row>
    <row r="1806" spans="1:26" ht="25.5" customHeight="1" x14ac:dyDescent="0.2">
      <c r="A1806" s="15">
        <v>261</v>
      </c>
      <c r="B1806" s="15">
        <v>2002</v>
      </c>
      <c r="C1806" s="15">
        <v>6</v>
      </c>
      <c r="D1806" s="15">
        <v>8</v>
      </c>
      <c r="E1806" s="29" t="s">
        <v>213</v>
      </c>
      <c r="F1806" s="20" t="s">
        <v>51</v>
      </c>
      <c r="G1806" s="32">
        <v>135</v>
      </c>
      <c r="H1806" s="15" t="s">
        <v>29</v>
      </c>
      <c r="I1806" s="33">
        <v>10</v>
      </c>
      <c r="J1806" s="11" t="s">
        <v>19</v>
      </c>
      <c r="K1806" s="20" t="s">
        <v>20</v>
      </c>
      <c r="L1806" s="11" t="s">
        <v>21</v>
      </c>
      <c r="M1806" s="20" t="s">
        <v>45</v>
      </c>
      <c r="N1806" s="20" t="s">
        <v>24</v>
      </c>
      <c r="O1806" s="31" t="s">
        <v>29</v>
      </c>
      <c r="P1806" s="15">
        <v>218</v>
      </c>
      <c r="Q1806" s="8"/>
      <c r="R1806">
        <v>12.6</v>
      </c>
      <c r="S1806">
        <v>1998.23</v>
      </c>
      <c r="T1806">
        <v>5</v>
      </c>
      <c r="U1806">
        <v>9.0500000000000007</v>
      </c>
      <c r="V1806">
        <v>126</v>
      </c>
      <c r="W1806" s="317">
        <v>3.9</v>
      </c>
      <c r="X1806" s="190">
        <f t="shared" si="78"/>
        <v>39</v>
      </c>
      <c r="Y1806" s="8"/>
      <c r="Z1806" s="8"/>
    </row>
    <row r="1807" spans="1:26" ht="25.5" customHeight="1" x14ac:dyDescent="0.2">
      <c r="A1807" s="15">
        <v>262</v>
      </c>
      <c r="B1807" s="15">
        <v>2002</v>
      </c>
      <c r="C1807" s="15">
        <v>6</v>
      </c>
      <c r="D1807" s="15">
        <v>8</v>
      </c>
      <c r="E1807" s="29" t="s">
        <v>213</v>
      </c>
      <c r="F1807" s="20" t="s">
        <v>51</v>
      </c>
      <c r="G1807" s="32">
        <v>147</v>
      </c>
      <c r="H1807" s="15" t="s">
        <v>29</v>
      </c>
      <c r="I1807" s="33">
        <v>12.5</v>
      </c>
      <c r="J1807" s="11" t="s">
        <v>19</v>
      </c>
      <c r="K1807" s="20" t="s">
        <v>20</v>
      </c>
      <c r="L1807" s="11" t="s">
        <v>21</v>
      </c>
      <c r="M1807" s="20" t="s">
        <v>27</v>
      </c>
      <c r="N1807" s="20" t="s">
        <v>24</v>
      </c>
      <c r="O1807" s="31" t="s">
        <v>29</v>
      </c>
      <c r="P1807" s="15">
        <v>218</v>
      </c>
      <c r="Q1807" s="8"/>
      <c r="R1807">
        <v>13.72</v>
      </c>
      <c r="S1807">
        <v>2579.86</v>
      </c>
      <c r="T1807">
        <v>4.8499999999999996</v>
      </c>
      <c r="U1807">
        <v>9.85</v>
      </c>
      <c r="V1807">
        <v>137</v>
      </c>
      <c r="W1807" s="317">
        <v>3.9</v>
      </c>
      <c r="X1807" s="190">
        <f t="shared" si="78"/>
        <v>48.75</v>
      </c>
      <c r="Y1807" s="8"/>
      <c r="Z1807" s="8"/>
    </row>
    <row r="1808" spans="1:26" ht="25.5" customHeight="1" x14ac:dyDescent="0.2">
      <c r="A1808" s="15">
        <v>263</v>
      </c>
      <c r="B1808" s="15">
        <v>2002</v>
      </c>
      <c r="C1808" s="15">
        <v>6</v>
      </c>
      <c r="D1808" s="15">
        <v>8</v>
      </c>
      <c r="E1808" s="29" t="s">
        <v>213</v>
      </c>
      <c r="F1808" s="20" t="s">
        <v>51</v>
      </c>
      <c r="G1808" s="32">
        <v>158</v>
      </c>
      <c r="H1808" s="15" t="s">
        <v>29</v>
      </c>
      <c r="I1808" s="33">
        <v>14.5</v>
      </c>
      <c r="J1808" s="11" t="s">
        <v>19</v>
      </c>
      <c r="K1808" s="20" t="s">
        <v>20</v>
      </c>
      <c r="L1808" s="11" t="s">
        <v>21</v>
      </c>
      <c r="M1808" s="20" t="s">
        <v>46</v>
      </c>
      <c r="N1808" s="20" t="s">
        <v>23</v>
      </c>
      <c r="O1808" s="31" t="s">
        <v>29</v>
      </c>
      <c r="P1808" s="15">
        <v>218</v>
      </c>
      <c r="Q1808" s="8"/>
      <c r="R1808">
        <v>14.74</v>
      </c>
      <c r="S1808">
        <v>3203.44</v>
      </c>
      <c r="T1808">
        <v>4.53</v>
      </c>
      <c r="U1808">
        <v>10.59</v>
      </c>
      <c r="V1808">
        <v>147</v>
      </c>
      <c r="W1808" s="317">
        <v>3.9</v>
      </c>
      <c r="X1808" s="190">
        <f t="shared" si="78"/>
        <v>56.55</v>
      </c>
      <c r="Y1808" s="8"/>
      <c r="Z1808" s="8"/>
    </row>
    <row r="1809" spans="1:26" ht="25.5" customHeight="1" x14ac:dyDescent="0.2">
      <c r="A1809" s="15">
        <v>264</v>
      </c>
      <c r="B1809" s="15">
        <v>2002</v>
      </c>
      <c r="C1809" s="15">
        <v>6</v>
      </c>
      <c r="D1809" s="15">
        <v>8</v>
      </c>
      <c r="E1809" s="29" t="s">
        <v>213</v>
      </c>
      <c r="F1809" s="20" t="s">
        <v>51</v>
      </c>
      <c r="G1809" s="32">
        <v>168</v>
      </c>
      <c r="H1809" s="15" t="s">
        <v>29</v>
      </c>
      <c r="I1809" s="33">
        <v>18</v>
      </c>
      <c r="J1809" s="11" t="s">
        <v>19</v>
      </c>
      <c r="K1809" s="20" t="s">
        <v>20</v>
      </c>
      <c r="L1809" s="11" t="s">
        <v>21</v>
      </c>
      <c r="M1809" s="20" t="s">
        <v>45</v>
      </c>
      <c r="N1809" s="20" t="s">
        <v>23</v>
      </c>
      <c r="O1809" s="31" t="s">
        <v>29</v>
      </c>
      <c r="P1809" s="15">
        <v>218</v>
      </c>
      <c r="Q1809" s="8"/>
      <c r="R1809">
        <v>15.67</v>
      </c>
      <c r="S1809">
        <v>3850.99</v>
      </c>
      <c r="T1809">
        <v>4.67</v>
      </c>
      <c r="U1809">
        <v>11.26</v>
      </c>
      <c r="V1809">
        <v>157</v>
      </c>
      <c r="W1809" s="317">
        <v>3.9</v>
      </c>
      <c r="X1809" s="190">
        <f t="shared" si="78"/>
        <v>70.2</v>
      </c>
      <c r="Y1809" s="8"/>
      <c r="Z1809" s="8"/>
    </row>
    <row r="1810" spans="1:26" ht="25.5" customHeight="1" x14ac:dyDescent="0.2">
      <c r="A1810" s="15">
        <v>265</v>
      </c>
      <c r="B1810" s="15">
        <v>2002</v>
      </c>
      <c r="C1810" s="15">
        <v>6</v>
      </c>
      <c r="D1810" s="15">
        <v>8</v>
      </c>
      <c r="E1810" s="29" t="s">
        <v>213</v>
      </c>
      <c r="F1810" s="20" t="s">
        <v>51</v>
      </c>
      <c r="G1810" s="32">
        <v>146</v>
      </c>
      <c r="H1810" s="15" t="s">
        <v>29</v>
      </c>
      <c r="I1810" s="33">
        <v>12.5</v>
      </c>
      <c r="J1810" s="11" t="s">
        <v>19</v>
      </c>
      <c r="K1810" s="20" t="s">
        <v>20</v>
      </c>
      <c r="L1810" s="11" t="s">
        <v>21</v>
      </c>
      <c r="M1810" s="20" t="s">
        <v>45</v>
      </c>
      <c r="N1810" s="20" t="s">
        <v>24</v>
      </c>
      <c r="O1810" s="31" t="s">
        <v>29</v>
      </c>
      <c r="P1810" s="15">
        <v>218</v>
      </c>
      <c r="Q1810" s="8"/>
      <c r="R1810">
        <v>13.62</v>
      </c>
      <c r="S1810">
        <v>2527.5700000000002</v>
      </c>
      <c r="T1810">
        <v>4.95</v>
      </c>
      <c r="U1810">
        <v>9.7799999999999994</v>
      </c>
      <c r="V1810">
        <v>136</v>
      </c>
      <c r="W1810" s="317">
        <v>3.9</v>
      </c>
      <c r="X1810" s="190">
        <f t="shared" si="78"/>
        <v>48.75</v>
      </c>
      <c r="Y1810" s="8"/>
      <c r="Z1810" s="8"/>
    </row>
    <row r="1811" spans="1:26" ht="25.5" customHeight="1" x14ac:dyDescent="0.2">
      <c r="A1811" s="15">
        <v>266</v>
      </c>
      <c r="B1811" s="15">
        <v>2002</v>
      </c>
      <c r="C1811" s="15">
        <v>6</v>
      </c>
      <c r="D1811" s="15">
        <v>8</v>
      </c>
      <c r="E1811" s="29" t="s">
        <v>213</v>
      </c>
      <c r="F1811" s="20" t="s">
        <v>51</v>
      </c>
      <c r="G1811" s="32">
        <v>113</v>
      </c>
      <c r="H1811" s="15" t="s">
        <v>29</v>
      </c>
      <c r="I1811" s="33">
        <v>5</v>
      </c>
      <c r="J1811" s="11" t="s">
        <v>19</v>
      </c>
      <c r="K1811" s="20" t="s">
        <v>20</v>
      </c>
      <c r="L1811" s="20" t="s">
        <v>35</v>
      </c>
      <c r="M1811" s="20" t="s">
        <v>27</v>
      </c>
      <c r="N1811" s="20" t="s">
        <v>24</v>
      </c>
      <c r="O1811" s="31" t="s">
        <v>29</v>
      </c>
      <c r="P1811" s="15">
        <v>218</v>
      </c>
      <c r="Q1811" s="8"/>
      <c r="R1811">
        <v>10.54</v>
      </c>
      <c r="S1811">
        <v>1171.8699999999999</v>
      </c>
      <c r="T1811">
        <v>4.2699999999999996</v>
      </c>
      <c r="U1811">
        <v>7.57</v>
      </c>
      <c r="V1811">
        <v>105</v>
      </c>
      <c r="W1811" s="317">
        <v>3.9</v>
      </c>
      <c r="X1811" s="190">
        <f t="shared" si="78"/>
        <v>19.5</v>
      </c>
      <c r="Y1811" s="8"/>
      <c r="Z1811" s="8"/>
    </row>
    <row r="1812" spans="1:26" ht="25.5" customHeight="1" x14ac:dyDescent="0.2">
      <c r="A1812" s="15">
        <v>267</v>
      </c>
      <c r="B1812" s="15">
        <v>2002</v>
      </c>
      <c r="C1812" s="15">
        <v>6</v>
      </c>
      <c r="D1812" s="15">
        <v>8</v>
      </c>
      <c r="E1812" s="29" t="s">
        <v>213</v>
      </c>
      <c r="F1812" s="20" t="s">
        <v>51</v>
      </c>
      <c r="G1812" s="32">
        <v>148</v>
      </c>
      <c r="H1812" s="15" t="s">
        <v>29</v>
      </c>
      <c r="I1812" s="33">
        <v>13</v>
      </c>
      <c r="J1812" s="11" t="s">
        <v>19</v>
      </c>
      <c r="K1812" s="20" t="s">
        <v>20</v>
      </c>
      <c r="L1812" s="20" t="s">
        <v>30</v>
      </c>
      <c r="M1812" s="20" t="s">
        <v>47</v>
      </c>
      <c r="N1812" s="20" t="s">
        <v>25</v>
      </c>
      <c r="O1812" s="31" t="s">
        <v>29</v>
      </c>
      <c r="P1812" s="15">
        <v>218</v>
      </c>
      <c r="Q1812" s="8"/>
      <c r="R1812">
        <v>13.81</v>
      </c>
      <c r="S1812">
        <v>2632.87</v>
      </c>
      <c r="T1812">
        <v>4.9400000000000004</v>
      </c>
      <c r="U1812">
        <v>9.92</v>
      </c>
      <c r="V1812">
        <v>138</v>
      </c>
      <c r="W1812" s="317">
        <v>4.5999999999999996</v>
      </c>
      <c r="X1812" s="190">
        <f t="shared" si="78"/>
        <v>59.8</v>
      </c>
      <c r="Y1812" s="8"/>
      <c r="Z1812" s="8"/>
    </row>
    <row r="1813" spans="1:26" ht="25.5" customHeight="1" x14ac:dyDescent="0.2">
      <c r="A1813" s="15">
        <v>268</v>
      </c>
      <c r="B1813" s="15">
        <v>2002</v>
      </c>
      <c r="C1813" s="15">
        <v>6</v>
      </c>
      <c r="D1813" s="15">
        <v>8</v>
      </c>
      <c r="E1813" s="29" t="s">
        <v>213</v>
      </c>
      <c r="F1813" s="20" t="s">
        <v>51</v>
      </c>
      <c r="G1813" s="32">
        <v>152</v>
      </c>
      <c r="H1813" s="15" t="s">
        <v>29</v>
      </c>
      <c r="I1813" s="33">
        <v>12.5</v>
      </c>
      <c r="J1813" s="11" t="s">
        <v>19</v>
      </c>
      <c r="K1813" s="20" t="s">
        <v>20</v>
      </c>
      <c r="L1813" s="11" t="s">
        <v>21</v>
      </c>
      <c r="M1813" s="20" t="s">
        <v>45</v>
      </c>
      <c r="N1813" s="20" t="s">
        <v>23</v>
      </c>
      <c r="O1813" s="31" t="s">
        <v>29</v>
      </c>
      <c r="P1813" s="15">
        <v>218</v>
      </c>
      <c r="Q1813" s="8"/>
      <c r="R1813">
        <v>14.18</v>
      </c>
      <c r="S1813">
        <v>2852.17</v>
      </c>
      <c r="T1813">
        <v>4.38</v>
      </c>
      <c r="U1813">
        <v>10.18</v>
      </c>
      <c r="V1813">
        <v>142</v>
      </c>
      <c r="W1813" s="317">
        <v>3.9</v>
      </c>
      <c r="X1813" s="190">
        <f t="shared" si="78"/>
        <v>48.75</v>
      </c>
      <c r="Y1813" s="8"/>
      <c r="Z1813" s="8"/>
    </row>
    <row r="1814" spans="1:26" ht="25.5" customHeight="1" x14ac:dyDescent="0.2">
      <c r="A1814" s="15">
        <v>269</v>
      </c>
      <c r="B1814" s="15">
        <v>2002</v>
      </c>
      <c r="C1814" s="15">
        <v>6</v>
      </c>
      <c r="D1814" s="15">
        <v>8</v>
      </c>
      <c r="E1814" s="29" t="s">
        <v>213</v>
      </c>
      <c r="F1814" s="20" t="s">
        <v>51</v>
      </c>
      <c r="G1814" s="32">
        <v>155</v>
      </c>
      <c r="H1814" s="15" t="s">
        <v>29</v>
      </c>
      <c r="I1814" s="33">
        <v>14.5</v>
      </c>
      <c r="J1814" s="11" t="s">
        <v>19</v>
      </c>
      <c r="K1814" s="20" t="s">
        <v>20</v>
      </c>
      <c r="L1814" s="11" t="s">
        <v>21</v>
      </c>
      <c r="M1814" s="20" t="s">
        <v>45</v>
      </c>
      <c r="N1814" s="20" t="s">
        <v>24</v>
      </c>
      <c r="O1814" s="31" t="s">
        <v>29</v>
      </c>
      <c r="P1814" s="15">
        <v>218</v>
      </c>
      <c r="Q1814" s="8"/>
      <c r="R1814">
        <v>14.46</v>
      </c>
      <c r="S1814">
        <v>3024.41</v>
      </c>
      <c r="T1814">
        <v>4.79</v>
      </c>
      <c r="U1814">
        <v>10.39</v>
      </c>
      <c r="V1814">
        <v>145</v>
      </c>
      <c r="W1814" s="317">
        <v>3.9</v>
      </c>
      <c r="X1814" s="190">
        <f t="shared" si="78"/>
        <v>56.55</v>
      </c>
      <c r="Y1814" s="8"/>
      <c r="Z1814" s="8"/>
    </row>
    <row r="1815" spans="1:26" ht="25.5" customHeight="1" x14ac:dyDescent="0.2">
      <c r="A1815" s="15">
        <v>270</v>
      </c>
      <c r="B1815" s="15">
        <v>2002</v>
      </c>
      <c r="C1815" s="15">
        <v>6</v>
      </c>
      <c r="D1815" s="15">
        <v>8</v>
      </c>
      <c r="E1815" s="29" t="s">
        <v>213</v>
      </c>
      <c r="F1815" s="20" t="s">
        <v>51</v>
      </c>
      <c r="G1815" s="32">
        <v>138</v>
      </c>
      <c r="H1815" s="15" t="s">
        <v>29</v>
      </c>
      <c r="I1815" s="33">
        <v>12.5</v>
      </c>
      <c r="J1815" s="11" t="s">
        <v>19</v>
      </c>
      <c r="K1815" s="20" t="s">
        <v>20</v>
      </c>
      <c r="L1815" s="20" t="s">
        <v>30</v>
      </c>
      <c r="M1815" s="20" t="s">
        <v>45</v>
      </c>
      <c r="N1815" s="20" t="s">
        <v>24</v>
      </c>
      <c r="O1815" s="31" t="s">
        <v>29</v>
      </c>
      <c r="P1815" s="15">
        <v>218</v>
      </c>
      <c r="Q1815" s="8"/>
      <c r="R1815">
        <v>12.88</v>
      </c>
      <c r="S1815">
        <v>2134.4299999999998</v>
      </c>
      <c r="T1815">
        <v>5.86</v>
      </c>
      <c r="U1815">
        <v>9.25</v>
      </c>
      <c r="V1815">
        <v>129</v>
      </c>
      <c r="W1815" s="317">
        <v>4.5999999999999996</v>
      </c>
      <c r="X1815" s="190">
        <f t="shared" si="78"/>
        <v>57.499999999999993</v>
      </c>
      <c r="Y1815" s="8"/>
      <c r="Z1815" s="8"/>
    </row>
    <row r="1816" spans="1:26" ht="25.5" customHeight="1" x14ac:dyDescent="0.2">
      <c r="A1816" s="15">
        <v>271</v>
      </c>
      <c r="B1816" s="15">
        <v>2002</v>
      </c>
      <c r="C1816" s="15">
        <v>6</v>
      </c>
      <c r="D1816" s="15">
        <v>8</v>
      </c>
      <c r="E1816" s="29" t="s">
        <v>213</v>
      </c>
      <c r="F1816" s="20" t="s">
        <v>51</v>
      </c>
      <c r="G1816" s="32">
        <v>130</v>
      </c>
      <c r="H1816" s="15" t="s">
        <v>29</v>
      </c>
      <c r="I1816" s="33">
        <v>7</v>
      </c>
      <c r="J1816" s="11" t="s">
        <v>19</v>
      </c>
      <c r="K1816" s="20" t="s">
        <v>20</v>
      </c>
      <c r="L1816" s="11" t="s">
        <v>21</v>
      </c>
      <c r="M1816" s="20" t="s">
        <v>45</v>
      </c>
      <c r="N1816" s="20" t="s">
        <v>24</v>
      </c>
      <c r="O1816" s="31" t="s">
        <v>29</v>
      </c>
      <c r="P1816" s="15">
        <v>218</v>
      </c>
      <c r="Q1816" s="8"/>
      <c r="R1816">
        <v>12.13</v>
      </c>
      <c r="S1816">
        <v>1784.33</v>
      </c>
      <c r="T1816">
        <v>3.92</v>
      </c>
      <c r="U1816">
        <v>8.7100000000000009</v>
      </c>
      <c r="V1816">
        <v>121</v>
      </c>
      <c r="W1816" s="317">
        <v>3.9</v>
      </c>
      <c r="X1816" s="190">
        <f t="shared" si="78"/>
        <v>27.3</v>
      </c>
      <c r="Y1816" s="8"/>
      <c r="Z1816" s="8"/>
    </row>
    <row r="1817" spans="1:26" ht="25.5" customHeight="1" x14ac:dyDescent="0.2">
      <c r="A1817" s="15">
        <v>276</v>
      </c>
      <c r="B1817" s="15">
        <v>2002</v>
      </c>
      <c r="C1817" s="15">
        <v>6</v>
      </c>
      <c r="D1817" s="15">
        <v>8</v>
      </c>
      <c r="E1817" s="29" t="s">
        <v>213</v>
      </c>
      <c r="F1817" s="20" t="s">
        <v>51</v>
      </c>
      <c r="G1817" s="34">
        <v>112</v>
      </c>
      <c r="H1817" s="15" t="s">
        <v>29</v>
      </c>
      <c r="I1817" s="35">
        <v>10.5</v>
      </c>
      <c r="J1817" s="11" t="s">
        <v>36</v>
      </c>
      <c r="K1817" s="11" t="s">
        <v>29</v>
      </c>
      <c r="L1817" s="11" t="s">
        <v>29</v>
      </c>
      <c r="M1817" s="11" t="s">
        <v>29</v>
      </c>
      <c r="N1817" s="21" t="s">
        <v>24</v>
      </c>
      <c r="O1817" s="36" t="s">
        <v>29</v>
      </c>
      <c r="P1817" s="15">
        <v>218</v>
      </c>
      <c r="Q1817" s="8"/>
      <c r="R1817">
        <v>10.45</v>
      </c>
      <c r="S1817">
        <v>1141.04</v>
      </c>
      <c r="T1817">
        <v>9.1999999999999993</v>
      </c>
      <c r="U1817">
        <v>7.5</v>
      </c>
      <c r="V1817">
        <v>104</v>
      </c>
      <c r="W1817" s="8"/>
      <c r="X1817" s="8"/>
      <c r="Y1817" s="8"/>
      <c r="Z1817" s="8"/>
    </row>
    <row r="1818" spans="1:26" ht="25.5" customHeight="1" x14ac:dyDescent="0.2">
      <c r="A1818" s="15">
        <v>1</v>
      </c>
      <c r="B1818" s="15">
        <v>2001</v>
      </c>
      <c r="C1818" s="15">
        <v>6</v>
      </c>
      <c r="D1818" s="15">
        <v>8</v>
      </c>
      <c r="E1818" s="29" t="s">
        <v>214</v>
      </c>
      <c r="F1818" s="20" t="s">
        <v>51</v>
      </c>
      <c r="G1818" s="32">
        <v>180</v>
      </c>
      <c r="H1818" s="15" t="s">
        <v>29</v>
      </c>
      <c r="I1818" s="33">
        <v>24</v>
      </c>
      <c r="J1818" s="11" t="s">
        <v>19</v>
      </c>
      <c r="K1818" s="20" t="s">
        <v>20</v>
      </c>
      <c r="L1818" s="11" t="s">
        <v>21</v>
      </c>
      <c r="M1818" s="20" t="s">
        <v>46</v>
      </c>
      <c r="N1818" s="20" t="s">
        <v>24</v>
      </c>
      <c r="O1818" s="31" t="s">
        <v>29</v>
      </c>
      <c r="P1818" s="15">
        <v>218</v>
      </c>
      <c r="Q1818" s="8"/>
      <c r="R1818">
        <v>16.79</v>
      </c>
      <c r="S1818">
        <v>4736.55</v>
      </c>
      <c r="T1818">
        <v>5.07</v>
      </c>
      <c r="U1818">
        <v>12.06</v>
      </c>
      <c r="V1818">
        <v>168</v>
      </c>
      <c r="W1818" s="317">
        <v>3.9</v>
      </c>
      <c r="X1818" s="190">
        <f t="shared" ref="X1818:X1846" si="79">I1818*W1818</f>
        <v>93.6</v>
      </c>
      <c r="Y1818" s="8"/>
      <c r="Z1818" s="8"/>
    </row>
    <row r="1819" spans="1:26" ht="25.5" customHeight="1" x14ac:dyDescent="0.2">
      <c r="A1819" s="15">
        <v>2</v>
      </c>
      <c r="B1819" s="15">
        <v>2001</v>
      </c>
      <c r="C1819" s="15">
        <v>6</v>
      </c>
      <c r="D1819" s="15">
        <v>8</v>
      </c>
      <c r="E1819" s="29" t="s">
        <v>214</v>
      </c>
      <c r="F1819" s="20" t="s">
        <v>51</v>
      </c>
      <c r="G1819" s="32">
        <v>147</v>
      </c>
      <c r="H1819" s="15" t="s">
        <v>29</v>
      </c>
      <c r="I1819" s="33">
        <v>16</v>
      </c>
      <c r="J1819" s="11" t="s">
        <v>19</v>
      </c>
      <c r="K1819" s="20" t="s">
        <v>20</v>
      </c>
      <c r="L1819" s="20" t="s">
        <v>30</v>
      </c>
      <c r="M1819" s="20" t="s">
        <v>46</v>
      </c>
      <c r="N1819" s="20" t="s">
        <v>23</v>
      </c>
      <c r="O1819" s="31" t="s">
        <v>29</v>
      </c>
      <c r="P1819" s="15">
        <v>218</v>
      </c>
      <c r="Q1819" s="8"/>
      <c r="R1819">
        <v>13.72</v>
      </c>
      <c r="S1819">
        <v>2579.86</v>
      </c>
      <c r="T1819">
        <v>6.2</v>
      </c>
      <c r="U1819">
        <v>9.85</v>
      </c>
      <c r="V1819">
        <v>137</v>
      </c>
      <c r="W1819" s="317">
        <v>4.5999999999999996</v>
      </c>
      <c r="X1819" s="190">
        <f t="shared" si="79"/>
        <v>73.599999999999994</v>
      </c>
      <c r="Y1819" s="8"/>
      <c r="Z1819" s="8"/>
    </row>
    <row r="1820" spans="1:26" ht="25.5" customHeight="1" x14ac:dyDescent="0.2">
      <c r="A1820" s="15">
        <v>3</v>
      </c>
      <c r="B1820" s="15">
        <v>2001</v>
      </c>
      <c r="C1820" s="15">
        <v>6</v>
      </c>
      <c r="D1820" s="15">
        <v>8</v>
      </c>
      <c r="E1820" s="29" t="s">
        <v>214</v>
      </c>
      <c r="F1820" s="20" t="s">
        <v>51</v>
      </c>
      <c r="G1820" s="32">
        <v>160</v>
      </c>
      <c r="H1820" s="15" t="s">
        <v>29</v>
      </c>
      <c r="I1820" s="33">
        <v>14.5</v>
      </c>
      <c r="J1820" s="11" t="s">
        <v>19</v>
      </c>
      <c r="K1820" s="20" t="s">
        <v>20</v>
      </c>
      <c r="L1820" s="11" t="s">
        <v>21</v>
      </c>
      <c r="M1820" s="20" t="s">
        <v>46</v>
      </c>
      <c r="N1820" s="20" t="s">
        <v>24</v>
      </c>
      <c r="O1820" s="31" t="s">
        <v>29</v>
      </c>
      <c r="P1820" s="15">
        <v>218</v>
      </c>
      <c r="Q1820" s="8"/>
      <c r="R1820">
        <v>14.93</v>
      </c>
      <c r="S1820">
        <v>3326.63</v>
      </c>
      <c r="T1820">
        <v>4.3600000000000003</v>
      </c>
      <c r="U1820">
        <v>10.72</v>
      </c>
      <c r="V1820">
        <v>149</v>
      </c>
      <c r="W1820" s="317">
        <v>3.9</v>
      </c>
      <c r="X1820" s="190">
        <f t="shared" si="79"/>
        <v>56.55</v>
      </c>
      <c r="Y1820" s="8"/>
      <c r="Z1820" s="8"/>
    </row>
    <row r="1821" spans="1:26" ht="25.5" customHeight="1" x14ac:dyDescent="0.2">
      <c r="A1821" s="15">
        <v>4</v>
      </c>
      <c r="B1821" s="15">
        <v>2001</v>
      </c>
      <c r="C1821" s="15">
        <v>6</v>
      </c>
      <c r="D1821" s="15">
        <v>8</v>
      </c>
      <c r="E1821" s="29" t="s">
        <v>214</v>
      </c>
      <c r="F1821" s="20" t="s">
        <v>51</v>
      </c>
      <c r="G1821" s="32">
        <v>143</v>
      </c>
      <c r="H1821" s="15" t="s">
        <v>29</v>
      </c>
      <c r="I1821" s="33">
        <v>14</v>
      </c>
      <c r="J1821" s="11" t="s">
        <v>19</v>
      </c>
      <c r="K1821" s="20" t="s">
        <v>20</v>
      </c>
      <c r="L1821" s="11" t="s">
        <v>21</v>
      </c>
      <c r="M1821" s="20" t="s">
        <v>46</v>
      </c>
      <c r="N1821" s="20" t="s">
        <v>25</v>
      </c>
      <c r="O1821" s="31" t="s">
        <v>29</v>
      </c>
      <c r="P1821" s="15">
        <v>218</v>
      </c>
      <c r="Q1821" s="8"/>
      <c r="R1821">
        <v>13.34</v>
      </c>
      <c r="S1821">
        <v>2374.94</v>
      </c>
      <c r="T1821">
        <v>5.89</v>
      </c>
      <c r="U1821">
        <v>9.58</v>
      </c>
      <c r="V1821">
        <v>133</v>
      </c>
      <c r="W1821" s="317">
        <v>3.9</v>
      </c>
      <c r="X1821" s="190">
        <f t="shared" si="79"/>
        <v>54.6</v>
      </c>
      <c r="Y1821" s="8"/>
      <c r="Z1821" s="8"/>
    </row>
    <row r="1822" spans="1:26" ht="25.5" customHeight="1" x14ac:dyDescent="0.2">
      <c r="A1822" s="15">
        <v>5</v>
      </c>
      <c r="B1822" s="15">
        <v>2001</v>
      </c>
      <c r="C1822" s="15">
        <v>6</v>
      </c>
      <c r="D1822" s="15">
        <v>8</v>
      </c>
      <c r="E1822" s="29" t="s">
        <v>214</v>
      </c>
      <c r="F1822" s="20" t="s">
        <v>51</v>
      </c>
      <c r="G1822" s="32">
        <v>169</v>
      </c>
      <c r="H1822" s="15" t="s">
        <v>29</v>
      </c>
      <c r="I1822" s="33">
        <v>16</v>
      </c>
      <c r="J1822" s="11" t="s">
        <v>19</v>
      </c>
      <c r="K1822" s="20" t="s">
        <v>20</v>
      </c>
      <c r="L1822" s="11" t="s">
        <v>21</v>
      </c>
      <c r="M1822" s="20" t="s">
        <v>215</v>
      </c>
      <c r="N1822" s="20" t="s">
        <v>24</v>
      </c>
      <c r="O1822" s="31" t="s">
        <v>29</v>
      </c>
      <c r="P1822" s="15">
        <v>218</v>
      </c>
      <c r="Q1822" s="8"/>
      <c r="R1822">
        <v>15.77</v>
      </c>
      <c r="S1822">
        <v>3920.17</v>
      </c>
      <c r="T1822">
        <v>4.08</v>
      </c>
      <c r="U1822">
        <v>11.32</v>
      </c>
      <c r="V1822">
        <v>158</v>
      </c>
      <c r="W1822" s="317">
        <v>3.9</v>
      </c>
      <c r="X1822" s="190">
        <f t="shared" si="79"/>
        <v>62.4</v>
      </c>
      <c r="Y1822" s="8"/>
      <c r="Z1822" s="8"/>
    </row>
    <row r="1823" spans="1:26" ht="25.5" customHeight="1" x14ac:dyDescent="0.2">
      <c r="A1823" s="15">
        <v>6</v>
      </c>
      <c r="B1823" s="15">
        <v>2001</v>
      </c>
      <c r="C1823" s="15">
        <v>6</v>
      </c>
      <c r="D1823" s="15">
        <v>8</v>
      </c>
      <c r="E1823" s="29" t="s">
        <v>214</v>
      </c>
      <c r="F1823" s="20" t="s">
        <v>51</v>
      </c>
      <c r="G1823" s="32">
        <v>144</v>
      </c>
      <c r="H1823" s="15" t="s">
        <v>29</v>
      </c>
      <c r="I1823" s="33">
        <v>8.5</v>
      </c>
      <c r="J1823" s="11" t="s">
        <v>19</v>
      </c>
      <c r="K1823" s="20" t="s">
        <v>20</v>
      </c>
      <c r="L1823" s="11" t="s">
        <v>21</v>
      </c>
      <c r="M1823" s="20" t="s">
        <v>46</v>
      </c>
      <c r="N1823" s="20" t="s">
        <v>24</v>
      </c>
      <c r="O1823" s="31" t="s">
        <v>29</v>
      </c>
      <c r="P1823" s="15">
        <v>218</v>
      </c>
      <c r="Q1823" s="8"/>
      <c r="R1823">
        <v>13.44</v>
      </c>
      <c r="S1823">
        <v>2425.12</v>
      </c>
      <c r="T1823">
        <v>3.5</v>
      </c>
      <c r="U1823">
        <v>9.65</v>
      </c>
      <c r="V1823">
        <v>134</v>
      </c>
      <c r="W1823" s="317">
        <v>3.9</v>
      </c>
      <c r="X1823" s="190">
        <f t="shared" si="79"/>
        <v>33.15</v>
      </c>
      <c r="Y1823" s="8"/>
      <c r="Z1823" s="8"/>
    </row>
    <row r="1824" spans="1:26" ht="25.5" customHeight="1" x14ac:dyDescent="0.2">
      <c r="A1824" s="15">
        <v>7</v>
      </c>
      <c r="B1824" s="15">
        <v>2001</v>
      </c>
      <c r="C1824" s="15">
        <v>6</v>
      </c>
      <c r="D1824" s="15">
        <v>8</v>
      </c>
      <c r="E1824" s="29" t="s">
        <v>214</v>
      </c>
      <c r="F1824" s="20" t="s">
        <v>51</v>
      </c>
      <c r="G1824" s="32">
        <v>153</v>
      </c>
      <c r="H1824" s="15" t="s">
        <v>29</v>
      </c>
      <c r="I1824" s="33">
        <v>11.5</v>
      </c>
      <c r="J1824" s="11" t="s">
        <v>19</v>
      </c>
      <c r="K1824" s="20" t="s">
        <v>20</v>
      </c>
      <c r="L1824" s="11" t="s">
        <v>21</v>
      </c>
      <c r="M1824" s="20" t="s">
        <v>46</v>
      </c>
      <c r="N1824" s="20" t="s">
        <v>24</v>
      </c>
      <c r="O1824" s="31" t="s">
        <v>29</v>
      </c>
      <c r="P1824" s="15">
        <v>218</v>
      </c>
      <c r="Q1824" s="8"/>
      <c r="R1824">
        <v>14.27</v>
      </c>
      <c r="S1824">
        <v>2908.84</v>
      </c>
      <c r="T1824">
        <v>3.95</v>
      </c>
      <c r="U1824">
        <v>10.25</v>
      </c>
      <c r="V1824">
        <v>143</v>
      </c>
      <c r="W1824" s="317">
        <v>3.9</v>
      </c>
      <c r="X1824" s="190">
        <f t="shared" si="79"/>
        <v>44.85</v>
      </c>
      <c r="Y1824" s="8"/>
      <c r="Z1824" s="8"/>
    </row>
    <row r="1825" spans="1:26" ht="25.5" customHeight="1" x14ac:dyDescent="0.2">
      <c r="A1825" s="15">
        <v>8</v>
      </c>
      <c r="B1825" s="15">
        <v>2001</v>
      </c>
      <c r="C1825" s="15">
        <v>6</v>
      </c>
      <c r="D1825" s="15">
        <v>8</v>
      </c>
      <c r="E1825" s="29" t="s">
        <v>214</v>
      </c>
      <c r="F1825" s="20" t="s">
        <v>51</v>
      </c>
      <c r="G1825" s="32">
        <v>155</v>
      </c>
      <c r="H1825" s="15" t="s">
        <v>29</v>
      </c>
      <c r="I1825" s="33">
        <v>10</v>
      </c>
      <c r="J1825" s="11" t="s">
        <v>19</v>
      </c>
      <c r="K1825" s="20" t="s">
        <v>20</v>
      </c>
      <c r="L1825" s="11" t="s">
        <v>21</v>
      </c>
      <c r="M1825" s="20" t="s">
        <v>46</v>
      </c>
      <c r="N1825" s="20" t="s">
        <v>25</v>
      </c>
      <c r="O1825" s="31" t="s">
        <v>29</v>
      </c>
      <c r="P1825" s="15">
        <v>218</v>
      </c>
      <c r="Q1825" s="8"/>
      <c r="R1825">
        <v>14.46</v>
      </c>
      <c r="S1825">
        <v>3024.41</v>
      </c>
      <c r="T1825">
        <v>3.31</v>
      </c>
      <c r="U1825">
        <v>10.39</v>
      </c>
      <c r="V1825">
        <v>145</v>
      </c>
      <c r="W1825" s="317">
        <v>3.9</v>
      </c>
      <c r="X1825" s="190">
        <f t="shared" si="79"/>
        <v>39</v>
      </c>
      <c r="Y1825" s="8"/>
      <c r="Z1825" s="8"/>
    </row>
    <row r="1826" spans="1:26" ht="25.5" customHeight="1" x14ac:dyDescent="0.2">
      <c r="A1826" s="15">
        <v>9</v>
      </c>
      <c r="B1826" s="15">
        <v>2001</v>
      </c>
      <c r="C1826" s="15">
        <v>6</v>
      </c>
      <c r="D1826" s="15">
        <v>8</v>
      </c>
      <c r="E1826" s="29" t="s">
        <v>214</v>
      </c>
      <c r="F1826" s="20" t="s">
        <v>51</v>
      </c>
      <c r="G1826" s="32">
        <v>144</v>
      </c>
      <c r="H1826" s="15" t="s">
        <v>29</v>
      </c>
      <c r="I1826" s="33">
        <v>9</v>
      </c>
      <c r="J1826" s="11" t="s">
        <v>19</v>
      </c>
      <c r="K1826" s="20" t="s">
        <v>20</v>
      </c>
      <c r="L1826" s="11" t="s">
        <v>21</v>
      </c>
      <c r="M1826" s="20" t="s">
        <v>46</v>
      </c>
      <c r="N1826" s="20" t="s">
        <v>23</v>
      </c>
      <c r="O1826" s="31" t="s">
        <v>29</v>
      </c>
      <c r="P1826" s="15">
        <v>218</v>
      </c>
      <c r="Q1826" s="8"/>
      <c r="R1826">
        <v>13.44</v>
      </c>
      <c r="S1826">
        <v>2425.12</v>
      </c>
      <c r="T1826">
        <v>3.71</v>
      </c>
      <c r="U1826">
        <v>9.65</v>
      </c>
      <c r="V1826">
        <v>134</v>
      </c>
      <c r="W1826" s="317">
        <v>3.9</v>
      </c>
      <c r="X1826" s="190">
        <f t="shared" si="79"/>
        <v>35.1</v>
      </c>
      <c r="Y1826" s="8"/>
      <c r="Z1826" s="8"/>
    </row>
    <row r="1827" spans="1:26" ht="12.75" customHeight="1" x14ac:dyDescent="0.2">
      <c r="A1827" s="15">
        <v>10</v>
      </c>
      <c r="B1827" s="15">
        <v>2001</v>
      </c>
      <c r="C1827" s="15">
        <v>6</v>
      </c>
      <c r="D1827" s="15">
        <v>8</v>
      </c>
      <c r="E1827" s="30">
        <v>0.61111111111111105</v>
      </c>
      <c r="F1827" s="20" t="s">
        <v>51</v>
      </c>
      <c r="G1827" s="32">
        <v>147</v>
      </c>
      <c r="H1827" s="15" t="s">
        <v>29</v>
      </c>
      <c r="I1827" s="33">
        <v>13</v>
      </c>
      <c r="J1827" s="11" t="s">
        <v>19</v>
      </c>
      <c r="K1827" s="20" t="s">
        <v>20</v>
      </c>
      <c r="L1827" s="11" t="s">
        <v>21</v>
      </c>
      <c r="M1827" s="20" t="s">
        <v>46</v>
      </c>
      <c r="N1827" s="20" t="s">
        <v>24</v>
      </c>
      <c r="O1827" s="31" t="s">
        <v>29</v>
      </c>
      <c r="P1827" s="15">
        <v>218</v>
      </c>
      <c r="Q1827" s="8"/>
      <c r="R1827">
        <v>13.72</v>
      </c>
      <c r="S1827">
        <v>2579.86</v>
      </c>
      <c r="T1827">
        <v>5.04</v>
      </c>
      <c r="U1827">
        <v>9.85</v>
      </c>
      <c r="V1827">
        <v>137</v>
      </c>
      <c r="W1827" s="317">
        <v>3.9</v>
      </c>
      <c r="X1827" s="190">
        <f t="shared" si="79"/>
        <v>50.699999999999996</v>
      </c>
      <c r="Y1827" s="8"/>
      <c r="Z1827" s="8"/>
    </row>
    <row r="1828" spans="1:26" ht="12.75" customHeight="1" x14ac:dyDescent="0.2">
      <c r="A1828" s="15">
        <v>11</v>
      </c>
      <c r="B1828" s="15">
        <v>2001</v>
      </c>
      <c r="C1828" s="15">
        <v>6</v>
      </c>
      <c r="D1828" s="15">
        <v>8</v>
      </c>
      <c r="E1828" s="30">
        <v>0.61111111111111105</v>
      </c>
      <c r="F1828" s="20" t="s">
        <v>51</v>
      </c>
      <c r="G1828" s="32">
        <v>135</v>
      </c>
      <c r="H1828" s="15" t="s">
        <v>29</v>
      </c>
      <c r="I1828" s="33">
        <v>6</v>
      </c>
      <c r="J1828" s="11" t="s">
        <v>19</v>
      </c>
      <c r="K1828" s="20" t="s">
        <v>20</v>
      </c>
      <c r="L1828" s="11" t="s">
        <v>21</v>
      </c>
      <c r="M1828" s="20" t="s">
        <v>46</v>
      </c>
      <c r="N1828" s="20" t="s">
        <v>24</v>
      </c>
      <c r="O1828" s="31" t="s">
        <v>29</v>
      </c>
      <c r="P1828" s="15">
        <v>218</v>
      </c>
      <c r="Q1828" s="8"/>
      <c r="R1828">
        <v>12.6</v>
      </c>
      <c r="S1828">
        <v>1998.23</v>
      </c>
      <c r="T1828">
        <v>3</v>
      </c>
      <c r="U1828">
        <v>9.0500000000000007</v>
      </c>
      <c r="V1828">
        <v>126</v>
      </c>
      <c r="W1828" s="317">
        <v>3.9</v>
      </c>
      <c r="X1828" s="190">
        <f t="shared" si="79"/>
        <v>23.4</v>
      </c>
      <c r="Y1828" s="8"/>
      <c r="Z1828" s="8"/>
    </row>
    <row r="1829" spans="1:26" ht="12.75" customHeight="1" x14ac:dyDescent="0.2">
      <c r="A1829" s="15">
        <v>12</v>
      </c>
      <c r="B1829" s="15">
        <v>2001</v>
      </c>
      <c r="C1829" s="15">
        <v>6</v>
      </c>
      <c r="D1829" s="15">
        <v>8</v>
      </c>
      <c r="E1829" s="30">
        <v>0.61111111111111105</v>
      </c>
      <c r="F1829" s="20" t="s">
        <v>51</v>
      </c>
      <c r="G1829" s="32">
        <v>165</v>
      </c>
      <c r="H1829" s="15" t="s">
        <v>29</v>
      </c>
      <c r="I1829" s="33">
        <v>19.5</v>
      </c>
      <c r="J1829" s="11" t="s">
        <v>19</v>
      </c>
      <c r="K1829" s="20" t="s">
        <v>20</v>
      </c>
      <c r="L1829" s="11" t="s">
        <v>21</v>
      </c>
      <c r="M1829" s="20" t="s">
        <v>46</v>
      </c>
      <c r="N1829" s="20" t="s">
        <v>24</v>
      </c>
      <c r="O1829" s="31" t="s">
        <v>29</v>
      </c>
      <c r="P1829" s="15">
        <v>218</v>
      </c>
      <c r="Q1829" s="8"/>
      <c r="R1829">
        <v>15.39</v>
      </c>
      <c r="S1829">
        <v>3648.35</v>
      </c>
      <c r="T1829">
        <v>5.34</v>
      </c>
      <c r="U1829">
        <v>11.06</v>
      </c>
      <c r="V1829">
        <v>154</v>
      </c>
      <c r="W1829" s="317">
        <v>3.9</v>
      </c>
      <c r="X1829" s="190">
        <f t="shared" si="79"/>
        <v>76.05</v>
      </c>
      <c r="Y1829" s="8"/>
      <c r="Z1829" s="8"/>
    </row>
    <row r="1830" spans="1:26" ht="12.75" customHeight="1" x14ac:dyDescent="0.2">
      <c r="A1830" s="15">
        <v>13</v>
      </c>
      <c r="B1830" s="15">
        <v>2001</v>
      </c>
      <c r="C1830" s="15">
        <v>6</v>
      </c>
      <c r="D1830" s="15">
        <v>8</v>
      </c>
      <c r="E1830" s="30">
        <v>0.61111111111111105</v>
      </c>
      <c r="F1830" s="20" t="s">
        <v>51</v>
      </c>
      <c r="G1830" s="32">
        <v>136</v>
      </c>
      <c r="H1830" s="15" t="s">
        <v>29</v>
      </c>
      <c r="I1830" s="33">
        <v>9</v>
      </c>
      <c r="J1830" s="11" t="s">
        <v>19</v>
      </c>
      <c r="K1830" s="20" t="s">
        <v>20</v>
      </c>
      <c r="L1830" s="11" t="s">
        <v>21</v>
      </c>
      <c r="M1830" s="20" t="s">
        <v>46</v>
      </c>
      <c r="N1830" s="20" t="s">
        <v>24</v>
      </c>
      <c r="O1830" s="31" t="s">
        <v>29</v>
      </c>
      <c r="P1830" s="15">
        <v>218</v>
      </c>
      <c r="Q1830" s="8"/>
      <c r="R1830">
        <v>12.69</v>
      </c>
      <c r="S1830">
        <v>2042.97</v>
      </c>
      <c r="T1830">
        <v>4.41</v>
      </c>
      <c r="U1830">
        <v>9.11</v>
      </c>
      <c r="V1830">
        <v>127</v>
      </c>
      <c r="W1830" s="317">
        <v>3.9</v>
      </c>
      <c r="X1830" s="190">
        <f t="shared" si="79"/>
        <v>35.1</v>
      </c>
      <c r="Y1830" s="8"/>
      <c r="Z1830" s="8"/>
    </row>
    <row r="1831" spans="1:26" ht="12.75" customHeight="1" x14ac:dyDescent="0.2">
      <c r="A1831" s="15">
        <v>14</v>
      </c>
      <c r="B1831" s="15">
        <v>2001</v>
      </c>
      <c r="C1831" s="15">
        <v>6</v>
      </c>
      <c r="D1831" s="15">
        <v>8</v>
      </c>
      <c r="E1831" s="30">
        <v>0.61111111111111105</v>
      </c>
      <c r="F1831" s="20" t="s">
        <v>51</v>
      </c>
      <c r="G1831" s="32">
        <v>169</v>
      </c>
      <c r="H1831" s="15" t="s">
        <v>29</v>
      </c>
      <c r="I1831" s="33">
        <v>11</v>
      </c>
      <c r="J1831" s="11" t="s">
        <v>19</v>
      </c>
      <c r="K1831" s="20" t="s">
        <v>20</v>
      </c>
      <c r="L1831" s="11" t="s">
        <v>21</v>
      </c>
      <c r="M1831" s="11" t="s">
        <v>29</v>
      </c>
      <c r="N1831" s="20" t="s">
        <v>25</v>
      </c>
      <c r="O1831" s="31" t="s">
        <v>29</v>
      </c>
      <c r="P1831" s="15">
        <v>218</v>
      </c>
      <c r="Q1831" s="8"/>
      <c r="R1831">
        <v>15.77</v>
      </c>
      <c r="S1831">
        <v>3920.17</v>
      </c>
      <c r="T1831">
        <v>2.81</v>
      </c>
      <c r="U1831">
        <v>11.32</v>
      </c>
      <c r="V1831">
        <v>158</v>
      </c>
      <c r="W1831" s="317">
        <v>3.9</v>
      </c>
      <c r="X1831" s="190">
        <f t="shared" si="79"/>
        <v>42.9</v>
      </c>
      <c r="Y1831" s="8"/>
      <c r="Z1831" s="8"/>
    </row>
    <row r="1832" spans="1:26" ht="12.75" customHeight="1" x14ac:dyDescent="0.2">
      <c r="A1832" s="15">
        <v>15</v>
      </c>
      <c r="B1832" s="15">
        <v>2001</v>
      </c>
      <c r="C1832" s="15">
        <v>6</v>
      </c>
      <c r="D1832" s="15">
        <v>8</v>
      </c>
      <c r="E1832" s="30">
        <v>0.61111111111111105</v>
      </c>
      <c r="F1832" s="20" t="s">
        <v>51</v>
      </c>
      <c r="G1832" s="32">
        <v>149</v>
      </c>
      <c r="H1832" s="15" t="s">
        <v>29</v>
      </c>
      <c r="I1832" s="33">
        <v>12</v>
      </c>
      <c r="J1832" s="11" t="s">
        <v>19</v>
      </c>
      <c r="K1832" s="20" t="s">
        <v>20</v>
      </c>
      <c r="L1832" s="11" t="s">
        <v>21</v>
      </c>
      <c r="M1832" s="20" t="s">
        <v>46</v>
      </c>
      <c r="N1832" s="20" t="s">
        <v>24</v>
      </c>
      <c r="O1832" s="31" t="s">
        <v>29</v>
      </c>
      <c r="P1832" s="15">
        <v>218</v>
      </c>
      <c r="Q1832" s="8"/>
      <c r="R1832">
        <v>13.9</v>
      </c>
      <c r="S1832">
        <v>2686.6</v>
      </c>
      <c r="T1832">
        <v>4.47</v>
      </c>
      <c r="U1832">
        <v>9.98</v>
      </c>
      <c r="V1832">
        <v>139</v>
      </c>
      <c r="W1832" s="317">
        <v>3.9</v>
      </c>
      <c r="X1832" s="190">
        <f t="shared" si="79"/>
        <v>46.8</v>
      </c>
      <c r="Y1832" s="8"/>
      <c r="Z1832" s="8"/>
    </row>
    <row r="1833" spans="1:26" ht="12.75" customHeight="1" x14ac:dyDescent="0.2">
      <c r="A1833" s="15">
        <v>16</v>
      </c>
      <c r="B1833" s="15">
        <v>2001</v>
      </c>
      <c r="C1833" s="15">
        <v>6</v>
      </c>
      <c r="D1833" s="15">
        <v>8</v>
      </c>
      <c r="E1833" s="30">
        <v>0.61111111111111105</v>
      </c>
      <c r="F1833" s="20" t="s">
        <v>51</v>
      </c>
      <c r="G1833" s="32">
        <v>158</v>
      </c>
      <c r="H1833" s="15" t="s">
        <v>29</v>
      </c>
      <c r="I1833" s="33">
        <v>14</v>
      </c>
      <c r="J1833" s="11" t="s">
        <v>19</v>
      </c>
      <c r="K1833" s="20" t="s">
        <v>20</v>
      </c>
      <c r="L1833" s="11" t="s">
        <v>21</v>
      </c>
      <c r="M1833" s="20" t="s">
        <v>46</v>
      </c>
      <c r="N1833" s="20" t="s">
        <v>24</v>
      </c>
      <c r="O1833" s="31" t="s">
        <v>29</v>
      </c>
      <c r="P1833" s="15">
        <v>218</v>
      </c>
      <c r="Q1833" s="8"/>
      <c r="R1833">
        <v>14.74</v>
      </c>
      <c r="S1833">
        <v>3203.44</v>
      </c>
      <c r="T1833">
        <v>4.37</v>
      </c>
      <c r="U1833">
        <v>10.59</v>
      </c>
      <c r="V1833">
        <v>147</v>
      </c>
      <c r="W1833" s="317">
        <v>3.9</v>
      </c>
      <c r="X1833" s="190">
        <f t="shared" si="79"/>
        <v>54.6</v>
      </c>
      <c r="Y1833" s="8"/>
      <c r="Z1833" s="8"/>
    </row>
    <row r="1834" spans="1:26" ht="12.75" customHeight="1" x14ac:dyDescent="0.2">
      <c r="A1834" s="15">
        <v>17</v>
      </c>
      <c r="B1834" s="15">
        <v>2001</v>
      </c>
      <c r="C1834" s="15">
        <v>6</v>
      </c>
      <c r="D1834" s="15">
        <v>8</v>
      </c>
      <c r="E1834" s="30">
        <v>0.61111111111111105</v>
      </c>
      <c r="F1834" s="20" t="s">
        <v>51</v>
      </c>
      <c r="G1834" s="32">
        <v>141</v>
      </c>
      <c r="H1834" s="15" t="s">
        <v>29</v>
      </c>
      <c r="I1834" s="33">
        <v>11.5</v>
      </c>
      <c r="J1834" s="11" t="s">
        <v>19</v>
      </c>
      <c r="K1834" s="20" t="s">
        <v>20</v>
      </c>
      <c r="L1834" s="11" t="s">
        <v>21</v>
      </c>
      <c r="M1834" s="20" t="s">
        <v>46</v>
      </c>
      <c r="N1834" s="20" t="s">
        <v>24</v>
      </c>
      <c r="O1834" s="31" t="s">
        <v>29</v>
      </c>
      <c r="P1834" s="15">
        <v>218</v>
      </c>
      <c r="Q1834" s="8"/>
      <c r="R1834">
        <v>13.16</v>
      </c>
      <c r="S1834">
        <v>2276.6799999999998</v>
      </c>
      <c r="T1834">
        <v>5.05</v>
      </c>
      <c r="U1834">
        <v>9.4499999999999993</v>
      </c>
      <c r="V1834">
        <v>132</v>
      </c>
      <c r="W1834" s="317">
        <v>3.9</v>
      </c>
      <c r="X1834" s="190">
        <f t="shared" si="79"/>
        <v>44.85</v>
      </c>
      <c r="Y1834" s="8"/>
      <c r="Z1834" s="8"/>
    </row>
    <row r="1835" spans="1:26" ht="12.75" customHeight="1" x14ac:dyDescent="0.2">
      <c r="A1835" s="15">
        <v>18</v>
      </c>
      <c r="B1835" s="15">
        <v>2001</v>
      </c>
      <c r="C1835" s="15">
        <v>6</v>
      </c>
      <c r="D1835" s="15">
        <v>8</v>
      </c>
      <c r="E1835" s="30">
        <v>0.61111111111111105</v>
      </c>
      <c r="F1835" s="20" t="s">
        <v>51</v>
      </c>
      <c r="G1835" s="32">
        <v>151</v>
      </c>
      <c r="H1835" s="15" t="s">
        <v>29</v>
      </c>
      <c r="I1835" s="33">
        <v>12</v>
      </c>
      <c r="J1835" s="11" t="s">
        <v>19</v>
      </c>
      <c r="K1835" s="20" t="s">
        <v>20</v>
      </c>
      <c r="L1835" s="11" t="s">
        <v>21</v>
      </c>
      <c r="M1835" s="20" t="s">
        <v>215</v>
      </c>
      <c r="N1835" s="20" t="s">
        <v>23</v>
      </c>
      <c r="O1835" s="31" t="s">
        <v>29</v>
      </c>
      <c r="P1835" s="15">
        <v>218</v>
      </c>
      <c r="Q1835" s="8"/>
      <c r="R1835">
        <v>14.09</v>
      </c>
      <c r="S1835">
        <v>2796.25</v>
      </c>
      <c r="T1835">
        <v>4.29</v>
      </c>
      <c r="U1835">
        <v>10.119999999999999</v>
      </c>
      <c r="V1835">
        <v>141</v>
      </c>
      <c r="W1835" s="317">
        <v>3.9</v>
      </c>
      <c r="X1835" s="190">
        <f t="shared" si="79"/>
        <v>46.8</v>
      </c>
      <c r="Y1835" s="8"/>
      <c r="Z1835" s="8"/>
    </row>
    <row r="1836" spans="1:26" ht="12.75" customHeight="1" x14ac:dyDescent="0.2">
      <c r="A1836" s="15">
        <v>19</v>
      </c>
      <c r="B1836" s="15">
        <v>2001</v>
      </c>
      <c r="C1836" s="15">
        <v>6</v>
      </c>
      <c r="D1836" s="15">
        <v>8</v>
      </c>
      <c r="E1836" s="30">
        <v>0.61111111111111105</v>
      </c>
      <c r="F1836" s="20" t="s">
        <v>51</v>
      </c>
      <c r="G1836" s="32">
        <v>142</v>
      </c>
      <c r="H1836" s="15" t="s">
        <v>29</v>
      </c>
      <c r="I1836" s="33">
        <v>9</v>
      </c>
      <c r="J1836" s="11" t="s">
        <v>19</v>
      </c>
      <c r="K1836" s="20" t="s">
        <v>20</v>
      </c>
      <c r="L1836" s="11" t="s">
        <v>21</v>
      </c>
      <c r="M1836" s="20" t="s">
        <v>46</v>
      </c>
      <c r="N1836" s="20" t="s">
        <v>24</v>
      </c>
      <c r="O1836" s="31" t="s">
        <v>29</v>
      </c>
      <c r="P1836" s="15">
        <v>218</v>
      </c>
      <c r="Q1836" s="8"/>
      <c r="R1836">
        <v>13.25</v>
      </c>
      <c r="S1836">
        <v>2325.4699999999998</v>
      </c>
      <c r="T1836">
        <v>3.87</v>
      </c>
      <c r="U1836">
        <v>9.51</v>
      </c>
      <c r="V1836">
        <v>132</v>
      </c>
      <c r="W1836" s="317">
        <v>3.9</v>
      </c>
      <c r="X1836" s="190">
        <f t="shared" si="79"/>
        <v>35.1</v>
      </c>
      <c r="Y1836" s="8"/>
      <c r="Z1836" s="8"/>
    </row>
    <row r="1837" spans="1:26" ht="12.75" customHeight="1" x14ac:dyDescent="0.2">
      <c r="A1837" s="15">
        <v>20</v>
      </c>
      <c r="B1837" s="15">
        <v>2001</v>
      </c>
      <c r="C1837" s="15">
        <v>6</v>
      </c>
      <c r="D1837" s="15">
        <v>8</v>
      </c>
      <c r="E1837" s="30">
        <v>0.61111111111111105</v>
      </c>
      <c r="F1837" s="20" t="s">
        <v>51</v>
      </c>
      <c r="G1837" s="32">
        <v>133</v>
      </c>
      <c r="H1837" s="15" t="s">
        <v>29</v>
      </c>
      <c r="I1837" s="33">
        <v>8.5</v>
      </c>
      <c r="J1837" s="11" t="s">
        <v>19</v>
      </c>
      <c r="K1837" s="20" t="s">
        <v>20</v>
      </c>
      <c r="L1837" s="11" t="s">
        <v>21</v>
      </c>
      <c r="M1837" s="20" t="s">
        <v>46</v>
      </c>
      <c r="N1837" s="20" t="s">
        <v>24</v>
      </c>
      <c r="O1837" s="31" t="s">
        <v>29</v>
      </c>
      <c r="P1837" s="15">
        <v>218</v>
      </c>
      <c r="Q1837" s="8"/>
      <c r="R1837">
        <v>12.41</v>
      </c>
      <c r="S1837">
        <v>1910.73</v>
      </c>
      <c r="T1837">
        <v>4.45</v>
      </c>
      <c r="U1837">
        <v>8.91</v>
      </c>
      <c r="V1837">
        <v>124</v>
      </c>
      <c r="W1837" s="317">
        <v>3.9</v>
      </c>
      <c r="X1837" s="190">
        <f t="shared" si="79"/>
        <v>33.15</v>
      </c>
      <c r="Y1837" s="8"/>
      <c r="Z1837" s="8"/>
    </row>
    <row r="1838" spans="1:26" ht="12.75" customHeight="1" x14ac:dyDescent="0.2">
      <c r="A1838" s="15">
        <v>21</v>
      </c>
      <c r="B1838" s="15">
        <v>2001</v>
      </c>
      <c r="C1838" s="15">
        <v>6</v>
      </c>
      <c r="D1838" s="15">
        <v>8</v>
      </c>
      <c r="E1838" s="30">
        <v>0.61111111111111105</v>
      </c>
      <c r="F1838" s="20" t="s">
        <v>51</v>
      </c>
      <c r="G1838" s="32">
        <v>168</v>
      </c>
      <c r="H1838" s="15" t="s">
        <v>29</v>
      </c>
      <c r="I1838" s="33">
        <v>15</v>
      </c>
      <c r="J1838" s="11" t="s">
        <v>19</v>
      </c>
      <c r="K1838" s="20" t="s">
        <v>20</v>
      </c>
      <c r="L1838" s="11" t="s">
        <v>21</v>
      </c>
      <c r="M1838" s="20" t="s">
        <v>215</v>
      </c>
      <c r="N1838" s="20" t="s">
        <v>25</v>
      </c>
      <c r="O1838" s="31" t="s">
        <v>29</v>
      </c>
      <c r="P1838" s="15">
        <v>218</v>
      </c>
      <c r="Q1838" s="8"/>
      <c r="R1838">
        <v>15.67</v>
      </c>
      <c r="S1838">
        <v>3850.99</v>
      </c>
      <c r="T1838">
        <v>3.9</v>
      </c>
      <c r="U1838">
        <v>11.26</v>
      </c>
      <c r="V1838">
        <v>157</v>
      </c>
      <c r="W1838" s="317">
        <v>3.9</v>
      </c>
      <c r="X1838" s="190">
        <f t="shared" si="79"/>
        <v>58.5</v>
      </c>
      <c r="Y1838" s="8"/>
      <c r="Z1838" s="8"/>
    </row>
    <row r="1839" spans="1:26" ht="12.75" customHeight="1" x14ac:dyDescent="0.2">
      <c r="A1839" s="15">
        <v>22</v>
      </c>
      <c r="B1839" s="15">
        <v>2001</v>
      </c>
      <c r="C1839" s="15">
        <v>6</v>
      </c>
      <c r="D1839" s="15">
        <v>8</v>
      </c>
      <c r="E1839" s="30">
        <v>0.61111111111111105</v>
      </c>
      <c r="F1839" s="20" t="s">
        <v>51</v>
      </c>
      <c r="G1839" s="32">
        <v>155</v>
      </c>
      <c r="H1839" s="15" t="s">
        <v>29</v>
      </c>
      <c r="I1839" s="33">
        <v>10</v>
      </c>
      <c r="J1839" s="11" t="s">
        <v>19</v>
      </c>
      <c r="K1839" s="20" t="s">
        <v>20</v>
      </c>
      <c r="L1839" s="11" t="s">
        <v>21</v>
      </c>
      <c r="M1839" s="20" t="s">
        <v>46</v>
      </c>
      <c r="N1839" s="20" t="s">
        <v>23</v>
      </c>
      <c r="O1839" s="31" t="s">
        <v>29</v>
      </c>
      <c r="P1839" s="15">
        <v>218</v>
      </c>
      <c r="Q1839" s="8"/>
      <c r="R1839">
        <v>14.46</v>
      </c>
      <c r="S1839">
        <v>3024.41</v>
      </c>
      <c r="T1839">
        <v>3.31</v>
      </c>
      <c r="U1839">
        <v>10.39</v>
      </c>
      <c r="V1839">
        <v>145</v>
      </c>
      <c r="W1839" s="317">
        <v>3.9</v>
      </c>
      <c r="X1839" s="190">
        <f t="shared" si="79"/>
        <v>39</v>
      </c>
      <c r="Y1839" s="8"/>
      <c r="Z1839" s="8"/>
    </row>
    <row r="1840" spans="1:26" ht="12.75" customHeight="1" x14ac:dyDescent="0.2">
      <c r="A1840" s="15">
        <v>23</v>
      </c>
      <c r="B1840" s="15">
        <v>2001</v>
      </c>
      <c r="C1840" s="15">
        <v>6</v>
      </c>
      <c r="D1840" s="15">
        <v>8</v>
      </c>
      <c r="E1840" s="30">
        <v>0.61111111111111105</v>
      </c>
      <c r="F1840" s="20" t="s">
        <v>51</v>
      </c>
      <c r="G1840" s="32">
        <v>150</v>
      </c>
      <c r="H1840" s="15" t="s">
        <v>29</v>
      </c>
      <c r="I1840" s="33">
        <v>11.5</v>
      </c>
      <c r="J1840" s="11" t="s">
        <v>19</v>
      </c>
      <c r="K1840" s="20" t="s">
        <v>20</v>
      </c>
      <c r="L1840" s="11" t="s">
        <v>21</v>
      </c>
      <c r="M1840" s="20" t="s">
        <v>46</v>
      </c>
      <c r="N1840" s="20" t="s">
        <v>25</v>
      </c>
      <c r="O1840" s="31" t="s">
        <v>29</v>
      </c>
      <c r="P1840" s="15">
        <v>218</v>
      </c>
      <c r="Q1840" s="8"/>
      <c r="R1840">
        <v>14</v>
      </c>
      <c r="S1840">
        <v>2741.06</v>
      </c>
      <c r="T1840">
        <v>4.2</v>
      </c>
      <c r="U1840">
        <v>10.050000000000001</v>
      </c>
      <c r="V1840">
        <v>140</v>
      </c>
      <c r="W1840" s="317">
        <v>3.9</v>
      </c>
      <c r="X1840" s="190">
        <f t="shared" si="79"/>
        <v>44.85</v>
      </c>
      <c r="Y1840" s="8"/>
      <c r="Z1840" s="8"/>
    </row>
    <row r="1841" spans="1:26" ht="12.75" customHeight="1" x14ac:dyDescent="0.2">
      <c r="A1841" s="15">
        <v>24</v>
      </c>
      <c r="B1841" s="15">
        <v>2001</v>
      </c>
      <c r="C1841" s="15">
        <v>6</v>
      </c>
      <c r="D1841" s="15">
        <v>8</v>
      </c>
      <c r="E1841" s="30">
        <v>0.61111111111111105</v>
      </c>
      <c r="F1841" s="20" t="s">
        <v>51</v>
      </c>
      <c r="G1841" s="32">
        <v>136</v>
      </c>
      <c r="H1841" s="15" t="s">
        <v>29</v>
      </c>
      <c r="I1841" s="33">
        <v>11</v>
      </c>
      <c r="J1841" s="11" t="s">
        <v>19</v>
      </c>
      <c r="K1841" s="20" t="s">
        <v>20</v>
      </c>
      <c r="L1841" s="20" t="s">
        <v>30</v>
      </c>
      <c r="M1841" s="20" t="s">
        <v>46</v>
      </c>
      <c r="N1841" s="20" t="s">
        <v>25</v>
      </c>
      <c r="O1841" s="31" t="s">
        <v>29</v>
      </c>
      <c r="P1841" s="15">
        <v>218</v>
      </c>
      <c r="Q1841" s="8"/>
      <c r="R1841">
        <v>12.69</v>
      </c>
      <c r="S1841">
        <v>2042.97</v>
      </c>
      <c r="T1841">
        <v>5.38</v>
      </c>
      <c r="U1841">
        <v>9.11</v>
      </c>
      <c r="V1841">
        <v>127</v>
      </c>
      <c r="W1841" s="317">
        <v>4.5999999999999996</v>
      </c>
      <c r="X1841" s="190">
        <f t="shared" si="79"/>
        <v>50.599999999999994</v>
      </c>
      <c r="Y1841" s="8"/>
      <c r="Z1841" s="8"/>
    </row>
    <row r="1842" spans="1:26" ht="12.75" customHeight="1" x14ac:dyDescent="0.2">
      <c r="A1842" s="15">
        <v>25</v>
      </c>
      <c r="B1842" s="15">
        <v>2001</v>
      </c>
      <c r="C1842" s="15">
        <v>6</v>
      </c>
      <c r="D1842" s="15">
        <v>8</v>
      </c>
      <c r="E1842" s="30">
        <v>0.61111111111111105</v>
      </c>
      <c r="F1842" s="20" t="s">
        <v>51</v>
      </c>
      <c r="G1842" s="32">
        <v>149</v>
      </c>
      <c r="H1842" s="15" t="s">
        <v>29</v>
      </c>
      <c r="I1842" s="33">
        <v>13.5</v>
      </c>
      <c r="J1842" s="11" t="s">
        <v>19</v>
      </c>
      <c r="K1842" s="20" t="s">
        <v>20</v>
      </c>
      <c r="L1842" s="11" t="s">
        <v>21</v>
      </c>
      <c r="M1842" s="20" t="s">
        <v>46</v>
      </c>
      <c r="N1842" s="20" t="s">
        <v>24</v>
      </c>
      <c r="O1842" s="31" t="s">
        <v>29</v>
      </c>
      <c r="P1842" s="15">
        <v>218</v>
      </c>
      <c r="Q1842" s="8"/>
      <c r="R1842">
        <v>13.9</v>
      </c>
      <c r="S1842">
        <v>2686.6</v>
      </c>
      <c r="T1842">
        <v>5.0199999999999996</v>
      </c>
      <c r="U1842">
        <v>9.98</v>
      </c>
      <c r="V1842">
        <v>139</v>
      </c>
      <c r="W1842" s="317">
        <v>3.9</v>
      </c>
      <c r="X1842" s="190">
        <f t="shared" si="79"/>
        <v>52.65</v>
      </c>
      <c r="Y1842" s="8"/>
      <c r="Z1842" s="8"/>
    </row>
    <row r="1843" spans="1:26" ht="12.75" customHeight="1" x14ac:dyDescent="0.2">
      <c r="A1843" s="15">
        <v>26</v>
      </c>
      <c r="B1843" s="15">
        <v>2001</v>
      </c>
      <c r="C1843" s="15">
        <v>6</v>
      </c>
      <c r="D1843" s="15">
        <v>8</v>
      </c>
      <c r="E1843" s="30">
        <v>0.61111111111111105</v>
      </c>
      <c r="F1843" s="20" t="s">
        <v>51</v>
      </c>
      <c r="G1843" s="32">
        <v>131</v>
      </c>
      <c r="H1843" s="15" t="s">
        <v>29</v>
      </c>
      <c r="I1843" s="33">
        <v>7.5</v>
      </c>
      <c r="J1843" s="11" t="s">
        <v>19</v>
      </c>
      <c r="K1843" s="20" t="s">
        <v>20</v>
      </c>
      <c r="L1843" s="11" t="s">
        <v>21</v>
      </c>
      <c r="M1843" s="11" t="s">
        <v>29</v>
      </c>
      <c r="N1843" s="20" t="s">
        <v>25</v>
      </c>
      <c r="O1843" s="31" t="s">
        <v>29</v>
      </c>
      <c r="P1843" s="15">
        <v>218</v>
      </c>
      <c r="Q1843" s="8"/>
      <c r="R1843">
        <v>12.22</v>
      </c>
      <c r="S1843">
        <v>1825.82</v>
      </c>
      <c r="T1843">
        <v>4.1100000000000003</v>
      </c>
      <c r="U1843">
        <v>8.7799999999999994</v>
      </c>
      <c r="V1843">
        <v>122</v>
      </c>
      <c r="W1843" s="317">
        <v>3.9</v>
      </c>
      <c r="X1843" s="190">
        <f t="shared" si="79"/>
        <v>29.25</v>
      </c>
      <c r="Y1843" s="8"/>
      <c r="Z1843" s="8"/>
    </row>
    <row r="1844" spans="1:26" ht="12.75" customHeight="1" x14ac:dyDescent="0.2">
      <c r="A1844" s="15">
        <v>27</v>
      </c>
      <c r="B1844" s="15">
        <v>2001</v>
      </c>
      <c r="C1844" s="15">
        <v>6</v>
      </c>
      <c r="D1844" s="15">
        <v>8</v>
      </c>
      <c r="E1844" s="30">
        <v>0.61111111111111105</v>
      </c>
      <c r="F1844" s="20" t="s">
        <v>51</v>
      </c>
      <c r="G1844" s="32">
        <v>142</v>
      </c>
      <c r="H1844" s="15" t="s">
        <v>29</v>
      </c>
      <c r="I1844" s="33">
        <v>9</v>
      </c>
      <c r="J1844" s="11" t="s">
        <v>19</v>
      </c>
      <c r="K1844" s="20" t="s">
        <v>20</v>
      </c>
      <c r="L1844" s="11" t="s">
        <v>21</v>
      </c>
      <c r="M1844" s="20" t="s">
        <v>215</v>
      </c>
      <c r="N1844" s="20" t="s">
        <v>24</v>
      </c>
      <c r="O1844" s="31" t="s">
        <v>29</v>
      </c>
      <c r="P1844" s="15">
        <v>218</v>
      </c>
      <c r="Q1844" s="8"/>
      <c r="R1844">
        <v>13.25</v>
      </c>
      <c r="S1844">
        <v>2325.4699999999998</v>
      </c>
      <c r="T1844">
        <v>3.87</v>
      </c>
      <c r="U1844">
        <v>9.51</v>
      </c>
      <c r="V1844">
        <v>132</v>
      </c>
      <c r="W1844" s="317">
        <v>3.9</v>
      </c>
      <c r="X1844" s="190">
        <f t="shared" si="79"/>
        <v>35.1</v>
      </c>
      <c r="Y1844" s="8"/>
      <c r="Z1844" s="8"/>
    </row>
    <row r="1845" spans="1:26" ht="12.75" customHeight="1" x14ac:dyDescent="0.2">
      <c r="A1845" s="15">
        <v>28</v>
      </c>
      <c r="B1845" s="15">
        <v>2001</v>
      </c>
      <c r="C1845" s="15">
        <v>6</v>
      </c>
      <c r="D1845" s="15">
        <v>8</v>
      </c>
      <c r="E1845" s="30">
        <v>0.61111111111111105</v>
      </c>
      <c r="F1845" s="20" t="s">
        <v>51</v>
      </c>
      <c r="G1845" s="32">
        <v>171</v>
      </c>
      <c r="H1845" s="15" t="s">
        <v>29</v>
      </c>
      <c r="I1845" s="33">
        <v>12.5</v>
      </c>
      <c r="J1845" s="11" t="s">
        <v>19</v>
      </c>
      <c r="K1845" s="20" t="s">
        <v>20</v>
      </c>
      <c r="L1845" s="11" t="s">
        <v>21</v>
      </c>
      <c r="M1845" s="20" t="s">
        <v>46</v>
      </c>
      <c r="N1845" s="20" t="s">
        <v>25</v>
      </c>
      <c r="O1845" s="31" t="s">
        <v>29</v>
      </c>
      <c r="P1845" s="15">
        <v>218</v>
      </c>
      <c r="Q1845" s="8"/>
      <c r="R1845">
        <v>15.95</v>
      </c>
      <c r="S1845">
        <v>4061</v>
      </c>
      <c r="T1845">
        <v>3.08</v>
      </c>
      <c r="U1845">
        <v>11.46</v>
      </c>
      <c r="V1845">
        <v>160</v>
      </c>
      <c r="W1845" s="317">
        <v>3.9</v>
      </c>
      <c r="X1845" s="190">
        <f t="shared" si="79"/>
        <v>48.75</v>
      </c>
      <c r="Y1845" s="8"/>
      <c r="Z1845" s="8"/>
    </row>
    <row r="1846" spans="1:26" ht="12.75" customHeight="1" x14ac:dyDescent="0.2">
      <c r="A1846" s="15">
        <v>29</v>
      </c>
      <c r="B1846" s="15">
        <v>2001</v>
      </c>
      <c r="C1846" s="15">
        <v>6</v>
      </c>
      <c r="D1846" s="15">
        <v>8</v>
      </c>
      <c r="E1846" s="30">
        <v>0.61111111111111105</v>
      </c>
      <c r="F1846" s="20" t="s">
        <v>51</v>
      </c>
      <c r="G1846" s="32">
        <v>143</v>
      </c>
      <c r="H1846" s="15" t="s">
        <v>29</v>
      </c>
      <c r="I1846" s="33">
        <v>12.5</v>
      </c>
      <c r="J1846" s="11" t="s">
        <v>19</v>
      </c>
      <c r="K1846" s="20" t="s">
        <v>20</v>
      </c>
      <c r="L1846" s="11" t="s">
        <v>21</v>
      </c>
      <c r="M1846" s="20" t="s">
        <v>46</v>
      </c>
      <c r="N1846" s="20" t="s">
        <v>24</v>
      </c>
      <c r="O1846" s="31" t="s">
        <v>29</v>
      </c>
      <c r="P1846" s="15">
        <v>218</v>
      </c>
      <c r="Q1846" s="8"/>
      <c r="R1846">
        <v>13.34</v>
      </c>
      <c r="S1846">
        <v>2374.94</v>
      </c>
      <c r="T1846">
        <v>5.26</v>
      </c>
      <c r="U1846">
        <v>9.58</v>
      </c>
      <c r="V1846">
        <v>133</v>
      </c>
      <c r="W1846" s="317">
        <v>3.9</v>
      </c>
      <c r="X1846" s="190">
        <f t="shared" si="79"/>
        <v>48.75</v>
      </c>
      <c r="Y1846" s="8"/>
      <c r="Z1846" s="8"/>
    </row>
    <row r="1847" spans="1:26" ht="12.75" customHeight="1" x14ac:dyDescent="0.2">
      <c r="A1847" s="15">
        <v>30</v>
      </c>
      <c r="B1847" s="15">
        <v>2001</v>
      </c>
      <c r="C1847" s="15">
        <v>6</v>
      </c>
      <c r="D1847" s="15">
        <v>8</v>
      </c>
      <c r="E1847" s="30">
        <v>0.61111111111111105</v>
      </c>
      <c r="F1847" s="11" t="s">
        <v>28</v>
      </c>
      <c r="G1847" s="11" t="s">
        <v>29</v>
      </c>
      <c r="H1847" s="15" t="s">
        <v>29</v>
      </c>
      <c r="I1847" s="25" t="s">
        <v>29</v>
      </c>
      <c r="J1847" s="11" t="s">
        <v>19</v>
      </c>
      <c r="K1847" s="20" t="s">
        <v>20</v>
      </c>
      <c r="L1847" s="11" t="s">
        <v>41</v>
      </c>
      <c r="M1847" s="11" t="s">
        <v>29</v>
      </c>
      <c r="N1847" s="11" t="s">
        <v>29</v>
      </c>
      <c r="O1847" s="31" t="s">
        <v>29</v>
      </c>
      <c r="P1847" s="15">
        <v>218</v>
      </c>
      <c r="Q1847" s="8"/>
      <c r="W1847" s="8"/>
      <c r="X1847" s="8"/>
      <c r="Y1847" s="8"/>
      <c r="Z1847" s="8"/>
    </row>
    <row r="1848" spans="1:26" ht="12.75" customHeight="1" x14ac:dyDescent="0.2">
      <c r="A1848" s="15">
        <v>31</v>
      </c>
      <c r="B1848" s="15">
        <v>2001</v>
      </c>
      <c r="C1848" s="15">
        <v>6</v>
      </c>
      <c r="D1848" s="15">
        <v>8</v>
      </c>
      <c r="E1848" s="30">
        <v>0.61111111111111105</v>
      </c>
      <c r="F1848" s="11" t="s">
        <v>28</v>
      </c>
      <c r="G1848" s="11" t="s">
        <v>29</v>
      </c>
      <c r="H1848" s="15" t="s">
        <v>29</v>
      </c>
      <c r="I1848" s="25" t="s">
        <v>29</v>
      </c>
      <c r="J1848" s="11" t="s">
        <v>19</v>
      </c>
      <c r="K1848" s="20" t="s">
        <v>20</v>
      </c>
      <c r="L1848" s="11" t="s">
        <v>41</v>
      </c>
      <c r="M1848" s="11" t="s">
        <v>29</v>
      </c>
      <c r="N1848" s="11" t="s">
        <v>29</v>
      </c>
      <c r="O1848" s="31" t="s">
        <v>29</v>
      </c>
      <c r="P1848" s="15">
        <v>218</v>
      </c>
      <c r="Q1848" s="8"/>
      <c r="W1848" s="8"/>
      <c r="X1848" s="8"/>
      <c r="Y1848" s="8"/>
      <c r="Z1848" s="8"/>
    </row>
    <row r="1849" spans="1:26" ht="25.5" customHeight="1" x14ac:dyDescent="0.2">
      <c r="A1849" s="15">
        <v>32</v>
      </c>
      <c r="B1849" s="15">
        <v>2001</v>
      </c>
      <c r="C1849" s="15">
        <v>5</v>
      </c>
      <c r="D1849" s="15">
        <v>8</v>
      </c>
      <c r="E1849" s="29" t="s">
        <v>214</v>
      </c>
      <c r="F1849" s="20" t="s">
        <v>51</v>
      </c>
      <c r="G1849" s="32">
        <v>120</v>
      </c>
      <c r="H1849" s="15" t="s">
        <v>29</v>
      </c>
      <c r="I1849" s="33">
        <v>6.5</v>
      </c>
      <c r="J1849" s="11" t="s">
        <v>19</v>
      </c>
      <c r="K1849" s="20" t="s">
        <v>20</v>
      </c>
      <c r="L1849" s="11" t="s">
        <v>21</v>
      </c>
      <c r="M1849" s="20" t="s">
        <v>46</v>
      </c>
      <c r="N1849" s="20" t="s">
        <v>25</v>
      </c>
      <c r="O1849" s="31" t="s">
        <v>29</v>
      </c>
      <c r="P1849" s="15">
        <v>217</v>
      </c>
      <c r="Q1849" s="8"/>
      <c r="R1849">
        <v>11.2</v>
      </c>
      <c r="S1849">
        <v>1403.42</v>
      </c>
      <c r="T1849">
        <v>4.63</v>
      </c>
      <c r="U1849">
        <v>8.0399999999999991</v>
      </c>
      <c r="V1849">
        <v>112</v>
      </c>
      <c r="W1849" s="317">
        <v>3.9</v>
      </c>
      <c r="X1849" s="190">
        <f t="shared" ref="X1849:X1912" si="80">I1849*W1849</f>
        <v>25.349999999999998</v>
      </c>
      <c r="Y1849" s="8"/>
      <c r="Z1849" s="8"/>
    </row>
    <row r="1850" spans="1:26" ht="25.5" customHeight="1" x14ac:dyDescent="0.2">
      <c r="A1850" s="15">
        <v>33</v>
      </c>
      <c r="B1850" s="15">
        <v>2001</v>
      </c>
      <c r="C1850" s="15">
        <v>5</v>
      </c>
      <c r="D1850" s="15">
        <v>8</v>
      </c>
      <c r="E1850" s="29" t="s">
        <v>214</v>
      </c>
      <c r="F1850" s="20" t="s">
        <v>51</v>
      </c>
      <c r="G1850" s="32">
        <v>155</v>
      </c>
      <c r="H1850" s="15" t="s">
        <v>29</v>
      </c>
      <c r="I1850" s="33">
        <v>15.5</v>
      </c>
      <c r="J1850" s="11" t="s">
        <v>19</v>
      </c>
      <c r="K1850" s="20" t="s">
        <v>20</v>
      </c>
      <c r="L1850" s="11" t="s">
        <v>21</v>
      </c>
      <c r="M1850" s="20" t="s">
        <v>46</v>
      </c>
      <c r="N1850" s="20" t="s">
        <v>24</v>
      </c>
      <c r="O1850" s="31" t="s">
        <v>29</v>
      </c>
      <c r="P1850" s="15">
        <v>217</v>
      </c>
      <c r="Q1850" s="8"/>
      <c r="R1850">
        <v>14.46</v>
      </c>
      <c r="S1850">
        <v>3024.41</v>
      </c>
      <c r="T1850">
        <v>5.12</v>
      </c>
      <c r="U1850">
        <v>10.39</v>
      </c>
      <c r="V1850">
        <v>145</v>
      </c>
      <c r="W1850" s="317">
        <v>3.9</v>
      </c>
      <c r="X1850" s="190">
        <f t="shared" si="80"/>
        <v>60.449999999999996</v>
      </c>
      <c r="Y1850" s="8"/>
      <c r="Z1850" s="8"/>
    </row>
    <row r="1851" spans="1:26" ht="25.5" customHeight="1" x14ac:dyDescent="0.2">
      <c r="A1851" s="15">
        <v>34</v>
      </c>
      <c r="B1851" s="15">
        <v>2001</v>
      </c>
      <c r="C1851" s="15">
        <v>5</v>
      </c>
      <c r="D1851" s="15">
        <v>8</v>
      </c>
      <c r="E1851" s="29" t="s">
        <v>214</v>
      </c>
      <c r="F1851" s="20" t="s">
        <v>51</v>
      </c>
      <c r="G1851" s="32">
        <v>115</v>
      </c>
      <c r="H1851" s="15" t="s">
        <v>29</v>
      </c>
      <c r="I1851" s="33">
        <v>5</v>
      </c>
      <c r="J1851" s="11" t="s">
        <v>19</v>
      </c>
      <c r="K1851" s="20" t="s">
        <v>20</v>
      </c>
      <c r="L1851" s="11" t="s">
        <v>21</v>
      </c>
      <c r="M1851" s="20" t="s">
        <v>45</v>
      </c>
      <c r="N1851" s="20" t="s">
        <v>25</v>
      </c>
      <c r="O1851" s="31" t="s">
        <v>29</v>
      </c>
      <c r="P1851" s="15">
        <v>217</v>
      </c>
      <c r="Q1851" s="8"/>
      <c r="R1851">
        <v>10.73</v>
      </c>
      <c r="S1851">
        <v>1235.2</v>
      </c>
      <c r="T1851">
        <v>4.05</v>
      </c>
      <c r="U1851">
        <v>7.71</v>
      </c>
      <c r="V1851">
        <v>107</v>
      </c>
      <c r="W1851" s="317">
        <v>3.9</v>
      </c>
      <c r="X1851" s="190">
        <f t="shared" si="80"/>
        <v>19.5</v>
      </c>
      <c r="Y1851" s="8"/>
      <c r="Z1851" s="8"/>
    </row>
    <row r="1852" spans="1:26" ht="25.5" customHeight="1" x14ac:dyDescent="0.2">
      <c r="A1852" s="15">
        <v>35</v>
      </c>
      <c r="B1852" s="15">
        <v>2001</v>
      </c>
      <c r="C1852" s="15">
        <v>5</v>
      </c>
      <c r="D1852" s="15">
        <v>8</v>
      </c>
      <c r="E1852" s="29" t="s">
        <v>214</v>
      </c>
      <c r="F1852" s="20" t="s">
        <v>51</v>
      </c>
      <c r="G1852" s="32">
        <v>145</v>
      </c>
      <c r="H1852" s="15" t="s">
        <v>29</v>
      </c>
      <c r="I1852" s="33">
        <v>12.5</v>
      </c>
      <c r="J1852" s="11" t="s">
        <v>19</v>
      </c>
      <c r="K1852" s="20" t="s">
        <v>20</v>
      </c>
      <c r="L1852" s="11" t="s">
        <v>21</v>
      </c>
      <c r="M1852" s="20" t="s">
        <v>46</v>
      </c>
      <c r="N1852" s="20" t="s">
        <v>24</v>
      </c>
      <c r="O1852" s="31" t="s">
        <v>29</v>
      </c>
      <c r="P1852" s="15">
        <v>217</v>
      </c>
      <c r="Q1852" s="8"/>
      <c r="R1852">
        <v>13.53</v>
      </c>
      <c r="S1852">
        <v>2475.9899999999998</v>
      </c>
      <c r="T1852">
        <v>5.05</v>
      </c>
      <c r="U1852">
        <v>9.7200000000000006</v>
      </c>
      <c r="V1852">
        <v>135</v>
      </c>
      <c r="W1852" s="317">
        <v>3.9</v>
      </c>
      <c r="X1852" s="190">
        <f t="shared" si="80"/>
        <v>48.75</v>
      </c>
      <c r="Y1852" s="8"/>
      <c r="Z1852" s="8"/>
    </row>
    <row r="1853" spans="1:26" ht="25.5" customHeight="1" x14ac:dyDescent="0.2">
      <c r="A1853" s="15">
        <v>36</v>
      </c>
      <c r="B1853" s="15">
        <v>2001</v>
      </c>
      <c r="C1853" s="15">
        <v>5</v>
      </c>
      <c r="D1853" s="15">
        <v>8</v>
      </c>
      <c r="E1853" s="29" t="s">
        <v>214</v>
      </c>
      <c r="F1853" s="11" t="s">
        <v>28</v>
      </c>
      <c r="G1853" s="11" t="s">
        <v>29</v>
      </c>
      <c r="H1853" s="15" t="s">
        <v>29</v>
      </c>
      <c r="I1853" s="33" t="s">
        <v>29</v>
      </c>
      <c r="J1853" s="11" t="s">
        <v>19</v>
      </c>
      <c r="K1853" s="20" t="s">
        <v>20</v>
      </c>
      <c r="L1853" s="11" t="s">
        <v>21</v>
      </c>
      <c r="M1853" s="11" t="s">
        <v>29</v>
      </c>
      <c r="N1853" s="11" t="s">
        <v>29</v>
      </c>
      <c r="O1853" s="31" t="s">
        <v>29</v>
      </c>
      <c r="P1853" s="15">
        <v>217</v>
      </c>
      <c r="Q1853" s="8"/>
      <c r="W1853" s="317">
        <v>3.9</v>
      </c>
      <c r="X1853" s="190"/>
      <c r="Y1853" s="8"/>
      <c r="Z1853" s="8"/>
    </row>
    <row r="1854" spans="1:26" ht="25.5" customHeight="1" x14ac:dyDescent="0.2">
      <c r="A1854" s="15">
        <v>37</v>
      </c>
      <c r="B1854" s="15">
        <v>2001</v>
      </c>
      <c r="C1854" s="15">
        <v>5</v>
      </c>
      <c r="D1854" s="15">
        <v>8</v>
      </c>
      <c r="E1854" s="29" t="s">
        <v>214</v>
      </c>
      <c r="F1854" s="20" t="s">
        <v>51</v>
      </c>
      <c r="G1854" s="32">
        <v>157</v>
      </c>
      <c r="H1854" s="15" t="s">
        <v>29</v>
      </c>
      <c r="I1854" s="33">
        <v>14</v>
      </c>
      <c r="J1854" s="11" t="s">
        <v>19</v>
      </c>
      <c r="K1854" s="20" t="s">
        <v>20</v>
      </c>
      <c r="L1854" s="11" t="s">
        <v>21</v>
      </c>
      <c r="M1854" s="20" t="s">
        <v>46</v>
      </c>
      <c r="N1854" s="20" t="s">
        <v>25</v>
      </c>
      <c r="O1854" s="31" t="s">
        <v>29</v>
      </c>
      <c r="P1854" s="15">
        <v>217</v>
      </c>
      <c r="Q1854" s="8"/>
      <c r="R1854">
        <v>14.65</v>
      </c>
      <c r="S1854">
        <v>3143</v>
      </c>
      <c r="T1854">
        <v>4.45</v>
      </c>
      <c r="U1854">
        <v>10.52</v>
      </c>
      <c r="V1854">
        <v>146</v>
      </c>
      <c r="W1854" s="317">
        <v>3.9</v>
      </c>
      <c r="X1854" s="190">
        <f t="shared" si="80"/>
        <v>54.6</v>
      </c>
      <c r="Y1854" s="8"/>
      <c r="Z1854" s="8"/>
    </row>
    <row r="1855" spans="1:26" ht="25.5" customHeight="1" x14ac:dyDescent="0.2">
      <c r="A1855" s="15">
        <v>38</v>
      </c>
      <c r="B1855" s="15">
        <v>2001</v>
      </c>
      <c r="C1855" s="15">
        <v>5</v>
      </c>
      <c r="D1855" s="15">
        <v>8</v>
      </c>
      <c r="E1855" s="29" t="s">
        <v>214</v>
      </c>
      <c r="F1855" s="20" t="s">
        <v>51</v>
      </c>
      <c r="G1855" s="32">
        <v>150</v>
      </c>
      <c r="H1855" s="15" t="s">
        <v>29</v>
      </c>
      <c r="I1855" s="33">
        <v>14</v>
      </c>
      <c r="J1855" s="11" t="s">
        <v>19</v>
      </c>
      <c r="K1855" s="20" t="s">
        <v>20</v>
      </c>
      <c r="L1855" s="11" t="s">
        <v>21</v>
      </c>
      <c r="M1855" s="20" t="s">
        <v>46</v>
      </c>
      <c r="N1855" s="20" t="s">
        <v>24</v>
      </c>
      <c r="O1855" s="31" t="s">
        <v>29</v>
      </c>
      <c r="P1855" s="15">
        <v>217</v>
      </c>
      <c r="Q1855" s="8"/>
      <c r="R1855">
        <v>14</v>
      </c>
      <c r="S1855">
        <v>2741.06</v>
      </c>
      <c r="T1855">
        <v>5.1100000000000003</v>
      </c>
      <c r="U1855">
        <v>10.050000000000001</v>
      </c>
      <c r="V1855">
        <v>140</v>
      </c>
      <c r="W1855" s="317">
        <v>3.9</v>
      </c>
      <c r="X1855" s="190">
        <f t="shared" si="80"/>
        <v>54.6</v>
      </c>
      <c r="Y1855" s="8"/>
      <c r="Z1855" s="8"/>
    </row>
    <row r="1856" spans="1:26" ht="25.5" customHeight="1" x14ac:dyDescent="0.2">
      <c r="A1856" s="15">
        <v>39</v>
      </c>
      <c r="B1856" s="15">
        <v>2001</v>
      </c>
      <c r="C1856" s="15">
        <v>5</v>
      </c>
      <c r="D1856" s="15">
        <v>8</v>
      </c>
      <c r="E1856" s="29" t="s">
        <v>214</v>
      </c>
      <c r="F1856" s="20" t="s">
        <v>51</v>
      </c>
      <c r="G1856" s="11" t="s">
        <v>29</v>
      </c>
      <c r="H1856" s="15" t="s">
        <v>29</v>
      </c>
      <c r="I1856" s="33" t="s">
        <v>29</v>
      </c>
      <c r="J1856" s="11" t="s">
        <v>19</v>
      </c>
      <c r="K1856" s="20" t="s">
        <v>20</v>
      </c>
      <c r="L1856" s="11" t="s">
        <v>21</v>
      </c>
      <c r="M1856" s="11" t="s">
        <v>29</v>
      </c>
      <c r="N1856" s="20" t="s">
        <v>24</v>
      </c>
      <c r="O1856" s="31" t="s">
        <v>29</v>
      </c>
      <c r="P1856" s="15">
        <v>217</v>
      </c>
      <c r="Q1856" s="8"/>
      <c r="W1856" s="317">
        <v>3.9</v>
      </c>
      <c r="X1856" s="190"/>
      <c r="Y1856" s="8"/>
      <c r="Z1856" s="8"/>
    </row>
    <row r="1857" spans="1:26" ht="25.5" customHeight="1" x14ac:dyDescent="0.2">
      <c r="A1857" s="15">
        <v>40</v>
      </c>
      <c r="B1857" s="15">
        <v>2001</v>
      </c>
      <c r="C1857" s="15">
        <v>5</v>
      </c>
      <c r="D1857" s="15">
        <v>8</v>
      </c>
      <c r="E1857" s="29" t="s">
        <v>214</v>
      </c>
      <c r="F1857" s="20" t="s">
        <v>51</v>
      </c>
      <c r="G1857" s="32">
        <v>150</v>
      </c>
      <c r="H1857" s="15" t="s">
        <v>29</v>
      </c>
      <c r="I1857" s="33">
        <v>12</v>
      </c>
      <c r="J1857" s="11" t="s">
        <v>19</v>
      </c>
      <c r="K1857" s="20" t="s">
        <v>20</v>
      </c>
      <c r="L1857" s="11" t="s">
        <v>21</v>
      </c>
      <c r="M1857" s="20" t="s">
        <v>46</v>
      </c>
      <c r="N1857" s="20" t="s">
        <v>24</v>
      </c>
      <c r="O1857" s="31" t="s">
        <v>29</v>
      </c>
      <c r="P1857" s="15">
        <v>217</v>
      </c>
      <c r="Q1857" s="8"/>
      <c r="R1857">
        <v>14</v>
      </c>
      <c r="S1857">
        <v>2741.06</v>
      </c>
      <c r="T1857">
        <v>4.38</v>
      </c>
      <c r="U1857">
        <v>10.050000000000001</v>
      </c>
      <c r="V1857">
        <v>140</v>
      </c>
      <c r="W1857" s="317">
        <v>3.9</v>
      </c>
      <c r="X1857" s="190">
        <f t="shared" si="80"/>
        <v>46.8</v>
      </c>
      <c r="Y1857" s="8"/>
      <c r="Z1857" s="8"/>
    </row>
    <row r="1858" spans="1:26" ht="25.5" customHeight="1" x14ac:dyDescent="0.2">
      <c r="A1858" s="15">
        <v>41</v>
      </c>
      <c r="B1858" s="15">
        <v>2001</v>
      </c>
      <c r="C1858" s="15">
        <v>5</v>
      </c>
      <c r="D1858" s="15">
        <v>8</v>
      </c>
      <c r="E1858" s="29" t="s">
        <v>214</v>
      </c>
      <c r="F1858" s="20" t="s">
        <v>51</v>
      </c>
      <c r="G1858" s="32">
        <v>123</v>
      </c>
      <c r="H1858" s="15" t="s">
        <v>29</v>
      </c>
      <c r="I1858" s="33">
        <v>6.5</v>
      </c>
      <c r="J1858" s="11" t="s">
        <v>19</v>
      </c>
      <c r="K1858" s="20" t="s">
        <v>20</v>
      </c>
      <c r="L1858" s="11" t="s">
        <v>21</v>
      </c>
      <c r="M1858" s="20" t="s">
        <v>46</v>
      </c>
      <c r="N1858" s="20" t="s">
        <v>24</v>
      </c>
      <c r="O1858" s="31" t="s">
        <v>29</v>
      </c>
      <c r="P1858" s="15">
        <v>217</v>
      </c>
      <c r="Q1858" s="8"/>
      <c r="R1858">
        <v>11.48</v>
      </c>
      <c r="S1858">
        <v>1511.33</v>
      </c>
      <c r="T1858">
        <v>4.3</v>
      </c>
      <c r="U1858">
        <v>8.24</v>
      </c>
      <c r="V1858">
        <v>115</v>
      </c>
      <c r="W1858" s="317">
        <v>3.9</v>
      </c>
      <c r="X1858" s="190">
        <f t="shared" si="80"/>
        <v>25.349999999999998</v>
      </c>
      <c r="Y1858" s="8"/>
      <c r="Z1858" s="8"/>
    </row>
    <row r="1859" spans="1:26" ht="25.5" customHeight="1" x14ac:dyDescent="0.2">
      <c r="A1859" s="15">
        <v>42</v>
      </c>
      <c r="B1859" s="15">
        <v>2001</v>
      </c>
      <c r="C1859" s="15">
        <v>5</v>
      </c>
      <c r="D1859" s="15">
        <v>8</v>
      </c>
      <c r="E1859" s="29" t="s">
        <v>214</v>
      </c>
      <c r="F1859" s="20" t="s">
        <v>51</v>
      </c>
      <c r="G1859" s="32">
        <v>165</v>
      </c>
      <c r="H1859" s="15" t="s">
        <v>29</v>
      </c>
      <c r="I1859" s="33">
        <v>19.5</v>
      </c>
      <c r="J1859" s="11" t="s">
        <v>19</v>
      </c>
      <c r="K1859" s="20" t="s">
        <v>20</v>
      </c>
      <c r="L1859" s="11" t="s">
        <v>21</v>
      </c>
      <c r="M1859" s="20" t="s">
        <v>27</v>
      </c>
      <c r="N1859" s="20" t="s">
        <v>24</v>
      </c>
      <c r="O1859" s="31" t="s">
        <v>29</v>
      </c>
      <c r="P1859" s="15">
        <v>217</v>
      </c>
      <c r="Q1859" s="8"/>
      <c r="R1859">
        <v>15.39</v>
      </c>
      <c r="S1859">
        <v>3648.35</v>
      </c>
      <c r="T1859">
        <v>5.34</v>
      </c>
      <c r="U1859">
        <v>11.06</v>
      </c>
      <c r="V1859">
        <v>154</v>
      </c>
      <c r="W1859" s="317">
        <v>3.9</v>
      </c>
      <c r="X1859" s="190">
        <f t="shared" si="80"/>
        <v>76.05</v>
      </c>
      <c r="Y1859" s="8"/>
      <c r="Z1859" s="8"/>
    </row>
    <row r="1860" spans="1:26" ht="25.5" customHeight="1" x14ac:dyDescent="0.2">
      <c r="A1860" s="15">
        <v>43</v>
      </c>
      <c r="B1860" s="15">
        <v>2001</v>
      </c>
      <c r="C1860" s="15">
        <v>5</v>
      </c>
      <c r="D1860" s="15">
        <v>8</v>
      </c>
      <c r="E1860" s="29" t="s">
        <v>214</v>
      </c>
      <c r="F1860" s="20" t="s">
        <v>51</v>
      </c>
      <c r="G1860" s="32">
        <v>153</v>
      </c>
      <c r="H1860" s="15" t="s">
        <v>29</v>
      </c>
      <c r="I1860" s="33">
        <v>17.5</v>
      </c>
      <c r="J1860" s="11" t="s">
        <v>19</v>
      </c>
      <c r="K1860" s="20" t="s">
        <v>20</v>
      </c>
      <c r="L1860" s="11" t="s">
        <v>21</v>
      </c>
      <c r="M1860" s="20" t="s">
        <v>27</v>
      </c>
      <c r="N1860" s="20" t="s">
        <v>25</v>
      </c>
      <c r="O1860" s="31" t="s">
        <v>29</v>
      </c>
      <c r="P1860" s="15">
        <v>217</v>
      </c>
      <c r="Q1860" s="8"/>
      <c r="R1860">
        <v>14.27</v>
      </c>
      <c r="S1860">
        <v>2908.84</v>
      </c>
      <c r="T1860">
        <v>6.02</v>
      </c>
      <c r="U1860">
        <v>10.25</v>
      </c>
      <c r="V1860">
        <v>143</v>
      </c>
      <c r="W1860" s="317">
        <v>3.9</v>
      </c>
      <c r="X1860" s="190">
        <f t="shared" si="80"/>
        <v>68.25</v>
      </c>
      <c r="Y1860" s="8"/>
      <c r="Z1860" s="8"/>
    </row>
    <row r="1861" spans="1:26" ht="25.5" customHeight="1" x14ac:dyDescent="0.2">
      <c r="A1861" s="15">
        <v>44</v>
      </c>
      <c r="B1861" s="15">
        <v>2001</v>
      </c>
      <c r="C1861" s="15">
        <v>5</v>
      </c>
      <c r="D1861" s="15">
        <v>8</v>
      </c>
      <c r="E1861" s="29" t="s">
        <v>214</v>
      </c>
      <c r="F1861" s="20" t="s">
        <v>51</v>
      </c>
      <c r="G1861" s="32">
        <v>148</v>
      </c>
      <c r="H1861" s="15" t="s">
        <v>29</v>
      </c>
      <c r="I1861" s="33">
        <v>11</v>
      </c>
      <c r="J1861" s="11" t="s">
        <v>19</v>
      </c>
      <c r="K1861" s="20" t="s">
        <v>20</v>
      </c>
      <c r="L1861" s="11" t="s">
        <v>21</v>
      </c>
      <c r="M1861" s="20" t="s">
        <v>46</v>
      </c>
      <c r="N1861" s="20" t="s">
        <v>24</v>
      </c>
      <c r="O1861" s="31" t="s">
        <v>29</v>
      </c>
      <c r="P1861" s="15">
        <v>217</v>
      </c>
      <c r="Q1861" s="8"/>
      <c r="R1861">
        <v>13.81</v>
      </c>
      <c r="S1861">
        <v>2632.87</v>
      </c>
      <c r="T1861">
        <v>4.18</v>
      </c>
      <c r="U1861">
        <v>9.92</v>
      </c>
      <c r="V1861">
        <v>138</v>
      </c>
      <c r="W1861" s="317">
        <v>3.9</v>
      </c>
      <c r="X1861" s="190">
        <f t="shared" si="80"/>
        <v>42.9</v>
      </c>
      <c r="Y1861" s="8"/>
      <c r="Z1861" s="8"/>
    </row>
    <row r="1862" spans="1:26" ht="25.5" customHeight="1" x14ac:dyDescent="0.2">
      <c r="A1862" s="15">
        <v>45</v>
      </c>
      <c r="B1862" s="15">
        <v>2001</v>
      </c>
      <c r="C1862" s="15">
        <v>5</v>
      </c>
      <c r="D1862" s="15">
        <v>8</v>
      </c>
      <c r="E1862" s="29" t="s">
        <v>214</v>
      </c>
      <c r="F1862" s="20" t="s">
        <v>51</v>
      </c>
      <c r="G1862" s="32">
        <v>133</v>
      </c>
      <c r="H1862" s="15" t="s">
        <v>29</v>
      </c>
      <c r="I1862" s="33">
        <v>9</v>
      </c>
      <c r="J1862" s="11" t="s">
        <v>19</v>
      </c>
      <c r="K1862" s="20" t="s">
        <v>20</v>
      </c>
      <c r="L1862" s="11" t="s">
        <v>21</v>
      </c>
      <c r="M1862" s="20" t="s">
        <v>46</v>
      </c>
      <c r="N1862" s="20" t="s">
        <v>24</v>
      </c>
      <c r="O1862" s="31" t="s">
        <v>29</v>
      </c>
      <c r="P1862" s="15">
        <v>217</v>
      </c>
      <c r="Q1862" s="8"/>
      <c r="R1862">
        <v>12.41</v>
      </c>
      <c r="S1862">
        <v>1910.73</v>
      </c>
      <c r="T1862">
        <v>4.71</v>
      </c>
      <c r="U1862">
        <v>8.91</v>
      </c>
      <c r="V1862">
        <v>124</v>
      </c>
      <c r="W1862" s="317">
        <v>3.9</v>
      </c>
      <c r="X1862" s="190">
        <f t="shared" si="80"/>
        <v>35.1</v>
      </c>
      <c r="Y1862" s="8"/>
      <c r="Z1862" s="8"/>
    </row>
    <row r="1863" spans="1:26" ht="12.75" customHeight="1" x14ac:dyDescent="0.2">
      <c r="A1863" s="15">
        <v>46</v>
      </c>
      <c r="B1863" s="15">
        <v>2001</v>
      </c>
      <c r="C1863" s="15">
        <v>5</v>
      </c>
      <c r="D1863" s="15">
        <v>8</v>
      </c>
      <c r="E1863" s="30">
        <v>0.57638888888888895</v>
      </c>
      <c r="F1863" s="20" t="s">
        <v>51</v>
      </c>
      <c r="G1863" s="32">
        <v>144</v>
      </c>
      <c r="H1863" s="15" t="s">
        <v>29</v>
      </c>
      <c r="I1863" s="33">
        <v>9.5</v>
      </c>
      <c r="J1863" s="11" t="s">
        <v>19</v>
      </c>
      <c r="K1863" s="20" t="s">
        <v>20</v>
      </c>
      <c r="L1863" s="11" t="s">
        <v>21</v>
      </c>
      <c r="M1863" s="20" t="s">
        <v>46</v>
      </c>
      <c r="N1863" s="20" t="s">
        <v>24</v>
      </c>
      <c r="O1863" s="31" t="s">
        <v>29</v>
      </c>
      <c r="P1863" s="15">
        <v>217</v>
      </c>
      <c r="Q1863" s="8"/>
      <c r="R1863">
        <v>13.44</v>
      </c>
      <c r="S1863">
        <v>2425.12</v>
      </c>
      <c r="T1863">
        <v>3.92</v>
      </c>
      <c r="U1863">
        <v>9.65</v>
      </c>
      <c r="V1863">
        <v>134</v>
      </c>
      <c r="W1863" s="317">
        <v>3.9</v>
      </c>
      <c r="X1863" s="190">
        <f t="shared" si="80"/>
        <v>37.049999999999997</v>
      </c>
      <c r="Y1863" s="8"/>
      <c r="Z1863" s="8"/>
    </row>
    <row r="1864" spans="1:26" ht="12.75" customHeight="1" x14ac:dyDescent="0.2">
      <c r="A1864" s="15">
        <v>47</v>
      </c>
      <c r="B1864" s="15">
        <v>2001</v>
      </c>
      <c r="C1864" s="15">
        <v>5</v>
      </c>
      <c r="D1864" s="15">
        <v>8</v>
      </c>
      <c r="E1864" s="30">
        <v>0.57638888888888895</v>
      </c>
      <c r="F1864" s="20" t="s">
        <v>51</v>
      </c>
      <c r="G1864" s="32">
        <v>133</v>
      </c>
      <c r="H1864" s="15" t="s">
        <v>29</v>
      </c>
      <c r="I1864" s="33">
        <v>9.5</v>
      </c>
      <c r="J1864" s="11" t="s">
        <v>19</v>
      </c>
      <c r="K1864" s="20" t="s">
        <v>20</v>
      </c>
      <c r="L1864" s="11" t="s">
        <v>21</v>
      </c>
      <c r="M1864" s="20" t="s">
        <v>46</v>
      </c>
      <c r="N1864" s="20" t="s">
        <v>24</v>
      </c>
      <c r="O1864" s="31" t="s">
        <v>29</v>
      </c>
      <c r="P1864" s="15">
        <v>217</v>
      </c>
      <c r="Q1864" s="8"/>
      <c r="R1864">
        <v>12.41</v>
      </c>
      <c r="S1864">
        <v>1910.73</v>
      </c>
      <c r="T1864">
        <v>4.97</v>
      </c>
      <c r="U1864">
        <v>8.91</v>
      </c>
      <c r="V1864">
        <v>124</v>
      </c>
      <c r="W1864" s="317">
        <v>3.9</v>
      </c>
      <c r="X1864" s="190">
        <f t="shared" si="80"/>
        <v>37.049999999999997</v>
      </c>
      <c r="Y1864" s="8"/>
      <c r="Z1864" s="8"/>
    </row>
    <row r="1865" spans="1:26" ht="12.75" customHeight="1" x14ac:dyDescent="0.2">
      <c r="A1865" s="15">
        <v>48</v>
      </c>
      <c r="B1865" s="15">
        <v>2001</v>
      </c>
      <c r="C1865" s="15">
        <v>5</v>
      </c>
      <c r="D1865" s="15">
        <v>8</v>
      </c>
      <c r="E1865" s="30">
        <v>0.57638888888888895</v>
      </c>
      <c r="F1865" s="20" t="s">
        <v>51</v>
      </c>
      <c r="G1865" s="32">
        <v>160</v>
      </c>
      <c r="H1865" s="15" t="s">
        <v>29</v>
      </c>
      <c r="I1865" s="33">
        <v>10.5</v>
      </c>
      <c r="J1865" s="11" t="s">
        <v>19</v>
      </c>
      <c r="K1865" s="20" t="s">
        <v>20</v>
      </c>
      <c r="L1865" s="11" t="s">
        <v>21</v>
      </c>
      <c r="M1865" s="20" t="s">
        <v>46</v>
      </c>
      <c r="N1865" s="20" t="s">
        <v>24</v>
      </c>
      <c r="O1865" s="31" t="s">
        <v>29</v>
      </c>
      <c r="P1865" s="15">
        <v>217</v>
      </c>
      <c r="Q1865" s="8"/>
      <c r="R1865">
        <v>14.93</v>
      </c>
      <c r="S1865">
        <v>3326.63</v>
      </c>
      <c r="T1865">
        <v>3.16</v>
      </c>
      <c r="U1865">
        <v>10.72</v>
      </c>
      <c r="V1865">
        <v>149</v>
      </c>
      <c r="W1865" s="317">
        <v>3.9</v>
      </c>
      <c r="X1865" s="190">
        <f t="shared" si="80"/>
        <v>40.949999999999996</v>
      </c>
      <c r="Y1865" s="8"/>
      <c r="Z1865" s="8"/>
    </row>
    <row r="1866" spans="1:26" ht="12.75" customHeight="1" x14ac:dyDescent="0.2">
      <c r="A1866" s="15">
        <v>49</v>
      </c>
      <c r="B1866" s="15">
        <v>2001</v>
      </c>
      <c r="C1866" s="15">
        <v>4</v>
      </c>
      <c r="D1866" s="15">
        <v>8</v>
      </c>
      <c r="E1866" s="30">
        <v>0.39583333333333331</v>
      </c>
      <c r="F1866" s="20" t="s">
        <v>51</v>
      </c>
      <c r="G1866" s="32">
        <v>169</v>
      </c>
      <c r="H1866" s="15" t="s">
        <v>29</v>
      </c>
      <c r="I1866" s="33">
        <v>18.5</v>
      </c>
      <c r="J1866" s="11" t="s">
        <v>19</v>
      </c>
      <c r="K1866" s="20" t="s">
        <v>20</v>
      </c>
      <c r="L1866" s="11" t="s">
        <v>21</v>
      </c>
      <c r="M1866" s="20" t="s">
        <v>45</v>
      </c>
      <c r="N1866" s="20" t="s">
        <v>24</v>
      </c>
      <c r="O1866" s="31" t="s">
        <v>29</v>
      </c>
      <c r="P1866" s="15">
        <v>216</v>
      </c>
      <c r="Q1866" s="8"/>
      <c r="R1866">
        <v>15.77</v>
      </c>
      <c r="S1866">
        <v>3920.17</v>
      </c>
      <c r="T1866">
        <v>4.72</v>
      </c>
      <c r="U1866">
        <v>11.32</v>
      </c>
      <c r="V1866">
        <v>158</v>
      </c>
      <c r="W1866" s="317">
        <v>3.9</v>
      </c>
      <c r="X1866" s="190">
        <f t="shared" si="80"/>
        <v>72.149999999999991</v>
      </c>
      <c r="Y1866" s="8"/>
      <c r="Z1866" s="8"/>
    </row>
    <row r="1867" spans="1:26" ht="12.75" customHeight="1" x14ac:dyDescent="0.2">
      <c r="A1867" s="15">
        <v>50</v>
      </c>
      <c r="B1867" s="15">
        <v>2001</v>
      </c>
      <c r="C1867" s="15">
        <v>4</v>
      </c>
      <c r="D1867" s="15">
        <v>8</v>
      </c>
      <c r="E1867" s="30">
        <v>0.39583333333333331</v>
      </c>
      <c r="F1867" s="20" t="s">
        <v>51</v>
      </c>
      <c r="G1867" s="32">
        <v>140</v>
      </c>
      <c r="H1867" s="15" t="s">
        <v>29</v>
      </c>
      <c r="I1867" s="33">
        <v>10.5</v>
      </c>
      <c r="J1867" s="11" t="s">
        <v>19</v>
      </c>
      <c r="K1867" s="20" t="s">
        <v>20</v>
      </c>
      <c r="L1867" s="11" t="s">
        <v>21</v>
      </c>
      <c r="M1867" s="20" t="s">
        <v>46</v>
      </c>
      <c r="N1867" s="20" t="s">
        <v>25</v>
      </c>
      <c r="O1867" s="31" t="s">
        <v>29</v>
      </c>
      <c r="P1867" s="15">
        <v>216</v>
      </c>
      <c r="Q1867" s="8"/>
      <c r="R1867">
        <v>13.06</v>
      </c>
      <c r="S1867">
        <v>2228.58</v>
      </c>
      <c r="T1867">
        <v>4.71</v>
      </c>
      <c r="U1867">
        <v>9.3800000000000008</v>
      </c>
      <c r="V1867">
        <v>131</v>
      </c>
      <c r="W1867" s="317">
        <v>3.9</v>
      </c>
      <c r="X1867" s="190">
        <f t="shared" si="80"/>
        <v>40.949999999999996</v>
      </c>
      <c r="Y1867" s="8"/>
      <c r="Z1867" s="8"/>
    </row>
    <row r="1868" spans="1:26" ht="12.75" customHeight="1" x14ac:dyDescent="0.2">
      <c r="A1868" s="15">
        <v>51</v>
      </c>
      <c r="B1868" s="15">
        <v>2001</v>
      </c>
      <c r="C1868" s="15">
        <v>4</v>
      </c>
      <c r="D1868" s="15">
        <v>8</v>
      </c>
      <c r="E1868" s="30">
        <v>0.39583333333333331</v>
      </c>
      <c r="F1868" s="20" t="s">
        <v>51</v>
      </c>
      <c r="G1868" s="32">
        <v>146</v>
      </c>
      <c r="H1868" s="15" t="s">
        <v>29</v>
      </c>
      <c r="I1868" s="33">
        <v>14</v>
      </c>
      <c r="J1868" s="11" t="s">
        <v>19</v>
      </c>
      <c r="K1868" s="20" t="s">
        <v>20</v>
      </c>
      <c r="L1868" s="11" t="s">
        <v>21</v>
      </c>
      <c r="M1868" s="20" t="s">
        <v>46</v>
      </c>
      <c r="N1868" s="20" t="s">
        <v>25</v>
      </c>
      <c r="O1868" s="31" t="s">
        <v>29</v>
      </c>
      <c r="P1868" s="15">
        <v>216</v>
      </c>
      <c r="Q1868" s="8"/>
      <c r="R1868">
        <v>13.62</v>
      </c>
      <c r="S1868">
        <v>2527.5700000000002</v>
      </c>
      <c r="T1868">
        <v>5.54</v>
      </c>
      <c r="U1868">
        <v>9.7799999999999994</v>
      </c>
      <c r="V1868">
        <v>136</v>
      </c>
      <c r="W1868" s="317">
        <v>3.9</v>
      </c>
      <c r="X1868" s="190">
        <f t="shared" si="80"/>
        <v>54.6</v>
      </c>
      <c r="Y1868" s="8"/>
      <c r="Z1868" s="8"/>
    </row>
    <row r="1869" spans="1:26" ht="12.75" customHeight="1" x14ac:dyDescent="0.2">
      <c r="A1869" s="15">
        <v>52</v>
      </c>
      <c r="B1869" s="15">
        <v>2001</v>
      </c>
      <c r="C1869" s="15">
        <v>4</v>
      </c>
      <c r="D1869" s="15">
        <v>8</v>
      </c>
      <c r="E1869" s="30">
        <v>0.39583333333333331</v>
      </c>
      <c r="F1869" s="20" t="s">
        <v>51</v>
      </c>
      <c r="G1869" s="32">
        <v>140</v>
      </c>
      <c r="H1869" s="15" t="s">
        <v>29</v>
      </c>
      <c r="I1869" s="33">
        <v>9.5</v>
      </c>
      <c r="J1869" s="11" t="s">
        <v>19</v>
      </c>
      <c r="K1869" s="20" t="s">
        <v>20</v>
      </c>
      <c r="L1869" s="11" t="s">
        <v>21</v>
      </c>
      <c r="M1869" s="20" t="s">
        <v>46</v>
      </c>
      <c r="N1869" s="20" t="s">
        <v>23</v>
      </c>
      <c r="O1869" s="31" t="s">
        <v>29</v>
      </c>
      <c r="P1869" s="15">
        <v>216</v>
      </c>
      <c r="Q1869" s="8"/>
      <c r="R1869">
        <v>13.06</v>
      </c>
      <c r="S1869">
        <v>2228.58</v>
      </c>
      <c r="T1869">
        <v>4.26</v>
      </c>
      <c r="U1869">
        <v>9.3800000000000008</v>
      </c>
      <c r="V1869">
        <v>131</v>
      </c>
      <c r="W1869" s="317">
        <v>3.9</v>
      </c>
      <c r="X1869" s="190">
        <f t="shared" si="80"/>
        <v>37.049999999999997</v>
      </c>
      <c r="Y1869" s="8"/>
      <c r="Z1869" s="8"/>
    </row>
    <row r="1870" spans="1:26" ht="12.75" customHeight="1" x14ac:dyDescent="0.2">
      <c r="A1870" s="15">
        <v>53</v>
      </c>
      <c r="B1870" s="15">
        <v>2001</v>
      </c>
      <c r="C1870" s="15">
        <v>4</v>
      </c>
      <c r="D1870" s="15">
        <v>8</v>
      </c>
      <c r="E1870" s="30">
        <v>0.39583333333333331</v>
      </c>
      <c r="F1870" s="20" t="s">
        <v>51</v>
      </c>
      <c r="G1870" s="32">
        <v>160</v>
      </c>
      <c r="H1870" s="15" t="s">
        <v>29</v>
      </c>
      <c r="I1870" s="33">
        <v>12.5</v>
      </c>
      <c r="J1870" s="11" t="s">
        <v>19</v>
      </c>
      <c r="K1870" s="20" t="s">
        <v>20</v>
      </c>
      <c r="L1870" s="11" t="s">
        <v>21</v>
      </c>
      <c r="M1870" s="20" t="s">
        <v>45</v>
      </c>
      <c r="N1870" s="20" t="s">
        <v>25</v>
      </c>
      <c r="O1870" s="31" t="s">
        <v>29</v>
      </c>
      <c r="P1870" s="15">
        <v>216</v>
      </c>
      <c r="Q1870" s="8"/>
      <c r="R1870">
        <v>14.93</v>
      </c>
      <c r="S1870">
        <v>3326.63</v>
      </c>
      <c r="T1870">
        <v>3.76</v>
      </c>
      <c r="U1870">
        <v>10.72</v>
      </c>
      <c r="V1870">
        <v>149</v>
      </c>
      <c r="W1870" s="317">
        <v>3.9</v>
      </c>
      <c r="X1870" s="190">
        <f t="shared" si="80"/>
        <v>48.75</v>
      </c>
      <c r="Y1870" s="8"/>
      <c r="Z1870" s="8"/>
    </row>
    <row r="1871" spans="1:26" ht="12.75" customHeight="1" x14ac:dyDescent="0.2">
      <c r="A1871" s="15">
        <v>54</v>
      </c>
      <c r="B1871" s="15">
        <v>2001</v>
      </c>
      <c r="C1871" s="15">
        <v>4</v>
      </c>
      <c r="D1871" s="15">
        <v>8</v>
      </c>
      <c r="E1871" s="30">
        <v>0.39583333333333331</v>
      </c>
      <c r="F1871" s="20" t="s">
        <v>51</v>
      </c>
      <c r="G1871" s="32">
        <v>146</v>
      </c>
      <c r="H1871" s="15" t="s">
        <v>29</v>
      </c>
      <c r="I1871" s="33">
        <v>10</v>
      </c>
      <c r="J1871" s="11" t="s">
        <v>19</v>
      </c>
      <c r="K1871" s="20" t="s">
        <v>20</v>
      </c>
      <c r="L1871" s="11" t="s">
        <v>21</v>
      </c>
      <c r="M1871" s="20" t="s">
        <v>46</v>
      </c>
      <c r="N1871" s="20" t="s">
        <v>24</v>
      </c>
      <c r="O1871" s="31" t="s">
        <v>29</v>
      </c>
      <c r="P1871" s="15">
        <v>216</v>
      </c>
      <c r="Q1871" s="8"/>
      <c r="R1871">
        <v>13.62</v>
      </c>
      <c r="S1871">
        <v>2527.5700000000002</v>
      </c>
      <c r="T1871">
        <v>3.96</v>
      </c>
      <c r="U1871">
        <v>9.7799999999999994</v>
      </c>
      <c r="V1871">
        <v>136</v>
      </c>
      <c r="W1871" s="317">
        <v>3.9</v>
      </c>
      <c r="X1871" s="190">
        <f t="shared" si="80"/>
        <v>39</v>
      </c>
      <c r="Y1871" s="8"/>
      <c r="Z1871" s="8"/>
    </row>
    <row r="1872" spans="1:26" ht="12.75" customHeight="1" x14ac:dyDescent="0.2">
      <c r="A1872" s="15">
        <v>55</v>
      </c>
      <c r="B1872" s="15">
        <v>2001</v>
      </c>
      <c r="C1872" s="15">
        <v>4</v>
      </c>
      <c r="D1872" s="15">
        <v>8</v>
      </c>
      <c r="E1872" s="30">
        <v>0.39583333333333331</v>
      </c>
      <c r="F1872" s="20" t="s">
        <v>51</v>
      </c>
      <c r="G1872" s="32">
        <v>142</v>
      </c>
      <c r="H1872" s="15" t="s">
        <v>29</v>
      </c>
      <c r="I1872" s="33">
        <v>9.5</v>
      </c>
      <c r="J1872" s="11" t="s">
        <v>19</v>
      </c>
      <c r="K1872" s="20" t="s">
        <v>20</v>
      </c>
      <c r="L1872" s="11" t="s">
        <v>21</v>
      </c>
      <c r="M1872" s="20" t="s">
        <v>46</v>
      </c>
      <c r="N1872" s="20" t="s">
        <v>24</v>
      </c>
      <c r="O1872" s="31" t="s">
        <v>29</v>
      </c>
      <c r="P1872" s="15">
        <v>216</v>
      </c>
      <c r="Q1872" s="8"/>
      <c r="R1872">
        <v>13.25</v>
      </c>
      <c r="S1872">
        <v>2325.4699999999998</v>
      </c>
      <c r="T1872">
        <v>4.09</v>
      </c>
      <c r="U1872">
        <v>9.51</v>
      </c>
      <c r="V1872">
        <v>132</v>
      </c>
      <c r="W1872" s="317">
        <v>3.9</v>
      </c>
      <c r="X1872" s="190">
        <f t="shared" si="80"/>
        <v>37.049999999999997</v>
      </c>
      <c r="Y1872" s="8"/>
      <c r="Z1872" s="8"/>
    </row>
    <row r="1873" spans="1:26" ht="12.75" customHeight="1" x14ac:dyDescent="0.2">
      <c r="A1873" s="15">
        <v>56</v>
      </c>
      <c r="B1873" s="15">
        <v>2001</v>
      </c>
      <c r="C1873" s="15">
        <v>4</v>
      </c>
      <c r="D1873" s="15">
        <v>8</v>
      </c>
      <c r="E1873" s="30">
        <v>0.39583333333333331</v>
      </c>
      <c r="F1873" s="20" t="s">
        <v>51</v>
      </c>
      <c r="G1873" s="32">
        <v>150</v>
      </c>
      <c r="H1873" s="15" t="s">
        <v>29</v>
      </c>
      <c r="I1873" s="33">
        <v>11</v>
      </c>
      <c r="J1873" s="11" t="s">
        <v>19</v>
      </c>
      <c r="K1873" s="20" t="s">
        <v>20</v>
      </c>
      <c r="L1873" s="11" t="s">
        <v>21</v>
      </c>
      <c r="M1873" s="20" t="s">
        <v>46</v>
      </c>
      <c r="N1873" s="20" t="s">
        <v>24</v>
      </c>
      <c r="O1873" s="31" t="s">
        <v>29</v>
      </c>
      <c r="P1873" s="15">
        <v>216</v>
      </c>
      <c r="Q1873" s="8"/>
      <c r="R1873">
        <v>14</v>
      </c>
      <c r="S1873">
        <v>2741.06</v>
      </c>
      <c r="T1873">
        <v>4.01</v>
      </c>
      <c r="U1873">
        <v>10.050000000000001</v>
      </c>
      <c r="V1873">
        <v>140</v>
      </c>
      <c r="W1873" s="317">
        <v>3.9</v>
      </c>
      <c r="X1873" s="190">
        <f t="shared" si="80"/>
        <v>42.9</v>
      </c>
      <c r="Y1873" s="8"/>
      <c r="Z1873" s="8"/>
    </row>
    <row r="1874" spans="1:26" ht="12.75" customHeight="1" x14ac:dyDescent="0.2">
      <c r="A1874" s="15">
        <v>57</v>
      </c>
      <c r="B1874" s="15">
        <v>2001</v>
      </c>
      <c r="C1874" s="15">
        <v>4</v>
      </c>
      <c r="D1874" s="15">
        <v>8</v>
      </c>
      <c r="E1874" s="30">
        <v>0.39583333333333331</v>
      </c>
      <c r="F1874" s="20" t="s">
        <v>51</v>
      </c>
      <c r="G1874" s="32">
        <v>148</v>
      </c>
      <c r="H1874" s="15" t="s">
        <v>29</v>
      </c>
      <c r="I1874" s="33">
        <v>9.5</v>
      </c>
      <c r="J1874" s="11" t="s">
        <v>19</v>
      </c>
      <c r="K1874" s="20" t="s">
        <v>20</v>
      </c>
      <c r="L1874" s="11" t="s">
        <v>21</v>
      </c>
      <c r="M1874" s="20" t="s">
        <v>46</v>
      </c>
      <c r="N1874" s="20" t="s">
        <v>23</v>
      </c>
      <c r="O1874" s="31" t="s">
        <v>29</v>
      </c>
      <c r="P1874" s="15">
        <v>216</v>
      </c>
      <c r="Q1874" s="8"/>
      <c r="R1874">
        <v>13.81</v>
      </c>
      <c r="S1874">
        <v>2632.87</v>
      </c>
      <c r="T1874">
        <v>3.61</v>
      </c>
      <c r="U1874">
        <v>9.92</v>
      </c>
      <c r="V1874">
        <v>138</v>
      </c>
      <c r="W1874" s="317">
        <v>3.9</v>
      </c>
      <c r="X1874" s="190">
        <f t="shared" si="80"/>
        <v>37.049999999999997</v>
      </c>
      <c r="Y1874" s="8"/>
      <c r="Z1874" s="8"/>
    </row>
    <row r="1875" spans="1:26" ht="12.75" customHeight="1" x14ac:dyDescent="0.2">
      <c r="A1875" s="15">
        <v>58</v>
      </c>
      <c r="B1875" s="15">
        <v>2001</v>
      </c>
      <c r="C1875" s="15">
        <v>4</v>
      </c>
      <c r="D1875" s="15">
        <v>8</v>
      </c>
      <c r="E1875" s="30">
        <v>0.39583333333333331</v>
      </c>
      <c r="F1875" s="20" t="s">
        <v>51</v>
      </c>
      <c r="G1875" s="32">
        <v>175</v>
      </c>
      <c r="H1875" s="15" t="s">
        <v>29</v>
      </c>
      <c r="I1875" s="33">
        <v>19</v>
      </c>
      <c r="J1875" s="11" t="s">
        <v>19</v>
      </c>
      <c r="K1875" s="20" t="s">
        <v>20</v>
      </c>
      <c r="L1875" s="11" t="s">
        <v>21</v>
      </c>
      <c r="M1875" s="20" t="s">
        <v>46</v>
      </c>
      <c r="N1875" s="20" t="s">
        <v>24</v>
      </c>
      <c r="O1875" s="31" t="s">
        <v>29</v>
      </c>
      <c r="P1875" s="15">
        <v>216</v>
      </c>
      <c r="Q1875" s="8"/>
      <c r="R1875">
        <v>16.329999999999998</v>
      </c>
      <c r="S1875">
        <v>4352.7</v>
      </c>
      <c r="T1875">
        <v>4.37</v>
      </c>
      <c r="U1875">
        <v>11.73</v>
      </c>
      <c r="V1875">
        <v>163</v>
      </c>
      <c r="W1875" s="317">
        <v>3.9</v>
      </c>
      <c r="X1875" s="190">
        <f t="shared" si="80"/>
        <v>74.099999999999994</v>
      </c>
      <c r="Y1875" s="8"/>
      <c r="Z1875" s="8"/>
    </row>
    <row r="1876" spans="1:26" ht="12.75" customHeight="1" x14ac:dyDescent="0.2">
      <c r="A1876" s="15">
        <v>59</v>
      </c>
      <c r="B1876" s="15">
        <v>2001</v>
      </c>
      <c r="C1876" s="15">
        <v>3</v>
      </c>
      <c r="D1876" s="15">
        <v>8</v>
      </c>
      <c r="E1876" s="29" t="s">
        <v>17</v>
      </c>
      <c r="F1876" s="20" t="s">
        <v>51</v>
      </c>
      <c r="G1876" s="32">
        <v>143</v>
      </c>
      <c r="H1876" s="15" t="s">
        <v>29</v>
      </c>
      <c r="I1876" s="33">
        <v>9.5</v>
      </c>
      <c r="J1876" s="11" t="s">
        <v>19</v>
      </c>
      <c r="K1876" s="20" t="s">
        <v>20</v>
      </c>
      <c r="L1876" s="11" t="s">
        <v>21</v>
      </c>
      <c r="M1876" s="20" t="s">
        <v>46</v>
      </c>
      <c r="N1876" s="20" t="s">
        <v>24</v>
      </c>
      <c r="O1876" s="31" t="s">
        <v>29</v>
      </c>
      <c r="P1876" s="15">
        <v>215</v>
      </c>
      <c r="Q1876" s="8"/>
      <c r="R1876">
        <v>13.34</v>
      </c>
      <c r="S1876">
        <v>2374.94</v>
      </c>
      <c r="T1876">
        <v>4</v>
      </c>
      <c r="U1876">
        <v>9.58</v>
      </c>
      <c r="V1876">
        <v>133</v>
      </c>
      <c r="W1876" s="317">
        <v>3.9</v>
      </c>
      <c r="X1876" s="190">
        <f t="shared" si="80"/>
        <v>37.049999999999997</v>
      </c>
      <c r="Y1876" s="8"/>
      <c r="Z1876" s="8"/>
    </row>
    <row r="1877" spans="1:26" ht="12.75" customHeight="1" x14ac:dyDescent="0.2">
      <c r="A1877" s="15">
        <v>60</v>
      </c>
      <c r="B1877" s="15">
        <v>2001</v>
      </c>
      <c r="C1877" s="15">
        <v>3</v>
      </c>
      <c r="D1877" s="15">
        <v>8</v>
      </c>
      <c r="E1877" s="29" t="s">
        <v>17</v>
      </c>
      <c r="F1877" s="20" t="s">
        <v>51</v>
      </c>
      <c r="G1877" s="32">
        <v>161</v>
      </c>
      <c r="H1877" s="15" t="s">
        <v>29</v>
      </c>
      <c r="I1877" s="33">
        <v>16</v>
      </c>
      <c r="J1877" s="11" t="s">
        <v>19</v>
      </c>
      <c r="K1877" s="20" t="s">
        <v>20</v>
      </c>
      <c r="L1877" s="11" t="s">
        <v>21</v>
      </c>
      <c r="M1877" s="20" t="s">
        <v>27</v>
      </c>
      <c r="N1877" s="20" t="s">
        <v>24</v>
      </c>
      <c r="O1877" s="31" t="s">
        <v>29</v>
      </c>
      <c r="P1877" s="15">
        <v>215</v>
      </c>
      <c r="Q1877" s="8"/>
      <c r="R1877">
        <v>15.02</v>
      </c>
      <c r="S1877">
        <v>3389.4</v>
      </c>
      <c r="T1877">
        <v>4.72</v>
      </c>
      <c r="U1877">
        <v>10.79</v>
      </c>
      <c r="V1877">
        <v>150</v>
      </c>
      <c r="W1877" s="317">
        <v>3.9</v>
      </c>
      <c r="X1877" s="190">
        <f t="shared" si="80"/>
        <v>62.4</v>
      </c>
      <c r="Y1877" s="8"/>
      <c r="Z1877" s="8"/>
    </row>
    <row r="1878" spans="1:26" ht="12.75" customHeight="1" x14ac:dyDescent="0.2">
      <c r="A1878" s="15">
        <v>61</v>
      </c>
      <c r="B1878" s="15">
        <v>2001</v>
      </c>
      <c r="C1878" s="15">
        <v>3</v>
      </c>
      <c r="D1878" s="15">
        <v>8</v>
      </c>
      <c r="E1878" s="29" t="s">
        <v>17</v>
      </c>
      <c r="F1878" s="20" t="s">
        <v>51</v>
      </c>
      <c r="G1878" s="32">
        <v>132</v>
      </c>
      <c r="H1878" s="15" t="s">
        <v>29</v>
      </c>
      <c r="I1878" s="33">
        <v>11.5</v>
      </c>
      <c r="J1878" s="11" t="s">
        <v>19</v>
      </c>
      <c r="K1878" s="20" t="s">
        <v>20</v>
      </c>
      <c r="L1878" s="20" t="s">
        <v>30</v>
      </c>
      <c r="M1878" s="20" t="s">
        <v>46</v>
      </c>
      <c r="N1878" s="20" t="s">
        <v>24</v>
      </c>
      <c r="O1878" s="31" t="s">
        <v>29</v>
      </c>
      <c r="P1878" s="15">
        <v>215</v>
      </c>
      <c r="Q1878" s="8"/>
      <c r="R1878">
        <v>12.32</v>
      </c>
      <c r="S1878">
        <v>1867.96</v>
      </c>
      <c r="T1878">
        <v>6.16</v>
      </c>
      <c r="U1878">
        <v>8.84</v>
      </c>
      <c r="V1878">
        <v>123</v>
      </c>
      <c r="W1878" s="317">
        <v>4.5999999999999996</v>
      </c>
      <c r="X1878" s="190">
        <f t="shared" si="80"/>
        <v>52.9</v>
      </c>
      <c r="Y1878" s="8"/>
      <c r="Z1878" s="8"/>
    </row>
    <row r="1879" spans="1:26" ht="12.75" customHeight="1" x14ac:dyDescent="0.2">
      <c r="A1879" s="15">
        <v>62</v>
      </c>
      <c r="B1879" s="15">
        <v>2001</v>
      </c>
      <c r="C1879" s="15">
        <v>3</v>
      </c>
      <c r="D1879" s="15">
        <v>8</v>
      </c>
      <c r="E1879" s="29" t="s">
        <v>17</v>
      </c>
      <c r="F1879" s="20" t="s">
        <v>51</v>
      </c>
      <c r="G1879" s="32">
        <v>139</v>
      </c>
      <c r="H1879" s="15" t="s">
        <v>29</v>
      </c>
      <c r="I1879" s="33">
        <v>14</v>
      </c>
      <c r="J1879" s="11" t="s">
        <v>19</v>
      </c>
      <c r="K1879" s="20" t="s">
        <v>20</v>
      </c>
      <c r="L1879" s="20" t="s">
        <v>30</v>
      </c>
      <c r="M1879" s="20" t="s">
        <v>46</v>
      </c>
      <c r="N1879" s="20" t="s">
        <v>25</v>
      </c>
      <c r="O1879" s="31" t="s">
        <v>29</v>
      </c>
      <c r="P1879" s="15">
        <v>215</v>
      </c>
      <c r="Q1879" s="8"/>
      <c r="R1879">
        <v>12.97</v>
      </c>
      <c r="S1879">
        <v>2181.17</v>
      </c>
      <c r="T1879">
        <v>6.42</v>
      </c>
      <c r="U1879">
        <v>9.31</v>
      </c>
      <c r="V1879">
        <v>130</v>
      </c>
      <c r="W1879" s="317">
        <v>4.5999999999999996</v>
      </c>
      <c r="X1879" s="190">
        <f t="shared" si="80"/>
        <v>64.399999999999991</v>
      </c>
      <c r="Y1879" s="8"/>
      <c r="Z1879" s="8"/>
    </row>
    <row r="1880" spans="1:26" ht="12.75" customHeight="1" x14ac:dyDescent="0.2">
      <c r="A1880" s="15">
        <v>63</v>
      </c>
      <c r="B1880" s="15">
        <v>2001</v>
      </c>
      <c r="C1880" s="15">
        <v>3</v>
      </c>
      <c r="D1880" s="15">
        <v>8</v>
      </c>
      <c r="E1880" s="29" t="s">
        <v>17</v>
      </c>
      <c r="F1880" s="20" t="s">
        <v>51</v>
      </c>
      <c r="G1880" s="32">
        <v>160</v>
      </c>
      <c r="H1880" s="15" t="s">
        <v>29</v>
      </c>
      <c r="I1880" s="33">
        <v>11</v>
      </c>
      <c r="J1880" s="11" t="s">
        <v>19</v>
      </c>
      <c r="K1880" s="20" t="s">
        <v>20</v>
      </c>
      <c r="L1880" s="11" t="s">
        <v>21</v>
      </c>
      <c r="M1880" s="20" t="s">
        <v>27</v>
      </c>
      <c r="N1880" s="20" t="s">
        <v>33</v>
      </c>
      <c r="O1880" s="31" t="s">
        <v>29</v>
      </c>
      <c r="P1880" s="15">
        <v>215</v>
      </c>
      <c r="Q1880" s="8"/>
      <c r="R1880">
        <v>14.93</v>
      </c>
      <c r="S1880">
        <v>3326.63</v>
      </c>
      <c r="T1880">
        <v>3.31</v>
      </c>
      <c r="U1880">
        <v>10.72</v>
      </c>
      <c r="V1880">
        <v>149</v>
      </c>
      <c r="W1880" s="317">
        <v>3.9</v>
      </c>
      <c r="X1880" s="190">
        <f t="shared" si="80"/>
        <v>42.9</v>
      </c>
      <c r="Y1880" s="8"/>
      <c r="Z1880" s="8"/>
    </row>
    <row r="1881" spans="1:26" ht="12.75" customHeight="1" x14ac:dyDescent="0.2">
      <c r="A1881" s="15">
        <v>64</v>
      </c>
      <c r="B1881" s="15">
        <v>2001</v>
      </c>
      <c r="C1881" s="15">
        <v>3</v>
      </c>
      <c r="D1881" s="15">
        <v>8</v>
      </c>
      <c r="E1881" s="29" t="s">
        <v>17</v>
      </c>
      <c r="F1881" s="11" t="s">
        <v>28</v>
      </c>
      <c r="G1881" s="11" t="s">
        <v>29</v>
      </c>
      <c r="H1881" s="15" t="s">
        <v>29</v>
      </c>
      <c r="I1881" s="33" t="s">
        <v>29</v>
      </c>
      <c r="J1881" s="11" t="s">
        <v>19</v>
      </c>
      <c r="K1881" s="20" t="s">
        <v>20</v>
      </c>
      <c r="L1881" s="11" t="s">
        <v>21</v>
      </c>
      <c r="M1881" s="11" t="s">
        <v>29</v>
      </c>
      <c r="N1881" s="11" t="s">
        <v>29</v>
      </c>
      <c r="O1881" s="31" t="s">
        <v>29</v>
      </c>
      <c r="P1881" s="15">
        <v>215</v>
      </c>
      <c r="Q1881" s="8"/>
      <c r="W1881" s="317">
        <v>3.9</v>
      </c>
      <c r="X1881" s="190"/>
      <c r="Y1881" s="8"/>
      <c r="Z1881" s="8"/>
    </row>
    <row r="1882" spans="1:26" ht="12.75" customHeight="1" x14ac:dyDescent="0.2">
      <c r="A1882" s="15">
        <v>65</v>
      </c>
      <c r="B1882" s="15">
        <v>2001</v>
      </c>
      <c r="C1882" s="15">
        <v>3</v>
      </c>
      <c r="D1882" s="15">
        <v>8</v>
      </c>
      <c r="E1882" s="29" t="s">
        <v>17</v>
      </c>
      <c r="F1882" s="20" t="s">
        <v>51</v>
      </c>
      <c r="G1882" s="32">
        <v>134</v>
      </c>
      <c r="H1882" s="15" t="s">
        <v>29</v>
      </c>
      <c r="I1882" s="33" t="s">
        <v>29</v>
      </c>
      <c r="J1882" s="11" t="s">
        <v>19</v>
      </c>
      <c r="K1882" s="20" t="s">
        <v>20</v>
      </c>
      <c r="L1882" s="11" t="s">
        <v>21</v>
      </c>
      <c r="M1882" s="11" t="s">
        <v>29</v>
      </c>
      <c r="N1882" s="20" t="s">
        <v>25</v>
      </c>
      <c r="O1882" s="31" t="s">
        <v>29</v>
      </c>
      <c r="P1882" s="15">
        <v>215</v>
      </c>
      <c r="Q1882" s="8"/>
      <c r="R1882">
        <v>12.5</v>
      </c>
      <c r="S1882">
        <v>1954.16</v>
      </c>
      <c r="U1882">
        <v>8.98</v>
      </c>
      <c r="V1882">
        <v>125</v>
      </c>
      <c r="W1882" s="317">
        <v>3.9</v>
      </c>
      <c r="X1882" s="190"/>
      <c r="Y1882" s="8"/>
      <c r="Z1882" s="8"/>
    </row>
    <row r="1883" spans="1:26" ht="12.75" customHeight="1" x14ac:dyDescent="0.2">
      <c r="A1883" s="15">
        <v>66</v>
      </c>
      <c r="B1883" s="15">
        <v>2001</v>
      </c>
      <c r="C1883" s="15">
        <v>3</v>
      </c>
      <c r="D1883" s="15">
        <v>8</v>
      </c>
      <c r="E1883" s="29" t="s">
        <v>17</v>
      </c>
      <c r="F1883" s="20" t="s">
        <v>51</v>
      </c>
      <c r="G1883" s="32">
        <v>161</v>
      </c>
      <c r="H1883" s="15" t="s">
        <v>29</v>
      </c>
      <c r="I1883" s="33">
        <v>12</v>
      </c>
      <c r="J1883" s="11" t="s">
        <v>19</v>
      </c>
      <c r="K1883" s="20" t="s">
        <v>20</v>
      </c>
      <c r="L1883" s="11" t="s">
        <v>21</v>
      </c>
      <c r="M1883" s="20" t="s">
        <v>46</v>
      </c>
      <c r="N1883" s="20" t="s">
        <v>203</v>
      </c>
      <c r="O1883" s="31" t="s">
        <v>29</v>
      </c>
      <c r="P1883" s="15">
        <v>215</v>
      </c>
      <c r="Q1883" s="8"/>
      <c r="R1883">
        <v>15.02</v>
      </c>
      <c r="S1883">
        <v>3389.4</v>
      </c>
      <c r="T1883">
        <v>3.54</v>
      </c>
      <c r="U1883">
        <v>10.79</v>
      </c>
      <c r="V1883">
        <v>150</v>
      </c>
      <c r="W1883" s="317">
        <v>3.9</v>
      </c>
      <c r="X1883" s="190">
        <f t="shared" si="80"/>
        <v>46.8</v>
      </c>
      <c r="Y1883" s="8"/>
      <c r="Z1883" s="8"/>
    </row>
    <row r="1884" spans="1:26" ht="12.75" customHeight="1" x14ac:dyDescent="0.2">
      <c r="A1884" s="15">
        <v>67</v>
      </c>
      <c r="B1884" s="15">
        <v>2001</v>
      </c>
      <c r="C1884" s="15">
        <v>3</v>
      </c>
      <c r="D1884" s="15">
        <v>8</v>
      </c>
      <c r="E1884" s="29" t="s">
        <v>17</v>
      </c>
      <c r="F1884" s="20" t="s">
        <v>51</v>
      </c>
      <c r="G1884" s="32">
        <v>153</v>
      </c>
      <c r="H1884" s="15" t="s">
        <v>29</v>
      </c>
      <c r="I1884" s="33">
        <v>16.5</v>
      </c>
      <c r="J1884" s="11" t="s">
        <v>19</v>
      </c>
      <c r="K1884" s="20" t="s">
        <v>20</v>
      </c>
      <c r="L1884" s="11" t="s">
        <v>21</v>
      </c>
      <c r="M1884" s="20" t="s">
        <v>46</v>
      </c>
      <c r="N1884" s="20" t="s">
        <v>39</v>
      </c>
      <c r="O1884" s="31" t="s">
        <v>29</v>
      </c>
      <c r="P1884" s="15">
        <v>215</v>
      </c>
      <c r="Q1884" s="8"/>
      <c r="R1884">
        <v>14.27</v>
      </c>
      <c r="S1884">
        <v>2908.84</v>
      </c>
      <c r="T1884">
        <v>5.67</v>
      </c>
      <c r="U1884">
        <v>10.25</v>
      </c>
      <c r="V1884">
        <v>143</v>
      </c>
      <c r="W1884" s="317">
        <v>3.9</v>
      </c>
      <c r="X1884" s="190">
        <f t="shared" si="80"/>
        <v>64.349999999999994</v>
      </c>
      <c r="Y1884" s="8"/>
      <c r="Z1884" s="8"/>
    </row>
    <row r="1885" spans="1:26" ht="12.75" customHeight="1" x14ac:dyDescent="0.2">
      <c r="A1885" s="15">
        <v>68</v>
      </c>
      <c r="B1885" s="15">
        <v>2001</v>
      </c>
      <c r="C1885" s="15">
        <v>3</v>
      </c>
      <c r="D1885" s="15">
        <v>8</v>
      </c>
      <c r="E1885" s="29" t="s">
        <v>17</v>
      </c>
      <c r="F1885" s="20" t="s">
        <v>51</v>
      </c>
      <c r="G1885" s="32">
        <v>135</v>
      </c>
      <c r="H1885" s="15" t="s">
        <v>29</v>
      </c>
      <c r="I1885" s="33">
        <v>8.5</v>
      </c>
      <c r="J1885" s="11" t="s">
        <v>19</v>
      </c>
      <c r="K1885" s="20" t="s">
        <v>20</v>
      </c>
      <c r="L1885" s="11" t="s">
        <v>21</v>
      </c>
      <c r="M1885" s="20" t="s">
        <v>45</v>
      </c>
      <c r="N1885" s="20" t="s">
        <v>25</v>
      </c>
      <c r="O1885" s="31" t="s">
        <v>29</v>
      </c>
      <c r="P1885" s="15">
        <v>215</v>
      </c>
      <c r="Q1885" s="8"/>
      <c r="R1885">
        <v>12.6</v>
      </c>
      <c r="S1885">
        <v>1998.23</v>
      </c>
      <c r="T1885">
        <v>4.25</v>
      </c>
      <c r="U1885">
        <v>9.0500000000000007</v>
      </c>
      <c r="V1885">
        <v>126</v>
      </c>
      <c r="W1885" s="317">
        <v>3.9</v>
      </c>
      <c r="X1885" s="190">
        <f t="shared" si="80"/>
        <v>33.15</v>
      </c>
      <c r="Y1885" s="8"/>
      <c r="Z1885" s="8"/>
    </row>
    <row r="1886" spans="1:26" ht="12.75" customHeight="1" x14ac:dyDescent="0.2">
      <c r="A1886" s="15">
        <v>69</v>
      </c>
      <c r="B1886" s="15">
        <v>2001</v>
      </c>
      <c r="C1886" s="15">
        <v>3</v>
      </c>
      <c r="D1886" s="15">
        <v>8</v>
      </c>
      <c r="E1886" s="29" t="s">
        <v>17</v>
      </c>
      <c r="F1886" s="20" t="s">
        <v>51</v>
      </c>
      <c r="G1886" s="32">
        <v>147</v>
      </c>
      <c r="H1886" s="15" t="s">
        <v>29</v>
      </c>
      <c r="I1886" s="33">
        <v>11</v>
      </c>
      <c r="J1886" s="11" t="s">
        <v>19</v>
      </c>
      <c r="K1886" s="20" t="s">
        <v>20</v>
      </c>
      <c r="L1886" s="11" t="s">
        <v>21</v>
      </c>
      <c r="M1886" s="20" t="s">
        <v>47</v>
      </c>
      <c r="N1886" s="20" t="s">
        <v>24</v>
      </c>
      <c r="O1886" s="31" t="s">
        <v>29</v>
      </c>
      <c r="P1886" s="15">
        <v>215</v>
      </c>
      <c r="Q1886" s="8"/>
      <c r="R1886">
        <v>13.72</v>
      </c>
      <c r="S1886">
        <v>2579.86</v>
      </c>
      <c r="T1886">
        <v>4.26</v>
      </c>
      <c r="U1886">
        <v>9.85</v>
      </c>
      <c r="V1886">
        <v>137</v>
      </c>
      <c r="W1886" s="317">
        <v>3.9</v>
      </c>
      <c r="X1886" s="190">
        <f t="shared" si="80"/>
        <v>42.9</v>
      </c>
      <c r="Y1886" s="8"/>
      <c r="Z1886" s="8"/>
    </row>
    <row r="1887" spans="1:26" ht="12.75" customHeight="1" x14ac:dyDescent="0.2">
      <c r="A1887" s="15">
        <v>70</v>
      </c>
      <c r="B1887" s="15">
        <v>2001</v>
      </c>
      <c r="C1887" s="15">
        <v>2</v>
      </c>
      <c r="D1887" s="15">
        <v>8</v>
      </c>
      <c r="E1887" s="29" t="s">
        <v>17</v>
      </c>
      <c r="F1887" s="20" t="s">
        <v>51</v>
      </c>
      <c r="G1887" s="32">
        <v>136</v>
      </c>
      <c r="H1887" s="15" t="s">
        <v>29</v>
      </c>
      <c r="I1887" s="33">
        <v>9.5</v>
      </c>
      <c r="J1887" s="11" t="s">
        <v>19</v>
      </c>
      <c r="K1887" s="20" t="s">
        <v>20</v>
      </c>
      <c r="L1887" s="11" t="s">
        <v>21</v>
      </c>
      <c r="M1887" s="20" t="s">
        <v>46</v>
      </c>
      <c r="N1887" s="20" t="s">
        <v>24</v>
      </c>
      <c r="O1887" s="31" t="s">
        <v>29</v>
      </c>
      <c r="P1887" s="15">
        <v>214</v>
      </c>
      <c r="Q1887" s="8"/>
      <c r="R1887">
        <v>12.69</v>
      </c>
      <c r="S1887">
        <v>2042.97</v>
      </c>
      <c r="T1887">
        <v>4.6500000000000004</v>
      </c>
      <c r="U1887">
        <v>9.11</v>
      </c>
      <c r="V1887">
        <v>127</v>
      </c>
      <c r="W1887" s="317">
        <v>3.9</v>
      </c>
      <c r="X1887" s="190">
        <f t="shared" si="80"/>
        <v>37.049999999999997</v>
      </c>
      <c r="Y1887" s="8"/>
      <c r="Z1887" s="8"/>
    </row>
    <row r="1888" spans="1:26" ht="12.75" customHeight="1" x14ac:dyDescent="0.2">
      <c r="A1888" s="15">
        <v>71</v>
      </c>
      <c r="B1888" s="15">
        <v>2001</v>
      </c>
      <c r="C1888" s="15">
        <v>2</v>
      </c>
      <c r="D1888" s="15">
        <v>8</v>
      </c>
      <c r="E1888" s="29" t="s">
        <v>17</v>
      </c>
      <c r="F1888" s="20" t="s">
        <v>51</v>
      </c>
      <c r="G1888" s="32">
        <v>144</v>
      </c>
      <c r="H1888" s="15" t="s">
        <v>29</v>
      </c>
      <c r="I1888" s="33">
        <v>11</v>
      </c>
      <c r="J1888" s="11" t="s">
        <v>19</v>
      </c>
      <c r="K1888" s="20" t="s">
        <v>20</v>
      </c>
      <c r="L1888" s="11" t="s">
        <v>21</v>
      </c>
      <c r="M1888" s="20" t="s">
        <v>46</v>
      </c>
      <c r="N1888" s="20" t="s">
        <v>24</v>
      </c>
      <c r="O1888" s="31" t="s">
        <v>29</v>
      </c>
      <c r="P1888" s="15">
        <v>214</v>
      </c>
      <c r="Q1888" s="8"/>
      <c r="R1888">
        <v>13.44</v>
      </c>
      <c r="S1888">
        <v>2425.12</v>
      </c>
      <c r="T1888">
        <v>4.54</v>
      </c>
      <c r="U1888">
        <v>9.65</v>
      </c>
      <c r="V1888">
        <v>134</v>
      </c>
      <c r="W1888" s="317">
        <v>3.9</v>
      </c>
      <c r="X1888" s="190">
        <f t="shared" si="80"/>
        <v>42.9</v>
      </c>
      <c r="Y1888" s="8"/>
      <c r="Z1888" s="8"/>
    </row>
    <row r="1889" spans="1:26" ht="12.75" customHeight="1" x14ac:dyDescent="0.2">
      <c r="A1889" s="15">
        <v>72</v>
      </c>
      <c r="B1889" s="15">
        <v>2001</v>
      </c>
      <c r="C1889" s="15">
        <v>2</v>
      </c>
      <c r="D1889" s="15">
        <v>8</v>
      </c>
      <c r="E1889" s="29" t="s">
        <v>17</v>
      </c>
      <c r="F1889" s="20" t="s">
        <v>51</v>
      </c>
      <c r="G1889" s="32">
        <v>159</v>
      </c>
      <c r="H1889" s="15" t="s">
        <v>29</v>
      </c>
      <c r="I1889" s="33">
        <v>14.5</v>
      </c>
      <c r="J1889" s="11" t="s">
        <v>19</v>
      </c>
      <c r="K1889" s="20" t="s">
        <v>20</v>
      </c>
      <c r="L1889" s="11" t="s">
        <v>21</v>
      </c>
      <c r="M1889" s="20" t="s">
        <v>46</v>
      </c>
      <c r="N1889" s="20" t="s">
        <v>24</v>
      </c>
      <c r="O1889" s="31" t="s">
        <v>29</v>
      </c>
      <c r="P1889" s="15">
        <v>214</v>
      </c>
      <c r="Q1889" s="8"/>
      <c r="R1889">
        <v>14.83</v>
      </c>
      <c r="S1889">
        <v>3264.65</v>
      </c>
      <c r="T1889">
        <v>4.4400000000000004</v>
      </c>
      <c r="U1889">
        <v>10.65</v>
      </c>
      <c r="V1889">
        <v>148</v>
      </c>
      <c r="W1889" s="317">
        <v>3.9</v>
      </c>
      <c r="X1889" s="190">
        <f t="shared" si="80"/>
        <v>56.55</v>
      </c>
      <c r="Y1889" s="8"/>
      <c r="Z1889" s="8"/>
    </row>
    <row r="1890" spans="1:26" ht="12.75" customHeight="1" x14ac:dyDescent="0.2">
      <c r="A1890" s="15">
        <v>73</v>
      </c>
      <c r="B1890" s="15">
        <v>2001</v>
      </c>
      <c r="C1890" s="15">
        <v>2</v>
      </c>
      <c r="D1890" s="15">
        <v>8</v>
      </c>
      <c r="E1890" s="29" t="s">
        <v>17</v>
      </c>
      <c r="F1890" s="20" t="s">
        <v>51</v>
      </c>
      <c r="G1890" s="32">
        <v>163</v>
      </c>
      <c r="H1890" s="15" t="s">
        <v>29</v>
      </c>
      <c r="I1890" s="33">
        <v>15</v>
      </c>
      <c r="J1890" s="11" t="s">
        <v>19</v>
      </c>
      <c r="K1890" s="20" t="s">
        <v>20</v>
      </c>
      <c r="L1890" s="11" t="s">
        <v>21</v>
      </c>
      <c r="M1890" s="20" t="s">
        <v>27</v>
      </c>
      <c r="N1890" s="20" t="s">
        <v>24</v>
      </c>
      <c r="O1890" s="31" t="s">
        <v>29</v>
      </c>
      <c r="P1890" s="15">
        <v>214</v>
      </c>
      <c r="Q1890" s="8"/>
      <c r="R1890">
        <v>15.21</v>
      </c>
      <c r="S1890">
        <v>3517.29</v>
      </c>
      <c r="T1890">
        <v>4.26</v>
      </c>
      <c r="U1890">
        <v>10.92</v>
      </c>
      <c r="V1890">
        <v>152</v>
      </c>
      <c r="W1890" s="317">
        <v>3.9</v>
      </c>
      <c r="X1890" s="190">
        <f t="shared" si="80"/>
        <v>58.5</v>
      </c>
      <c r="Y1890" s="8"/>
      <c r="Z1890" s="8"/>
    </row>
    <row r="1891" spans="1:26" ht="12.75" customHeight="1" x14ac:dyDescent="0.2">
      <c r="A1891" s="15">
        <v>74</v>
      </c>
      <c r="B1891" s="15">
        <v>2001</v>
      </c>
      <c r="C1891" s="15">
        <v>2</v>
      </c>
      <c r="D1891" s="15">
        <v>8</v>
      </c>
      <c r="E1891" s="29" t="s">
        <v>17</v>
      </c>
      <c r="F1891" s="20" t="s">
        <v>51</v>
      </c>
      <c r="G1891" s="32">
        <v>145</v>
      </c>
      <c r="H1891" s="15" t="s">
        <v>29</v>
      </c>
      <c r="I1891" s="33">
        <v>14.5</v>
      </c>
      <c r="J1891" s="11" t="s">
        <v>19</v>
      </c>
      <c r="K1891" s="20" t="s">
        <v>20</v>
      </c>
      <c r="L1891" s="20" t="s">
        <v>30</v>
      </c>
      <c r="M1891" s="20" t="s">
        <v>45</v>
      </c>
      <c r="N1891" s="20" t="s">
        <v>24</v>
      </c>
      <c r="O1891" s="31" t="s">
        <v>29</v>
      </c>
      <c r="P1891" s="15">
        <v>214</v>
      </c>
      <c r="Q1891" s="8"/>
      <c r="R1891">
        <v>13.53</v>
      </c>
      <c r="S1891">
        <v>2475.9899999999998</v>
      </c>
      <c r="T1891">
        <v>5.86</v>
      </c>
      <c r="U1891">
        <v>9.7200000000000006</v>
      </c>
      <c r="V1891">
        <v>135</v>
      </c>
      <c r="W1891" s="317">
        <v>4.5999999999999996</v>
      </c>
      <c r="X1891" s="190">
        <f t="shared" si="80"/>
        <v>66.699999999999989</v>
      </c>
      <c r="Y1891" s="8"/>
      <c r="Z1891" s="8"/>
    </row>
    <row r="1892" spans="1:26" ht="12.75" customHeight="1" x14ac:dyDescent="0.2">
      <c r="A1892" s="15">
        <v>75</v>
      </c>
      <c r="B1892" s="15">
        <v>2001</v>
      </c>
      <c r="C1892" s="15">
        <v>2</v>
      </c>
      <c r="D1892" s="15">
        <v>8</v>
      </c>
      <c r="E1892" s="29" t="s">
        <v>17</v>
      </c>
      <c r="F1892" s="20" t="s">
        <v>51</v>
      </c>
      <c r="G1892" s="32">
        <v>144</v>
      </c>
      <c r="H1892" s="15" t="s">
        <v>29</v>
      </c>
      <c r="I1892" s="33">
        <v>14</v>
      </c>
      <c r="J1892" s="11" t="s">
        <v>19</v>
      </c>
      <c r="K1892" s="20" t="s">
        <v>20</v>
      </c>
      <c r="L1892" s="20" t="s">
        <v>30</v>
      </c>
      <c r="M1892" s="20" t="s">
        <v>215</v>
      </c>
      <c r="N1892" s="20" t="s">
        <v>24</v>
      </c>
      <c r="O1892" s="31" t="s">
        <v>29</v>
      </c>
      <c r="P1892" s="15">
        <v>214</v>
      </c>
      <c r="Q1892" s="8"/>
      <c r="R1892">
        <v>13.44</v>
      </c>
      <c r="S1892">
        <v>2425.12</v>
      </c>
      <c r="T1892">
        <v>5.77</v>
      </c>
      <c r="U1892">
        <v>9.65</v>
      </c>
      <c r="V1892">
        <v>134</v>
      </c>
      <c r="W1892" s="317">
        <v>4.5999999999999996</v>
      </c>
      <c r="X1892" s="190">
        <f t="shared" si="80"/>
        <v>64.399999999999991</v>
      </c>
      <c r="Y1892" s="8"/>
      <c r="Z1892" s="8"/>
    </row>
    <row r="1893" spans="1:26" ht="12.75" customHeight="1" x14ac:dyDescent="0.2">
      <c r="A1893" s="15">
        <v>76</v>
      </c>
      <c r="B1893" s="15">
        <v>2001</v>
      </c>
      <c r="C1893" s="15">
        <v>2</v>
      </c>
      <c r="D1893" s="15">
        <v>8</v>
      </c>
      <c r="E1893" s="29" t="s">
        <v>17</v>
      </c>
      <c r="F1893" s="20" t="s">
        <v>51</v>
      </c>
      <c r="G1893" s="32">
        <v>127</v>
      </c>
      <c r="H1893" s="15" t="s">
        <v>29</v>
      </c>
      <c r="I1893" s="33">
        <v>10.5</v>
      </c>
      <c r="J1893" s="11" t="s">
        <v>19</v>
      </c>
      <c r="K1893" s="20" t="s">
        <v>20</v>
      </c>
      <c r="L1893" s="20" t="s">
        <v>30</v>
      </c>
      <c r="M1893" s="20" t="s">
        <v>46</v>
      </c>
      <c r="N1893" s="20" t="s">
        <v>24</v>
      </c>
      <c r="O1893" s="31" t="s">
        <v>29</v>
      </c>
      <c r="P1893" s="15">
        <v>214</v>
      </c>
      <c r="Q1893" s="8"/>
      <c r="R1893">
        <v>11.85</v>
      </c>
      <c r="S1893">
        <v>1663.63</v>
      </c>
      <c r="T1893">
        <v>6.31</v>
      </c>
      <c r="U1893">
        <v>8.51</v>
      </c>
      <c r="V1893">
        <v>118</v>
      </c>
      <c r="W1893" s="317">
        <v>4.5999999999999996</v>
      </c>
      <c r="X1893" s="190">
        <f t="shared" si="80"/>
        <v>48.3</v>
      </c>
      <c r="Y1893" s="8"/>
      <c r="Z1893" s="8"/>
    </row>
    <row r="1894" spans="1:26" ht="12.75" customHeight="1" x14ac:dyDescent="0.2">
      <c r="A1894" s="15">
        <v>77</v>
      </c>
      <c r="B1894" s="15">
        <v>2001</v>
      </c>
      <c r="C1894" s="15">
        <v>2</v>
      </c>
      <c r="D1894" s="15">
        <v>8</v>
      </c>
      <c r="E1894" s="29" t="s">
        <v>17</v>
      </c>
      <c r="F1894" s="20" t="s">
        <v>51</v>
      </c>
      <c r="G1894" s="32">
        <v>133</v>
      </c>
      <c r="H1894" s="15" t="s">
        <v>29</v>
      </c>
      <c r="I1894" s="33">
        <v>13</v>
      </c>
      <c r="J1894" s="11" t="s">
        <v>19</v>
      </c>
      <c r="K1894" s="20" t="s">
        <v>20</v>
      </c>
      <c r="L1894" s="20" t="s">
        <v>30</v>
      </c>
      <c r="M1894" s="20" t="s">
        <v>46</v>
      </c>
      <c r="N1894" s="20" t="s">
        <v>24</v>
      </c>
      <c r="O1894" s="31" t="s">
        <v>29</v>
      </c>
      <c r="P1894" s="15">
        <v>214</v>
      </c>
      <c r="Q1894" s="8"/>
      <c r="R1894">
        <v>12.41</v>
      </c>
      <c r="S1894">
        <v>1910.73</v>
      </c>
      <c r="T1894">
        <v>6.8</v>
      </c>
      <c r="U1894">
        <v>8.91</v>
      </c>
      <c r="V1894">
        <v>124</v>
      </c>
      <c r="W1894" s="317">
        <v>4.5999999999999996</v>
      </c>
      <c r="X1894" s="190">
        <f t="shared" si="80"/>
        <v>59.8</v>
      </c>
      <c r="Y1894" s="8"/>
      <c r="Z1894" s="8"/>
    </row>
    <row r="1895" spans="1:26" ht="12.75" customHeight="1" x14ac:dyDescent="0.2">
      <c r="A1895" s="15">
        <v>78</v>
      </c>
      <c r="B1895" s="15">
        <v>2001</v>
      </c>
      <c r="C1895" s="15">
        <v>2</v>
      </c>
      <c r="D1895" s="15">
        <v>8</v>
      </c>
      <c r="E1895" s="29" t="s">
        <v>17</v>
      </c>
      <c r="F1895" s="20" t="s">
        <v>51</v>
      </c>
      <c r="G1895" s="32">
        <v>122</v>
      </c>
      <c r="H1895" s="15" t="s">
        <v>29</v>
      </c>
      <c r="I1895" s="33">
        <v>9</v>
      </c>
      <c r="J1895" s="11" t="s">
        <v>19</v>
      </c>
      <c r="K1895" s="20" t="s">
        <v>20</v>
      </c>
      <c r="L1895" s="20" t="s">
        <v>30</v>
      </c>
      <c r="M1895" s="20" t="s">
        <v>46</v>
      </c>
      <c r="N1895" s="20" t="s">
        <v>24</v>
      </c>
      <c r="O1895" s="31" t="s">
        <v>29</v>
      </c>
      <c r="P1895" s="15">
        <v>214</v>
      </c>
      <c r="Q1895" s="8"/>
      <c r="R1895">
        <v>11.38</v>
      </c>
      <c r="S1895">
        <v>1474.77</v>
      </c>
      <c r="T1895">
        <v>6.1</v>
      </c>
      <c r="U1895">
        <v>8.17</v>
      </c>
      <c r="V1895">
        <v>114</v>
      </c>
      <c r="W1895" s="317">
        <v>4.5999999999999996</v>
      </c>
      <c r="X1895" s="190">
        <f t="shared" si="80"/>
        <v>41.4</v>
      </c>
      <c r="Y1895" s="8"/>
      <c r="Z1895" s="8"/>
    </row>
    <row r="1896" spans="1:26" ht="12.75" customHeight="1" x14ac:dyDescent="0.2">
      <c r="A1896" s="15">
        <v>79</v>
      </c>
      <c r="B1896" s="15">
        <v>2001</v>
      </c>
      <c r="C1896" s="15">
        <v>2</v>
      </c>
      <c r="D1896" s="15">
        <v>8</v>
      </c>
      <c r="E1896" s="29" t="s">
        <v>17</v>
      </c>
      <c r="F1896" s="20" t="s">
        <v>51</v>
      </c>
      <c r="G1896" s="32">
        <v>150</v>
      </c>
      <c r="H1896" s="15" t="s">
        <v>29</v>
      </c>
      <c r="I1896" s="33">
        <v>11.5</v>
      </c>
      <c r="J1896" s="11" t="s">
        <v>19</v>
      </c>
      <c r="K1896" s="20" t="s">
        <v>20</v>
      </c>
      <c r="L1896" s="20" t="s">
        <v>30</v>
      </c>
      <c r="M1896" s="11" t="s">
        <v>29</v>
      </c>
      <c r="N1896" s="20" t="s">
        <v>25</v>
      </c>
      <c r="O1896" s="31" t="s">
        <v>29</v>
      </c>
      <c r="P1896" s="15">
        <v>214</v>
      </c>
      <c r="Q1896" s="8"/>
      <c r="R1896">
        <v>14</v>
      </c>
      <c r="S1896">
        <v>2741.06</v>
      </c>
      <c r="T1896">
        <v>4.2</v>
      </c>
      <c r="U1896">
        <v>10.050000000000001</v>
      </c>
      <c r="V1896">
        <v>140</v>
      </c>
      <c r="W1896" s="317">
        <v>4.5999999999999996</v>
      </c>
      <c r="X1896" s="190">
        <f t="shared" si="80"/>
        <v>52.9</v>
      </c>
      <c r="Y1896" s="8"/>
      <c r="Z1896" s="8"/>
    </row>
    <row r="1897" spans="1:26" ht="12.75" customHeight="1" x14ac:dyDescent="0.2">
      <c r="A1897" s="15">
        <v>80</v>
      </c>
      <c r="B1897" s="15">
        <v>2001</v>
      </c>
      <c r="C1897" s="15">
        <v>2</v>
      </c>
      <c r="D1897" s="15">
        <v>8</v>
      </c>
      <c r="E1897" s="29" t="s">
        <v>17</v>
      </c>
      <c r="F1897" s="20" t="s">
        <v>51</v>
      </c>
      <c r="G1897" s="32">
        <v>150</v>
      </c>
      <c r="H1897" s="15" t="s">
        <v>29</v>
      </c>
      <c r="I1897" s="33">
        <v>13</v>
      </c>
      <c r="J1897" s="11" t="s">
        <v>19</v>
      </c>
      <c r="K1897" s="20" t="s">
        <v>20</v>
      </c>
      <c r="L1897" s="11" t="s">
        <v>21</v>
      </c>
      <c r="M1897" s="20" t="s">
        <v>46</v>
      </c>
      <c r="N1897" s="20" t="s">
        <v>24</v>
      </c>
      <c r="O1897" s="31" t="s">
        <v>29</v>
      </c>
      <c r="P1897" s="15">
        <v>214</v>
      </c>
      <c r="Q1897" s="8"/>
      <c r="R1897">
        <v>14</v>
      </c>
      <c r="S1897">
        <v>2741.06</v>
      </c>
      <c r="T1897">
        <v>4.74</v>
      </c>
      <c r="U1897">
        <v>10.050000000000001</v>
      </c>
      <c r="V1897">
        <v>140</v>
      </c>
      <c r="W1897" s="317">
        <v>3.9</v>
      </c>
      <c r="X1897" s="190">
        <f t="shared" si="80"/>
        <v>50.699999999999996</v>
      </c>
      <c r="Y1897" s="8"/>
      <c r="Z1897" s="8"/>
    </row>
    <row r="1898" spans="1:26" ht="12.75" customHeight="1" x14ac:dyDescent="0.2">
      <c r="A1898" s="15">
        <v>81</v>
      </c>
      <c r="B1898" s="15">
        <v>2001</v>
      </c>
      <c r="C1898" s="15">
        <v>2</v>
      </c>
      <c r="D1898" s="15">
        <v>8</v>
      </c>
      <c r="E1898" s="29" t="s">
        <v>17</v>
      </c>
      <c r="F1898" s="20" t="s">
        <v>51</v>
      </c>
      <c r="G1898" s="32">
        <v>150</v>
      </c>
      <c r="H1898" s="15" t="s">
        <v>29</v>
      </c>
      <c r="I1898" s="33">
        <v>11.5</v>
      </c>
      <c r="J1898" s="11" t="s">
        <v>19</v>
      </c>
      <c r="K1898" s="20" t="s">
        <v>20</v>
      </c>
      <c r="L1898" s="11" t="s">
        <v>21</v>
      </c>
      <c r="M1898" s="20" t="s">
        <v>46</v>
      </c>
      <c r="N1898" s="20" t="s">
        <v>24</v>
      </c>
      <c r="O1898" s="31" t="s">
        <v>29</v>
      </c>
      <c r="P1898" s="15">
        <v>214</v>
      </c>
      <c r="Q1898" s="8"/>
      <c r="R1898">
        <v>14</v>
      </c>
      <c r="S1898">
        <v>2741.06</v>
      </c>
      <c r="T1898">
        <v>4.2</v>
      </c>
      <c r="U1898">
        <v>10.050000000000001</v>
      </c>
      <c r="V1898">
        <v>140</v>
      </c>
      <c r="W1898" s="317">
        <v>3.9</v>
      </c>
      <c r="X1898" s="190">
        <f t="shared" si="80"/>
        <v>44.85</v>
      </c>
      <c r="Y1898" s="8"/>
      <c r="Z1898" s="8"/>
    </row>
    <row r="1899" spans="1:26" ht="12.75" customHeight="1" x14ac:dyDescent="0.2">
      <c r="A1899" s="15">
        <v>82</v>
      </c>
      <c r="B1899" s="15">
        <v>2001</v>
      </c>
      <c r="C1899" s="15">
        <v>2</v>
      </c>
      <c r="D1899" s="15">
        <v>8</v>
      </c>
      <c r="E1899" s="29" t="s">
        <v>17</v>
      </c>
      <c r="F1899" s="20" t="s">
        <v>51</v>
      </c>
      <c r="G1899" s="32">
        <v>147</v>
      </c>
      <c r="H1899" s="15" t="s">
        <v>29</v>
      </c>
      <c r="I1899" s="33">
        <v>18.2</v>
      </c>
      <c r="J1899" s="11" t="s">
        <v>19</v>
      </c>
      <c r="K1899" s="20" t="s">
        <v>20</v>
      </c>
      <c r="L1899" s="20" t="s">
        <v>30</v>
      </c>
      <c r="M1899" s="20" t="s">
        <v>27</v>
      </c>
      <c r="N1899" s="20" t="s">
        <v>24</v>
      </c>
      <c r="O1899" s="31" t="s">
        <v>29</v>
      </c>
      <c r="P1899" s="15">
        <v>214</v>
      </c>
      <c r="Q1899" s="8"/>
      <c r="R1899">
        <v>13.72</v>
      </c>
      <c r="S1899">
        <v>2579.86</v>
      </c>
      <c r="T1899">
        <v>7.05</v>
      </c>
      <c r="U1899">
        <v>9.85</v>
      </c>
      <c r="V1899">
        <v>137</v>
      </c>
      <c r="W1899" s="317">
        <v>4.5999999999999996</v>
      </c>
      <c r="X1899" s="190">
        <f t="shared" si="80"/>
        <v>83.719999999999985</v>
      </c>
      <c r="Y1899" s="8"/>
      <c r="Z1899" s="8"/>
    </row>
    <row r="1900" spans="1:26" ht="12.75" customHeight="1" x14ac:dyDescent="0.2">
      <c r="A1900" s="15">
        <v>83</v>
      </c>
      <c r="B1900" s="15">
        <v>2001</v>
      </c>
      <c r="C1900" s="15">
        <v>2</v>
      </c>
      <c r="D1900" s="15">
        <v>8</v>
      </c>
      <c r="E1900" s="29" t="s">
        <v>17</v>
      </c>
      <c r="F1900" s="20" t="s">
        <v>51</v>
      </c>
      <c r="G1900" s="32">
        <v>160</v>
      </c>
      <c r="H1900" s="15" t="s">
        <v>29</v>
      </c>
      <c r="I1900" s="33">
        <v>12.5</v>
      </c>
      <c r="J1900" s="11" t="s">
        <v>19</v>
      </c>
      <c r="K1900" s="20" t="s">
        <v>20</v>
      </c>
      <c r="L1900" s="11" t="s">
        <v>21</v>
      </c>
      <c r="M1900" s="20" t="s">
        <v>27</v>
      </c>
      <c r="N1900" s="20" t="s">
        <v>24</v>
      </c>
      <c r="O1900" s="31" t="s">
        <v>29</v>
      </c>
      <c r="P1900" s="15">
        <v>214</v>
      </c>
      <c r="Q1900" s="8"/>
      <c r="R1900">
        <v>14.93</v>
      </c>
      <c r="S1900">
        <v>3326.63</v>
      </c>
      <c r="T1900">
        <v>3.76</v>
      </c>
      <c r="U1900">
        <v>10.72</v>
      </c>
      <c r="V1900">
        <v>149</v>
      </c>
      <c r="W1900" s="317">
        <v>3.9</v>
      </c>
      <c r="X1900" s="190">
        <f t="shared" si="80"/>
        <v>48.75</v>
      </c>
      <c r="Y1900" s="8"/>
      <c r="Z1900" s="8"/>
    </row>
    <row r="1901" spans="1:26" ht="12.75" customHeight="1" x14ac:dyDescent="0.2">
      <c r="A1901" s="15">
        <v>84</v>
      </c>
      <c r="B1901" s="15">
        <v>2001</v>
      </c>
      <c r="C1901" s="15">
        <v>2</v>
      </c>
      <c r="D1901" s="15">
        <v>8</v>
      </c>
      <c r="E1901" s="29" t="s">
        <v>17</v>
      </c>
      <c r="F1901" s="20" t="s">
        <v>51</v>
      </c>
      <c r="G1901" s="32">
        <v>145</v>
      </c>
      <c r="H1901" s="15" t="s">
        <v>29</v>
      </c>
      <c r="I1901" s="33">
        <v>10.5</v>
      </c>
      <c r="J1901" s="11" t="s">
        <v>19</v>
      </c>
      <c r="K1901" s="20" t="s">
        <v>20</v>
      </c>
      <c r="L1901" s="11" t="s">
        <v>21</v>
      </c>
      <c r="M1901" s="11" t="s">
        <v>29</v>
      </c>
      <c r="N1901" s="20" t="s">
        <v>25</v>
      </c>
      <c r="O1901" s="31" t="s">
        <v>29</v>
      </c>
      <c r="P1901" s="15">
        <v>214</v>
      </c>
      <c r="Q1901" s="8"/>
      <c r="R1901">
        <v>13.53</v>
      </c>
      <c r="S1901">
        <v>2475.9899999999998</v>
      </c>
      <c r="T1901">
        <v>4.24</v>
      </c>
      <c r="U1901">
        <v>9.7200000000000006</v>
      </c>
      <c r="V1901">
        <v>135</v>
      </c>
      <c r="W1901" s="317">
        <v>3.9</v>
      </c>
      <c r="X1901" s="190">
        <f t="shared" si="80"/>
        <v>40.949999999999996</v>
      </c>
      <c r="Y1901" s="8"/>
      <c r="Z1901" s="8"/>
    </row>
    <row r="1902" spans="1:26" ht="12.75" customHeight="1" x14ac:dyDescent="0.2">
      <c r="A1902" s="15">
        <v>85</v>
      </c>
      <c r="B1902" s="15">
        <v>2001</v>
      </c>
      <c r="C1902" s="15">
        <v>2</v>
      </c>
      <c r="D1902" s="15">
        <v>8</v>
      </c>
      <c r="E1902" s="29" t="s">
        <v>17</v>
      </c>
      <c r="F1902" s="20" t="s">
        <v>51</v>
      </c>
      <c r="G1902" s="32">
        <v>125</v>
      </c>
      <c r="H1902" s="15" t="s">
        <v>29</v>
      </c>
      <c r="I1902" s="33">
        <v>11</v>
      </c>
      <c r="J1902" s="11" t="s">
        <v>19</v>
      </c>
      <c r="K1902" s="20" t="s">
        <v>20</v>
      </c>
      <c r="L1902" s="20" t="s">
        <v>30</v>
      </c>
      <c r="M1902" s="20" t="s">
        <v>46</v>
      </c>
      <c r="N1902" s="20" t="s">
        <v>24</v>
      </c>
      <c r="O1902" s="31" t="s">
        <v>29</v>
      </c>
      <c r="P1902" s="15">
        <v>214</v>
      </c>
      <c r="Q1902" s="8"/>
      <c r="R1902">
        <v>11.66</v>
      </c>
      <c r="S1902">
        <v>1586.26</v>
      </c>
      <c r="T1902">
        <v>6.93</v>
      </c>
      <c r="U1902">
        <v>8.3800000000000008</v>
      </c>
      <c r="V1902">
        <v>117</v>
      </c>
      <c r="W1902" s="317">
        <v>4.5999999999999996</v>
      </c>
      <c r="X1902" s="190">
        <f t="shared" si="80"/>
        <v>50.599999999999994</v>
      </c>
      <c r="Y1902" s="8"/>
      <c r="Z1902" s="8"/>
    </row>
    <row r="1903" spans="1:26" ht="12.75" customHeight="1" x14ac:dyDescent="0.2">
      <c r="A1903" s="15">
        <v>86</v>
      </c>
      <c r="B1903" s="15">
        <v>2001</v>
      </c>
      <c r="C1903" s="15">
        <v>2</v>
      </c>
      <c r="D1903" s="15">
        <v>8</v>
      </c>
      <c r="E1903" s="29" t="s">
        <v>17</v>
      </c>
      <c r="F1903" s="20" t="s">
        <v>51</v>
      </c>
      <c r="G1903" s="32">
        <v>165</v>
      </c>
      <c r="H1903" s="15" t="s">
        <v>29</v>
      </c>
      <c r="I1903" s="33">
        <v>16.2</v>
      </c>
      <c r="J1903" s="11" t="s">
        <v>19</v>
      </c>
      <c r="K1903" s="20" t="s">
        <v>20</v>
      </c>
      <c r="L1903" s="11" t="s">
        <v>21</v>
      </c>
      <c r="M1903" s="20" t="s">
        <v>27</v>
      </c>
      <c r="N1903" s="20" t="s">
        <v>24</v>
      </c>
      <c r="O1903" s="31" t="s">
        <v>29</v>
      </c>
      <c r="P1903" s="15">
        <v>214</v>
      </c>
      <c r="Q1903" s="8"/>
      <c r="R1903">
        <v>15.39</v>
      </c>
      <c r="S1903">
        <v>3648.35</v>
      </c>
      <c r="T1903">
        <v>4.4400000000000004</v>
      </c>
      <c r="U1903">
        <v>11.06</v>
      </c>
      <c r="V1903">
        <v>154</v>
      </c>
      <c r="W1903" s="317">
        <v>3.9</v>
      </c>
      <c r="X1903" s="190">
        <f t="shared" si="80"/>
        <v>63.179999999999993</v>
      </c>
      <c r="Y1903" s="8"/>
      <c r="Z1903" s="8"/>
    </row>
    <row r="1904" spans="1:26" ht="12.75" customHeight="1" x14ac:dyDescent="0.2">
      <c r="A1904" s="15">
        <v>87</v>
      </c>
      <c r="B1904" s="15">
        <v>2001</v>
      </c>
      <c r="C1904" s="15">
        <v>2</v>
      </c>
      <c r="D1904" s="15">
        <v>8</v>
      </c>
      <c r="E1904" s="29" t="s">
        <v>17</v>
      </c>
      <c r="F1904" s="20" t="s">
        <v>51</v>
      </c>
      <c r="G1904" s="32">
        <v>138</v>
      </c>
      <c r="H1904" s="15" t="s">
        <v>29</v>
      </c>
      <c r="I1904" s="33">
        <v>12</v>
      </c>
      <c r="J1904" s="11" t="s">
        <v>19</v>
      </c>
      <c r="K1904" s="20" t="s">
        <v>20</v>
      </c>
      <c r="L1904" s="20" t="s">
        <v>30</v>
      </c>
      <c r="M1904" s="20" t="s">
        <v>46</v>
      </c>
      <c r="N1904" s="20" t="s">
        <v>24</v>
      </c>
      <c r="O1904" s="31" t="s">
        <v>29</v>
      </c>
      <c r="P1904" s="15">
        <v>214</v>
      </c>
      <c r="Q1904" s="8"/>
      <c r="R1904">
        <v>12.88</v>
      </c>
      <c r="S1904">
        <v>2134.4299999999998</v>
      </c>
      <c r="T1904">
        <v>5.62</v>
      </c>
      <c r="U1904">
        <v>9.25</v>
      </c>
      <c r="V1904">
        <v>129</v>
      </c>
      <c r="W1904" s="317">
        <v>4.5999999999999996</v>
      </c>
      <c r="X1904" s="190">
        <f t="shared" si="80"/>
        <v>55.199999999999996</v>
      </c>
      <c r="Y1904" s="8"/>
      <c r="Z1904" s="8"/>
    </row>
    <row r="1905" spans="1:26" ht="12.75" customHeight="1" x14ac:dyDescent="0.2">
      <c r="A1905" s="15">
        <v>88</v>
      </c>
      <c r="B1905" s="15">
        <v>2001</v>
      </c>
      <c r="C1905" s="15">
        <v>2</v>
      </c>
      <c r="D1905" s="15">
        <v>8</v>
      </c>
      <c r="E1905" s="29" t="s">
        <v>17</v>
      </c>
      <c r="F1905" s="20" t="s">
        <v>51</v>
      </c>
      <c r="G1905" s="32">
        <v>136</v>
      </c>
      <c r="H1905" s="15" t="s">
        <v>29</v>
      </c>
      <c r="I1905" s="33">
        <v>10</v>
      </c>
      <c r="J1905" s="11" t="s">
        <v>19</v>
      </c>
      <c r="K1905" s="20" t="s">
        <v>20</v>
      </c>
      <c r="L1905" s="11" t="s">
        <v>21</v>
      </c>
      <c r="M1905" s="20" t="s">
        <v>46</v>
      </c>
      <c r="N1905" s="20" t="s">
        <v>24</v>
      </c>
      <c r="O1905" s="31" t="s">
        <v>29</v>
      </c>
      <c r="P1905" s="15">
        <v>214</v>
      </c>
      <c r="Q1905" s="8"/>
      <c r="R1905">
        <v>12.69</v>
      </c>
      <c r="S1905">
        <v>2042.97</v>
      </c>
      <c r="T1905">
        <v>4.8899999999999997</v>
      </c>
      <c r="U1905">
        <v>9.11</v>
      </c>
      <c r="V1905">
        <v>127</v>
      </c>
      <c r="W1905" s="317">
        <v>3.9</v>
      </c>
      <c r="X1905" s="190">
        <f t="shared" si="80"/>
        <v>39</v>
      </c>
      <c r="Y1905" s="8"/>
      <c r="Z1905" s="8"/>
    </row>
    <row r="1906" spans="1:26" ht="12.75" customHeight="1" x14ac:dyDescent="0.2">
      <c r="A1906" s="15">
        <v>89</v>
      </c>
      <c r="B1906" s="15">
        <v>2001</v>
      </c>
      <c r="C1906" s="15">
        <v>2</v>
      </c>
      <c r="D1906" s="15">
        <v>8</v>
      </c>
      <c r="E1906" s="29" t="s">
        <v>17</v>
      </c>
      <c r="F1906" s="20" t="s">
        <v>51</v>
      </c>
      <c r="G1906" s="32">
        <v>156</v>
      </c>
      <c r="H1906" s="15" t="s">
        <v>29</v>
      </c>
      <c r="I1906" s="33">
        <v>13</v>
      </c>
      <c r="J1906" s="11" t="s">
        <v>19</v>
      </c>
      <c r="K1906" s="20" t="s">
        <v>20</v>
      </c>
      <c r="L1906" s="11" t="s">
        <v>21</v>
      </c>
      <c r="M1906" s="20" t="s">
        <v>46</v>
      </c>
      <c r="N1906" s="20" t="s">
        <v>24</v>
      </c>
      <c r="O1906" s="31" t="s">
        <v>29</v>
      </c>
      <c r="P1906" s="15">
        <v>214</v>
      </c>
      <c r="Q1906" s="8"/>
      <c r="R1906">
        <v>14.55</v>
      </c>
      <c r="S1906">
        <v>3083.32</v>
      </c>
      <c r="T1906">
        <v>4.22</v>
      </c>
      <c r="U1906">
        <v>10.45</v>
      </c>
      <c r="V1906">
        <v>146</v>
      </c>
      <c r="W1906" s="317">
        <v>3.9</v>
      </c>
      <c r="X1906" s="190">
        <f t="shared" si="80"/>
        <v>50.699999999999996</v>
      </c>
      <c r="Y1906" s="8"/>
      <c r="Z1906" s="8"/>
    </row>
    <row r="1907" spans="1:26" ht="12.75" customHeight="1" x14ac:dyDescent="0.2">
      <c r="A1907" s="15">
        <v>90</v>
      </c>
      <c r="B1907" s="15">
        <v>2001</v>
      </c>
      <c r="C1907" s="15">
        <v>2</v>
      </c>
      <c r="D1907" s="15">
        <v>8</v>
      </c>
      <c r="E1907" s="29" t="s">
        <v>17</v>
      </c>
      <c r="F1907" s="20" t="s">
        <v>51</v>
      </c>
      <c r="G1907" s="32">
        <v>156</v>
      </c>
      <c r="H1907" s="15" t="s">
        <v>29</v>
      </c>
      <c r="I1907" s="33">
        <v>14.8</v>
      </c>
      <c r="J1907" s="11" t="s">
        <v>19</v>
      </c>
      <c r="K1907" s="20" t="s">
        <v>20</v>
      </c>
      <c r="L1907" s="11" t="s">
        <v>21</v>
      </c>
      <c r="M1907" s="20" t="s">
        <v>46</v>
      </c>
      <c r="N1907" s="20" t="s">
        <v>24</v>
      </c>
      <c r="O1907" s="31" t="s">
        <v>29</v>
      </c>
      <c r="P1907" s="15">
        <v>214</v>
      </c>
      <c r="Q1907" s="8"/>
      <c r="R1907">
        <v>14.55</v>
      </c>
      <c r="S1907">
        <v>3083.32</v>
      </c>
      <c r="T1907">
        <v>4.8</v>
      </c>
      <c r="U1907">
        <v>10.45</v>
      </c>
      <c r="V1907">
        <v>146</v>
      </c>
      <c r="W1907" s="317">
        <v>3.9</v>
      </c>
      <c r="X1907" s="190">
        <f t="shared" si="80"/>
        <v>57.72</v>
      </c>
      <c r="Y1907" s="8"/>
      <c r="Z1907" s="8"/>
    </row>
    <row r="1908" spans="1:26" ht="12.75" customHeight="1" x14ac:dyDescent="0.2">
      <c r="A1908" s="15">
        <v>91</v>
      </c>
      <c r="B1908" s="15">
        <v>2001</v>
      </c>
      <c r="C1908" s="15">
        <v>2</v>
      </c>
      <c r="D1908" s="15">
        <v>8</v>
      </c>
      <c r="E1908" s="29" t="s">
        <v>17</v>
      </c>
      <c r="F1908" s="20" t="s">
        <v>51</v>
      </c>
      <c r="G1908" s="32">
        <v>136</v>
      </c>
      <c r="H1908" s="15" t="s">
        <v>29</v>
      </c>
      <c r="I1908" s="33">
        <v>14.5</v>
      </c>
      <c r="J1908" s="11" t="s">
        <v>19</v>
      </c>
      <c r="K1908" s="20" t="s">
        <v>20</v>
      </c>
      <c r="L1908" s="20" t="s">
        <v>30</v>
      </c>
      <c r="M1908" s="20" t="s">
        <v>46</v>
      </c>
      <c r="N1908" s="20" t="s">
        <v>24</v>
      </c>
      <c r="O1908" s="31" t="s">
        <v>29</v>
      </c>
      <c r="P1908" s="15">
        <v>214</v>
      </c>
      <c r="Q1908" s="8"/>
      <c r="R1908">
        <v>12.69</v>
      </c>
      <c r="S1908">
        <v>2042.97</v>
      </c>
      <c r="T1908">
        <v>7.1</v>
      </c>
      <c r="U1908">
        <v>9.11</v>
      </c>
      <c r="V1908">
        <v>127</v>
      </c>
      <c r="W1908" s="317">
        <v>4.5999999999999996</v>
      </c>
      <c r="X1908" s="190">
        <f t="shared" si="80"/>
        <v>66.699999999999989</v>
      </c>
      <c r="Y1908" s="8"/>
      <c r="Z1908" s="8"/>
    </row>
    <row r="1909" spans="1:26" ht="12.75" customHeight="1" x14ac:dyDescent="0.2">
      <c r="A1909" s="15">
        <v>92</v>
      </c>
      <c r="B1909" s="15">
        <v>2001</v>
      </c>
      <c r="C1909" s="15">
        <v>2</v>
      </c>
      <c r="D1909" s="15">
        <v>8</v>
      </c>
      <c r="E1909" s="29" t="s">
        <v>17</v>
      </c>
      <c r="F1909" s="20" t="s">
        <v>51</v>
      </c>
      <c r="G1909" s="32">
        <v>142</v>
      </c>
      <c r="H1909" s="15" t="s">
        <v>29</v>
      </c>
      <c r="I1909" s="33">
        <v>9.5</v>
      </c>
      <c r="J1909" s="11" t="s">
        <v>19</v>
      </c>
      <c r="K1909" s="20" t="s">
        <v>20</v>
      </c>
      <c r="L1909" s="11" t="s">
        <v>21</v>
      </c>
      <c r="M1909" s="20" t="s">
        <v>27</v>
      </c>
      <c r="N1909" s="20" t="s">
        <v>24</v>
      </c>
      <c r="O1909" s="31" t="s">
        <v>29</v>
      </c>
      <c r="P1909" s="15">
        <v>214</v>
      </c>
      <c r="Q1909" s="8"/>
      <c r="R1909">
        <v>13.25</v>
      </c>
      <c r="S1909">
        <v>2325.4699999999998</v>
      </c>
      <c r="T1909">
        <v>4.09</v>
      </c>
      <c r="U1909">
        <v>9.51</v>
      </c>
      <c r="V1909">
        <v>132</v>
      </c>
      <c r="W1909" s="317">
        <v>3.9</v>
      </c>
      <c r="X1909" s="190">
        <f t="shared" si="80"/>
        <v>37.049999999999997</v>
      </c>
      <c r="Y1909" s="8"/>
      <c r="Z1909" s="8"/>
    </row>
    <row r="1910" spans="1:26" ht="12.75" customHeight="1" x14ac:dyDescent="0.2">
      <c r="A1910" s="15">
        <v>93</v>
      </c>
      <c r="B1910" s="15">
        <v>2001</v>
      </c>
      <c r="C1910" s="15">
        <v>1</v>
      </c>
      <c r="D1910" s="15">
        <v>8</v>
      </c>
      <c r="E1910" s="29" t="s">
        <v>17</v>
      </c>
      <c r="F1910" s="20" t="s">
        <v>51</v>
      </c>
      <c r="G1910" s="32">
        <v>159</v>
      </c>
      <c r="H1910" s="15" t="s">
        <v>29</v>
      </c>
      <c r="I1910" s="33">
        <v>16</v>
      </c>
      <c r="J1910" s="11" t="s">
        <v>19</v>
      </c>
      <c r="K1910" s="20" t="s">
        <v>20</v>
      </c>
      <c r="L1910" s="11" t="s">
        <v>21</v>
      </c>
      <c r="M1910" s="20" t="s">
        <v>46</v>
      </c>
      <c r="N1910" s="20" t="s">
        <v>23</v>
      </c>
      <c r="O1910" s="31" t="s">
        <v>29</v>
      </c>
      <c r="P1910" s="15">
        <v>213</v>
      </c>
      <c r="Q1910" s="8"/>
      <c r="R1910">
        <v>14.83</v>
      </c>
      <c r="S1910">
        <v>3264.65</v>
      </c>
      <c r="T1910">
        <v>4.9000000000000004</v>
      </c>
      <c r="U1910">
        <v>10.65</v>
      </c>
      <c r="V1910">
        <v>148</v>
      </c>
      <c r="W1910" s="317">
        <v>3.9</v>
      </c>
      <c r="X1910" s="190">
        <f t="shared" si="80"/>
        <v>62.4</v>
      </c>
      <c r="Y1910" s="8"/>
      <c r="Z1910" s="8"/>
    </row>
    <row r="1911" spans="1:26" ht="25.5" customHeight="1" x14ac:dyDescent="0.2">
      <c r="A1911" s="15">
        <v>94</v>
      </c>
      <c r="B1911" s="15">
        <v>2001</v>
      </c>
      <c r="C1911" s="15">
        <v>1</v>
      </c>
      <c r="D1911" s="15">
        <v>8</v>
      </c>
      <c r="E1911" s="29" t="s">
        <v>216</v>
      </c>
      <c r="F1911" s="20" t="s">
        <v>51</v>
      </c>
      <c r="G1911" s="32">
        <v>150</v>
      </c>
      <c r="H1911" s="15" t="s">
        <v>29</v>
      </c>
      <c r="I1911" s="33">
        <v>13</v>
      </c>
      <c r="J1911" s="11" t="s">
        <v>19</v>
      </c>
      <c r="K1911" s="20" t="s">
        <v>20</v>
      </c>
      <c r="L1911" s="11" t="s">
        <v>21</v>
      </c>
      <c r="M1911" s="20" t="s">
        <v>217</v>
      </c>
      <c r="N1911" s="20" t="s">
        <v>25</v>
      </c>
      <c r="O1911" s="31" t="s">
        <v>29</v>
      </c>
      <c r="P1911" s="15">
        <v>213</v>
      </c>
      <c r="Q1911" s="8"/>
      <c r="R1911">
        <v>14</v>
      </c>
      <c r="S1911">
        <v>2741.06</v>
      </c>
      <c r="T1911">
        <v>4.74</v>
      </c>
      <c r="U1911">
        <v>10.050000000000001</v>
      </c>
      <c r="V1911">
        <v>140</v>
      </c>
      <c r="W1911" s="317">
        <v>3.9</v>
      </c>
      <c r="X1911" s="190">
        <f t="shared" si="80"/>
        <v>50.699999999999996</v>
      </c>
      <c r="Y1911" s="8"/>
      <c r="Z1911" s="8"/>
    </row>
    <row r="1912" spans="1:26" ht="25.5" customHeight="1" x14ac:dyDescent="0.2">
      <c r="A1912" s="15">
        <v>95</v>
      </c>
      <c r="B1912" s="15">
        <v>2001</v>
      </c>
      <c r="C1912" s="15">
        <v>1</v>
      </c>
      <c r="D1912" s="15">
        <v>8</v>
      </c>
      <c r="E1912" s="29" t="s">
        <v>216</v>
      </c>
      <c r="F1912" s="20" t="s">
        <v>51</v>
      </c>
      <c r="G1912" s="32">
        <v>156</v>
      </c>
      <c r="H1912" s="15" t="s">
        <v>29</v>
      </c>
      <c r="I1912" s="33">
        <v>15.5</v>
      </c>
      <c r="J1912" s="11" t="s">
        <v>19</v>
      </c>
      <c r="K1912" s="20" t="s">
        <v>20</v>
      </c>
      <c r="L1912" s="11" t="s">
        <v>21</v>
      </c>
      <c r="M1912" s="20" t="s">
        <v>27</v>
      </c>
      <c r="N1912" s="20" t="s">
        <v>24</v>
      </c>
      <c r="O1912" s="31" t="s">
        <v>29</v>
      </c>
      <c r="P1912" s="15">
        <v>213</v>
      </c>
      <c r="Q1912" s="8"/>
      <c r="R1912">
        <v>14.55</v>
      </c>
      <c r="S1912">
        <v>3083.32</v>
      </c>
      <c r="T1912">
        <v>5.03</v>
      </c>
      <c r="U1912">
        <v>10.45</v>
      </c>
      <c r="V1912">
        <v>146</v>
      </c>
      <c r="W1912" s="317">
        <v>3.9</v>
      </c>
      <c r="X1912" s="190">
        <f t="shared" si="80"/>
        <v>60.449999999999996</v>
      </c>
      <c r="Y1912" s="8"/>
      <c r="Z1912" s="8"/>
    </row>
    <row r="1913" spans="1:26" ht="25.5" customHeight="1" x14ac:dyDescent="0.2">
      <c r="A1913" s="15">
        <v>96</v>
      </c>
      <c r="B1913" s="15">
        <v>2001</v>
      </c>
      <c r="C1913" s="15">
        <v>1</v>
      </c>
      <c r="D1913" s="15">
        <v>8</v>
      </c>
      <c r="E1913" s="29" t="s">
        <v>216</v>
      </c>
      <c r="F1913" s="20" t="s">
        <v>51</v>
      </c>
      <c r="G1913" s="32">
        <v>141</v>
      </c>
      <c r="H1913" s="15" t="s">
        <v>29</v>
      </c>
      <c r="I1913" s="33">
        <v>11</v>
      </c>
      <c r="J1913" s="11" t="s">
        <v>19</v>
      </c>
      <c r="K1913" s="20" t="s">
        <v>20</v>
      </c>
      <c r="L1913" s="11" t="s">
        <v>21</v>
      </c>
      <c r="M1913" s="20" t="s">
        <v>45</v>
      </c>
      <c r="N1913" s="20" t="s">
        <v>24</v>
      </c>
      <c r="O1913" s="31" t="s">
        <v>29</v>
      </c>
      <c r="P1913" s="15">
        <v>213</v>
      </c>
      <c r="Q1913" s="8"/>
      <c r="R1913">
        <v>13.16</v>
      </c>
      <c r="S1913">
        <v>2276.6799999999998</v>
      </c>
      <c r="T1913">
        <v>4.83</v>
      </c>
      <c r="U1913">
        <v>9.4499999999999993</v>
      </c>
      <c r="V1913">
        <v>132</v>
      </c>
      <c r="W1913" s="317">
        <v>3.9</v>
      </c>
      <c r="X1913" s="190">
        <f>I1913*W1913</f>
        <v>42.9</v>
      </c>
      <c r="Y1913" s="8"/>
      <c r="Z1913" s="8"/>
    </row>
    <row r="1914" spans="1:26" ht="25.5" customHeight="1" x14ac:dyDescent="0.2">
      <c r="A1914" s="15">
        <v>97</v>
      </c>
      <c r="B1914" s="15">
        <v>2001</v>
      </c>
      <c r="C1914" s="15">
        <v>1</v>
      </c>
      <c r="D1914" s="15">
        <v>8</v>
      </c>
      <c r="E1914" s="29" t="s">
        <v>216</v>
      </c>
      <c r="F1914" s="20" t="s">
        <v>51</v>
      </c>
      <c r="G1914" s="32">
        <v>150</v>
      </c>
      <c r="H1914" s="15" t="s">
        <v>29</v>
      </c>
      <c r="I1914" s="33">
        <v>13.5</v>
      </c>
      <c r="J1914" s="11" t="s">
        <v>19</v>
      </c>
      <c r="K1914" s="20" t="s">
        <v>20</v>
      </c>
      <c r="L1914" s="11" t="s">
        <v>21</v>
      </c>
      <c r="M1914" s="20" t="s">
        <v>46</v>
      </c>
      <c r="N1914" s="20" t="s">
        <v>24</v>
      </c>
      <c r="O1914" s="31" t="s">
        <v>29</v>
      </c>
      <c r="P1914" s="15">
        <v>213</v>
      </c>
      <c r="Q1914" s="8"/>
      <c r="R1914">
        <v>14</v>
      </c>
      <c r="S1914">
        <v>2741.06</v>
      </c>
      <c r="T1914">
        <v>4.93</v>
      </c>
      <c r="U1914">
        <v>10.050000000000001</v>
      </c>
      <c r="V1914">
        <v>140</v>
      </c>
      <c r="W1914" s="317">
        <v>3.9</v>
      </c>
      <c r="X1914" s="190">
        <f>I1914*W1914</f>
        <v>52.65</v>
      </c>
      <c r="Y1914" s="8"/>
      <c r="Z1914" s="8"/>
    </row>
    <row r="1915" spans="1:26" ht="25.5" customHeight="1" x14ac:dyDescent="0.2">
      <c r="A1915" s="15">
        <v>98</v>
      </c>
      <c r="B1915" s="15">
        <v>2001</v>
      </c>
      <c r="C1915" s="15">
        <v>1</v>
      </c>
      <c r="D1915" s="15">
        <v>8</v>
      </c>
      <c r="E1915" s="29" t="s">
        <v>216</v>
      </c>
      <c r="F1915" s="20" t="s">
        <v>51</v>
      </c>
      <c r="G1915" s="32">
        <v>168</v>
      </c>
      <c r="H1915" s="15" t="s">
        <v>29</v>
      </c>
      <c r="I1915" s="33">
        <v>19.5</v>
      </c>
      <c r="J1915" s="11" t="s">
        <v>19</v>
      </c>
      <c r="K1915" s="20" t="s">
        <v>34</v>
      </c>
      <c r="L1915" s="11" t="s">
        <v>41</v>
      </c>
      <c r="M1915" s="20" t="s">
        <v>27</v>
      </c>
      <c r="N1915" s="20" t="s">
        <v>23</v>
      </c>
      <c r="O1915" s="31" t="s">
        <v>29</v>
      </c>
      <c r="P1915" s="15">
        <v>213</v>
      </c>
      <c r="Q1915" s="8"/>
      <c r="R1915">
        <v>15.67</v>
      </c>
      <c r="S1915">
        <v>3850.99</v>
      </c>
      <c r="T1915">
        <v>5.0599999999999996</v>
      </c>
      <c r="U1915">
        <v>11.26</v>
      </c>
      <c r="V1915">
        <v>157</v>
      </c>
      <c r="W1915" s="317">
        <v>3.8</v>
      </c>
      <c r="X1915" s="190">
        <f>I1915*W1915</f>
        <v>74.099999999999994</v>
      </c>
      <c r="Y1915" s="8"/>
      <c r="Z1915" s="8"/>
    </row>
    <row r="1916" spans="1:26" ht="25.5" customHeight="1" x14ac:dyDescent="0.2">
      <c r="A1916" s="15">
        <v>99</v>
      </c>
      <c r="B1916" s="15">
        <v>2001</v>
      </c>
      <c r="C1916" s="15">
        <v>1</v>
      </c>
      <c r="D1916" s="15">
        <v>8</v>
      </c>
      <c r="E1916" s="29" t="s">
        <v>216</v>
      </c>
      <c r="F1916" s="20" t="s">
        <v>51</v>
      </c>
      <c r="G1916" s="32">
        <v>140</v>
      </c>
      <c r="H1916" s="15" t="s">
        <v>29</v>
      </c>
      <c r="I1916" s="33">
        <v>15.5</v>
      </c>
      <c r="J1916" s="11" t="s">
        <v>19</v>
      </c>
      <c r="K1916" s="20" t="s">
        <v>20</v>
      </c>
      <c r="L1916" s="20" t="s">
        <v>30</v>
      </c>
      <c r="M1916" s="20" t="s">
        <v>46</v>
      </c>
      <c r="N1916" s="20" t="s">
        <v>24</v>
      </c>
      <c r="O1916" s="31" t="s">
        <v>29</v>
      </c>
      <c r="P1916" s="15">
        <v>213</v>
      </c>
      <c r="Q1916" s="8"/>
      <c r="R1916">
        <v>13.06</v>
      </c>
      <c r="S1916">
        <v>2228.58</v>
      </c>
      <c r="T1916">
        <v>6.96</v>
      </c>
      <c r="U1916">
        <v>9.3800000000000008</v>
      </c>
      <c r="V1916">
        <v>131</v>
      </c>
      <c r="W1916" s="317">
        <v>4.5999999999999996</v>
      </c>
      <c r="X1916" s="190">
        <f t="shared" ref="X1916:X1937" si="81">I1916*W1916</f>
        <v>71.3</v>
      </c>
      <c r="Y1916" s="8"/>
      <c r="Z1916" s="8"/>
    </row>
    <row r="1917" spans="1:26" ht="25.5" customHeight="1" x14ac:dyDescent="0.2">
      <c r="A1917" s="15">
        <v>100</v>
      </c>
      <c r="B1917" s="15">
        <v>2001</v>
      </c>
      <c r="C1917" s="15">
        <v>1</v>
      </c>
      <c r="D1917" s="15">
        <v>8</v>
      </c>
      <c r="E1917" s="29" t="s">
        <v>216</v>
      </c>
      <c r="F1917" s="20" t="s">
        <v>51</v>
      </c>
      <c r="G1917" s="32">
        <v>146</v>
      </c>
      <c r="H1917" s="15" t="s">
        <v>29</v>
      </c>
      <c r="I1917" s="33">
        <v>10.5</v>
      </c>
      <c r="J1917" s="11" t="s">
        <v>19</v>
      </c>
      <c r="K1917" s="20" t="s">
        <v>20</v>
      </c>
      <c r="L1917" s="11" t="s">
        <v>21</v>
      </c>
      <c r="M1917" s="20" t="s">
        <v>46</v>
      </c>
      <c r="N1917" s="20" t="s">
        <v>24</v>
      </c>
      <c r="O1917" s="31" t="s">
        <v>29</v>
      </c>
      <c r="P1917" s="15">
        <v>213</v>
      </c>
      <c r="Q1917" s="8"/>
      <c r="R1917">
        <v>13.62</v>
      </c>
      <c r="S1917">
        <v>2527.5700000000002</v>
      </c>
      <c r="T1917">
        <v>4.1500000000000004</v>
      </c>
      <c r="U1917">
        <v>9.7799999999999994</v>
      </c>
      <c r="V1917">
        <v>136</v>
      </c>
      <c r="W1917" s="317">
        <v>3.9</v>
      </c>
      <c r="X1917" s="190">
        <f t="shared" si="81"/>
        <v>40.949999999999996</v>
      </c>
      <c r="Y1917" s="8"/>
      <c r="Z1917" s="8"/>
    </row>
    <row r="1918" spans="1:26" ht="25.5" customHeight="1" x14ac:dyDescent="0.2">
      <c r="A1918" s="15">
        <v>101</v>
      </c>
      <c r="B1918" s="15">
        <v>2001</v>
      </c>
      <c r="C1918" s="15">
        <v>1</v>
      </c>
      <c r="D1918" s="15">
        <v>8</v>
      </c>
      <c r="E1918" s="29" t="s">
        <v>216</v>
      </c>
      <c r="F1918" s="20" t="s">
        <v>51</v>
      </c>
      <c r="G1918" s="32">
        <v>126</v>
      </c>
      <c r="H1918" s="15" t="s">
        <v>29</v>
      </c>
      <c r="I1918" s="33">
        <v>10</v>
      </c>
      <c r="J1918" s="11" t="s">
        <v>19</v>
      </c>
      <c r="K1918" s="20" t="s">
        <v>20</v>
      </c>
      <c r="L1918" s="20" t="s">
        <v>30</v>
      </c>
      <c r="M1918" s="20" t="s">
        <v>45</v>
      </c>
      <c r="N1918" s="20" t="s">
        <v>25</v>
      </c>
      <c r="O1918" s="31" t="s">
        <v>29</v>
      </c>
      <c r="P1918" s="15">
        <v>213</v>
      </c>
      <c r="Q1918" s="8"/>
      <c r="R1918">
        <v>11.76</v>
      </c>
      <c r="S1918">
        <v>1624.64</v>
      </c>
      <c r="T1918">
        <v>6.16</v>
      </c>
      <c r="U1918">
        <v>8.44</v>
      </c>
      <c r="V1918">
        <v>118</v>
      </c>
      <c r="W1918" s="317">
        <v>4.5999999999999996</v>
      </c>
      <c r="X1918" s="190">
        <f t="shared" si="81"/>
        <v>46</v>
      </c>
      <c r="Y1918" s="8"/>
      <c r="Z1918" s="8"/>
    </row>
    <row r="1919" spans="1:26" ht="25.5" customHeight="1" x14ac:dyDescent="0.2">
      <c r="A1919" s="15">
        <v>102</v>
      </c>
      <c r="B1919" s="15">
        <v>2001</v>
      </c>
      <c r="C1919" s="15">
        <v>1</v>
      </c>
      <c r="D1919" s="15">
        <v>8</v>
      </c>
      <c r="E1919" s="29" t="s">
        <v>216</v>
      </c>
      <c r="F1919" s="20" t="s">
        <v>51</v>
      </c>
      <c r="G1919" s="32">
        <v>140</v>
      </c>
      <c r="H1919" s="15" t="s">
        <v>29</v>
      </c>
      <c r="I1919" s="33">
        <v>9</v>
      </c>
      <c r="J1919" s="11" t="s">
        <v>19</v>
      </c>
      <c r="K1919" s="20" t="s">
        <v>20</v>
      </c>
      <c r="L1919" s="11" t="s">
        <v>21</v>
      </c>
      <c r="M1919" s="20" t="s">
        <v>46</v>
      </c>
      <c r="N1919" s="20" t="s">
        <v>25</v>
      </c>
      <c r="O1919" s="31" t="s">
        <v>29</v>
      </c>
      <c r="P1919" s="15">
        <v>213</v>
      </c>
      <c r="Q1919" s="8"/>
      <c r="R1919">
        <v>13.06</v>
      </c>
      <c r="S1919">
        <v>2228.58</v>
      </c>
      <c r="T1919">
        <v>4.04</v>
      </c>
      <c r="U1919">
        <v>9.3800000000000008</v>
      </c>
      <c r="V1919">
        <v>131</v>
      </c>
      <c r="W1919" s="317">
        <v>3.9</v>
      </c>
      <c r="X1919" s="190">
        <f t="shared" si="81"/>
        <v>35.1</v>
      </c>
      <c r="Y1919" s="8"/>
      <c r="Z1919" s="8"/>
    </row>
    <row r="1920" spans="1:26" ht="25.5" customHeight="1" x14ac:dyDescent="0.2">
      <c r="A1920" s="15">
        <v>103</v>
      </c>
      <c r="B1920" s="15">
        <v>2001</v>
      </c>
      <c r="C1920" s="15">
        <v>1</v>
      </c>
      <c r="D1920" s="15">
        <v>8</v>
      </c>
      <c r="E1920" s="29" t="s">
        <v>216</v>
      </c>
      <c r="F1920" s="20" t="s">
        <v>51</v>
      </c>
      <c r="G1920" s="32">
        <v>147</v>
      </c>
      <c r="H1920" s="15" t="s">
        <v>29</v>
      </c>
      <c r="I1920" s="33">
        <v>11</v>
      </c>
      <c r="J1920" s="11" t="s">
        <v>19</v>
      </c>
      <c r="K1920" s="20" t="s">
        <v>20</v>
      </c>
      <c r="L1920" s="11" t="s">
        <v>21</v>
      </c>
      <c r="M1920" s="20" t="s">
        <v>46</v>
      </c>
      <c r="N1920" s="20" t="s">
        <v>24</v>
      </c>
      <c r="O1920" s="31" t="s">
        <v>29</v>
      </c>
      <c r="P1920" s="15">
        <v>213</v>
      </c>
      <c r="Q1920" s="8"/>
      <c r="R1920">
        <v>13.72</v>
      </c>
      <c r="S1920">
        <v>2579.86</v>
      </c>
      <c r="T1920">
        <v>4.26</v>
      </c>
      <c r="U1920">
        <v>9.85</v>
      </c>
      <c r="V1920">
        <v>137</v>
      </c>
      <c r="W1920" s="317">
        <v>3.9</v>
      </c>
      <c r="X1920" s="190">
        <f t="shared" si="81"/>
        <v>42.9</v>
      </c>
      <c r="Y1920" s="8"/>
      <c r="Z1920" s="8"/>
    </row>
    <row r="1921" spans="1:26" ht="25.5" customHeight="1" x14ac:dyDescent="0.2">
      <c r="A1921" s="15">
        <v>104</v>
      </c>
      <c r="B1921" s="15">
        <v>2001</v>
      </c>
      <c r="C1921" s="15">
        <v>1</v>
      </c>
      <c r="D1921" s="15">
        <v>8</v>
      </c>
      <c r="E1921" s="29" t="s">
        <v>216</v>
      </c>
      <c r="F1921" s="20" t="s">
        <v>51</v>
      </c>
      <c r="G1921" s="32">
        <v>145</v>
      </c>
      <c r="H1921" s="15" t="s">
        <v>29</v>
      </c>
      <c r="I1921" s="33">
        <v>17</v>
      </c>
      <c r="J1921" s="11" t="s">
        <v>19</v>
      </c>
      <c r="K1921" s="20" t="s">
        <v>20</v>
      </c>
      <c r="L1921" s="20" t="s">
        <v>30</v>
      </c>
      <c r="M1921" s="20" t="s">
        <v>46</v>
      </c>
      <c r="N1921" s="20" t="s">
        <v>23</v>
      </c>
      <c r="O1921" s="31" t="s">
        <v>29</v>
      </c>
      <c r="P1921" s="15">
        <v>213</v>
      </c>
      <c r="Q1921" s="8"/>
      <c r="R1921">
        <v>13.53</v>
      </c>
      <c r="S1921">
        <v>2475.9899999999998</v>
      </c>
      <c r="T1921">
        <v>6.87</v>
      </c>
      <c r="U1921">
        <v>9.7200000000000006</v>
      </c>
      <c r="V1921">
        <v>135</v>
      </c>
      <c r="W1921" s="317">
        <v>4.5999999999999996</v>
      </c>
      <c r="X1921" s="190">
        <f t="shared" si="81"/>
        <v>78.199999999999989</v>
      </c>
      <c r="Y1921" s="8"/>
      <c r="Z1921" s="8"/>
    </row>
    <row r="1922" spans="1:26" ht="25.5" customHeight="1" x14ac:dyDescent="0.2">
      <c r="A1922" s="15">
        <v>105</v>
      </c>
      <c r="B1922" s="15">
        <v>2001</v>
      </c>
      <c r="C1922" s="15">
        <v>1</v>
      </c>
      <c r="D1922" s="15">
        <v>8</v>
      </c>
      <c r="E1922" s="29" t="s">
        <v>216</v>
      </c>
      <c r="F1922" s="20" t="s">
        <v>51</v>
      </c>
      <c r="G1922" s="32">
        <v>145</v>
      </c>
      <c r="H1922" s="15" t="s">
        <v>29</v>
      </c>
      <c r="I1922" s="33">
        <v>15</v>
      </c>
      <c r="J1922" s="11" t="s">
        <v>19</v>
      </c>
      <c r="K1922" s="20" t="s">
        <v>20</v>
      </c>
      <c r="L1922" s="11" t="s">
        <v>21</v>
      </c>
      <c r="M1922" s="20" t="s">
        <v>46</v>
      </c>
      <c r="N1922" s="20" t="s">
        <v>23</v>
      </c>
      <c r="O1922" s="31" t="s">
        <v>29</v>
      </c>
      <c r="P1922" s="15">
        <v>213</v>
      </c>
      <c r="Q1922" s="8"/>
      <c r="R1922">
        <v>13.53</v>
      </c>
      <c r="S1922">
        <v>2475.9899999999998</v>
      </c>
      <c r="T1922">
        <v>6.06</v>
      </c>
      <c r="U1922">
        <v>9.7200000000000006</v>
      </c>
      <c r="V1922">
        <v>135</v>
      </c>
      <c r="W1922" s="317">
        <v>3.9</v>
      </c>
      <c r="X1922" s="190">
        <f t="shared" si="81"/>
        <v>58.5</v>
      </c>
      <c r="Y1922" s="8"/>
      <c r="Z1922" s="8"/>
    </row>
    <row r="1923" spans="1:26" ht="25.5" customHeight="1" x14ac:dyDescent="0.2">
      <c r="A1923" s="15">
        <v>106</v>
      </c>
      <c r="B1923" s="15">
        <v>2001</v>
      </c>
      <c r="C1923" s="15">
        <v>1</v>
      </c>
      <c r="D1923" s="15">
        <v>8</v>
      </c>
      <c r="E1923" s="29" t="s">
        <v>216</v>
      </c>
      <c r="F1923" s="20" t="s">
        <v>51</v>
      </c>
      <c r="G1923" s="32">
        <v>140</v>
      </c>
      <c r="H1923" s="15" t="s">
        <v>29</v>
      </c>
      <c r="I1923" s="33">
        <v>12.5</v>
      </c>
      <c r="J1923" s="11" t="s">
        <v>19</v>
      </c>
      <c r="K1923" s="20" t="s">
        <v>20</v>
      </c>
      <c r="L1923" s="20" t="s">
        <v>30</v>
      </c>
      <c r="M1923" s="20" t="s">
        <v>46</v>
      </c>
      <c r="N1923" s="20" t="s">
        <v>23</v>
      </c>
      <c r="O1923" s="31" t="s">
        <v>29</v>
      </c>
      <c r="P1923" s="15">
        <v>213</v>
      </c>
      <c r="Q1923" s="8"/>
      <c r="R1923">
        <v>13.06</v>
      </c>
      <c r="S1923">
        <v>2228.58</v>
      </c>
      <c r="T1923">
        <v>5.61</v>
      </c>
      <c r="U1923">
        <v>9.3800000000000008</v>
      </c>
      <c r="V1923">
        <v>131</v>
      </c>
      <c r="W1923" s="317">
        <v>4.5999999999999996</v>
      </c>
      <c r="X1923" s="190">
        <f t="shared" si="81"/>
        <v>57.499999999999993</v>
      </c>
      <c r="Y1923" s="8"/>
      <c r="Z1923" s="8"/>
    </row>
    <row r="1924" spans="1:26" ht="25.5" customHeight="1" x14ac:dyDescent="0.2">
      <c r="A1924" s="15">
        <v>107</v>
      </c>
      <c r="B1924" s="15">
        <v>2001</v>
      </c>
      <c r="C1924" s="15">
        <v>1</v>
      </c>
      <c r="D1924" s="15">
        <v>8</v>
      </c>
      <c r="E1924" s="29" t="s">
        <v>216</v>
      </c>
      <c r="F1924" s="20" t="s">
        <v>51</v>
      </c>
      <c r="G1924" s="32">
        <v>145</v>
      </c>
      <c r="H1924" s="15" t="s">
        <v>29</v>
      </c>
      <c r="I1924" s="33">
        <v>12</v>
      </c>
      <c r="J1924" s="11" t="s">
        <v>19</v>
      </c>
      <c r="K1924" s="20" t="s">
        <v>20</v>
      </c>
      <c r="L1924" s="11" t="s">
        <v>21</v>
      </c>
      <c r="M1924" s="20" t="s">
        <v>27</v>
      </c>
      <c r="N1924" s="20" t="s">
        <v>25</v>
      </c>
      <c r="O1924" s="31" t="s">
        <v>29</v>
      </c>
      <c r="P1924" s="15">
        <v>213</v>
      </c>
      <c r="Q1924" s="8"/>
      <c r="R1924">
        <v>13.53</v>
      </c>
      <c r="S1924">
        <v>2475.9899999999998</v>
      </c>
      <c r="T1924">
        <v>4.8499999999999996</v>
      </c>
      <c r="U1924">
        <v>9.7200000000000006</v>
      </c>
      <c r="V1924">
        <v>135</v>
      </c>
      <c r="W1924" s="317">
        <v>3.9</v>
      </c>
      <c r="X1924" s="190">
        <f t="shared" si="81"/>
        <v>46.8</v>
      </c>
      <c r="Y1924" s="8"/>
      <c r="Z1924" s="8"/>
    </row>
    <row r="1925" spans="1:26" ht="25.5" customHeight="1" x14ac:dyDescent="0.2">
      <c r="A1925" s="15">
        <v>108</v>
      </c>
      <c r="B1925" s="15">
        <v>2001</v>
      </c>
      <c r="C1925" s="15">
        <v>1</v>
      </c>
      <c r="D1925" s="15">
        <v>8</v>
      </c>
      <c r="E1925" s="29" t="s">
        <v>216</v>
      </c>
      <c r="F1925" s="20" t="s">
        <v>51</v>
      </c>
      <c r="G1925" s="32">
        <v>155</v>
      </c>
      <c r="H1925" s="15" t="s">
        <v>29</v>
      </c>
      <c r="I1925" s="33">
        <v>16</v>
      </c>
      <c r="J1925" s="11" t="s">
        <v>19</v>
      </c>
      <c r="K1925" s="20" t="s">
        <v>20</v>
      </c>
      <c r="L1925" s="20" t="s">
        <v>30</v>
      </c>
      <c r="M1925" s="20" t="s">
        <v>46</v>
      </c>
      <c r="N1925" s="20" t="s">
        <v>23</v>
      </c>
      <c r="O1925" s="31" t="s">
        <v>29</v>
      </c>
      <c r="P1925" s="15">
        <v>213</v>
      </c>
      <c r="Q1925" s="8"/>
      <c r="R1925">
        <v>14.46</v>
      </c>
      <c r="S1925">
        <v>3024.41</v>
      </c>
      <c r="T1925">
        <v>5.29</v>
      </c>
      <c r="U1925">
        <v>10.39</v>
      </c>
      <c r="V1925">
        <v>145</v>
      </c>
      <c r="W1925" s="317">
        <v>4.5999999999999996</v>
      </c>
      <c r="X1925" s="190">
        <f t="shared" si="81"/>
        <v>73.599999999999994</v>
      </c>
      <c r="Y1925" s="8"/>
      <c r="Z1925" s="8"/>
    </row>
    <row r="1926" spans="1:26" ht="25.5" customHeight="1" x14ac:dyDescent="0.2">
      <c r="A1926" s="15">
        <v>109</v>
      </c>
      <c r="B1926" s="15">
        <v>2001</v>
      </c>
      <c r="C1926" s="15">
        <v>1</v>
      </c>
      <c r="D1926" s="15">
        <v>8</v>
      </c>
      <c r="E1926" s="29" t="s">
        <v>216</v>
      </c>
      <c r="F1926" s="20" t="s">
        <v>51</v>
      </c>
      <c r="G1926" s="32">
        <v>153</v>
      </c>
      <c r="H1926" s="15" t="s">
        <v>29</v>
      </c>
      <c r="I1926" s="33">
        <v>15</v>
      </c>
      <c r="J1926" s="11" t="s">
        <v>19</v>
      </c>
      <c r="K1926" s="20" t="s">
        <v>20</v>
      </c>
      <c r="L1926" s="11" t="s">
        <v>21</v>
      </c>
      <c r="M1926" s="20" t="s">
        <v>46</v>
      </c>
      <c r="N1926" s="20" t="s">
        <v>23</v>
      </c>
      <c r="O1926" s="31" t="s">
        <v>29</v>
      </c>
      <c r="P1926" s="15">
        <v>213</v>
      </c>
      <c r="Q1926" s="8"/>
      <c r="R1926">
        <v>14.27</v>
      </c>
      <c r="S1926">
        <v>2908.84</v>
      </c>
      <c r="T1926">
        <v>5.16</v>
      </c>
      <c r="U1926">
        <v>10.25</v>
      </c>
      <c r="V1926">
        <v>143</v>
      </c>
      <c r="W1926" s="317">
        <v>3.9</v>
      </c>
      <c r="X1926" s="190">
        <f t="shared" si="81"/>
        <v>58.5</v>
      </c>
      <c r="Y1926" s="8"/>
      <c r="Z1926" s="8"/>
    </row>
    <row r="1927" spans="1:26" ht="25.5" customHeight="1" x14ac:dyDescent="0.2">
      <c r="A1927" s="15">
        <v>110</v>
      </c>
      <c r="B1927" s="15">
        <v>2001</v>
      </c>
      <c r="C1927" s="15">
        <v>1</v>
      </c>
      <c r="D1927" s="15">
        <v>8</v>
      </c>
      <c r="E1927" s="29" t="s">
        <v>216</v>
      </c>
      <c r="F1927" s="20" t="s">
        <v>51</v>
      </c>
      <c r="G1927" s="32">
        <v>163</v>
      </c>
      <c r="H1927" s="15" t="s">
        <v>29</v>
      </c>
      <c r="I1927" s="33">
        <v>22</v>
      </c>
      <c r="J1927" s="11" t="s">
        <v>19</v>
      </c>
      <c r="K1927" s="20" t="s">
        <v>20</v>
      </c>
      <c r="L1927" s="20" t="s">
        <v>30</v>
      </c>
      <c r="M1927" s="20" t="s">
        <v>46</v>
      </c>
      <c r="N1927" s="20" t="s">
        <v>23</v>
      </c>
      <c r="O1927" s="31" t="s">
        <v>29</v>
      </c>
      <c r="P1927" s="15">
        <v>213</v>
      </c>
      <c r="Q1927" s="8"/>
      <c r="R1927">
        <v>15.21</v>
      </c>
      <c r="S1927">
        <v>3517.29</v>
      </c>
      <c r="T1927">
        <v>6.25</v>
      </c>
      <c r="U1927">
        <v>10.92</v>
      </c>
      <c r="V1927">
        <v>152</v>
      </c>
      <c r="W1927" s="317">
        <v>4.5999999999999996</v>
      </c>
      <c r="X1927" s="190">
        <f t="shared" si="81"/>
        <v>101.19999999999999</v>
      </c>
      <c r="Y1927" s="8"/>
      <c r="Z1927" s="8"/>
    </row>
    <row r="1928" spans="1:26" ht="25.5" customHeight="1" x14ac:dyDescent="0.2">
      <c r="A1928" s="15">
        <v>111</v>
      </c>
      <c r="B1928" s="15">
        <v>2001</v>
      </c>
      <c r="C1928" s="15">
        <v>1</v>
      </c>
      <c r="D1928" s="15">
        <v>8</v>
      </c>
      <c r="E1928" s="29" t="s">
        <v>216</v>
      </c>
      <c r="F1928" s="20" t="s">
        <v>51</v>
      </c>
      <c r="G1928" s="32">
        <v>147</v>
      </c>
      <c r="H1928" s="15" t="s">
        <v>29</v>
      </c>
      <c r="I1928" s="33">
        <v>13</v>
      </c>
      <c r="J1928" s="11" t="s">
        <v>19</v>
      </c>
      <c r="K1928" s="20" t="s">
        <v>20</v>
      </c>
      <c r="L1928" s="20" t="s">
        <v>30</v>
      </c>
      <c r="M1928" s="20" t="s">
        <v>46</v>
      </c>
      <c r="N1928" s="20" t="s">
        <v>24</v>
      </c>
      <c r="O1928" s="31" t="s">
        <v>29</v>
      </c>
      <c r="P1928" s="15">
        <v>213</v>
      </c>
      <c r="Q1928" s="8"/>
      <c r="R1928">
        <v>13.72</v>
      </c>
      <c r="S1928">
        <v>2579.86</v>
      </c>
      <c r="T1928">
        <v>5.04</v>
      </c>
      <c r="U1928">
        <v>9.85</v>
      </c>
      <c r="V1928">
        <v>137</v>
      </c>
      <c r="W1928" s="317">
        <v>4.5999999999999996</v>
      </c>
      <c r="X1928" s="190">
        <f t="shared" si="81"/>
        <v>59.8</v>
      </c>
      <c r="Y1928" s="8"/>
      <c r="Z1928" s="8"/>
    </row>
    <row r="1929" spans="1:26" ht="25.5" customHeight="1" x14ac:dyDescent="0.2">
      <c r="A1929" s="15">
        <v>112</v>
      </c>
      <c r="B1929" s="15">
        <v>2001</v>
      </c>
      <c r="C1929" s="15">
        <v>1</v>
      </c>
      <c r="D1929" s="15">
        <v>8</v>
      </c>
      <c r="E1929" s="29" t="s">
        <v>216</v>
      </c>
      <c r="F1929" s="20" t="s">
        <v>51</v>
      </c>
      <c r="G1929" s="32">
        <v>168</v>
      </c>
      <c r="H1929" s="15" t="s">
        <v>29</v>
      </c>
      <c r="I1929" s="33">
        <v>17</v>
      </c>
      <c r="J1929" s="11" t="s">
        <v>19</v>
      </c>
      <c r="K1929" s="20" t="s">
        <v>20</v>
      </c>
      <c r="L1929" s="11" t="s">
        <v>21</v>
      </c>
      <c r="M1929" s="20" t="s">
        <v>46</v>
      </c>
      <c r="N1929" s="20" t="s">
        <v>23</v>
      </c>
      <c r="O1929" s="31" t="s">
        <v>29</v>
      </c>
      <c r="P1929" s="15">
        <v>213</v>
      </c>
      <c r="Q1929" s="8"/>
      <c r="R1929">
        <v>15.67</v>
      </c>
      <c r="S1929">
        <v>3850.99</v>
      </c>
      <c r="T1929">
        <v>4.41</v>
      </c>
      <c r="U1929">
        <v>11.26</v>
      </c>
      <c r="V1929">
        <v>157</v>
      </c>
      <c r="W1929" s="317">
        <v>3.9</v>
      </c>
      <c r="X1929" s="190">
        <f t="shared" si="81"/>
        <v>66.3</v>
      </c>
      <c r="Y1929" s="8"/>
      <c r="Z1929" s="8"/>
    </row>
    <row r="1930" spans="1:26" ht="25.5" customHeight="1" x14ac:dyDescent="0.2">
      <c r="A1930" s="15">
        <v>113</v>
      </c>
      <c r="B1930" s="15">
        <v>2001</v>
      </c>
      <c r="C1930" s="15">
        <v>1</v>
      </c>
      <c r="D1930" s="15">
        <v>8</v>
      </c>
      <c r="E1930" s="29" t="s">
        <v>216</v>
      </c>
      <c r="F1930" s="20" t="s">
        <v>51</v>
      </c>
      <c r="G1930" s="32">
        <v>137</v>
      </c>
      <c r="H1930" s="15" t="s">
        <v>29</v>
      </c>
      <c r="I1930" s="33">
        <v>12</v>
      </c>
      <c r="J1930" s="11" t="s">
        <v>19</v>
      </c>
      <c r="K1930" s="20" t="s">
        <v>20</v>
      </c>
      <c r="L1930" s="11" t="s">
        <v>21</v>
      </c>
      <c r="M1930" s="20" t="s">
        <v>46</v>
      </c>
      <c r="N1930" s="20" t="s">
        <v>24</v>
      </c>
      <c r="O1930" s="31" t="s">
        <v>29</v>
      </c>
      <c r="P1930" s="15">
        <v>213</v>
      </c>
      <c r="Q1930" s="8"/>
      <c r="R1930">
        <v>12.78</v>
      </c>
      <c r="S1930">
        <v>2088.37</v>
      </c>
      <c r="T1930">
        <v>5.75</v>
      </c>
      <c r="U1930">
        <v>9.18</v>
      </c>
      <c r="V1930">
        <v>128</v>
      </c>
      <c r="W1930" s="317">
        <v>3.9</v>
      </c>
      <c r="X1930" s="190">
        <f t="shared" si="81"/>
        <v>46.8</v>
      </c>
      <c r="Y1930" s="8"/>
      <c r="Z1930" s="8"/>
    </row>
    <row r="1931" spans="1:26" ht="25.5" customHeight="1" x14ac:dyDescent="0.2">
      <c r="A1931" s="15">
        <v>114</v>
      </c>
      <c r="B1931" s="15">
        <v>2001</v>
      </c>
      <c r="C1931" s="15">
        <v>1</v>
      </c>
      <c r="D1931" s="15">
        <v>8</v>
      </c>
      <c r="E1931" s="29" t="s">
        <v>216</v>
      </c>
      <c r="F1931" s="20" t="s">
        <v>51</v>
      </c>
      <c r="G1931" s="32">
        <v>142</v>
      </c>
      <c r="H1931" s="15" t="s">
        <v>29</v>
      </c>
      <c r="I1931" s="33">
        <v>12.5</v>
      </c>
      <c r="J1931" s="11" t="s">
        <v>19</v>
      </c>
      <c r="K1931" s="20" t="s">
        <v>20</v>
      </c>
      <c r="L1931" s="11" t="s">
        <v>21</v>
      </c>
      <c r="M1931" s="20" t="s">
        <v>46</v>
      </c>
      <c r="N1931" s="20" t="s">
        <v>24</v>
      </c>
      <c r="O1931" s="31" t="s">
        <v>29</v>
      </c>
      <c r="P1931" s="15">
        <v>213</v>
      </c>
      <c r="Q1931" s="8"/>
      <c r="R1931">
        <v>13.25</v>
      </c>
      <c r="S1931">
        <v>2325.4699999999998</v>
      </c>
      <c r="T1931">
        <v>5.38</v>
      </c>
      <c r="U1931">
        <v>9.51</v>
      </c>
      <c r="V1931">
        <v>132</v>
      </c>
      <c r="W1931" s="317">
        <v>3.9</v>
      </c>
      <c r="X1931" s="190">
        <f t="shared" si="81"/>
        <v>48.75</v>
      </c>
      <c r="Y1931" s="8"/>
      <c r="Z1931" s="8"/>
    </row>
    <row r="1932" spans="1:26" ht="25.5" customHeight="1" x14ac:dyDescent="0.2">
      <c r="A1932" s="15">
        <v>115</v>
      </c>
      <c r="B1932" s="15">
        <v>2001</v>
      </c>
      <c r="C1932" s="15">
        <v>1</v>
      </c>
      <c r="D1932" s="15">
        <v>8</v>
      </c>
      <c r="E1932" s="29" t="s">
        <v>216</v>
      </c>
      <c r="F1932" s="20" t="s">
        <v>51</v>
      </c>
      <c r="G1932" s="32">
        <v>145</v>
      </c>
      <c r="H1932" s="15" t="s">
        <v>29</v>
      </c>
      <c r="I1932" s="33">
        <v>13</v>
      </c>
      <c r="J1932" s="11" t="s">
        <v>19</v>
      </c>
      <c r="K1932" s="20" t="s">
        <v>20</v>
      </c>
      <c r="L1932" s="11" t="s">
        <v>21</v>
      </c>
      <c r="M1932" s="20" t="s">
        <v>27</v>
      </c>
      <c r="N1932" s="20" t="s">
        <v>24</v>
      </c>
      <c r="O1932" s="31" t="s">
        <v>29</v>
      </c>
      <c r="P1932" s="15">
        <v>213</v>
      </c>
      <c r="Q1932" s="8"/>
      <c r="R1932">
        <v>13.53</v>
      </c>
      <c r="S1932">
        <v>2475.9899999999998</v>
      </c>
      <c r="T1932">
        <v>5.25</v>
      </c>
      <c r="U1932">
        <v>9.7200000000000006</v>
      </c>
      <c r="V1932">
        <v>135</v>
      </c>
      <c r="W1932" s="317">
        <v>3.9</v>
      </c>
      <c r="X1932" s="190">
        <f t="shared" si="81"/>
        <v>50.699999999999996</v>
      </c>
      <c r="Y1932" s="8"/>
      <c r="Z1932" s="8"/>
    </row>
    <row r="1933" spans="1:26" ht="25.5" customHeight="1" x14ac:dyDescent="0.2">
      <c r="A1933" s="15">
        <v>116</v>
      </c>
      <c r="B1933" s="15">
        <v>2001</v>
      </c>
      <c r="C1933" s="15">
        <v>1</v>
      </c>
      <c r="D1933" s="15">
        <v>8</v>
      </c>
      <c r="E1933" s="29" t="s">
        <v>216</v>
      </c>
      <c r="F1933" s="20" t="s">
        <v>51</v>
      </c>
      <c r="G1933" s="32">
        <v>142</v>
      </c>
      <c r="H1933" s="15" t="s">
        <v>29</v>
      </c>
      <c r="I1933" s="33">
        <v>10</v>
      </c>
      <c r="J1933" s="11" t="s">
        <v>19</v>
      </c>
      <c r="K1933" s="20" t="s">
        <v>20</v>
      </c>
      <c r="L1933" s="11" t="s">
        <v>21</v>
      </c>
      <c r="M1933" s="20" t="s">
        <v>46</v>
      </c>
      <c r="N1933" s="20" t="s">
        <v>23</v>
      </c>
      <c r="O1933" s="31" t="s">
        <v>29</v>
      </c>
      <c r="P1933" s="15">
        <v>213</v>
      </c>
      <c r="Q1933" s="8"/>
      <c r="R1933">
        <v>13.25</v>
      </c>
      <c r="S1933">
        <v>2325.4699999999998</v>
      </c>
      <c r="T1933">
        <v>4.3</v>
      </c>
      <c r="U1933">
        <v>9.51</v>
      </c>
      <c r="V1933">
        <v>132</v>
      </c>
      <c r="W1933" s="317">
        <v>3.9</v>
      </c>
      <c r="X1933" s="190">
        <f t="shared" si="81"/>
        <v>39</v>
      </c>
      <c r="Y1933" s="8"/>
      <c r="Z1933" s="8"/>
    </row>
    <row r="1934" spans="1:26" ht="25.5" customHeight="1" x14ac:dyDescent="0.2">
      <c r="A1934" s="15">
        <v>117</v>
      </c>
      <c r="B1934" s="15">
        <v>2001</v>
      </c>
      <c r="C1934" s="15">
        <v>1</v>
      </c>
      <c r="D1934" s="15">
        <v>8</v>
      </c>
      <c r="E1934" s="29" t="s">
        <v>216</v>
      </c>
      <c r="F1934" s="20" t="s">
        <v>51</v>
      </c>
      <c r="G1934" s="32">
        <v>140</v>
      </c>
      <c r="H1934" s="15" t="s">
        <v>29</v>
      </c>
      <c r="I1934" s="33">
        <v>9</v>
      </c>
      <c r="J1934" s="11" t="s">
        <v>19</v>
      </c>
      <c r="K1934" s="20" t="s">
        <v>20</v>
      </c>
      <c r="L1934" s="11" t="s">
        <v>21</v>
      </c>
      <c r="M1934" s="20" t="s">
        <v>46</v>
      </c>
      <c r="N1934" s="20" t="s">
        <v>24</v>
      </c>
      <c r="O1934" s="31" t="s">
        <v>29</v>
      </c>
      <c r="P1934" s="15">
        <v>213</v>
      </c>
      <c r="Q1934" s="8"/>
      <c r="R1934">
        <v>13.06</v>
      </c>
      <c r="S1934">
        <v>2228.58</v>
      </c>
      <c r="T1934">
        <v>4.04</v>
      </c>
      <c r="U1934">
        <v>9.3800000000000008</v>
      </c>
      <c r="V1934">
        <v>131</v>
      </c>
      <c r="W1934" s="317">
        <v>3.9</v>
      </c>
      <c r="X1934" s="190">
        <f t="shared" si="81"/>
        <v>35.1</v>
      </c>
      <c r="Y1934" s="8"/>
      <c r="Z1934" s="8"/>
    </row>
    <row r="1935" spans="1:26" ht="12.75" customHeight="1" x14ac:dyDescent="0.2">
      <c r="A1935" s="15">
        <v>1</v>
      </c>
      <c r="B1935" s="15">
        <v>2000</v>
      </c>
      <c r="C1935" s="15">
        <v>13</v>
      </c>
      <c r="D1935" s="15">
        <v>8</v>
      </c>
      <c r="E1935" s="30">
        <v>0.58333333333333337</v>
      </c>
      <c r="F1935" s="20" t="s">
        <v>51</v>
      </c>
      <c r="G1935" s="32">
        <v>131</v>
      </c>
      <c r="H1935" s="15" t="s">
        <v>29</v>
      </c>
      <c r="I1935" s="33">
        <v>9</v>
      </c>
      <c r="J1935" s="11" t="s">
        <v>19</v>
      </c>
      <c r="K1935" s="20" t="s">
        <v>20</v>
      </c>
      <c r="L1935" s="11" t="s">
        <v>21</v>
      </c>
      <c r="M1935" s="11" t="s">
        <v>45</v>
      </c>
      <c r="N1935" s="20" t="s">
        <v>24</v>
      </c>
      <c r="O1935" s="31" t="s">
        <v>29</v>
      </c>
      <c r="P1935" s="15">
        <v>226</v>
      </c>
      <c r="Q1935" s="8"/>
      <c r="R1935">
        <v>12.22</v>
      </c>
      <c r="S1935">
        <v>1825.82</v>
      </c>
      <c r="T1935">
        <v>4.93</v>
      </c>
      <c r="U1935">
        <v>8.7799999999999994</v>
      </c>
      <c r="V1935">
        <v>122</v>
      </c>
      <c r="W1935" s="317">
        <v>3.9</v>
      </c>
      <c r="X1935" s="190">
        <f t="shared" si="81"/>
        <v>35.1</v>
      </c>
      <c r="Y1935" s="8"/>
      <c r="Z1935" s="8"/>
    </row>
    <row r="1936" spans="1:26" ht="12.75" customHeight="1" x14ac:dyDescent="0.2">
      <c r="A1936" s="15">
        <v>2</v>
      </c>
      <c r="B1936" s="15">
        <v>2000</v>
      </c>
      <c r="C1936" s="15">
        <v>13</v>
      </c>
      <c r="D1936" s="15">
        <v>8</v>
      </c>
      <c r="E1936" s="30">
        <v>0.58333333333333337</v>
      </c>
      <c r="F1936" s="20" t="s">
        <v>51</v>
      </c>
      <c r="G1936" s="32">
        <v>164</v>
      </c>
      <c r="H1936" s="15" t="s">
        <v>29</v>
      </c>
      <c r="I1936" s="33">
        <v>15</v>
      </c>
      <c r="J1936" s="11" t="s">
        <v>19</v>
      </c>
      <c r="K1936" s="20" t="s">
        <v>20</v>
      </c>
      <c r="L1936" s="11" t="s">
        <v>21</v>
      </c>
      <c r="M1936" s="11" t="s">
        <v>218</v>
      </c>
      <c r="N1936" s="20" t="s">
        <v>24</v>
      </c>
      <c r="O1936" s="31" t="s">
        <v>29</v>
      </c>
      <c r="P1936" s="15">
        <v>226</v>
      </c>
      <c r="Q1936" s="8"/>
      <c r="R1936">
        <v>15.3</v>
      </c>
      <c r="S1936">
        <v>3582.42</v>
      </c>
      <c r="T1936">
        <v>4.1900000000000004</v>
      </c>
      <c r="U1936">
        <v>10.99</v>
      </c>
      <c r="V1936">
        <v>153</v>
      </c>
      <c r="W1936" s="317">
        <v>3.9</v>
      </c>
      <c r="X1936" s="190">
        <f t="shared" si="81"/>
        <v>58.5</v>
      </c>
      <c r="Y1936" s="8"/>
      <c r="Z1936" s="8"/>
    </row>
    <row r="1937" spans="1:26" ht="12.75" customHeight="1" x14ac:dyDescent="0.2">
      <c r="A1937" s="15">
        <v>3</v>
      </c>
      <c r="B1937" s="15">
        <v>2000</v>
      </c>
      <c r="C1937" s="15">
        <v>13</v>
      </c>
      <c r="D1937" s="15">
        <v>8</v>
      </c>
      <c r="E1937" s="30">
        <v>0.58333333333333337</v>
      </c>
      <c r="F1937" s="20" t="s">
        <v>51</v>
      </c>
      <c r="G1937" s="32">
        <v>171</v>
      </c>
      <c r="H1937" s="15" t="s">
        <v>29</v>
      </c>
      <c r="I1937" s="33">
        <v>15.5</v>
      </c>
      <c r="J1937" s="11" t="s">
        <v>19</v>
      </c>
      <c r="K1937" s="20" t="s">
        <v>20</v>
      </c>
      <c r="L1937" s="11" t="s">
        <v>21</v>
      </c>
      <c r="M1937" s="11" t="s">
        <v>27</v>
      </c>
      <c r="N1937" s="20" t="s">
        <v>24</v>
      </c>
      <c r="O1937" s="31" t="s">
        <v>29</v>
      </c>
      <c r="P1937" s="15">
        <v>226</v>
      </c>
      <c r="Q1937" s="8"/>
      <c r="R1937">
        <v>15.95</v>
      </c>
      <c r="S1937">
        <v>4061</v>
      </c>
      <c r="T1937">
        <v>3.82</v>
      </c>
      <c r="U1937">
        <v>11.46</v>
      </c>
      <c r="V1937">
        <v>160</v>
      </c>
      <c r="W1937" s="317">
        <v>3.9</v>
      </c>
      <c r="X1937" s="190">
        <f t="shared" si="81"/>
        <v>60.449999999999996</v>
      </c>
      <c r="Y1937" s="8"/>
      <c r="Z1937" s="8"/>
    </row>
    <row r="1938" spans="1:26" ht="12.75" customHeight="1" x14ac:dyDescent="0.2">
      <c r="A1938" s="15">
        <v>4</v>
      </c>
      <c r="B1938" s="15">
        <v>2000</v>
      </c>
      <c r="C1938" s="15">
        <v>13</v>
      </c>
      <c r="D1938" s="15">
        <v>8</v>
      </c>
      <c r="E1938" s="30">
        <v>0.58333333333333337</v>
      </c>
      <c r="F1938" s="20" t="s">
        <v>51</v>
      </c>
      <c r="G1938" s="32">
        <v>142</v>
      </c>
      <c r="H1938" s="15" t="s">
        <v>29</v>
      </c>
      <c r="I1938" s="33">
        <v>10.5</v>
      </c>
      <c r="J1938" s="11" t="s">
        <v>19</v>
      </c>
      <c r="K1938" s="11" t="s">
        <v>41</v>
      </c>
      <c r="L1938" s="11" t="s">
        <v>41</v>
      </c>
      <c r="M1938" s="11" t="s">
        <v>27</v>
      </c>
      <c r="N1938" s="20" t="s">
        <v>24</v>
      </c>
      <c r="O1938" s="31" t="s">
        <v>29</v>
      </c>
      <c r="P1938" s="15">
        <v>226</v>
      </c>
      <c r="Q1938" s="8"/>
      <c r="R1938">
        <v>13.25</v>
      </c>
      <c r="S1938">
        <v>2325.4699999999998</v>
      </c>
      <c r="T1938">
        <v>4.5199999999999996</v>
      </c>
      <c r="U1938">
        <v>9.51</v>
      </c>
      <c r="V1938">
        <v>132</v>
      </c>
      <c r="W1938" s="8"/>
      <c r="X1938" s="8"/>
      <c r="Y1938" s="8"/>
      <c r="Z1938" s="8"/>
    </row>
    <row r="1939" spans="1:26" ht="12.75" customHeight="1" x14ac:dyDescent="0.2">
      <c r="A1939" s="15">
        <v>5</v>
      </c>
      <c r="B1939" s="15">
        <v>2000</v>
      </c>
      <c r="C1939" s="15">
        <v>13</v>
      </c>
      <c r="D1939" s="15">
        <v>8</v>
      </c>
      <c r="E1939" s="30">
        <v>0.58333333333333337</v>
      </c>
      <c r="F1939" s="20" t="s">
        <v>51</v>
      </c>
      <c r="G1939" s="32">
        <v>163</v>
      </c>
      <c r="H1939" s="15" t="s">
        <v>29</v>
      </c>
      <c r="I1939" s="33">
        <v>14</v>
      </c>
      <c r="J1939" s="11" t="s">
        <v>19</v>
      </c>
      <c r="K1939" s="20" t="s">
        <v>20</v>
      </c>
      <c r="L1939" s="11" t="s">
        <v>21</v>
      </c>
      <c r="M1939" s="11" t="s">
        <v>27</v>
      </c>
      <c r="N1939" s="20" t="s">
        <v>24</v>
      </c>
      <c r="O1939" s="31" t="s">
        <v>29</v>
      </c>
      <c r="P1939" s="15">
        <v>226</v>
      </c>
      <c r="Q1939" s="8"/>
      <c r="R1939">
        <v>15.21</v>
      </c>
      <c r="S1939">
        <v>3517.29</v>
      </c>
      <c r="T1939">
        <v>3.98</v>
      </c>
      <c r="U1939">
        <v>10.92</v>
      </c>
      <c r="V1939">
        <v>152</v>
      </c>
      <c r="W1939" s="317">
        <v>3.9</v>
      </c>
      <c r="X1939" s="190">
        <f t="shared" ref="X1939:X1945" si="82">I1939*W1939</f>
        <v>54.6</v>
      </c>
      <c r="Y1939" s="8"/>
      <c r="Z1939" s="8"/>
    </row>
    <row r="1940" spans="1:26" ht="12.75" customHeight="1" x14ac:dyDescent="0.2">
      <c r="A1940" s="15">
        <v>6</v>
      </c>
      <c r="B1940" s="15">
        <v>2000</v>
      </c>
      <c r="C1940" s="15">
        <v>13</v>
      </c>
      <c r="D1940" s="15">
        <v>8</v>
      </c>
      <c r="E1940" s="30">
        <v>0.58333333333333337</v>
      </c>
      <c r="F1940" s="20" t="s">
        <v>51</v>
      </c>
      <c r="G1940" s="32">
        <v>132</v>
      </c>
      <c r="H1940" s="15" t="s">
        <v>29</v>
      </c>
      <c r="I1940" s="33">
        <v>12.5</v>
      </c>
      <c r="J1940" s="11" t="s">
        <v>19</v>
      </c>
      <c r="K1940" s="20" t="s">
        <v>20</v>
      </c>
      <c r="L1940" s="20" t="s">
        <v>30</v>
      </c>
      <c r="M1940" s="11" t="s">
        <v>29</v>
      </c>
      <c r="N1940" s="20" t="s">
        <v>24</v>
      </c>
      <c r="O1940" s="31" t="s">
        <v>29</v>
      </c>
      <c r="P1940" s="15">
        <v>226</v>
      </c>
      <c r="Q1940" s="8"/>
      <c r="R1940">
        <v>12.32</v>
      </c>
      <c r="S1940">
        <v>1867.96</v>
      </c>
      <c r="T1940">
        <v>6.69</v>
      </c>
      <c r="U1940">
        <v>8.84</v>
      </c>
      <c r="V1940">
        <v>123</v>
      </c>
      <c r="W1940" s="317">
        <v>4.5999999999999996</v>
      </c>
      <c r="X1940" s="190">
        <f t="shared" si="82"/>
        <v>57.499999999999993</v>
      </c>
      <c r="Y1940" s="8"/>
      <c r="Z1940" s="8"/>
    </row>
    <row r="1941" spans="1:26" ht="12.75" customHeight="1" x14ac:dyDescent="0.2">
      <c r="A1941" s="15">
        <v>7</v>
      </c>
      <c r="B1941" s="15">
        <v>2000</v>
      </c>
      <c r="C1941" s="15">
        <v>13</v>
      </c>
      <c r="D1941" s="15">
        <v>8</v>
      </c>
      <c r="E1941" s="30">
        <v>0.58333333333333337</v>
      </c>
      <c r="F1941" s="20" t="s">
        <v>51</v>
      </c>
      <c r="G1941" s="32">
        <v>176</v>
      </c>
      <c r="H1941" s="15" t="s">
        <v>29</v>
      </c>
      <c r="I1941" s="33">
        <v>17.5</v>
      </c>
      <c r="J1941" s="11" t="s">
        <v>19</v>
      </c>
      <c r="K1941" s="20" t="s">
        <v>20</v>
      </c>
      <c r="L1941" s="11" t="s">
        <v>21</v>
      </c>
      <c r="M1941" s="11" t="s">
        <v>27</v>
      </c>
      <c r="N1941" s="20" t="s">
        <v>24</v>
      </c>
      <c r="O1941" s="31" t="s">
        <v>29</v>
      </c>
      <c r="P1941" s="15">
        <v>226</v>
      </c>
      <c r="Q1941" s="8"/>
      <c r="R1941">
        <v>16.420000000000002</v>
      </c>
      <c r="S1941">
        <v>4427.75</v>
      </c>
      <c r="T1941">
        <v>3.95</v>
      </c>
      <c r="U1941">
        <v>11.79</v>
      </c>
      <c r="V1941">
        <v>164</v>
      </c>
      <c r="W1941" s="317">
        <v>3.9</v>
      </c>
      <c r="X1941" s="190">
        <f t="shared" si="82"/>
        <v>68.25</v>
      </c>
      <c r="Y1941" s="8"/>
      <c r="Z1941" s="8"/>
    </row>
    <row r="1942" spans="1:26" ht="12.75" customHeight="1" x14ac:dyDescent="0.2">
      <c r="A1942" s="15">
        <v>8</v>
      </c>
      <c r="B1942" s="15">
        <v>2000</v>
      </c>
      <c r="C1942" s="15">
        <v>13</v>
      </c>
      <c r="D1942" s="15">
        <v>8</v>
      </c>
      <c r="E1942" s="30">
        <v>0.58333333333333337</v>
      </c>
      <c r="F1942" s="20" t="s">
        <v>51</v>
      </c>
      <c r="G1942" s="32">
        <v>161</v>
      </c>
      <c r="H1942" s="15" t="s">
        <v>29</v>
      </c>
      <c r="I1942" s="33">
        <v>13</v>
      </c>
      <c r="J1942" s="11" t="s">
        <v>19</v>
      </c>
      <c r="K1942" s="20" t="s">
        <v>20</v>
      </c>
      <c r="L1942" s="11" t="s">
        <v>21</v>
      </c>
      <c r="M1942" s="11" t="s">
        <v>218</v>
      </c>
      <c r="N1942" s="20" t="s">
        <v>24</v>
      </c>
      <c r="O1942" s="31" t="s">
        <v>29</v>
      </c>
      <c r="P1942" s="15">
        <v>226</v>
      </c>
      <c r="Q1942" s="8"/>
      <c r="R1942">
        <v>15.02</v>
      </c>
      <c r="S1942">
        <v>3389.4</v>
      </c>
      <c r="T1942">
        <v>3.84</v>
      </c>
      <c r="U1942">
        <v>10.79</v>
      </c>
      <c r="V1942">
        <v>150</v>
      </c>
      <c r="W1942" s="317">
        <v>3.9</v>
      </c>
      <c r="X1942" s="190">
        <f t="shared" si="82"/>
        <v>50.699999999999996</v>
      </c>
      <c r="Y1942" s="8"/>
      <c r="Z1942" s="8"/>
    </row>
    <row r="1943" spans="1:26" ht="12.75" customHeight="1" x14ac:dyDescent="0.2">
      <c r="A1943" s="15">
        <v>9</v>
      </c>
      <c r="B1943" s="15">
        <v>2000</v>
      </c>
      <c r="C1943" s="15">
        <v>13</v>
      </c>
      <c r="D1943" s="15">
        <v>8</v>
      </c>
      <c r="E1943" s="30">
        <v>0.58333333333333337</v>
      </c>
      <c r="F1943" s="20" t="s">
        <v>51</v>
      </c>
      <c r="G1943" s="32">
        <v>163</v>
      </c>
      <c r="H1943" s="15" t="s">
        <v>29</v>
      </c>
      <c r="I1943" s="33">
        <v>17</v>
      </c>
      <c r="J1943" s="11" t="s">
        <v>19</v>
      </c>
      <c r="K1943" s="20" t="s">
        <v>20</v>
      </c>
      <c r="L1943" s="11" t="s">
        <v>21</v>
      </c>
      <c r="M1943" s="11" t="s">
        <v>27</v>
      </c>
      <c r="N1943" s="20" t="s">
        <v>24</v>
      </c>
      <c r="O1943" s="31" t="s">
        <v>29</v>
      </c>
      <c r="P1943" s="15">
        <v>226</v>
      </c>
      <c r="Q1943" s="8"/>
      <c r="R1943">
        <v>15.21</v>
      </c>
      <c r="S1943">
        <v>3517.29</v>
      </c>
      <c r="T1943">
        <v>4.83</v>
      </c>
      <c r="U1943">
        <v>10.92</v>
      </c>
      <c r="V1943">
        <v>152</v>
      </c>
      <c r="W1943" s="317">
        <v>3.9</v>
      </c>
      <c r="X1943" s="190">
        <f t="shared" si="82"/>
        <v>66.3</v>
      </c>
      <c r="Y1943" s="8"/>
      <c r="Z1943" s="8"/>
    </row>
    <row r="1944" spans="1:26" ht="12.75" customHeight="1" x14ac:dyDescent="0.2">
      <c r="A1944" s="15">
        <v>10</v>
      </c>
      <c r="B1944" s="15">
        <v>2000</v>
      </c>
      <c r="C1944" s="15">
        <v>13</v>
      </c>
      <c r="D1944" s="15">
        <v>8</v>
      </c>
      <c r="E1944" s="30">
        <v>0.58333333333333337</v>
      </c>
      <c r="F1944" s="20" t="s">
        <v>51</v>
      </c>
      <c r="G1944" s="32">
        <v>173</v>
      </c>
      <c r="H1944" s="15" t="s">
        <v>29</v>
      </c>
      <c r="I1944" s="33">
        <v>16.5</v>
      </c>
      <c r="J1944" s="11" t="s">
        <v>19</v>
      </c>
      <c r="K1944" s="20" t="s">
        <v>20</v>
      </c>
      <c r="L1944" s="11" t="s">
        <v>21</v>
      </c>
      <c r="M1944" s="11" t="s">
        <v>27</v>
      </c>
      <c r="N1944" s="20" t="s">
        <v>24</v>
      </c>
      <c r="O1944" s="31" t="s">
        <v>29</v>
      </c>
      <c r="P1944" s="15">
        <v>226</v>
      </c>
      <c r="Q1944" s="8"/>
      <c r="R1944">
        <v>16.14</v>
      </c>
      <c r="S1944">
        <v>4205.17</v>
      </c>
      <c r="T1944">
        <v>3.92</v>
      </c>
      <c r="U1944">
        <v>11.59</v>
      </c>
      <c r="V1944">
        <v>161</v>
      </c>
      <c r="W1944" s="317">
        <v>3.9</v>
      </c>
      <c r="X1944" s="190">
        <f t="shared" si="82"/>
        <v>64.349999999999994</v>
      </c>
      <c r="Y1944" s="8"/>
      <c r="Z1944" s="8"/>
    </row>
    <row r="1945" spans="1:26" ht="12.75" customHeight="1" x14ac:dyDescent="0.2">
      <c r="A1945" s="15">
        <v>11</v>
      </c>
      <c r="B1945" s="15">
        <v>2000</v>
      </c>
      <c r="C1945" s="15">
        <v>13</v>
      </c>
      <c r="D1945" s="15">
        <v>8</v>
      </c>
      <c r="E1945" s="30">
        <v>0.58333333333333337</v>
      </c>
      <c r="F1945" s="20" t="s">
        <v>51</v>
      </c>
      <c r="G1945" s="11" t="s">
        <v>29</v>
      </c>
      <c r="H1945" s="15" t="s">
        <v>29</v>
      </c>
      <c r="I1945" s="33">
        <v>11.5</v>
      </c>
      <c r="J1945" s="11" t="s">
        <v>19</v>
      </c>
      <c r="K1945" s="20" t="s">
        <v>20</v>
      </c>
      <c r="L1945" s="11" t="s">
        <v>21</v>
      </c>
      <c r="M1945" s="11" t="s">
        <v>29</v>
      </c>
      <c r="N1945" s="20" t="s">
        <v>25</v>
      </c>
      <c r="O1945" s="31" t="s">
        <v>29</v>
      </c>
      <c r="P1945" s="15">
        <v>226</v>
      </c>
      <c r="Q1945" s="8"/>
      <c r="W1945" s="317">
        <v>3.9</v>
      </c>
      <c r="X1945" s="190">
        <f t="shared" si="82"/>
        <v>44.85</v>
      </c>
      <c r="Y1945" s="8"/>
      <c r="Z1945" s="8"/>
    </row>
    <row r="1946" spans="1:26" ht="12.75" customHeight="1" x14ac:dyDescent="0.2">
      <c r="A1946" s="15">
        <v>12</v>
      </c>
      <c r="B1946" s="15">
        <v>2000</v>
      </c>
      <c r="C1946" s="15">
        <v>13</v>
      </c>
      <c r="D1946" s="15">
        <v>8</v>
      </c>
      <c r="E1946" s="30">
        <v>0.58333333333333337</v>
      </c>
      <c r="F1946" s="20" t="s">
        <v>51</v>
      </c>
      <c r="G1946" s="32">
        <v>153</v>
      </c>
      <c r="H1946" s="15" t="s">
        <v>29</v>
      </c>
      <c r="I1946" s="33">
        <v>12.5</v>
      </c>
      <c r="J1946" s="11" t="s">
        <v>19</v>
      </c>
      <c r="K1946" s="11" t="s">
        <v>41</v>
      </c>
      <c r="L1946" s="11" t="s">
        <v>41</v>
      </c>
      <c r="M1946" s="11" t="s">
        <v>218</v>
      </c>
      <c r="N1946" s="20" t="s">
        <v>24</v>
      </c>
      <c r="O1946" s="31" t="s">
        <v>29</v>
      </c>
      <c r="P1946" s="15">
        <v>226</v>
      </c>
      <c r="Q1946" s="8"/>
      <c r="R1946">
        <v>14.27</v>
      </c>
      <c r="S1946">
        <v>2908.84</v>
      </c>
      <c r="T1946">
        <v>4.3</v>
      </c>
      <c r="U1946">
        <v>10.25</v>
      </c>
      <c r="V1946">
        <v>143</v>
      </c>
      <c r="W1946" s="8"/>
      <c r="X1946" s="8"/>
      <c r="Y1946" s="8"/>
      <c r="Z1946" s="8"/>
    </row>
    <row r="1947" spans="1:26" ht="12.75" customHeight="1" x14ac:dyDescent="0.2">
      <c r="A1947" s="15">
        <v>13</v>
      </c>
      <c r="B1947" s="15">
        <v>2000</v>
      </c>
      <c r="C1947" s="15">
        <v>13</v>
      </c>
      <c r="D1947" s="15">
        <v>8</v>
      </c>
      <c r="E1947" s="30">
        <v>0.58333333333333337</v>
      </c>
      <c r="F1947" s="20" t="s">
        <v>51</v>
      </c>
      <c r="G1947" s="32">
        <v>146</v>
      </c>
      <c r="H1947" s="15" t="s">
        <v>29</v>
      </c>
      <c r="I1947" s="33">
        <v>10</v>
      </c>
      <c r="J1947" s="11" t="s">
        <v>19</v>
      </c>
      <c r="K1947" s="11" t="s">
        <v>41</v>
      </c>
      <c r="L1947" s="11" t="s">
        <v>41</v>
      </c>
      <c r="M1947" s="11" t="s">
        <v>27</v>
      </c>
      <c r="N1947" s="20" t="s">
        <v>24</v>
      </c>
      <c r="O1947" s="31" t="s">
        <v>29</v>
      </c>
      <c r="P1947" s="15">
        <v>226</v>
      </c>
      <c r="Q1947" s="8"/>
      <c r="R1947">
        <v>13.62</v>
      </c>
      <c r="S1947">
        <v>2527.5700000000002</v>
      </c>
      <c r="T1947">
        <v>3.96</v>
      </c>
      <c r="U1947">
        <v>9.7799999999999994</v>
      </c>
      <c r="V1947">
        <v>136</v>
      </c>
      <c r="W1947" s="8"/>
      <c r="X1947" s="8"/>
      <c r="Y1947" s="8"/>
      <c r="Z1947" s="8"/>
    </row>
    <row r="1948" spans="1:26" ht="12.75" customHeight="1" x14ac:dyDescent="0.2">
      <c r="A1948" s="15">
        <v>14</v>
      </c>
      <c r="B1948" s="15">
        <v>2000</v>
      </c>
      <c r="C1948" s="15">
        <v>13</v>
      </c>
      <c r="D1948" s="15">
        <v>8</v>
      </c>
      <c r="E1948" s="30">
        <v>0.58333333333333337</v>
      </c>
      <c r="F1948" s="20" t="s">
        <v>51</v>
      </c>
      <c r="G1948" s="32">
        <v>142</v>
      </c>
      <c r="H1948" s="15" t="s">
        <v>29</v>
      </c>
      <c r="I1948" s="33">
        <v>8.5</v>
      </c>
      <c r="J1948" s="11" t="s">
        <v>19</v>
      </c>
      <c r="K1948" s="20" t="s">
        <v>20</v>
      </c>
      <c r="L1948" s="11" t="s">
        <v>21</v>
      </c>
      <c r="M1948" s="11" t="s">
        <v>27</v>
      </c>
      <c r="N1948" s="20" t="s">
        <v>25</v>
      </c>
      <c r="O1948" s="31" t="s">
        <v>29</v>
      </c>
      <c r="P1948" s="15">
        <v>226</v>
      </c>
      <c r="Q1948" s="8"/>
      <c r="R1948">
        <v>13.25</v>
      </c>
      <c r="S1948">
        <v>2325.4699999999998</v>
      </c>
      <c r="T1948">
        <v>3.66</v>
      </c>
      <c r="U1948">
        <v>9.51</v>
      </c>
      <c r="V1948">
        <v>132</v>
      </c>
      <c r="W1948" s="317">
        <v>3.9</v>
      </c>
      <c r="X1948" s="190">
        <f>I1948*W1948</f>
        <v>33.15</v>
      </c>
      <c r="Y1948" s="8"/>
      <c r="Z1948" s="8"/>
    </row>
    <row r="1949" spans="1:26" ht="12.75" customHeight="1" x14ac:dyDescent="0.2">
      <c r="A1949" s="15">
        <v>15</v>
      </c>
      <c r="B1949" s="15">
        <v>2000</v>
      </c>
      <c r="C1949" s="15">
        <v>13</v>
      </c>
      <c r="D1949" s="15">
        <v>8</v>
      </c>
      <c r="E1949" s="30">
        <v>0.58333333333333337</v>
      </c>
      <c r="F1949" s="20" t="s">
        <v>51</v>
      </c>
      <c r="G1949" s="32">
        <v>178</v>
      </c>
      <c r="H1949" s="15" t="s">
        <v>29</v>
      </c>
      <c r="I1949" s="33">
        <v>18</v>
      </c>
      <c r="J1949" s="11" t="s">
        <v>19</v>
      </c>
      <c r="K1949" s="20" t="s">
        <v>20</v>
      </c>
      <c r="L1949" s="11" t="s">
        <v>21</v>
      </c>
      <c r="M1949" s="11" t="s">
        <v>27</v>
      </c>
      <c r="N1949" s="20" t="s">
        <v>24</v>
      </c>
      <c r="O1949" s="31" t="s">
        <v>29</v>
      </c>
      <c r="P1949" s="15">
        <v>226</v>
      </c>
      <c r="Q1949" s="8"/>
      <c r="R1949">
        <v>16.61</v>
      </c>
      <c r="S1949">
        <v>4580.42</v>
      </c>
      <c r="T1949">
        <v>3.93</v>
      </c>
      <c r="U1949">
        <v>11.93</v>
      </c>
      <c r="V1949">
        <v>166</v>
      </c>
      <c r="W1949" s="317">
        <v>3.9</v>
      </c>
      <c r="X1949" s="190">
        <f>I1949*W1949</f>
        <v>70.2</v>
      </c>
      <c r="Y1949" s="8"/>
      <c r="Z1949" s="8"/>
    </row>
    <row r="1950" spans="1:26" ht="12.75" customHeight="1" x14ac:dyDescent="0.2">
      <c r="A1950" s="15">
        <v>16</v>
      </c>
      <c r="B1950" s="15">
        <v>2000</v>
      </c>
      <c r="C1950" s="15">
        <v>13</v>
      </c>
      <c r="D1950" s="15">
        <v>8</v>
      </c>
      <c r="E1950" s="30">
        <v>0.58333333333333337</v>
      </c>
      <c r="F1950" s="20" t="s">
        <v>51</v>
      </c>
      <c r="G1950" s="32">
        <v>150</v>
      </c>
      <c r="H1950" s="15" t="s">
        <v>29</v>
      </c>
      <c r="I1950" s="33">
        <v>13.5</v>
      </c>
      <c r="J1950" s="11" t="s">
        <v>19</v>
      </c>
      <c r="K1950" s="20" t="s">
        <v>20</v>
      </c>
      <c r="L1950" s="11" t="s">
        <v>21</v>
      </c>
      <c r="M1950" s="11" t="s">
        <v>27</v>
      </c>
      <c r="N1950" s="20" t="s">
        <v>24</v>
      </c>
      <c r="O1950" s="31" t="s">
        <v>29</v>
      </c>
      <c r="P1950" s="15">
        <v>226</v>
      </c>
      <c r="Q1950" s="8"/>
      <c r="R1950">
        <v>14</v>
      </c>
      <c r="S1950">
        <v>2741.06</v>
      </c>
      <c r="T1950">
        <v>4.93</v>
      </c>
      <c r="U1950">
        <v>10.050000000000001</v>
      </c>
      <c r="V1950">
        <v>140</v>
      </c>
      <c r="W1950" s="317">
        <v>3.9</v>
      </c>
      <c r="X1950" s="190">
        <f>I1950*W1950</f>
        <v>52.65</v>
      </c>
      <c r="Y1950" s="8"/>
      <c r="Z1950" s="8"/>
    </row>
    <row r="1951" spans="1:26" ht="12.75" customHeight="1" x14ac:dyDescent="0.2">
      <c r="A1951" s="15">
        <v>17</v>
      </c>
      <c r="B1951" s="15">
        <v>2000</v>
      </c>
      <c r="C1951" s="15">
        <v>13</v>
      </c>
      <c r="D1951" s="15">
        <v>8</v>
      </c>
      <c r="E1951" s="30">
        <v>0.58333333333333337</v>
      </c>
      <c r="F1951" s="20" t="s">
        <v>51</v>
      </c>
      <c r="G1951" s="11" t="s">
        <v>29</v>
      </c>
      <c r="H1951" s="15" t="s">
        <v>29</v>
      </c>
      <c r="I1951" s="33">
        <v>10.5</v>
      </c>
      <c r="J1951" s="11" t="s">
        <v>19</v>
      </c>
      <c r="K1951" s="20" t="s">
        <v>20</v>
      </c>
      <c r="L1951" s="11" t="s">
        <v>21</v>
      </c>
      <c r="M1951" s="11" t="s">
        <v>27</v>
      </c>
      <c r="N1951" s="20" t="s">
        <v>25</v>
      </c>
      <c r="O1951" s="31" t="s">
        <v>29</v>
      </c>
      <c r="P1951" s="15">
        <v>226</v>
      </c>
      <c r="Q1951" s="8"/>
      <c r="W1951" s="317">
        <v>3.9</v>
      </c>
      <c r="X1951" s="190">
        <f>I1951*W1951</f>
        <v>40.949999999999996</v>
      </c>
      <c r="Y1951" s="8"/>
      <c r="Z1951" s="8"/>
    </row>
    <row r="1952" spans="1:26" ht="12.75" customHeight="1" x14ac:dyDescent="0.2">
      <c r="A1952" s="15">
        <v>18</v>
      </c>
      <c r="B1952" s="15">
        <v>2000</v>
      </c>
      <c r="C1952" s="15">
        <v>13</v>
      </c>
      <c r="D1952" s="15">
        <v>8</v>
      </c>
      <c r="E1952" s="30">
        <v>0.58333333333333337</v>
      </c>
      <c r="F1952" s="20" t="s">
        <v>51</v>
      </c>
      <c r="G1952" s="32">
        <v>150</v>
      </c>
      <c r="H1952" s="15" t="s">
        <v>29</v>
      </c>
      <c r="I1952" s="33">
        <v>9.5</v>
      </c>
      <c r="J1952" s="11" t="s">
        <v>19</v>
      </c>
      <c r="K1952" s="20" t="s">
        <v>20</v>
      </c>
      <c r="L1952" s="11" t="s">
        <v>21</v>
      </c>
      <c r="M1952" s="11" t="s">
        <v>47</v>
      </c>
      <c r="N1952" s="20" t="s">
        <v>24</v>
      </c>
      <c r="O1952" s="31" t="s">
        <v>29</v>
      </c>
      <c r="P1952" s="15">
        <v>226</v>
      </c>
      <c r="Q1952" s="8"/>
      <c r="R1952">
        <v>14</v>
      </c>
      <c r="S1952">
        <v>2741.06</v>
      </c>
      <c r="T1952">
        <v>3.47</v>
      </c>
      <c r="U1952">
        <v>10.050000000000001</v>
      </c>
      <c r="V1952">
        <v>140</v>
      </c>
      <c r="W1952" s="317">
        <v>3.9</v>
      </c>
      <c r="X1952" s="190">
        <f>I1952*W1952</f>
        <v>37.049999999999997</v>
      </c>
      <c r="Y1952" s="8"/>
      <c r="Z1952" s="8"/>
    </row>
    <row r="1953" spans="1:26" ht="12.75" customHeight="1" x14ac:dyDescent="0.2">
      <c r="A1953" s="15">
        <v>19</v>
      </c>
      <c r="B1953" s="15">
        <v>2000</v>
      </c>
      <c r="C1953" s="15">
        <v>13</v>
      </c>
      <c r="D1953" s="15">
        <v>8</v>
      </c>
      <c r="E1953" s="30">
        <v>0.58333333333333337</v>
      </c>
      <c r="F1953" s="20" t="s">
        <v>51</v>
      </c>
      <c r="G1953" s="32">
        <v>99</v>
      </c>
      <c r="H1953" s="15" t="s">
        <v>29</v>
      </c>
      <c r="I1953" s="33">
        <v>4</v>
      </c>
      <c r="J1953" s="11" t="s">
        <v>19</v>
      </c>
      <c r="K1953" s="11" t="s">
        <v>41</v>
      </c>
      <c r="L1953" s="20" t="s">
        <v>35</v>
      </c>
      <c r="M1953" s="11" t="s">
        <v>27</v>
      </c>
      <c r="N1953" s="20" t="s">
        <v>24</v>
      </c>
      <c r="O1953" s="31" t="s">
        <v>29</v>
      </c>
      <c r="P1953" s="15">
        <v>226</v>
      </c>
      <c r="Q1953" s="8"/>
      <c r="R1953">
        <v>9.24</v>
      </c>
      <c r="S1953">
        <v>788.04</v>
      </c>
      <c r="T1953">
        <v>5.08</v>
      </c>
      <c r="U1953">
        <v>6.63</v>
      </c>
      <c r="V1953">
        <v>92</v>
      </c>
      <c r="W1953" s="317"/>
      <c r="X1953" s="8"/>
      <c r="Y1953" s="8"/>
      <c r="Z1953" s="8"/>
    </row>
    <row r="1954" spans="1:26" ht="12.75" customHeight="1" x14ac:dyDescent="0.2">
      <c r="A1954" s="15">
        <v>20</v>
      </c>
      <c r="B1954" s="15">
        <v>2000</v>
      </c>
      <c r="C1954" s="15">
        <v>13</v>
      </c>
      <c r="D1954" s="15">
        <v>8</v>
      </c>
      <c r="E1954" s="30">
        <v>0.68055555555555547</v>
      </c>
      <c r="F1954" s="20" t="s">
        <v>51</v>
      </c>
      <c r="G1954" s="32">
        <v>155</v>
      </c>
      <c r="H1954" s="15" t="s">
        <v>29</v>
      </c>
      <c r="I1954" s="33">
        <v>15</v>
      </c>
      <c r="J1954" s="11" t="s">
        <v>19</v>
      </c>
      <c r="K1954" s="20" t="s">
        <v>20</v>
      </c>
      <c r="L1954" s="11" t="s">
        <v>21</v>
      </c>
      <c r="M1954" s="11" t="s">
        <v>27</v>
      </c>
      <c r="N1954" s="20" t="s">
        <v>24</v>
      </c>
      <c r="O1954" s="31" t="s">
        <v>29</v>
      </c>
      <c r="P1954" s="15">
        <v>226</v>
      </c>
      <c r="Q1954" s="8"/>
      <c r="R1954">
        <v>14.46</v>
      </c>
      <c r="S1954">
        <v>3024.41</v>
      </c>
      <c r="T1954">
        <v>4.96</v>
      </c>
      <c r="U1954">
        <v>10.39</v>
      </c>
      <c r="V1954">
        <v>145</v>
      </c>
      <c r="W1954" s="317">
        <v>3.9</v>
      </c>
      <c r="X1954" s="190">
        <f t="shared" ref="X1954:X1961" si="83">I1954*W1954</f>
        <v>58.5</v>
      </c>
      <c r="Y1954" s="8"/>
      <c r="Z1954" s="8"/>
    </row>
    <row r="1955" spans="1:26" ht="12.75" customHeight="1" x14ac:dyDescent="0.2">
      <c r="A1955" s="15">
        <v>21</v>
      </c>
      <c r="B1955" s="15">
        <v>2000</v>
      </c>
      <c r="C1955" s="15">
        <v>13</v>
      </c>
      <c r="D1955" s="15">
        <v>8</v>
      </c>
      <c r="E1955" s="30">
        <v>0.68055555555555547</v>
      </c>
      <c r="F1955" s="20" t="s">
        <v>51</v>
      </c>
      <c r="G1955" s="32">
        <v>152</v>
      </c>
      <c r="H1955" s="15" t="s">
        <v>29</v>
      </c>
      <c r="I1955" s="33">
        <v>11.5</v>
      </c>
      <c r="J1955" s="11" t="s">
        <v>19</v>
      </c>
      <c r="K1955" s="20" t="s">
        <v>20</v>
      </c>
      <c r="L1955" s="11" t="s">
        <v>21</v>
      </c>
      <c r="M1955" s="11" t="s">
        <v>27</v>
      </c>
      <c r="N1955" s="20" t="s">
        <v>24</v>
      </c>
      <c r="O1955" s="31" t="s">
        <v>29</v>
      </c>
      <c r="P1955" s="15">
        <v>226</v>
      </c>
      <c r="Q1955" s="8"/>
      <c r="R1955">
        <v>14.18</v>
      </c>
      <c r="S1955">
        <v>2852.17</v>
      </c>
      <c r="T1955">
        <v>4.03</v>
      </c>
      <c r="U1955">
        <v>10.18</v>
      </c>
      <c r="V1955">
        <v>142</v>
      </c>
      <c r="W1955" s="317">
        <v>3.9</v>
      </c>
      <c r="X1955" s="190">
        <f t="shared" si="83"/>
        <v>44.85</v>
      </c>
      <c r="Y1955" s="8"/>
      <c r="Z1955" s="8"/>
    </row>
    <row r="1956" spans="1:26" ht="12.75" customHeight="1" x14ac:dyDescent="0.2">
      <c r="A1956" s="15">
        <v>22</v>
      </c>
      <c r="B1956" s="15">
        <v>2000</v>
      </c>
      <c r="C1956" s="15">
        <v>13</v>
      </c>
      <c r="D1956" s="15">
        <v>8</v>
      </c>
      <c r="E1956" s="30">
        <v>0.68055555555555547</v>
      </c>
      <c r="F1956" s="20" t="s">
        <v>51</v>
      </c>
      <c r="G1956" s="32">
        <v>139</v>
      </c>
      <c r="H1956" s="15" t="s">
        <v>29</v>
      </c>
      <c r="I1956" s="33">
        <v>8</v>
      </c>
      <c r="J1956" s="11" t="s">
        <v>19</v>
      </c>
      <c r="K1956" s="20" t="s">
        <v>20</v>
      </c>
      <c r="L1956" s="11" t="s">
        <v>21</v>
      </c>
      <c r="M1956" s="11" t="s">
        <v>27</v>
      </c>
      <c r="N1956" s="20" t="s">
        <v>25</v>
      </c>
      <c r="O1956" s="31" t="s">
        <v>29</v>
      </c>
      <c r="P1956" s="15">
        <v>226</v>
      </c>
      <c r="Q1956" s="8"/>
      <c r="R1956">
        <v>12.97</v>
      </c>
      <c r="S1956">
        <v>2181.17</v>
      </c>
      <c r="T1956">
        <v>3.67</v>
      </c>
      <c r="U1956">
        <v>9.31</v>
      </c>
      <c r="V1956">
        <v>130</v>
      </c>
      <c r="W1956" s="317">
        <v>3.9</v>
      </c>
      <c r="X1956" s="190">
        <f t="shared" si="83"/>
        <v>31.2</v>
      </c>
      <c r="Y1956" s="8"/>
      <c r="Z1956" s="8"/>
    </row>
    <row r="1957" spans="1:26" ht="12.75" customHeight="1" x14ac:dyDescent="0.2">
      <c r="A1957" s="15">
        <v>23</v>
      </c>
      <c r="B1957" s="15">
        <v>2000</v>
      </c>
      <c r="C1957" s="15">
        <v>13</v>
      </c>
      <c r="D1957" s="15">
        <v>8</v>
      </c>
      <c r="E1957" s="30">
        <v>0.6875</v>
      </c>
      <c r="F1957" s="20" t="s">
        <v>51</v>
      </c>
      <c r="G1957" s="32">
        <v>175</v>
      </c>
      <c r="H1957" s="15" t="s">
        <v>29</v>
      </c>
      <c r="I1957" s="33">
        <v>17</v>
      </c>
      <c r="J1957" s="11" t="s">
        <v>19</v>
      </c>
      <c r="K1957" s="20" t="s">
        <v>20</v>
      </c>
      <c r="L1957" s="11" t="s">
        <v>21</v>
      </c>
      <c r="M1957" s="11" t="s">
        <v>27</v>
      </c>
      <c r="N1957" s="20" t="s">
        <v>24</v>
      </c>
      <c r="O1957" s="31" t="s">
        <v>29</v>
      </c>
      <c r="P1957" s="15">
        <v>226</v>
      </c>
      <c r="Q1957" s="8"/>
      <c r="R1957">
        <v>16.329999999999998</v>
      </c>
      <c r="S1957">
        <v>4352.7</v>
      </c>
      <c r="T1957">
        <v>3.91</v>
      </c>
      <c r="U1957">
        <v>11.73</v>
      </c>
      <c r="V1957">
        <v>163</v>
      </c>
      <c r="W1957" s="317">
        <v>3.9</v>
      </c>
      <c r="X1957" s="190">
        <f t="shared" si="83"/>
        <v>66.3</v>
      </c>
      <c r="Y1957" s="8"/>
      <c r="Z1957" s="8"/>
    </row>
    <row r="1958" spans="1:26" ht="12.75" customHeight="1" x14ac:dyDescent="0.2">
      <c r="A1958" s="15">
        <v>24</v>
      </c>
      <c r="B1958" s="15">
        <v>2000</v>
      </c>
      <c r="C1958" s="15">
        <v>10</v>
      </c>
      <c r="D1958" s="15">
        <v>8</v>
      </c>
      <c r="E1958" s="22" t="s">
        <v>17</v>
      </c>
      <c r="F1958" s="20" t="s">
        <v>51</v>
      </c>
      <c r="G1958" s="15">
        <v>171</v>
      </c>
      <c r="H1958" s="15" t="s">
        <v>29</v>
      </c>
      <c r="I1958" s="25">
        <v>16.5</v>
      </c>
      <c r="J1958" s="11" t="s">
        <v>19</v>
      </c>
      <c r="K1958" s="20" t="s">
        <v>20</v>
      </c>
      <c r="L1958" s="11" t="s">
        <v>21</v>
      </c>
      <c r="M1958" s="11" t="s">
        <v>218</v>
      </c>
      <c r="N1958" s="11" t="s">
        <v>25</v>
      </c>
      <c r="O1958" s="16" t="s">
        <v>29</v>
      </c>
      <c r="P1958" s="15">
        <v>223</v>
      </c>
      <c r="Q1958" s="8"/>
      <c r="R1958">
        <v>15.95</v>
      </c>
      <c r="S1958">
        <v>4061</v>
      </c>
      <c r="T1958">
        <v>4.0599999999999996</v>
      </c>
      <c r="U1958">
        <v>11.46</v>
      </c>
      <c r="V1958">
        <v>160</v>
      </c>
      <c r="W1958" s="317">
        <v>3.9</v>
      </c>
      <c r="X1958" s="190">
        <f t="shared" si="83"/>
        <v>64.349999999999994</v>
      </c>
      <c r="Y1958" s="8"/>
      <c r="Z1958" s="8"/>
    </row>
    <row r="1959" spans="1:26" ht="12.75" customHeight="1" x14ac:dyDescent="0.2">
      <c r="A1959" s="15">
        <v>25</v>
      </c>
      <c r="B1959" s="15">
        <v>2000</v>
      </c>
      <c r="C1959" s="15">
        <v>10</v>
      </c>
      <c r="D1959" s="15">
        <v>8</v>
      </c>
      <c r="E1959" s="22" t="s">
        <v>17</v>
      </c>
      <c r="F1959" s="20" t="s">
        <v>51</v>
      </c>
      <c r="G1959" s="15">
        <v>169</v>
      </c>
      <c r="H1959" s="15" t="s">
        <v>29</v>
      </c>
      <c r="I1959" s="25">
        <v>13.5</v>
      </c>
      <c r="J1959" s="11" t="s">
        <v>19</v>
      </c>
      <c r="K1959" s="20" t="s">
        <v>20</v>
      </c>
      <c r="L1959" s="11" t="s">
        <v>21</v>
      </c>
      <c r="M1959" s="11" t="s">
        <v>45</v>
      </c>
      <c r="N1959" s="11" t="s">
        <v>25</v>
      </c>
      <c r="O1959" s="16" t="s">
        <v>29</v>
      </c>
      <c r="P1959" s="15">
        <v>223</v>
      </c>
      <c r="Q1959" s="8"/>
      <c r="R1959">
        <v>15.77</v>
      </c>
      <c r="S1959">
        <v>3920.17</v>
      </c>
      <c r="T1959">
        <v>3.44</v>
      </c>
      <c r="U1959">
        <v>11.32</v>
      </c>
      <c r="V1959">
        <v>158</v>
      </c>
      <c r="W1959" s="317">
        <v>3.9</v>
      </c>
      <c r="X1959" s="190">
        <f t="shared" si="83"/>
        <v>52.65</v>
      </c>
      <c r="Y1959" s="8"/>
      <c r="Z1959" s="8"/>
    </row>
    <row r="1960" spans="1:26" ht="12.75" customHeight="1" x14ac:dyDescent="0.2">
      <c r="A1960" s="15">
        <v>26</v>
      </c>
      <c r="B1960" s="15">
        <v>2000</v>
      </c>
      <c r="C1960" s="15">
        <v>10</v>
      </c>
      <c r="D1960" s="15">
        <v>8</v>
      </c>
      <c r="E1960" s="22" t="s">
        <v>17</v>
      </c>
      <c r="F1960" s="20" t="s">
        <v>51</v>
      </c>
      <c r="G1960" s="15">
        <v>179</v>
      </c>
      <c r="H1960" s="15" t="s">
        <v>29</v>
      </c>
      <c r="I1960" s="25">
        <v>20</v>
      </c>
      <c r="J1960" s="11" t="s">
        <v>19</v>
      </c>
      <c r="K1960" s="20" t="s">
        <v>20</v>
      </c>
      <c r="L1960" s="11" t="s">
        <v>21</v>
      </c>
      <c r="M1960" s="11" t="s">
        <v>29</v>
      </c>
      <c r="N1960" s="11" t="s">
        <v>24</v>
      </c>
      <c r="O1960" s="16" t="s">
        <v>29</v>
      </c>
      <c r="P1960" s="15">
        <v>223</v>
      </c>
      <c r="Q1960" s="8"/>
      <c r="R1960">
        <v>16.7</v>
      </c>
      <c r="S1960">
        <v>4658.05</v>
      </c>
      <c r="T1960">
        <v>4.29</v>
      </c>
      <c r="U1960">
        <v>11.99</v>
      </c>
      <c r="V1960">
        <v>167</v>
      </c>
      <c r="W1960" s="317">
        <v>3.9</v>
      </c>
      <c r="X1960" s="190">
        <f t="shared" si="83"/>
        <v>78</v>
      </c>
      <c r="Y1960" s="8"/>
      <c r="Z1960" s="8"/>
    </row>
    <row r="1961" spans="1:26" ht="12.75" customHeight="1" x14ac:dyDescent="0.2">
      <c r="A1961" s="15">
        <v>27</v>
      </c>
      <c r="B1961" s="15">
        <v>2000</v>
      </c>
      <c r="C1961" s="15">
        <v>10</v>
      </c>
      <c r="D1961" s="15">
        <v>8</v>
      </c>
      <c r="E1961" s="22" t="s">
        <v>17</v>
      </c>
      <c r="F1961" s="20" t="s">
        <v>51</v>
      </c>
      <c r="G1961" s="15">
        <v>162</v>
      </c>
      <c r="H1961" s="15" t="s">
        <v>29</v>
      </c>
      <c r="I1961" s="25">
        <v>16.5</v>
      </c>
      <c r="J1961" s="11" t="s">
        <v>19</v>
      </c>
      <c r="K1961" s="20" t="s">
        <v>20</v>
      </c>
      <c r="L1961" s="11" t="s">
        <v>21</v>
      </c>
      <c r="M1961" s="11" t="s">
        <v>29</v>
      </c>
      <c r="N1961" s="11" t="s">
        <v>24</v>
      </c>
      <c r="O1961" s="16" t="s">
        <v>29</v>
      </c>
      <c r="P1961" s="15">
        <v>223</v>
      </c>
      <c r="Q1961" s="8"/>
      <c r="R1961">
        <v>15.11</v>
      </c>
      <c r="S1961">
        <v>3452.95</v>
      </c>
      <c r="T1961">
        <v>4.78</v>
      </c>
      <c r="U1961">
        <v>10.85</v>
      </c>
      <c r="V1961">
        <v>151</v>
      </c>
      <c r="W1961" s="317">
        <v>3.9</v>
      </c>
      <c r="X1961" s="190">
        <f t="shared" si="83"/>
        <v>64.349999999999994</v>
      </c>
      <c r="Y1961" s="8"/>
      <c r="Z1961" s="8"/>
    </row>
    <row r="1962" spans="1:26" ht="12.75" customHeight="1" x14ac:dyDescent="0.2">
      <c r="A1962" s="15">
        <v>28</v>
      </c>
      <c r="B1962" s="15">
        <v>2000</v>
      </c>
      <c r="C1962" s="15">
        <v>10</v>
      </c>
      <c r="D1962" s="15">
        <v>8</v>
      </c>
      <c r="E1962" s="22" t="s">
        <v>17</v>
      </c>
      <c r="F1962" s="20" t="s">
        <v>51</v>
      </c>
      <c r="G1962" s="15">
        <v>135</v>
      </c>
      <c r="H1962" s="15" t="s">
        <v>29</v>
      </c>
      <c r="I1962" s="25">
        <v>9</v>
      </c>
      <c r="J1962" s="11" t="s">
        <v>19</v>
      </c>
      <c r="K1962" s="20" t="s">
        <v>20</v>
      </c>
      <c r="L1962" s="11" t="s">
        <v>41</v>
      </c>
      <c r="M1962" s="11" t="s">
        <v>47</v>
      </c>
      <c r="N1962" s="11" t="s">
        <v>25</v>
      </c>
      <c r="O1962" s="16" t="s">
        <v>29</v>
      </c>
      <c r="P1962" s="15">
        <v>223</v>
      </c>
      <c r="Q1962" s="8"/>
      <c r="R1962">
        <v>12.6</v>
      </c>
      <c r="S1962">
        <v>1998.23</v>
      </c>
      <c r="T1962">
        <v>4.5</v>
      </c>
      <c r="U1962">
        <v>9.0500000000000007</v>
      </c>
      <c r="V1962">
        <v>126</v>
      </c>
      <c r="W1962" s="8"/>
      <c r="X1962" s="8"/>
      <c r="Y1962" s="8"/>
      <c r="Z1962" s="8"/>
    </row>
    <row r="1963" spans="1:26" ht="12.75" customHeight="1" x14ac:dyDescent="0.2">
      <c r="A1963" s="15">
        <v>29</v>
      </c>
      <c r="B1963" s="15">
        <v>2000</v>
      </c>
      <c r="C1963" s="15">
        <v>10</v>
      </c>
      <c r="D1963" s="15">
        <v>8</v>
      </c>
      <c r="E1963" s="22" t="s">
        <v>17</v>
      </c>
      <c r="F1963" s="20" t="s">
        <v>51</v>
      </c>
      <c r="G1963" s="15">
        <v>166</v>
      </c>
      <c r="H1963" s="15" t="s">
        <v>29</v>
      </c>
      <c r="I1963" s="25">
        <v>19.5</v>
      </c>
      <c r="J1963" s="11" t="s">
        <v>19</v>
      </c>
      <c r="K1963" s="20" t="s">
        <v>20</v>
      </c>
      <c r="L1963" s="11" t="s">
        <v>21</v>
      </c>
      <c r="M1963" s="11" t="s">
        <v>218</v>
      </c>
      <c r="N1963" s="11" t="s">
        <v>24</v>
      </c>
      <c r="O1963" s="16" t="s">
        <v>29</v>
      </c>
      <c r="P1963" s="15">
        <v>223</v>
      </c>
      <c r="Q1963" s="8"/>
      <c r="R1963">
        <v>15.49</v>
      </c>
      <c r="S1963">
        <v>3715.09</v>
      </c>
      <c r="T1963">
        <v>5.25</v>
      </c>
      <c r="U1963">
        <v>11.12</v>
      </c>
      <c r="V1963">
        <v>155</v>
      </c>
      <c r="W1963" s="317">
        <v>3.9</v>
      </c>
      <c r="X1963" s="190">
        <f>I1963*W1963</f>
        <v>76.05</v>
      </c>
      <c r="Y1963" s="8"/>
      <c r="Z1963" s="8"/>
    </row>
    <row r="1964" spans="1:26" ht="12.75" customHeight="1" x14ac:dyDescent="0.2">
      <c r="A1964" s="15">
        <v>30</v>
      </c>
      <c r="B1964" s="15">
        <v>2000</v>
      </c>
      <c r="C1964" s="15">
        <v>10</v>
      </c>
      <c r="D1964" s="15">
        <v>8</v>
      </c>
      <c r="E1964" s="22" t="s">
        <v>17</v>
      </c>
      <c r="F1964" s="20" t="s">
        <v>51</v>
      </c>
      <c r="G1964" s="15">
        <v>160</v>
      </c>
      <c r="H1964" s="15" t="s">
        <v>29</v>
      </c>
      <c r="I1964" s="25">
        <v>15.5</v>
      </c>
      <c r="J1964" s="11" t="s">
        <v>19</v>
      </c>
      <c r="K1964" s="20" t="s">
        <v>20</v>
      </c>
      <c r="L1964" s="11" t="s">
        <v>21</v>
      </c>
      <c r="M1964" s="11" t="s">
        <v>29</v>
      </c>
      <c r="N1964" s="11" t="s">
        <v>24</v>
      </c>
      <c r="O1964" s="16" t="s">
        <v>29</v>
      </c>
      <c r="P1964" s="15">
        <v>223</v>
      </c>
      <c r="Q1964" s="8"/>
      <c r="R1964">
        <v>14.93</v>
      </c>
      <c r="S1964">
        <v>3326.63</v>
      </c>
      <c r="T1964">
        <v>4.66</v>
      </c>
      <c r="U1964">
        <v>10.72</v>
      </c>
      <c r="V1964">
        <v>149</v>
      </c>
      <c r="W1964" s="317">
        <v>3.9</v>
      </c>
      <c r="X1964" s="190">
        <f>I1964*W1964</f>
        <v>60.449999999999996</v>
      </c>
      <c r="Y1964" s="8"/>
      <c r="Z1964" s="8"/>
    </row>
    <row r="1965" spans="1:26" ht="12.75" customHeight="1" x14ac:dyDescent="0.2">
      <c r="A1965" s="15">
        <v>31</v>
      </c>
      <c r="B1965" s="15">
        <v>2000</v>
      </c>
      <c r="C1965" s="15">
        <v>10</v>
      </c>
      <c r="D1965" s="15">
        <v>8</v>
      </c>
      <c r="E1965" s="22" t="s">
        <v>17</v>
      </c>
      <c r="F1965" s="20" t="s">
        <v>51</v>
      </c>
      <c r="G1965" s="15">
        <v>171</v>
      </c>
      <c r="H1965" s="15" t="s">
        <v>29</v>
      </c>
      <c r="I1965" s="25">
        <v>14</v>
      </c>
      <c r="J1965" s="11" t="s">
        <v>19</v>
      </c>
      <c r="K1965" s="20" t="s">
        <v>20</v>
      </c>
      <c r="L1965" s="11" t="s">
        <v>21</v>
      </c>
      <c r="M1965" s="11" t="s">
        <v>27</v>
      </c>
      <c r="N1965" s="11" t="s">
        <v>25</v>
      </c>
      <c r="O1965" s="16" t="s">
        <v>29</v>
      </c>
      <c r="P1965" s="15">
        <v>223</v>
      </c>
      <c r="Q1965" s="8"/>
      <c r="R1965">
        <v>15.95</v>
      </c>
      <c r="S1965">
        <v>4061</v>
      </c>
      <c r="T1965">
        <v>3.45</v>
      </c>
      <c r="U1965">
        <v>11.46</v>
      </c>
      <c r="V1965">
        <v>160</v>
      </c>
      <c r="W1965" s="317">
        <v>3.9</v>
      </c>
      <c r="X1965" s="190">
        <f>I1965*W1965</f>
        <v>54.6</v>
      </c>
      <c r="Y1965" s="8"/>
      <c r="Z1965" s="8"/>
    </row>
    <row r="1966" spans="1:26" ht="12.75" customHeight="1" x14ac:dyDescent="0.2">
      <c r="A1966" s="15">
        <v>32</v>
      </c>
      <c r="B1966" s="15">
        <v>2000</v>
      </c>
      <c r="C1966" s="15">
        <v>10</v>
      </c>
      <c r="D1966" s="15">
        <v>8</v>
      </c>
      <c r="E1966" s="22" t="s">
        <v>17</v>
      </c>
      <c r="F1966" s="20" t="s">
        <v>51</v>
      </c>
      <c r="G1966" s="15">
        <v>143</v>
      </c>
      <c r="H1966" s="15" t="s">
        <v>29</v>
      </c>
      <c r="I1966" s="25">
        <v>10</v>
      </c>
      <c r="J1966" s="11" t="s">
        <v>19</v>
      </c>
      <c r="K1966" s="20" t="s">
        <v>20</v>
      </c>
      <c r="L1966" s="11" t="s">
        <v>41</v>
      </c>
      <c r="M1966" s="11" t="s">
        <v>27</v>
      </c>
      <c r="N1966" s="11" t="s">
        <v>24</v>
      </c>
      <c r="O1966" s="16" t="s">
        <v>29</v>
      </c>
      <c r="P1966" s="15">
        <v>223</v>
      </c>
      <c r="Q1966" s="8"/>
      <c r="R1966">
        <v>13.34</v>
      </c>
      <c r="S1966">
        <v>2374.94</v>
      </c>
      <c r="T1966">
        <v>4.21</v>
      </c>
      <c r="U1966">
        <v>9.58</v>
      </c>
      <c r="V1966">
        <v>133</v>
      </c>
      <c r="W1966" s="8"/>
      <c r="X1966" s="8"/>
      <c r="Y1966" s="8"/>
      <c r="Z1966" s="8"/>
    </row>
    <row r="1967" spans="1:26" ht="12.75" customHeight="1" x14ac:dyDescent="0.2">
      <c r="A1967" s="15">
        <v>33</v>
      </c>
      <c r="B1967" s="15">
        <v>2000</v>
      </c>
      <c r="C1967" s="15">
        <v>10</v>
      </c>
      <c r="D1967" s="15">
        <v>8</v>
      </c>
      <c r="E1967" s="22" t="s">
        <v>17</v>
      </c>
      <c r="F1967" s="20" t="s">
        <v>51</v>
      </c>
      <c r="G1967" s="15">
        <v>142</v>
      </c>
      <c r="H1967" s="15" t="s">
        <v>29</v>
      </c>
      <c r="I1967" s="25">
        <v>8</v>
      </c>
      <c r="J1967" s="11" t="s">
        <v>19</v>
      </c>
      <c r="K1967" s="20" t="s">
        <v>20</v>
      </c>
      <c r="L1967" s="11" t="s">
        <v>41</v>
      </c>
      <c r="M1967" s="11" t="s">
        <v>218</v>
      </c>
      <c r="N1967" s="11" t="s">
        <v>24</v>
      </c>
      <c r="O1967" s="16" t="s">
        <v>29</v>
      </c>
      <c r="P1967" s="15">
        <v>223</v>
      </c>
      <c r="Q1967" s="8"/>
      <c r="R1967">
        <v>13.25</v>
      </c>
      <c r="S1967">
        <v>2325.4699999999998</v>
      </c>
      <c r="T1967">
        <v>3.44</v>
      </c>
      <c r="U1967">
        <v>9.51</v>
      </c>
      <c r="V1967">
        <v>132</v>
      </c>
      <c r="W1967" s="8"/>
      <c r="X1967" s="8"/>
      <c r="Y1967" s="8"/>
      <c r="Z1967" s="8"/>
    </row>
    <row r="1968" spans="1:26" ht="12.75" customHeight="1" x14ac:dyDescent="0.2">
      <c r="A1968" s="15">
        <v>34</v>
      </c>
      <c r="B1968" s="15">
        <v>2000</v>
      </c>
      <c r="C1968" s="15">
        <v>10</v>
      </c>
      <c r="D1968" s="15">
        <v>8</v>
      </c>
      <c r="E1968" s="22" t="s">
        <v>17</v>
      </c>
      <c r="F1968" s="20" t="s">
        <v>51</v>
      </c>
      <c r="G1968" s="15">
        <v>163</v>
      </c>
      <c r="H1968" s="15" t="s">
        <v>29</v>
      </c>
      <c r="I1968" s="25">
        <v>13.5</v>
      </c>
      <c r="J1968" s="11" t="s">
        <v>19</v>
      </c>
      <c r="K1968" s="20" t="s">
        <v>20</v>
      </c>
      <c r="L1968" s="11" t="s">
        <v>21</v>
      </c>
      <c r="M1968" s="11" t="s">
        <v>27</v>
      </c>
      <c r="N1968" s="11" t="s">
        <v>24</v>
      </c>
      <c r="O1968" s="16" t="s">
        <v>29</v>
      </c>
      <c r="P1968" s="15">
        <v>223</v>
      </c>
      <c r="Q1968" s="8"/>
      <c r="R1968">
        <v>15.21</v>
      </c>
      <c r="S1968">
        <v>3517.29</v>
      </c>
      <c r="T1968">
        <v>3.84</v>
      </c>
      <c r="U1968">
        <v>10.92</v>
      </c>
      <c r="V1968">
        <v>152</v>
      </c>
      <c r="W1968" s="317">
        <v>3.9</v>
      </c>
      <c r="X1968" s="190">
        <f t="shared" ref="X1968:X1973" si="84">I1968*W1968</f>
        <v>52.65</v>
      </c>
      <c r="Y1968" s="8"/>
      <c r="Z1968" s="8"/>
    </row>
    <row r="1969" spans="1:26" ht="12.75" customHeight="1" x14ac:dyDescent="0.2">
      <c r="A1969" s="15">
        <v>35</v>
      </c>
      <c r="B1969" s="15">
        <v>2000</v>
      </c>
      <c r="C1969" s="15">
        <v>10</v>
      </c>
      <c r="D1969" s="15">
        <v>8</v>
      </c>
      <c r="E1969" s="22" t="s">
        <v>17</v>
      </c>
      <c r="F1969" s="20" t="s">
        <v>51</v>
      </c>
      <c r="G1969" s="15">
        <v>162</v>
      </c>
      <c r="H1969" s="15" t="s">
        <v>29</v>
      </c>
      <c r="I1969" s="25">
        <v>16.5</v>
      </c>
      <c r="J1969" s="11" t="s">
        <v>19</v>
      </c>
      <c r="K1969" s="20" t="s">
        <v>20</v>
      </c>
      <c r="L1969" s="11" t="s">
        <v>21</v>
      </c>
      <c r="M1969" s="11" t="s">
        <v>27</v>
      </c>
      <c r="N1969" s="11" t="s">
        <v>24</v>
      </c>
      <c r="O1969" s="16" t="s">
        <v>29</v>
      </c>
      <c r="P1969" s="15">
        <v>223</v>
      </c>
      <c r="Q1969" s="8"/>
      <c r="R1969">
        <v>15.11</v>
      </c>
      <c r="S1969">
        <v>3452.95</v>
      </c>
      <c r="T1969">
        <v>4.78</v>
      </c>
      <c r="U1969">
        <v>10.85</v>
      </c>
      <c r="V1969">
        <v>151</v>
      </c>
      <c r="W1969" s="317">
        <v>3.9</v>
      </c>
      <c r="X1969" s="190">
        <f t="shared" si="84"/>
        <v>64.349999999999994</v>
      </c>
      <c r="Y1969" s="8"/>
      <c r="Z1969" s="8"/>
    </row>
    <row r="1970" spans="1:26" ht="12.75" customHeight="1" x14ac:dyDescent="0.2">
      <c r="A1970" s="15">
        <v>36</v>
      </c>
      <c r="B1970" s="15">
        <v>2000</v>
      </c>
      <c r="C1970" s="15">
        <v>10</v>
      </c>
      <c r="D1970" s="15">
        <v>8</v>
      </c>
      <c r="E1970" s="22" t="s">
        <v>17</v>
      </c>
      <c r="F1970" s="20" t="s">
        <v>51</v>
      </c>
      <c r="G1970" s="15">
        <v>168</v>
      </c>
      <c r="H1970" s="15" t="s">
        <v>29</v>
      </c>
      <c r="I1970" s="25">
        <v>19.5</v>
      </c>
      <c r="J1970" s="11" t="s">
        <v>19</v>
      </c>
      <c r="K1970" s="20" t="s">
        <v>20</v>
      </c>
      <c r="L1970" s="11" t="s">
        <v>21</v>
      </c>
      <c r="M1970" s="11" t="s">
        <v>215</v>
      </c>
      <c r="N1970" s="11" t="s">
        <v>33</v>
      </c>
      <c r="O1970" s="16" t="s">
        <v>29</v>
      </c>
      <c r="P1970" s="15">
        <v>223</v>
      </c>
      <c r="Q1970" s="8"/>
      <c r="R1970">
        <v>15.67</v>
      </c>
      <c r="S1970">
        <v>3850.99</v>
      </c>
      <c r="T1970">
        <v>5.0599999999999996</v>
      </c>
      <c r="U1970">
        <v>11.26</v>
      </c>
      <c r="V1970">
        <v>157</v>
      </c>
      <c r="W1970" s="317">
        <v>3.9</v>
      </c>
      <c r="X1970" s="190">
        <f t="shared" si="84"/>
        <v>76.05</v>
      </c>
      <c r="Y1970" s="8"/>
      <c r="Z1970" s="8"/>
    </row>
    <row r="1971" spans="1:26" ht="12.75" customHeight="1" x14ac:dyDescent="0.2">
      <c r="A1971" s="15">
        <v>37</v>
      </c>
      <c r="B1971" s="15">
        <v>2000</v>
      </c>
      <c r="C1971" s="15">
        <v>10</v>
      </c>
      <c r="D1971" s="15">
        <v>8</v>
      </c>
      <c r="E1971" s="22" t="s">
        <v>17</v>
      </c>
      <c r="F1971" s="20" t="s">
        <v>51</v>
      </c>
      <c r="G1971" s="15">
        <v>156</v>
      </c>
      <c r="H1971" s="15" t="s">
        <v>29</v>
      </c>
      <c r="I1971" s="25">
        <v>16.5</v>
      </c>
      <c r="J1971" s="11" t="s">
        <v>19</v>
      </c>
      <c r="K1971" s="20" t="s">
        <v>20</v>
      </c>
      <c r="L1971" s="11" t="s">
        <v>21</v>
      </c>
      <c r="M1971" s="11" t="s">
        <v>29</v>
      </c>
      <c r="N1971" s="11" t="s">
        <v>25</v>
      </c>
      <c r="O1971" s="16" t="s">
        <v>29</v>
      </c>
      <c r="P1971" s="15">
        <v>223</v>
      </c>
      <c r="Q1971" s="8"/>
      <c r="R1971">
        <v>14.55</v>
      </c>
      <c r="S1971">
        <v>3083.32</v>
      </c>
      <c r="T1971">
        <v>5.35</v>
      </c>
      <c r="U1971">
        <v>10.45</v>
      </c>
      <c r="V1971">
        <v>146</v>
      </c>
      <c r="W1971" s="317">
        <v>3.9</v>
      </c>
      <c r="X1971" s="190">
        <f t="shared" si="84"/>
        <v>64.349999999999994</v>
      </c>
      <c r="Y1971" s="8"/>
      <c r="Z1971" s="8"/>
    </row>
    <row r="1972" spans="1:26" ht="12.75" customHeight="1" x14ac:dyDescent="0.2">
      <c r="A1972" s="15">
        <v>38</v>
      </c>
      <c r="B1972" s="15">
        <v>2000</v>
      </c>
      <c r="C1972" s="15">
        <v>10</v>
      </c>
      <c r="D1972" s="15">
        <v>8</v>
      </c>
      <c r="E1972" s="22" t="s">
        <v>17</v>
      </c>
      <c r="F1972" s="20" t="s">
        <v>51</v>
      </c>
      <c r="G1972" s="15">
        <v>171</v>
      </c>
      <c r="H1972" s="15" t="s">
        <v>29</v>
      </c>
      <c r="I1972" s="25">
        <v>15</v>
      </c>
      <c r="J1972" s="11" t="s">
        <v>19</v>
      </c>
      <c r="K1972" s="20" t="s">
        <v>20</v>
      </c>
      <c r="L1972" s="11" t="s">
        <v>21</v>
      </c>
      <c r="M1972" s="11" t="s">
        <v>27</v>
      </c>
      <c r="N1972" s="11" t="s">
        <v>24</v>
      </c>
      <c r="O1972" s="16" t="s">
        <v>29</v>
      </c>
      <c r="P1972" s="15">
        <v>223</v>
      </c>
      <c r="Q1972" s="8"/>
      <c r="R1972">
        <v>15.95</v>
      </c>
      <c r="S1972">
        <v>4061</v>
      </c>
      <c r="T1972">
        <v>3.69</v>
      </c>
      <c r="U1972">
        <v>11.46</v>
      </c>
      <c r="V1972">
        <v>160</v>
      </c>
      <c r="W1972" s="317">
        <v>3.9</v>
      </c>
      <c r="X1972" s="190">
        <f t="shared" si="84"/>
        <v>58.5</v>
      </c>
      <c r="Y1972" s="8"/>
      <c r="Z1972" s="8"/>
    </row>
    <row r="1973" spans="1:26" ht="12.75" customHeight="1" x14ac:dyDescent="0.2">
      <c r="A1973" s="15">
        <v>39</v>
      </c>
      <c r="B1973" s="15">
        <v>2000</v>
      </c>
      <c r="C1973" s="15">
        <v>10</v>
      </c>
      <c r="D1973" s="15">
        <v>8</v>
      </c>
      <c r="E1973" s="22" t="s">
        <v>17</v>
      </c>
      <c r="F1973" s="20" t="s">
        <v>51</v>
      </c>
      <c r="G1973" s="15">
        <v>142</v>
      </c>
      <c r="H1973" s="15" t="s">
        <v>29</v>
      </c>
      <c r="I1973" s="25">
        <v>14</v>
      </c>
      <c r="J1973" s="11" t="s">
        <v>19</v>
      </c>
      <c r="K1973" s="20" t="s">
        <v>20</v>
      </c>
      <c r="L1973" s="11" t="s">
        <v>30</v>
      </c>
      <c r="M1973" s="11" t="s">
        <v>215</v>
      </c>
      <c r="N1973" s="11" t="s">
        <v>25</v>
      </c>
      <c r="O1973" s="16" t="s">
        <v>29</v>
      </c>
      <c r="P1973" s="15">
        <v>223</v>
      </c>
      <c r="Q1973" s="8"/>
      <c r="R1973">
        <v>13.25</v>
      </c>
      <c r="S1973">
        <v>2325.4699999999998</v>
      </c>
      <c r="T1973">
        <v>6.02</v>
      </c>
      <c r="U1973">
        <v>9.51</v>
      </c>
      <c r="V1973">
        <v>132</v>
      </c>
      <c r="W1973" s="317">
        <v>4.5999999999999996</v>
      </c>
      <c r="X1973" s="190">
        <f t="shared" si="84"/>
        <v>64.399999999999991</v>
      </c>
      <c r="Y1973" s="8"/>
      <c r="Z1973" s="8"/>
    </row>
    <row r="1974" spans="1:26" ht="12.75" customHeight="1" x14ac:dyDescent="0.2">
      <c r="A1974" s="15">
        <v>40</v>
      </c>
      <c r="B1974" s="15">
        <v>2000</v>
      </c>
      <c r="C1974" s="15">
        <v>10</v>
      </c>
      <c r="D1974" s="15">
        <v>8</v>
      </c>
      <c r="E1974" s="22" t="s">
        <v>17</v>
      </c>
      <c r="F1974" s="20" t="s">
        <v>51</v>
      </c>
      <c r="G1974" s="15">
        <v>148</v>
      </c>
      <c r="H1974" s="15" t="s">
        <v>29</v>
      </c>
      <c r="I1974" s="25">
        <v>12.5</v>
      </c>
      <c r="J1974" s="11" t="s">
        <v>19</v>
      </c>
      <c r="K1974" s="11" t="s">
        <v>41</v>
      </c>
      <c r="L1974" s="11" t="s">
        <v>41</v>
      </c>
      <c r="M1974" s="11" t="s">
        <v>218</v>
      </c>
      <c r="N1974" s="11" t="s">
        <v>23</v>
      </c>
      <c r="O1974" s="16" t="s">
        <v>29</v>
      </c>
      <c r="P1974" s="15">
        <v>223</v>
      </c>
      <c r="Q1974" s="8"/>
      <c r="R1974">
        <v>13.81</v>
      </c>
      <c r="S1974">
        <v>2632.87</v>
      </c>
      <c r="T1974">
        <v>4.75</v>
      </c>
      <c r="U1974">
        <v>9.92</v>
      </c>
      <c r="V1974">
        <v>138</v>
      </c>
      <c r="W1974" s="8"/>
      <c r="X1974" s="8"/>
      <c r="Y1974" s="8"/>
      <c r="Z1974" s="8"/>
    </row>
    <row r="1975" spans="1:26" ht="12.75" customHeight="1" x14ac:dyDescent="0.2">
      <c r="A1975" s="15">
        <v>41</v>
      </c>
      <c r="B1975" s="15">
        <v>2000</v>
      </c>
      <c r="C1975" s="15">
        <v>10</v>
      </c>
      <c r="D1975" s="15">
        <v>8</v>
      </c>
      <c r="E1975" s="22" t="s">
        <v>17</v>
      </c>
      <c r="F1975" s="20" t="s">
        <v>51</v>
      </c>
      <c r="G1975" s="15">
        <v>172</v>
      </c>
      <c r="H1975" s="15" t="s">
        <v>29</v>
      </c>
      <c r="I1975" s="25">
        <v>17</v>
      </c>
      <c r="J1975" s="11" t="s">
        <v>19</v>
      </c>
      <c r="K1975" s="20" t="s">
        <v>20</v>
      </c>
      <c r="L1975" s="11" t="s">
        <v>21</v>
      </c>
      <c r="M1975" s="11" t="s">
        <v>27</v>
      </c>
      <c r="N1975" s="11" t="s">
        <v>24</v>
      </c>
      <c r="O1975" s="16" t="s">
        <v>29</v>
      </c>
      <c r="P1975" s="15">
        <v>223</v>
      </c>
      <c r="Q1975" s="8"/>
      <c r="R1975">
        <v>16.05</v>
      </c>
      <c r="S1975">
        <v>4132.67</v>
      </c>
      <c r="T1975">
        <v>4.1100000000000003</v>
      </c>
      <c r="U1975">
        <v>11.52</v>
      </c>
      <c r="V1975">
        <v>160</v>
      </c>
      <c r="W1975" s="317">
        <v>3.9</v>
      </c>
      <c r="X1975" s="190">
        <f>I1975*W1975</f>
        <v>66.3</v>
      </c>
      <c r="Y1975" s="8"/>
      <c r="Z1975" s="8"/>
    </row>
    <row r="1976" spans="1:26" ht="12.75" customHeight="1" x14ac:dyDescent="0.2">
      <c r="A1976" s="15">
        <v>42</v>
      </c>
      <c r="B1976" s="15">
        <v>2000</v>
      </c>
      <c r="C1976" s="15">
        <v>10</v>
      </c>
      <c r="D1976" s="15">
        <v>8</v>
      </c>
      <c r="E1976" s="22" t="s">
        <v>17</v>
      </c>
      <c r="F1976" s="20" t="s">
        <v>51</v>
      </c>
      <c r="G1976" s="15">
        <v>147</v>
      </c>
      <c r="H1976" s="15" t="s">
        <v>29</v>
      </c>
      <c r="I1976" s="25">
        <v>11.5</v>
      </c>
      <c r="J1976" s="11" t="s">
        <v>19</v>
      </c>
      <c r="K1976" s="20" t="s">
        <v>20</v>
      </c>
      <c r="L1976" s="11" t="s">
        <v>21</v>
      </c>
      <c r="M1976" s="11" t="s">
        <v>27</v>
      </c>
      <c r="N1976" s="11" t="s">
        <v>33</v>
      </c>
      <c r="O1976" s="16" t="s">
        <v>29</v>
      </c>
      <c r="P1976" s="15">
        <v>223</v>
      </c>
      <c r="Q1976" s="8"/>
      <c r="R1976">
        <v>13.72</v>
      </c>
      <c r="S1976">
        <v>2579.86</v>
      </c>
      <c r="T1976">
        <v>4.46</v>
      </c>
      <c r="U1976">
        <v>9.85</v>
      </c>
      <c r="V1976">
        <v>137</v>
      </c>
      <c r="W1976" s="317">
        <v>3.9</v>
      </c>
      <c r="X1976" s="190">
        <f>I1976*W1976</f>
        <v>44.85</v>
      </c>
      <c r="Y1976" s="8"/>
      <c r="Z1976" s="8"/>
    </row>
    <row r="1977" spans="1:26" ht="12.75" customHeight="1" x14ac:dyDescent="0.2">
      <c r="A1977" s="15">
        <v>43</v>
      </c>
      <c r="B1977" s="15">
        <v>2000</v>
      </c>
      <c r="C1977" s="15">
        <v>10</v>
      </c>
      <c r="D1977" s="15">
        <v>8</v>
      </c>
      <c r="E1977" s="22" t="s">
        <v>17</v>
      </c>
      <c r="F1977" s="20" t="s">
        <v>51</v>
      </c>
      <c r="G1977" s="15">
        <v>157</v>
      </c>
      <c r="H1977" s="15" t="s">
        <v>29</v>
      </c>
      <c r="I1977" s="25">
        <v>17.5</v>
      </c>
      <c r="J1977" s="11" t="s">
        <v>19</v>
      </c>
      <c r="K1977" s="20" t="s">
        <v>20</v>
      </c>
      <c r="L1977" s="11" t="s">
        <v>21</v>
      </c>
      <c r="M1977" s="11" t="s">
        <v>29</v>
      </c>
      <c r="N1977" s="11" t="s">
        <v>24</v>
      </c>
      <c r="O1977" s="16" t="s">
        <v>29</v>
      </c>
      <c r="P1977" s="15">
        <v>223</v>
      </c>
      <c r="Q1977" s="8"/>
      <c r="R1977">
        <v>14.65</v>
      </c>
      <c r="S1977">
        <v>3143</v>
      </c>
      <c r="T1977">
        <v>5.57</v>
      </c>
      <c r="U1977">
        <v>10.52</v>
      </c>
      <c r="V1977">
        <v>146</v>
      </c>
      <c r="W1977" s="317">
        <v>3.9</v>
      </c>
      <c r="X1977" s="190">
        <f>I1977*W1977</f>
        <v>68.25</v>
      </c>
      <c r="Y1977" s="8"/>
      <c r="Z1977" s="8"/>
    </row>
    <row r="1978" spans="1:26" ht="12.75" customHeight="1" x14ac:dyDescent="0.2">
      <c r="A1978" s="15">
        <v>44</v>
      </c>
      <c r="B1978" s="15">
        <v>2000</v>
      </c>
      <c r="C1978" s="15">
        <v>10</v>
      </c>
      <c r="D1978" s="15">
        <v>8</v>
      </c>
      <c r="E1978" s="22" t="s">
        <v>17</v>
      </c>
      <c r="F1978" s="20" t="s">
        <v>51</v>
      </c>
      <c r="G1978" s="15">
        <v>148</v>
      </c>
      <c r="H1978" s="15" t="s">
        <v>29</v>
      </c>
      <c r="I1978" s="25">
        <v>10.5</v>
      </c>
      <c r="J1978" s="11" t="s">
        <v>19</v>
      </c>
      <c r="K1978" s="11" t="s">
        <v>41</v>
      </c>
      <c r="L1978" s="11" t="s">
        <v>41</v>
      </c>
      <c r="M1978" s="11" t="s">
        <v>27</v>
      </c>
      <c r="N1978" s="11" t="s">
        <v>24</v>
      </c>
      <c r="O1978" s="16" t="s">
        <v>29</v>
      </c>
      <c r="P1978" s="15">
        <v>223</v>
      </c>
      <c r="Q1978" s="8"/>
      <c r="R1978">
        <v>13.81</v>
      </c>
      <c r="S1978">
        <v>2632.87</v>
      </c>
      <c r="T1978">
        <v>3.99</v>
      </c>
      <c r="U1978">
        <v>9.92</v>
      </c>
      <c r="V1978">
        <v>138</v>
      </c>
      <c r="W1978" s="8"/>
      <c r="X1978" s="8"/>
      <c r="Y1978" s="8"/>
      <c r="Z1978" s="8"/>
    </row>
    <row r="1979" spans="1:26" ht="12.75" customHeight="1" x14ac:dyDescent="0.2">
      <c r="A1979" s="15">
        <v>45</v>
      </c>
      <c r="B1979" s="15">
        <v>2000</v>
      </c>
      <c r="C1979" s="15">
        <v>10</v>
      </c>
      <c r="D1979" s="15">
        <v>8</v>
      </c>
      <c r="E1979" s="22" t="s">
        <v>17</v>
      </c>
      <c r="F1979" s="20" t="s">
        <v>51</v>
      </c>
      <c r="G1979" s="15">
        <v>96</v>
      </c>
      <c r="H1979" s="15" t="s">
        <v>29</v>
      </c>
      <c r="I1979" s="25">
        <v>2</v>
      </c>
      <c r="J1979" s="11" t="s">
        <v>19</v>
      </c>
      <c r="K1979" s="11" t="s">
        <v>41</v>
      </c>
      <c r="L1979" s="11" t="s">
        <v>35</v>
      </c>
      <c r="M1979" s="11" t="s">
        <v>29</v>
      </c>
      <c r="N1979" s="11" t="s">
        <v>24</v>
      </c>
      <c r="O1979" s="16" t="s">
        <v>29</v>
      </c>
      <c r="P1979" s="15">
        <v>223</v>
      </c>
      <c r="Q1979" s="8"/>
      <c r="R1979">
        <v>8.9600000000000009</v>
      </c>
      <c r="S1979">
        <v>718.55</v>
      </c>
      <c r="T1979">
        <v>2.78</v>
      </c>
      <c r="U1979">
        <v>6.43</v>
      </c>
      <c r="V1979">
        <v>90</v>
      </c>
      <c r="W1979" s="317"/>
      <c r="X1979" s="8"/>
      <c r="Y1979" s="8"/>
      <c r="Z1979" s="8"/>
    </row>
    <row r="1980" spans="1:26" ht="12.75" customHeight="1" x14ac:dyDescent="0.2">
      <c r="A1980" s="15">
        <v>46</v>
      </c>
      <c r="B1980" s="15">
        <v>2000</v>
      </c>
      <c r="C1980" s="15">
        <v>10</v>
      </c>
      <c r="D1980" s="15">
        <v>8</v>
      </c>
      <c r="E1980" s="22" t="s">
        <v>17</v>
      </c>
      <c r="F1980" s="20" t="s">
        <v>51</v>
      </c>
      <c r="G1980" s="15">
        <v>175</v>
      </c>
      <c r="H1980" s="15" t="s">
        <v>29</v>
      </c>
      <c r="I1980" s="25">
        <v>17.5</v>
      </c>
      <c r="J1980" s="11" t="s">
        <v>19</v>
      </c>
      <c r="K1980" s="20" t="s">
        <v>20</v>
      </c>
      <c r="L1980" s="11" t="s">
        <v>21</v>
      </c>
      <c r="M1980" s="11" t="s">
        <v>27</v>
      </c>
      <c r="N1980" s="11" t="s">
        <v>24</v>
      </c>
      <c r="O1980" s="16" t="s">
        <v>29</v>
      </c>
      <c r="P1980" s="15">
        <v>223</v>
      </c>
      <c r="Q1980" s="8"/>
      <c r="R1980">
        <v>16.329999999999998</v>
      </c>
      <c r="S1980">
        <v>4352.7</v>
      </c>
      <c r="T1980">
        <v>4.0199999999999996</v>
      </c>
      <c r="U1980">
        <v>11.73</v>
      </c>
      <c r="V1980">
        <v>163</v>
      </c>
      <c r="W1980" s="317">
        <v>3.9</v>
      </c>
      <c r="X1980" s="190">
        <f>I1980*W1980</f>
        <v>68.25</v>
      </c>
      <c r="Y1980" s="8"/>
      <c r="Z1980" s="8"/>
    </row>
    <row r="1981" spans="1:26" ht="12.75" customHeight="1" x14ac:dyDescent="0.2">
      <c r="A1981" s="15">
        <v>47</v>
      </c>
      <c r="B1981" s="15">
        <v>2000</v>
      </c>
      <c r="C1981" s="15">
        <v>10</v>
      </c>
      <c r="D1981" s="15">
        <v>8</v>
      </c>
      <c r="E1981" s="22" t="s">
        <v>17</v>
      </c>
      <c r="F1981" s="20" t="s">
        <v>51</v>
      </c>
      <c r="G1981" s="15">
        <v>165</v>
      </c>
      <c r="H1981" s="15" t="s">
        <v>29</v>
      </c>
      <c r="I1981" s="25">
        <v>17</v>
      </c>
      <c r="J1981" s="11" t="s">
        <v>19</v>
      </c>
      <c r="K1981" s="20" t="s">
        <v>20</v>
      </c>
      <c r="L1981" s="11" t="s">
        <v>21</v>
      </c>
      <c r="M1981" s="11" t="s">
        <v>27</v>
      </c>
      <c r="N1981" s="11" t="s">
        <v>24</v>
      </c>
      <c r="O1981" s="16" t="s">
        <v>29</v>
      </c>
      <c r="P1981" s="15">
        <v>223</v>
      </c>
      <c r="Q1981" s="8"/>
      <c r="R1981">
        <v>15.39</v>
      </c>
      <c r="S1981">
        <v>3648.35</v>
      </c>
      <c r="T1981">
        <v>4.66</v>
      </c>
      <c r="U1981">
        <v>11.06</v>
      </c>
      <c r="V1981">
        <v>154</v>
      </c>
      <c r="W1981" s="317">
        <v>3.9</v>
      </c>
      <c r="X1981" s="190">
        <f>I1981*W1981</f>
        <v>66.3</v>
      </c>
      <c r="Y1981" s="8"/>
      <c r="Z1981" s="8"/>
    </row>
    <row r="1982" spans="1:26" ht="12.75" customHeight="1" x14ac:dyDescent="0.2">
      <c r="A1982" s="15">
        <v>48</v>
      </c>
      <c r="B1982" s="15">
        <v>2000</v>
      </c>
      <c r="C1982" s="15">
        <v>10</v>
      </c>
      <c r="D1982" s="15">
        <v>8</v>
      </c>
      <c r="E1982" s="22" t="s">
        <v>17</v>
      </c>
      <c r="F1982" s="20" t="s">
        <v>51</v>
      </c>
      <c r="G1982" s="15">
        <v>124</v>
      </c>
      <c r="H1982" s="15" t="s">
        <v>29</v>
      </c>
      <c r="I1982" s="25">
        <v>7.5</v>
      </c>
      <c r="J1982" s="11" t="s">
        <v>19</v>
      </c>
      <c r="K1982" s="11" t="s">
        <v>41</v>
      </c>
      <c r="L1982" s="11" t="s">
        <v>35</v>
      </c>
      <c r="M1982" s="11" t="s">
        <v>27</v>
      </c>
      <c r="N1982" s="11" t="s">
        <v>24</v>
      </c>
      <c r="O1982" s="16" t="s">
        <v>29</v>
      </c>
      <c r="P1982" s="15">
        <v>223</v>
      </c>
      <c r="Q1982" s="8"/>
      <c r="R1982">
        <v>11.57</v>
      </c>
      <c r="S1982">
        <v>1548.5</v>
      </c>
      <c r="T1982">
        <v>4.84</v>
      </c>
      <c r="U1982">
        <v>8.31</v>
      </c>
      <c r="V1982">
        <v>116</v>
      </c>
      <c r="W1982" s="317"/>
      <c r="X1982" s="8"/>
      <c r="Y1982" s="8"/>
      <c r="Z1982" s="8"/>
    </row>
    <row r="1983" spans="1:26" ht="12.75" customHeight="1" x14ac:dyDescent="0.2">
      <c r="A1983" s="15">
        <v>49</v>
      </c>
      <c r="B1983" s="15">
        <v>2000</v>
      </c>
      <c r="C1983" s="15">
        <v>10</v>
      </c>
      <c r="D1983" s="15">
        <v>8</v>
      </c>
      <c r="E1983" s="22" t="s">
        <v>17</v>
      </c>
      <c r="F1983" s="20" t="s">
        <v>51</v>
      </c>
      <c r="G1983" s="15">
        <v>160</v>
      </c>
      <c r="H1983" s="15" t="s">
        <v>29</v>
      </c>
      <c r="I1983" s="25">
        <v>15.5</v>
      </c>
      <c r="J1983" s="11" t="s">
        <v>19</v>
      </c>
      <c r="K1983" s="20" t="s">
        <v>20</v>
      </c>
      <c r="L1983" s="11" t="s">
        <v>21</v>
      </c>
      <c r="M1983" s="11" t="s">
        <v>215</v>
      </c>
      <c r="N1983" s="11" t="s">
        <v>24</v>
      </c>
      <c r="O1983" s="16" t="s">
        <v>29</v>
      </c>
      <c r="P1983" s="15">
        <v>223</v>
      </c>
      <c r="Q1983" s="8"/>
      <c r="R1983">
        <v>14.93</v>
      </c>
      <c r="S1983">
        <v>3326.63</v>
      </c>
      <c r="T1983">
        <v>4.66</v>
      </c>
      <c r="U1983">
        <v>10.72</v>
      </c>
      <c r="V1983">
        <v>149</v>
      </c>
      <c r="W1983" s="317">
        <v>3.9</v>
      </c>
      <c r="X1983" s="190">
        <f t="shared" ref="X1983:X1994" si="85">I1983*W1983</f>
        <v>60.449999999999996</v>
      </c>
      <c r="Y1983" s="8"/>
      <c r="Z1983" s="8"/>
    </row>
    <row r="1984" spans="1:26" ht="12.75" customHeight="1" x14ac:dyDescent="0.2">
      <c r="A1984" s="15">
        <v>50</v>
      </c>
      <c r="B1984" s="15">
        <v>2000</v>
      </c>
      <c r="C1984" s="15">
        <v>10</v>
      </c>
      <c r="D1984" s="15">
        <v>8</v>
      </c>
      <c r="E1984" s="22" t="s">
        <v>17</v>
      </c>
      <c r="F1984" s="20" t="s">
        <v>51</v>
      </c>
      <c r="G1984" s="15">
        <v>166</v>
      </c>
      <c r="H1984" s="15" t="s">
        <v>29</v>
      </c>
      <c r="I1984" s="25">
        <v>16</v>
      </c>
      <c r="J1984" s="11" t="s">
        <v>19</v>
      </c>
      <c r="K1984" s="20" t="s">
        <v>20</v>
      </c>
      <c r="L1984" s="11" t="s">
        <v>21</v>
      </c>
      <c r="M1984" s="11" t="s">
        <v>215</v>
      </c>
      <c r="N1984" s="11" t="s">
        <v>24</v>
      </c>
      <c r="O1984" s="16" t="s">
        <v>29</v>
      </c>
      <c r="P1984" s="15">
        <v>223</v>
      </c>
      <c r="Q1984" s="8"/>
      <c r="R1984">
        <v>15.49</v>
      </c>
      <c r="S1984">
        <v>3715.09</v>
      </c>
      <c r="T1984">
        <v>4.3099999999999996</v>
      </c>
      <c r="U1984">
        <v>11.12</v>
      </c>
      <c r="V1984">
        <v>155</v>
      </c>
      <c r="W1984" s="317">
        <v>3.9</v>
      </c>
      <c r="X1984" s="190">
        <f t="shared" si="85"/>
        <v>62.4</v>
      </c>
      <c r="Y1984" s="8"/>
      <c r="Z1984" s="8"/>
    </row>
    <row r="1985" spans="1:26" ht="12.75" customHeight="1" x14ac:dyDescent="0.2">
      <c r="A1985" s="15">
        <v>51</v>
      </c>
      <c r="B1985" s="15">
        <v>2000</v>
      </c>
      <c r="C1985" s="15">
        <v>10</v>
      </c>
      <c r="D1985" s="15">
        <v>8</v>
      </c>
      <c r="E1985" s="22" t="s">
        <v>17</v>
      </c>
      <c r="F1985" s="20" t="s">
        <v>51</v>
      </c>
      <c r="G1985" s="15">
        <v>164</v>
      </c>
      <c r="H1985" s="15" t="s">
        <v>29</v>
      </c>
      <c r="I1985" s="25">
        <v>12.5</v>
      </c>
      <c r="J1985" s="11" t="s">
        <v>19</v>
      </c>
      <c r="K1985" s="20" t="s">
        <v>20</v>
      </c>
      <c r="L1985" s="11" t="s">
        <v>21</v>
      </c>
      <c r="M1985" s="11" t="s">
        <v>27</v>
      </c>
      <c r="N1985" s="11" t="s">
        <v>24</v>
      </c>
      <c r="O1985" s="16" t="s">
        <v>29</v>
      </c>
      <c r="P1985" s="15">
        <v>223</v>
      </c>
      <c r="Q1985" s="8"/>
      <c r="R1985">
        <v>15.3</v>
      </c>
      <c r="S1985">
        <v>3582.42</v>
      </c>
      <c r="T1985">
        <v>3.49</v>
      </c>
      <c r="U1985">
        <v>10.99</v>
      </c>
      <c r="V1985">
        <v>153</v>
      </c>
      <c r="W1985" s="317">
        <v>3.9</v>
      </c>
      <c r="X1985" s="190">
        <f t="shared" si="85"/>
        <v>48.75</v>
      </c>
      <c r="Y1985" s="8"/>
      <c r="Z1985" s="8"/>
    </row>
    <row r="1986" spans="1:26" ht="12.75" customHeight="1" x14ac:dyDescent="0.2">
      <c r="A1986" s="15">
        <v>52</v>
      </c>
      <c r="B1986" s="15">
        <v>2000</v>
      </c>
      <c r="C1986" s="15">
        <v>10</v>
      </c>
      <c r="D1986" s="15">
        <v>8</v>
      </c>
      <c r="E1986" s="22" t="s">
        <v>17</v>
      </c>
      <c r="F1986" s="20" t="s">
        <v>51</v>
      </c>
      <c r="G1986" s="15">
        <v>168</v>
      </c>
      <c r="H1986" s="15" t="s">
        <v>29</v>
      </c>
      <c r="I1986" s="25">
        <v>13.5</v>
      </c>
      <c r="J1986" s="11" t="s">
        <v>19</v>
      </c>
      <c r="K1986" s="20" t="s">
        <v>20</v>
      </c>
      <c r="L1986" s="11" t="s">
        <v>21</v>
      </c>
      <c r="M1986" s="11" t="s">
        <v>27</v>
      </c>
      <c r="N1986" s="11" t="s">
        <v>23</v>
      </c>
      <c r="O1986" s="16" t="s">
        <v>29</v>
      </c>
      <c r="P1986" s="15">
        <v>223</v>
      </c>
      <c r="Q1986" s="8"/>
      <c r="R1986">
        <v>15.67</v>
      </c>
      <c r="S1986">
        <v>3850.99</v>
      </c>
      <c r="T1986">
        <v>3.51</v>
      </c>
      <c r="U1986">
        <v>11.26</v>
      </c>
      <c r="V1986">
        <v>157</v>
      </c>
      <c r="W1986" s="317">
        <v>3.9</v>
      </c>
      <c r="X1986" s="190">
        <f t="shared" si="85"/>
        <v>52.65</v>
      </c>
      <c r="Y1986" s="8"/>
      <c r="Z1986" s="8"/>
    </row>
    <row r="1987" spans="1:26" ht="12.75" customHeight="1" x14ac:dyDescent="0.2">
      <c r="A1987" s="15">
        <v>53</v>
      </c>
      <c r="B1987" s="15">
        <v>2000</v>
      </c>
      <c r="C1987" s="15">
        <v>10</v>
      </c>
      <c r="D1987" s="15">
        <v>8</v>
      </c>
      <c r="E1987" s="22" t="s">
        <v>17</v>
      </c>
      <c r="F1987" s="20" t="s">
        <v>51</v>
      </c>
      <c r="G1987" s="15">
        <v>159</v>
      </c>
      <c r="H1987" s="15" t="s">
        <v>29</v>
      </c>
      <c r="I1987" s="25">
        <v>11.5</v>
      </c>
      <c r="J1987" s="11" t="s">
        <v>19</v>
      </c>
      <c r="K1987" s="20" t="s">
        <v>20</v>
      </c>
      <c r="L1987" s="11" t="s">
        <v>21</v>
      </c>
      <c r="M1987" s="11" t="s">
        <v>27</v>
      </c>
      <c r="N1987" s="11" t="s">
        <v>25</v>
      </c>
      <c r="O1987" s="16" t="s">
        <v>29</v>
      </c>
      <c r="P1987" s="15">
        <v>223</v>
      </c>
      <c r="Q1987" s="8"/>
      <c r="R1987">
        <v>14.83</v>
      </c>
      <c r="S1987">
        <v>3264.65</v>
      </c>
      <c r="T1987">
        <v>3.52</v>
      </c>
      <c r="U1987">
        <v>10.65</v>
      </c>
      <c r="V1987">
        <v>148</v>
      </c>
      <c r="W1987" s="317">
        <v>3.9</v>
      </c>
      <c r="X1987" s="190">
        <f t="shared" si="85"/>
        <v>44.85</v>
      </c>
      <c r="Y1987" s="8"/>
      <c r="Z1987" s="8"/>
    </row>
    <row r="1988" spans="1:26" ht="12.75" customHeight="1" x14ac:dyDescent="0.2">
      <c r="A1988" s="15">
        <v>54</v>
      </c>
      <c r="B1988" s="15">
        <v>2000</v>
      </c>
      <c r="C1988" s="15">
        <v>10</v>
      </c>
      <c r="D1988" s="15">
        <v>8</v>
      </c>
      <c r="E1988" s="22" t="s">
        <v>17</v>
      </c>
      <c r="F1988" s="20" t="s">
        <v>51</v>
      </c>
      <c r="G1988" s="15">
        <v>169</v>
      </c>
      <c r="H1988" s="15" t="s">
        <v>29</v>
      </c>
      <c r="I1988" s="25">
        <v>15</v>
      </c>
      <c r="J1988" s="11" t="s">
        <v>19</v>
      </c>
      <c r="K1988" s="20" t="s">
        <v>20</v>
      </c>
      <c r="L1988" s="11" t="s">
        <v>21</v>
      </c>
      <c r="M1988" s="11" t="s">
        <v>27</v>
      </c>
      <c r="N1988" s="11" t="s">
        <v>24</v>
      </c>
      <c r="O1988" s="16" t="s">
        <v>29</v>
      </c>
      <c r="P1988" s="15">
        <v>223</v>
      </c>
      <c r="Q1988" s="8"/>
      <c r="R1988">
        <v>15.77</v>
      </c>
      <c r="S1988">
        <v>3920.17</v>
      </c>
      <c r="T1988">
        <v>3.83</v>
      </c>
      <c r="U1988">
        <v>11.32</v>
      </c>
      <c r="V1988">
        <v>158</v>
      </c>
      <c r="W1988" s="317">
        <v>3.9</v>
      </c>
      <c r="X1988" s="190">
        <f t="shared" si="85"/>
        <v>58.5</v>
      </c>
      <c r="Y1988" s="8"/>
      <c r="Z1988" s="8"/>
    </row>
    <row r="1989" spans="1:26" ht="12.75" customHeight="1" x14ac:dyDescent="0.2">
      <c r="A1989" s="15">
        <v>55</v>
      </c>
      <c r="B1989" s="15">
        <v>2000</v>
      </c>
      <c r="C1989" s="15">
        <v>10</v>
      </c>
      <c r="D1989" s="15">
        <v>8</v>
      </c>
      <c r="E1989" s="22" t="s">
        <v>17</v>
      </c>
      <c r="F1989" s="20" t="s">
        <v>51</v>
      </c>
      <c r="G1989" s="15">
        <v>171</v>
      </c>
      <c r="H1989" s="15" t="s">
        <v>29</v>
      </c>
      <c r="I1989" s="25">
        <v>15.5</v>
      </c>
      <c r="J1989" s="11" t="s">
        <v>19</v>
      </c>
      <c r="K1989" s="20" t="s">
        <v>20</v>
      </c>
      <c r="L1989" s="11" t="s">
        <v>21</v>
      </c>
      <c r="M1989" s="11" t="s">
        <v>27</v>
      </c>
      <c r="N1989" s="11" t="s">
        <v>24</v>
      </c>
      <c r="O1989" s="16" t="s">
        <v>29</v>
      </c>
      <c r="P1989" s="15">
        <v>223</v>
      </c>
      <c r="Q1989" s="8"/>
      <c r="R1989">
        <v>15.95</v>
      </c>
      <c r="S1989">
        <v>4061</v>
      </c>
      <c r="T1989">
        <v>3.82</v>
      </c>
      <c r="U1989">
        <v>11.46</v>
      </c>
      <c r="V1989">
        <v>160</v>
      </c>
      <c r="W1989" s="317">
        <v>3.9</v>
      </c>
      <c r="X1989" s="190">
        <f t="shared" si="85"/>
        <v>60.449999999999996</v>
      </c>
      <c r="Y1989" s="8"/>
      <c r="Z1989" s="8"/>
    </row>
    <row r="1990" spans="1:26" ht="12.75" customHeight="1" x14ac:dyDescent="0.2">
      <c r="A1990" s="15">
        <v>56</v>
      </c>
      <c r="B1990" s="15">
        <v>2000</v>
      </c>
      <c r="C1990" s="15">
        <v>10</v>
      </c>
      <c r="D1990" s="15">
        <v>8</v>
      </c>
      <c r="E1990" s="22" t="s">
        <v>17</v>
      </c>
      <c r="F1990" s="20" t="s">
        <v>51</v>
      </c>
      <c r="G1990" s="15">
        <v>160</v>
      </c>
      <c r="H1990" s="15" t="s">
        <v>29</v>
      </c>
      <c r="I1990" s="25">
        <v>15</v>
      </c>
      <c r="J1990" s="11" t="s">
        <v>19</v>
      </c>
      <c r="K1990" s="20" t="s">
        <v>20</v>
      </c>
      <c r="L1990" s="11" t="s">
        <v>21</v>
      </c>
      <c r="M1990" s="11" t="s">
        <v>27</v>
      </c>
      <c r="N1990" s="11" t="s">
        <v>24</v>
      </c>
      <c r="O1990" s="16" t="s">
        <v>29</v>
      </c>
      <c r="P1990" s="15">
        <v>223</v>
      </c>
      <c r="Q1990" s="8"/>
      <c r="R1990">
        <v>14.93</v>
      </c>
      <c r="S1990">
        <v>3326.63</v>
      </c>
      <c r="T1990">
        <v>4.51</v>
      </c>
      <c r="U1990">
        <v>10.72</v>
      </c>
      <c r="V1990">
        <v>149</v>
      </c>
      <c r="W1990" s="317">
        <v>3.9</v>
      </c>
      <c r="X1990" s="190">
        <f t="shared" si="85"/>
        <v>58.5</v>
      </c>
      <c r="Y1990" s="8"/>
      <c r="Z1990" s="8"/>
    </row>
    <row r="1991" spans="1:26" ht="12.75" customHeight="1" x14ac:dyDescent="0.2">
      <c r="A1991" s="15">
        <v>57</v>
      </c>
      <c r="B1991" s="15">
        <v>2000</v>
      </c>
      <c r="C1991" s="15">
        <v>10</v>
      </c>
      <c r="D1991" s="15">
        <v>8</v>
      </c>
      <c r="E1991" s="22" t="s">
        <v>17</v>
      </c>
      <c r="F1991" s="20" t="s">
        <v>51</v>
      </c>
      <c r="G1991" s="15">
        <v>159</v>
      </c>
      <c r="H1991" s="15" t="s">
        <v>29</v>
      </c>
      <c r="I1991" s="25">
        <v>15</v>
      </c>
      <c r="J1991" s="11" t="s">
        <v>19</v>
      </c>
      <c r="K1991" s="20" t="s">
        <v>20</v>
      </c>
      <c r="L1991" s="11" t="s">
        <v>21</v>
      </c>
      <c r="M1991" s="11" t="s">
        <v>27</v>
      </c>
      <c r="N1991" s="11" t="s">
        <v>24</v>
      </c>
      <c r="O1991" s="16" t="s">
        <v>29</v>
      </c>
      <c r="P1991" s="15">
        <v>223</v>
      </c>
      <c r="Q1991" s="8"/>
      <c r="R1991">
        <v>14.83</v>
      </c>
      <c r="S1991">
        <v>3264.65</v>
      </c>
      <c r="T1991">
        <v>4.59</v>
      </c>
      <c r="U1991">
        <v>10.65</v>
      </c>
      <c r="V1991">
        <v>148</v>
      </c>
      <c r="W1991" s="317">
        <v>3.9</v>
      </c>
      <c r="X1991" s="190">
        <f t="shared" si="85"/>
        <v>58.5</v>
      </c>
      <c r="Y1991" s="8"/>
      <c r="Z1991" s="8"/>
    </row>
    <row r="1992" spans="1:26" ht="12.75" customHeight="1" x14ac:dyDescent="0.2">
      <c r="A1992" s="15">
        <v>58</v>
      </c>
      <c r="B1992" s="15">
        <v>2000</v>
      </c>
      <c r="C1992" s="15">
        <v>10</v>
      </c>
      <c r="D1992" s="15">
        <v>8</v>
      </c>
      <c r="E1992" s="22" t="s">
        <v>17</v>
      </c>
      <c r="F1992" s="20" t="s">
        <v>51</v>
      </c>
      <c r="G1992" s="15">
        <v>163</v>
      </c>
      <c r="H1992" s="15" t="s">
        <v>29</v>
      </c>
      <c r="I1992" s="25">
        <v>15</v>
      </c>
      <c r="J1992" s="11" t="s">
        <v>19</v>
      </c>
      <c r="K1992" s="20" t="s">
        <v>20</v>
      </c>
      <c r="L1992" s="11" t="s">
        <v>21</v>
      </c>
      <c r="M1992" s="11" t="s">
        <v>29</v>
      </c>
      <c r="N1992" s="11" t="s">
        <v>24</v>
      </c>
      <c r="O1992" s="16" t="s">
        <v>29</v>
      </c>
      <c r="P1992" s="15">
        <v>223</v>
      </c>
      <c r="Q1992" s="8"/>
      <c r="R1992">
        <v>15.21</v>
      </c>
      <c r="S1992">
        <v>3517.29</v>
      </c>
      <c r="T1992">
        <v>4.26</v>
      </c>
      <c r="U1992">
        <v>10.92</v>
      </c>
      <c r="V1992">
        <v>152</v>
      </c>
      <c r="W1992" s="317">
        <v>3.9</v>
      </c>
      <c r="X1992" s="190">
        <f t="shared" si="85"/>
        <v>58.5</v>
      </c>
      <c r="Y1992" s="8"/>
      <c r="Z1992" s="8"/>
    </row>
    <row r="1993" spans="1:26" ht="12.75" customHeight="1" x14ac:dyDescent="0.2">
      <c r="A1993" s="15">
        <v>59</v>
      </c>
      <c r="B1993" s="15">
        <v>2000</v>
      </c>
      <c r="C1993" s="15">
        <v>10</v>
      </c>
      <c r="D1993" s="15">
        <v>8</v>
      </c>
      <c r="E1993" s="22" t="s">
        <v>17</v>
      </c>
      <c r="F1993" s="20" t="s">
        <v>51</v>
      </c>
      <c r="G1993" s="15">
        <v>162</v>
      </c>
      <c r="H1993" s="15" t="s">
        <v>29</v>
      </c>
      <c r="I1993" s="25">
        <v>12.5</v>
      </c>
      <c r="J1993" s="11" t="s">
        <v>19</v>
      </c>
      <c r="K1993" s="20" t="s">
        <v>20</v>
      </c>
      <c r="L1993" s="11" t="s">
        <v>21</v>
      </c>
      <c r="M1993" s="11" t="s">
        <v>27</v>
      </c>
      <c r="N1993" s="11" t="s">
        <v>24</v>
      </c>
      <c r="O1993" s="16" t="s">
        <v>29</v>
      </c>
      <c r="P1993" s="15">
        <v>223</v>
      </c>
      <c r="Q1993" s="8"/>
      <c r="R1993">
        <v>15.11</v>
      </c>
      <c r="S1993">
        <v>3452.95</v>
      </c>
      <c r="T1993">
        <v>3.62</v>
      </c>
      <c r="U1993">
        <v>10.85</v>
      </c>
      <c r="V1993">
        <v>151</v>
      </c>
      <c r="W1993" s="317">
        <v>3.9</v>
      </c>
      <c r="X1993" s="190">
        <f t="shared" si="85"/>
        <v>48.75</v>
      </c>
      <c r="Y1993" s="8"/>
      <c r="Z1993" s="8"/>
    </row>
    <row r="1994" spans="1:26" ht="12.75" customHeight="1" x14ac:dyDescent="0.2">
      <c r="A1994" s="15">
        <v>60</v>
      </c>
      <c r="B1994" s="15">
        <v>2000</v>
      </c>
      <c r="C1994" s="15">
        <v>10</v>
      </c>
      <c r="D1994" s="15">
        <v>8</v>
      </c>
      <c r="E1994" s="22" t="s">
        <v>17</v>
      </c>
      <c r="F1994" s="20" t="s">
        <v>51</v>
      </c>
      <c r="G1994" s="15">
        <v>151</v>
      </c>
      <c r="H1994" s="15" t="s">
        <v>29</v>
      </c>
      <c r="I1994" s="25">
        <v>10</v>
      </c>
      <c r="J1994" s="11" t="s">
        <v>19</v>
      </c>
      <c r="K1994" s="20" t="s">
        <v>20</v>
      </c>
      <c r="L1994" s="11" t="s">
        <v>21</v>
      </c>
      <c r="M1994" s="11" t="s">
        <v>27</v>
      </c>
      <c r="N1994" s="11" t="s">
        <v>24</v>
      </c>
      <c r="O1994" s="16" t="s">
        <v>29</v>
      </c>
      <c r="P1994" s="15">
        <v>223</v>
      </c>
      <c r="Q1994" s="8"/>
      <c r="R1994">
        <v>14.09</v>
      </c>
      <c r="S1994">
        <v>2796.25</v>
      </c>
      <c r="T1994">
        <v>3.58</v>
      </c>
      <c r="U1994">
        <v>10.119999999999999</v>
      </c>
      <c r="V1994">
        <v>141</v>
      </c>
      <c r="W1994" s="317">
        <v>3.9</v>
      </c>
      <c r="X1994" s="190">
        <f t="shared" si="85"/>
        <v>39</v>
      </c>
      <c r="Y1994" s="8"/>
      <c r="Z1994" s="8"/>
    </row>
    <row r="1995" spans="1:26" ht="12.75" customHeight="1" x14ac:dyDescent="0.2">
      <c r="A1995" s="15">
        <v>61</v>
      </c>
      <c r="B1995" s="15">
        <v>2000</v>
      </c>
      <c r="C1995" s="15">
        <v>10</v>
      </c>
      <c r="D1995" s="15">
        <v>8</v>
      </c>
      <c r="E1995" s="22" t="s">
        <v>17</v>
      </c>
      <c r="F1995" s="20" t="s">
        <v>51</v>
      </c>
      <c r="G1995" s="15">
        <v>144</v>
      </c>
      <c r="H1995" s="15" t="s">
        <v>29</v>
      </c>
      <c r="I1995" s="25">
        <v>9.5</v>
      </c>
      <c r="J1995" s="11" t="s">
        <v>19</v>
      </c>
      <c r="K1995" s="11" t="s">
        <v>41</v>
      </c>
      <c r="L1995" s="11" t="s">
        <v>41</v>
      </c>
      <c r="M1995" s="11" t="s">
        <v>27</v>
      </c>
      <c r="N1995" s="11" t="s">
        <v>25</v>
      </c>
      <c r="O1995" s="16" t="s">
        <v>29</v>
      </c>
      <c r="P1995" s="15">
        <v>223</v>
      </c>
      <c r="Q1995" s="8"/>
      <c r="R1995">
        <v>13.44</v>
      </c>
      <c r="S1995">
        <v>2425.12</v>
      </c>
      <c r="T1995">
        <v>3.92</v>
      </c>
      <c r="U1995">
        <v>9.65</v>
      </c>
      <c r="V1995">
        <v>134</v>
      </c>
      <c r="W1995" s="8"/>
      <c r="X1995" s="8"/>
      <c r="Y1995" s="8"/>
      <c r="Z1995" s="8"/>
    </row>
    <row r="1996" spans="1:26" ht="12.75" customHeight="1" x14ac:dyDescent="0.2">
      <c r="A1996" s="15">
        <v>62</v>
      </c>
      <c r="B1996" s="15">
        <v>2000</v>
      </c>
      <c r="C1996" s="15">
        <v>10</v>
      </c>
      <c r="D1996" s="15">
        <v>8</v>
      </c>
      <c r="E1996" s="22" t="s">
        <v>17</v>
      </c>
      <c r="F1996" s="20" t="s">
        <v>51</v>
      </c>
      <c r="G1996" s="15">
        <v>136</v>
      </c>
      <c r="H1996" s="15" t="s">
        <v>29</v>
      </c>
      <c r="I1996" s="25">
        <v>8</v>
      </c>
      <c r="J1996" s="11" t="s">
        <v>19</v>
      </c>
      <c r="K1996" s="11" t="s">
        <v>41</v>
      </c>
      <c r="L1996" s="11" t="s">
        <v>41</v>
      </c>
      <c r="M1996" s="11" t="s">
        <v>29</v>
      </c>
      <c r="N1996" s="11" t="s">
        <v>25</v>
      </c>
      <c r="O1996" s="16" t="s">
        <v>29</v>
      </c>
      <c r="P1996" s="15">
        <v>223</v>
      </c>
      <c r="Q1996" s="8"/>
      <c r="R1996">
        <v>12.69</v>
      </c>
      <c r="S1996">
        <v>2042.97</v>
      </c>
      <c r="T1996">
        <v>3.92</v>
      </c>
      <c r="U1996">
        <v>9.11</v>
      </c>
      <c r="V1996">
        <v>127</v>
      </c>
      <c r="W1996" s="8"/>
      <c r="X1996" s="8"/>
      <c r="Y1996" s="8"/>
      <c r="Z1996" s="8"/>
    </row>
    <row r="1997" spans="1:26" ht="12.75" customHeight="1" x14ac:dyDescent="0.2">
      <c r="A1997" s="15">
        <v>63</v>
      </c>
      <c r="B1997" s="15">
        <v>2000</v>
      </c>
      <c r="C1997" s="15">
        <v>10</v>
      </c>
      <c r="D1997" s="15">
        <v>8</v>
      </c>
      <c r="E1997" s="22" t="s">
        <v>17</v>
      </c>
      <c r="F1997" s="20" t="s">
        <v>51</v>
      </c>
      <c r="G1997" s="11" t="s">
        <v>29</v>
      </c>
      <c r="H1997" s="15" t="s">
        <v>29</v>
      </c>
      <c r="I1997" s="25">
        <v>5</v>
      </c>
      <c r="J1997" s="11" t="s">
        <v>19</v>
      </c>
      <c r="K1997" s="11" t="s">
        <v>41</v>
      </c>
      <c r="L1997" s="11" t="s">
        <v>41</v>
      </c>
      <c r="M1997" s="11" t="s">
        <v>27</v>
      </c>
      <c r="N1997" s="11" t="s">
        <v>25</v>
      </c>
      <c r="O1997" s="16" t="s">
        <v>29</v>
      </c>
      <c r="P1997" s="15">
        <v>223</v>
      </c>
      <c r="Q1997" s="8"/>
      <c r="W1997" s="8"/>
      <c r="X1997" s="8"/>
      <c r="Y1997" s="8"/>
      <c r="Z1997" s="8"/>
    </row>
    <row r="1998" spans="1:26" ht="12.75" customHeight="1" x14ac:dyDescent="0.2">
      <c r="A1998" s="15">
        <v>64</v>
      </c>
      <c r="B1998" s="15">
        <v>2000</v>
      </c>
      <c r="C1998" s="15">
        <v>7</v>
      </c>
      <c r="D1998" s="15">
        <v>8</v>
      </c>
      <c r="E1998" s="22" t="s">
        <v>17</v>
      </c>
      <c r="F1998" s="20" t="s">
        <v>51</v>
      </c>
      <c r="G1998" s="15">
        <v>164</v>
      </c>
      <c r="H1998" s="15" t="s">
        <v>29</v>
      </c>
      <c r="I1998" s="25">
        <v>11.5</v>
      </c>
      <c r="J1998" s="11" t="s">
        <v>19</v>
      </c>
      <c r="K1998" s="20" t="s">
        <v>20</v>
      </c>
      <c r="L1998" s="11" t="s">
        <v>21</v>
      </c>
      <c r="M1998" s="11" t="s">
        <v>27</v>
      </c>
      <c r="N1998" s="11" t="s">
        <v>24</v>
      </c>
      <c r="O1998" s="16" t="s">
        <v>29</v>
      </c>
      <c r="P1998" s="15">
        <v>220</v>
      </c>
      <c r="Q1998" s="8"/>
      <c r="R1998">
        <v>15.3</v>
      </c>
      <c r="S1998">
        <v>3582.42</v>
      </c>
      <c r="T1998">
        <v>3.21</v>
      </c>
      <c r="U1998">
        <v>10.99</v>
      </c>
      <c r="V1998">
        <v>153</v>
      </c>
      <c r="W1998" s="317">
        <v>3.9</v>
      </c>
      <c r="X1998" s="190">
        <f>I1998*W1998</f>
        <v>44.85</v>
      </c>
      <c r="Y1998" s="8"/>
      <c r="Z1998" s="8"/>
    </row>
    <row r="1999" spans="1:26" ht="12.75" customHeight="1" x14ac:dyDescent="0.2">
      <c r="A1999" s="15">
        <v>65</v>
      </c>
      <c r="B1999" s="15">
        <v>2000</v>
      </c>
      <c r="C1999" s="15">
        <v>7</v>
      </c>
      <c r="D1999" s="15">
        <v>8</v>
      </c>
      <c r="E1999" s="22" t="s">
        <v>17</v>
      </c>
      <c r="F1999" s="20" t="s">
        <v>51</v>
      </c>
      <c r="G1999" s="15">
        <v>151</v>
      </c>
      <c r="H1999" s="15" t="s">
        <v>29</v>
      </c>
      <c r="I1999" s="25">
        <v>19.5</v>
      </c>
      <c r="J1999" s="11" t="s">
        <v>19</v>
      </c>
      <c r="K1999" s="20" t="s">
        <v>20</v>
      </c>
      <c r="L1999" s="11" t="s">
        <v>30</v>
      </c>
      <c r="M1999" s="11" t="s">
        <v>29</v>
      </c>
      <c r="N1999" s="11" t="s">
        <v>24</v>
      </c>
      <c r="O1999" s="16" t="s">
        <v>29</v>
      </c>
      <c r="P1999" s="15">
        <v>220</v>
      </c>
      <c r="Q1999" s="8"/>
      <c r="R1999">
        <v>14.09</v>
      </c>
      <c r="S1999">
        <v>2796.25</v>
      </c>
      <c r="T1999">
        <v>6.97</v>
      </c>
      <c r="U1999">
        <v>10.119999999999999</v>
      </c>
      <c r="V1999">
        <v>141</v>
      </c>
      <c r="W1999" s="317">
        <v>4.5999999999999996</v>
      </c>
      <c r="X1999" s="190">
        <f>I1999*W1999</f>
        <v>89.699999999999989</v>
      </c>
      <c r="Y1999" s="8"/>
      <c r="Z1999" s="8"/>
    </row>
    <row r="2000" spans="1:26" ht="12.75" customHeight="1" x14ac:dyDescent="0.2">
      <c r="A2000" s="15">
        <v>66</v>
      </c>
      <c r="B2000" s="15">
        <v>2000</v>
      </c>
      <c r="C2000" s="15">
        <v>7</v>
      </c>
      <c r="D2000" s="15">
        <v>8</v>
      </c>
      <c r="E2000" s="22" t="s">
        <v>17</v>
      </c>
      <c r="F2000" s="20" t="s">
        <v>51</v>
      </c>
      <c r="G2000" s="15">
        <v>153</v>
      </c>
      <c r="H2000" s="15" t="s">
        <v>29</v>
      </c>
      <c r="I2000" s="25">
        <v>11.5</v>
      </c>
      <c r="J2000" s="11" t="s">
        <v>19</v>
      </c>
      <c r="K2000" s="20" t="s">
        <v>20</v>
      </c>
      <c r="L2000" s="11" t="s">
        <v>21</v>
      </c>
      <c r="M2000" s="11" t="s">
        <v>29</v>
      </c>
      <c r="N2000" s="11" t="s">
        <v>23</v>
      </c>
      <c r="O2000" s="16" t="s">
        <v>29</v>
      </c>
      <c r="P2000" s="15">
        <v>220</v>
      </c>
      <c r="Q2000" s="8"/>
      <c r="R2000">
        <v>14.27</v>
      </c>
      <c r="S2000">
        <v>2908.84</v>
      </c>
      <c r="T2000">
        <v>3.95</v>
      </c>
      <c r="U2000">
        <v>10.25</v>
      </c>
      <c r="V2000">
        <v>143</v>
      </c>
      <c r="W2000" s="317">
        <v>3.9</v>
      </c>
      <c r="X2000" s="190">
        <f>I2000*W2000</f>
        <v>44.85</v>
      </c>
      <c r="Y2000" s="8"/>
      <c r="Z2000" s="8"/>
    </row>
    <row r="2001" spans="1:26" ht="12.75" customHeight="1" x14ac:dyDescent="0.2">
      <c r="A2001" s="15">
        <v>67</v>
      </c>
      <c r="B2001" s="15">
        <v>2000</v>
      </c>
      <c r="C2001" s="15">
        <v>7</v>
      </c>
      <c r="D2001" s="15">
        <v>8</v>
      </c>
      <c r="E2001" s="22" t="s">
        <v>17</v>
      </c>
      <c r="F2001" s="20" t="s">
        <v>51</v>
      </c>
      <c r="G2001" s="15">
        <v>148</v>
      </c>
      <c r="H2001" s="15" t="s">
        <v>29</v>
      </c>
      <c r="I2001" s="25">
        <v>9</v>
      </c>
      <c r="J2001" s="11" t="s">
        <v>19</v>
      </c>
      <c r="K2001" s="20" t="s">
        <v>20</v>
      </c>
      <c r="L2001" s="11" t="s">
        <v>21</v>
      </c>
      <c r="M2001" s="11" t="s">
        <v>29</v>
      </c>
      <c r="N2001" s="11" t="s">
        <v>25</v>
      </c>
      <c r="O2001" s="16" t="s">
        <v>29</v>
      </c>
      <c r="P2001" s="15">
        <v>220</v>
      </c>
      <c r="Q2001" s="8"/>
      <c r="R2001">
        <v>13.81</v>
      </c>
      <c r="S2001">
        <v>2632.87</v>
      </c>
      <c r="T2001">
        <v>3.42</v>
      </c>
      <c r="U2001">
        <v>9.92</v>
      </c>
      <c r="V2001">
        <v>138</v>
      </c>
      <c r="W2001" s="317">
        <v>3.9</v>
      </c>
      <c r="X2001" s="190">
        <f>I2001*W2001</f>
        <v>35.1</v>
      </c>
      <c r="Y2001" s="8"/>
      <c r="Z2001" s="8"/>
    </row>
    <row r="2002" spans="1:26" ht="12.75" customHeight="1" x14ac:dyDescent="0.2">
      <c r="A2002" s="15">
        <v>68</v>
      </c>
      <c r="B2002" s="15">
        <v>2000</v>
      </c>
      <c r="C2002" s="15">
        <v>7</v>
      </c>
      <c r="D2002" s="15">
        <v>8</v>
      </c>
      <c r="E2002" s="22" t="s">
        <v>17</v>
      </c>
      <c r="F2002" s="20" t="s">
        <v>51</v>
      </c>
      <c r="G2002" s="15">
        <v>146</v>
      </c>
      <c r="H2002" s="15" t="s">
        <v>29</v>
      </c>
      <c r="I2002" s="25">
        <v>7</v>
      </c>
      <c r="J2002" s="11" t="s">
        <v>19</v>
      </c>
      <c r="K2002" s="11" t="s">
        <v>41</v>
      </c>
      <c r="L2002" s="11" t="s">
        <v>35</v>
      </c>
      <c r="M2002" s="11" t="s">
        <v>29</v>
      </c>
      <c r="N2002" s="11" t="s">
        <v>24</v>
      </c>
      <c r="O2002" s="16" t="s">
        <v>29</v>
      </c>
      <c r="P2002" s="15">
        <v>220</v>
      </c>
      <c r="Q2002" s="8"/>
      <c r="R2002">
        <v>13.62</v>
      </c>
      <c r="S2002">
        <v>2527.5700000000002</v>
      </c>
      <c r="T2002">
        <v>2.77</v>
      </c>
      <c r="U2002">
        <v>9.7799999999999994</v>
      </c>
      <c r="V2002">
        <v>136</v>
      </c>
      <c r="W2002" s="317"/>
      <c r="X2002" s="8"/>
      <c r="Y2002" s="8"/>
      <c r="Z2002" s="8"/>
    </row>
    <row r="2003" spans="1:26" ht="12.75" customHeight="1" x14ac:dyDescent="0.2">
      <c r="A2003" s="15">
        <v>69</v>
      </c>
      <c r="B2003" s="15">
        <v>2000</v>
      </c>
      <c r="C2003" s="15">
        <v>7</v>
      </c>
      <c r="D2003" s="15">
        <v>8</v>
      </c>
      <c r="E2003" s="22" t="s">
        <v>17</v>
      </c>
      <c r="F2003" s="20" t="s">
        <v>51</v>
      </c>
      <c r="G2003" s="15">
        <v>156</v>
      </c>
      <c r="H2003" s="15" t="s">
        <v>29</v>
      </c>
      <c r="I2003" s="25">
        <v>17.5</v>
      </c>
      <c r="J2003" s="11" t="s">
        <v>19</v>
      </c>
      <c r="K2003" s="20" t="s">
        <v>20</v>
      </c>
      <c r="L2003" s="11" t="s">
        <v>21</v>
      </c>
      <c r="M2003" s="11" t="s">
        <v>29</v>
      </c>
      <c r="N2003" s="11" t="s">
        <v>24</v>
      </c>
      <c r="O2003" s="16" t="s">
        <v>29</v>
      </c>
      <c r="P2003" s="15">
        <v>220</v>
      </c>
      <c r="Q2003" s="8"/>
      <c r="R2003">
        <v>14.55</v>
      </c>
      <c r="S2003">
        <v>3083.32</v>
      </c>
      <c r="T2003">
        <v>5.68</v>
      </c>
      <c r="U2003">
        <v>10.45</v>
      </c>
      <c r="V2003">
        <v>146</v>
      </c>
      <c r="W2003" s="317">
        <v>3.9</v>
      </c>
      <c r="X2003" s="190">
        <f>I2003*W2003</f>
        <v>68.25</v>
      </c>
      <c r="Y2003" s="8"/>
      <c r="Z2003" s="8"/>
    </row>
    <row r="2004" spans="1:26" ht="12.75" customHeight="1" x14ac:dyDescent="0.2">
      <c r="A2004" s="15">
        <v>70</v>
      </c>
      <c r="B2004" s="15">
        <v>2000</v>
      </c>
      <c r="C2004" s="15">
        <v>7</v>
      </c>
      <c r="D2004" s="15">
        <v>8</v>
      </c>
      <c r="E2004" s="22" t="s">
        <v>17</v>
      </c>
      <c r="F2004" s="20" t="s">
        <v>51</v>
      </c>
      <c r="G2004" s="15">
        <v>164</v>
      </c>
      <c r="H2004" s="15" t="s">
        <v>29</v>
      </c>
      <c r="I2004" s="25">
        <v>13.5</v>
      </c>
      <c r="J2004" s="11" t="s">
        <v>19</v>
      </c>
      <c r="K2004" s="20" t="s">
        <v>20</v>
      </c>
      <c r="L2004" s="11" t="s">
        <v>21</v>
      </c>
      <c r="M2004" s="11" t="s">
        <v>29</v>
      </c>
      <c r="N2004" s="11" t="s">
        <v>24</v>
      </c>
      <c r="O2004" s="16" t="s">
        <v>29</v>
      </c>
      <c r="P2004" s="15">
        <v>220</v>
      </c>
      <c r="Q2004" s="8"/>
      <c r="R2004">
        <v>15.3</v>
      </c>
      <c r="S2004">
        <v>3582.42</v>
      </c>
      <c r="T2004">
        <v>3.77</v>
      </c>
      <c r="U2004">
        <v>10.99</v>
      </c>
      <c r="V2004">
        <v>153</v>
      </c>
      <c r="W2004" s="317">
        <v>3.9</v>
      </c>
      <c r="X2004" s="190">
        <f>I2004*W2004</f>
        <v>52.65</v>
      </c>
      <c r="Y2004" s="8"/>
      <c r="Z2004" s="8"/>
    </row>
    <row r="2005" spans="1:26" ht="12.75" customHeight="1" x14ac:dyDescent="0.2">
      <c r="A2005" s="15">
        <v>71</v>
      </c>
      <c r="B2005" s="15">
        <v>2000</v>
      </c>
      <c r="C2005" s="15">
        <v>7</v>
      </c>
      <c r="D2005" s="15">
        <v>8</v>
      </c>
      <c r="E2005" s="22" t="s">
        <v>17</v>
      </c>
      <c r="F2005" s="20" t="s">
        <v>51</v>
      </c>
      <c r="G2005" s="15">
        <v>138</v>
      </c>
      <c r="H2005" s="15" t="s">
        <v>29</v>
      </c>
      <c r="I2005" s="25">
        <v>10</v>
      </c>
      <c r="J2005" s="11" t="s">
        <v>19</v>
      </c>
      <c r="K2005" s="11" t="s">
        <v>41</v>
      </c>
      <c r="L2005" s="11" t="s">
        <v>41</v>
      </c>
      <c r="M2005" s="11" t="s">
        <v>29</v>
      </c>
      <c r="N2005" s="11" t="s">
        <v>24</v>
      </c>
      <c r="O2005" s="16" t="s">
        <v>29</v>
      </c>
      <c r="P2005" s="15">
        <v>220</v>
      </c>
      <c r="Q2005" s="8"/>
      <c r="R2005">
        <v>12.88</v>
      </c>
      <c r="S2005">
        <v>2134.4299999999998</v>
      </c>
      <c r="T2005">
        <v>4.6900000000000004</v>
      </c>
      <c r="U2005">
        <v>9.25</v>
      </c>
      <c r="V2005">
        <v>129</v>
      </c>
      <c r="W2005" s="8"/>
      <c r="X2005" s="8"/>
      <c r="Y2005" s="8"/>
      <c r="Z2005" s="8"/>
    </row>
    <row r="2006" spans="1:26" ht="12.75" customHeight="1" x14ac:dyDescent="0.2">
      <c r="A2006" s="15">
        <v>72</v>
      </c>
      <c r="B2006" s="15">
        <v>2000</v>
      </c>
      <c r="C2006" s="15">
        <v>7</v>
      </c>
      <c r="D2006" s="15">
        <v>8</v>
      </c>
      <c r="E2006" s="22" t="s">
        <v>17</v>
      </c>
      <c r="F2006" s="20" t="s">
        <v>51</v>
      </c>
      <c r="G2006" s="15">
        <v>112</v>
      </c>
      <c r="H2006" s="15" t="s">
        <v>29</v>
      </c>
      <c r="I2006" s="25">
        <v>1.5</v>
      </c>
      <c r="J2006" s="11" t="s">
        <v>32</v>
      </c>
      <c r="K2006" s="11" t="s">
        <v>29</v>
      </c>
      <c r="L2006" s="11" t="s">
        <v>35</v>
      </c>
      <c r="M2006" s="11" t="s">
        <v>29</v>
      </c>
      <c r="N2006" s="11" t="s">
        <v>23</v>
      </c>
      <c r="O2006" s="16" t="s">
        <v>29</v>
      </c>
      <c r="P2006" s="15">
        <v>220</v>
      </c>
      <c r="Q2006" s="8"/>
      <c r="R2006">
        <v>10.45</v>
      </c>
      <c r="S2006">
        <v>1141.04</v>
      </c>
      <c r="T2006">
        <v>1.31</v>
      </c>
      <c r="U2006">
        <v>7.5</v>
      </c>
      <c r="V2006">
        <v>104</v>
      </c>
      <c r="W2006" s="317"/>
      <c r="X2006" s="8"/>
      <c r="Y2006" s="8"/>
      <c r="Z2006" s="8"/>
    </row>
    <row r="2007" spans="1:26" ht="12.75" customHeight="1" x14ac:dyDescent="0.2">
      <c r="A2007" s="15">
        <v>73</v>
      </c>
      <c r="B2007" s="15">
        <v>2000</v>
      </c>
      <c r="C2007" s="15">
        <v>7</v>
      </c>
      <c r="D2007" s="15">
        <v>8</v>
      </c>
      <c r="E2007" s="22" t="s">
        <v>17</v>
      </c>
      <c r="F2007" s="20" t="s">
        <v>51</v>
      </c>
      <c r="G2007" s="11" t="s">
        <v>29</v>
      </c>
      <c r="H2007" s="15" t="s">
        <v>29</v>
      </c>
      <c r="I2007" s="25">
        <v>9.5</v>
      </c>
      <c r="J2007" s="11" t="s">
        <v>19</v>
      </c>
      <c r="K2007" s="20" t="s">
        <v>20</v>
      </c>
      <c r="L2007" s="11" t="s">
        <v>30</v>
      </c>
      <c r="M2007" s="11" t="s">
        <v>29</v>
      </c>
      <c r="N2007" s="11" t="s">
        <v>25</v>
      </c>
      <c r="O2007" s="16" t="s">
        <v>29</v>
      </c>
      <c r="P2007" s="15">
        <v>220</v>
      </c>
      <c r="Q2007" s="8"/>
      <c r="W2007" s="317">
        <v>4.5999999999999996</v>
      </c>
      <c r="X2007" s="190">
        <f t="shared" ref="X2007:X2039" si="86">I2007*W2007</f>
        <v>43.699999999999996</v>
      </c>
      <c r="Y2007" s="8"/>
      <c r="Z2007" s="8"/>
    </row>
    <row r="2008" spans="1:26" ht="12.75" customHeight="1" x14ac:dyDescent="0.2">
      <c r="A2008" s="15">
        <v>74</v>
      </c>
      <c r="B2008" s="15">
        <v>2000</v>
      </c>
      <c r="C2008" s="15">
        <v>7</v>
      </c>
      <c r="D2008" s="15">
        <v>8</v>
      </c>
      <c r="E2008" s="22" t="s">
        <v>17</v>
      </c>
      <c r="F2008" s="20" t="s">
        <v>51</v>
      </c>
      <c r="G2008" s="15">
        <v>124</v>
      </c>
      <c r="H2008" s="15" t="s">
        <v>29</v>
      </c>
      <c r="I2008" s="25">
        <v>5</v>
      </c>
      <c r="J2008" s="11" t="s">
        <v>19</v>
      </c>
      <c r="K2008" s="20" t="s">
        <v>20</v>
      </c>
      <c r="L2008" s="11" t="s">
        <v>21</v>
      </c>
      <c r="M2008" s="11" t="s">
        <v>27</v>
      </c>
      <c r="N2008" s="11" t="s">
        <v>33</v>
      </c>
      <c r="O2008" s="16" t="s">
        <v>29</v>
      </c>
      <c r="P2008" s="15">
        <v>220</v>
      </c>
      <c r="Q2008" s="8"/>
      <c r="R2008">
        <v>11.57</v>
      </c>
      <c r="S2008">
        <v>1548.5</v>
      </c>
      <c r="T2008">
        <v>3.23</v>
      </c>
      <c r="U2008">
        <v>8.31</v>
      </c>
      <c r="V2008">
        <v>116</v>
      </c>
      <c r="W2008" s="317">
        <v>3.9</v>
      </c>
      <c r="X2008" s="190">
        <f t="shared" si="86"/>
        <v>19.5</v>
      </c>
      <c r="Y2008" s="8"/>
      <c r="Z2008" s="8"/>
    </row>
    <row r="2009" spans="1:26" ht="12.75" customHeight="1" x14ac:dyDescent="0.2">
      <c r="A2009" s="15">
        <v>75</v>
      </c>
      <c r="B2009" s="15">
        <v>2000</v>
      </c>
      <c r="C2009" s="15">
        <v>7</v>
      </c>
      <c r="D2009" s="15">
        <v>8</v>
      </c>
      <c r="E2009" s="22" t="s">
        <v>17</v>
      </c>
      <c r="F2009" s="20" t="s">
        <v>51</v>
      </c>
      <c r="G2009" s="11" t="s">
        <v>29</v>
      </c>
      <c r="H2009" s="15" t="s">
        <v>29</v>
      </c>
      <c r="I2009" s="38">
        <v>5.8</v>
      </c>
      <c r="J2009" s="11" t="s">
        <v>19</v>
      </c>
      <c r="K2009" s="20" t="s">
        <v>20</v>
      </c>
      <c r="L2009" s="11" t="s">
        <v>21</v>
      </c>
      <c r="M2009" s="11" t="s">
        <v>29</v>
      </c>
      <c r="N2009" s="11" t="s">
        <v>23</v>
      </c>
      <c r="O2009" s="16" t="s">
        <v>29</v>
      </c>
      <c r="P2009" s="15">
        <v>220</v>
      </c>
      <c r="Q2009" s="8"/>
      <c r="W2009" s="317">
        <v>3.9</v>
      </c>
      <c r="X2009" s="190">
        <f t="shared" si="86"/>
        <v>22.619999999999997</v>
      </c>
      <c r="Y2009" s="8"/>
      <c r="Z2009" s="8"/>
    </row>
    <row r="2010" spans="1:26" ht="12.75" customHeight="1" x14ac:dyDescent="0.2">
      <c r="A2010" s="15">
        <v>76</v>
      </c>
      <c r="B2010" s="15">
        <v>2000</v>
      </c>
      <c r="C2010" s="15">
        <v>7</v>
      </c>
      <c r="D2010" s="15">
        <v>8</v>
      </c>
      <c r="E2010" s="22" t="s">
        <v>17</v>
      </c>
      <c r="F2010" s="20" t="s">
        <v>51</v>
      </c>
      <c r="G2010" s="15">
        <v>161</v>
      </c>
      <c r="H2010" s="15" t="s">
        <v>29</v>
      </c>
      <c r="I2010" s="25">
        <v>15.3</v>
      </c>
      <c r="J2010" s="11" t="s">
        <v>19</v>
      </c>
      <c r="K2010" s="20" t="s">
        <v>20</v>
      </c>
      <c r="L2010" s="11" t="s">
        <v>21</v>
      </c>
      <c r="M2010" s="11" t="s">
        <v>45</v>
      </c>
      <c r="N2010" s="11" t="s">
        <v>24</v>
      </c>
      <c r="O2010" s="16" t="s">
        <v>29</v>
      </c>
      <c r="P2010" s="15">
        <v>220</v>
      </c>
      <c r="Q2010" s="8"/>
      <c r="R2010">
        <v>15.02</v>
      </c>
      <c r="S2010">
        <v>3389.4</v>
      </c>
      <c r="T2010">
        <v>4.51</v>
      </c>
      <c r="U2010">
        <v>10.79</v>
      </c>
      <c r="V2010">
        <v>150</v>
      </c>
      <c r="W2010" s="317">
        <v>3.9</v>
      </c>
      <c r="X2010" s="190">
        <f t="shared" si="86"/>
        <v>59.67</v>
      </c>
      <c r="Y2010" s="8"/>
      <c r="Z2010" s="8"/>
    </row>
    <row r="2011" spans="1:26" ht="12.75" customHeight="1" x14ac:dyDescent="0.2">
      <c r="A2011" s="15">
        <v>77</v>
      </c>
      <c r="B2011" s="15">
        <v>2000</v>
      </c>
      <c r="C2011" s="15">
        <v>7</v>
      </c>
      <c r="D2011" s="15">
        <v>8</v>
      </c>
      <c r="E2011" s="22" t="s">
        <v>17</v>
      </c>
      <c r="F2011" s="20" t="s">
        <v>51</v>
      </c>
      <c r="G2011" s="15">
        <v>135</v>
      </c>
      <c r="H2011" s="15" t="s">
        <v>29</v>
      </c>
      <c r="I2011" s="25">
        <v>7.5</v>
      </c>
      <c r="J2011" s="11" t="s">
        <v>19</v>
      </c>
      <c r="K2011" s="20" t="s">
        <v>20</v>
      </c>
      <c r="L2011" s="11" t="s">
        <v>21</v>
      </c>
      <c r="M2011" s="11" t="s">
        <v>46</v>
      </c>
      <c r="N2011" s="11" t="s">
        <v>203</v>
      </c>
      <c r="O2011" s="16" t="s">
        <v>29</v>
      </c>
      <c r="P2011" s="15">
        <v>220</v>
      </c>
      <c r="Q2011" s="8"/>
      <c r="R2011">
        <v>12.6</v>
      </c>
      <c r="S2011">
        <v>1998.23</v>
      </c>
      <c r="T2011">
        <v>3.75</v>
      </c>
      <c r="U2011">
        <v>9.0500000000000007</v>
      </c>
      <c r="V2011">
        <v>126</v>
      </c>
      <c r="W2011" s="317">
        <v>3.9</v>
      </c>
      <c r="X2011" s="190">
        <f t="shared" si="86"/>
        <v>29.25</v>
      </c>
      <c r="Y2011" s="8"/>
      <c r="Z2011" s="8"/>
    </row>
    <row r="2012" spans="1:26" ht="12.75" customHeight="1" x14ac:dyDescent="0.2">
      <c r="A2012" s="15">
        <v>78</v>
      </c>
      <c r="B2012" s="15">
        <v>2000</v>
      </c>
      <c r="C2012" s="15">
        <v>7</v>
      </c>
      <c r="D2012" s="15">
        <v>8</v>
      </c>
      <c r="E2012" s="22" t="s">
        <v>17</v>
      </c>
      <c r="F2012" s="20" t="s">
        <v>51</v>
      </c>
      <c r="G2012" s="11" t="s">
        <v>29</v>
      </c>
      <c r="H2012" s="15" t="s">
        <v>29</v>
      </c>
      <c r="I2012" s="25">
        <v>4</v>
      </c>
      <c r="J2012" s="11" t="s">
        <v>19</v>
      </c>
      <c r="K2012" s="20" t="s">
        <v>20</v>
      </c>
      <c r="L2012" s="11" t="s">
        <v>21</v>
      </c>
      <c r="M2012" s="11" t="s">
        <v>27</v>
      </c>
      <c r="N2012" s="11" t="s">
        <v>25</v>
      </c>
      <c r="O2012" s="16" t="s">
        <v>29</v>
      </c>
      <c r="P2012" s="15">
        <v>220</v>
      </c>
      <c r="Q2012" s="8"/>
      <c r="W2012" s="317">
        <v>3.9</v>
      </c>
      <c r="X2012" s="190">
        <f t="shared" si="86"/>
        <v>15.6</v>
      </c>
      <c r="Y2012" s="8"/>
      <c r="Z2012" s="8"/>
    </row>
    <row r="2013" spans="1:26" ht="12.75" customHeight="1" x14ac:dyDescent="0.2">
      <c r="A2013" s="15">
        <v>79</v>
      </c>
      <c r="B2013" s="15">
        <v>2000</v>
      </c>
      <c r="C2013" s="15">
        <v>7</v>
      </c>
      <c r="D2013" s="15">
        <v>8</v>
      </c>
      <c r="E2013" s="22" t="s">
        <v>17</v>
      </c>
      <c r="F2013" s="20" t="s">
        <v>51</v>
      </c>
      <c r="G2013" s="11" t="s">
        <v>29</v>
      </c>
      <c r="H2013" s="15" t="s">
        <v>29</v>
      </c>
      <c r="I2013" s="38">
        <v>7.5</v>
      </c>
      <c r="J2013" s="11" t="s">
        <v>19</v>
      </c>
      <c r="K2013" s="20" t="s">
        <v>20</v>
      </c>
      <c r="L2013" s="11" t="s">
        <v>21</v>
      </c>
      <c r="M2013" s="11" t="s">
        <v>27</v>
      </c>
      <c r="N2013" s="11" t="s">
        <v>25</v>
      </c>
      <c r="O2013" s="16" t="s">
        <v>29</v>
      </c>
      <c r="P2013" s="15">
        <v>220</v>
      </c>
      <c r="Q2013" s="8"/>
      <c r="W2013" s="317">
        <v>3.9</v>
      </c>
      <c r="X2013" s="190">
        <f t="shared" si="86"/>
        <v>29.25</v>
      </c>
      <c r="Y2013" s="8"/>
      <c r="Z2013" s="8"/>
    </row>
    <row r="2014" spans="1:26" ht="12.75" customHeight="1" x14ac:dyDescent="0.2">
      <c r="A2014" s="15">
        <v>80</v>
      </c>
      <c r="B2014" s="15">
        <v>2000</v>
      </c>
      <c r="C2014" s="15">
        <v>7</v>
      </c>
      <c r="D2014" s="15">
        <v>8</v>
      </c>
      <c r="E2014" s="22" t="s">
        <v>17</v>
      </c>
      <c r="F2014" s="20" t="s">
        <v>51</v>
      </c>
      <c r="G2014" s="11" t="s">
        <v>29</v>
      </c>
      <c r="H2014" s="15" t="s">
        <v>29</v>
      </c>
      <c r="I2014" s="25">
        <v>16</v>
      </c>
      <c r="J2014" s="11" t="s">
        <v>19</v>
      </c>
      <c r="K2014" s="20" t="s">
        <v>20</v>
      </c>
      <c r="L2014" s="11" t="s">
        <v>30</v>
      </c>
      <c r="M2014" s="11" t="s">
        <v>46</v>
      </c>
      <c r="N2014" s="11" t="s">
        <v>25</v>
      </c>
      <c r="O2014" s="16" t="s">
        <v>29</v>
      </c>
      <c r="P2014" s="15">
        <v>220</v>
      </c>
      <c r="Q2014" s="8"/>
      <c r="W2014" s="317">
        <v>4.5999999999999996</v>
      </c>
      <c r="X2014" s="190">
        <f t="shared" si="86"/>
        <v>73.599999999999994</v>
      </c>
      <c r="Y2014" s="8"/>
      <c r="Z2014" s="8"/>
    </row>
    <row r="2015" spans="1:26" ht="12.75" customHeight="1" x14ac:dyDescent="0.2">
      <c r="A2015" s="15">
        <v>81</v>
      </c>
      <c r="B2015" s="15">
        <v>2000</v>
      </c>
      <c r="C2015" s="15">
        <v>7</v>
      </c>
      <c r="D2015" s="15">
        <v>8</v>
      </c>
      <c r="E2015" s="22" t="s">
        <v>17</v>
      </c>
      <c r="F2015" s="20" t="s">
        <v>51</v>
      </c>
      <c r="G2015" s="15">
        <v>144</v>
      </c>
      <c r="H2015" s="15" t="s">
        <v>29</v>
      </c>
      <c r="I2015" s="25">
        <v>7.5</v>
      </c>
      <c r="J2015" s="11" t="s">
        <v>19</v>
      </c>
      <c r="K2015" s="20" t="s">
        <v>20</v>
      </c>
      <c r="L2015" s="11" t="s">
        <v>21</v>
      </c>
      <c r="M2015" s="11" t="s">
        <v>27</v>
      </c>
      <c r="N2015" s="11" t="s">
        <v>24</v>
      </c>
      <c r="O2015" s="16" t="s">
        <v>29</v>
      </c>
      <c r="P2015" s="15">
        <v>220</v>
      </c>
      <c r="Q2015" s="8"/>
      <c r="R2015">
        <v>13.44</v>
      </c>
      <c r="S2015">
        <v>2425.12</v>
      </c>
      <c r="T2015">
        <v>3.09</v>
      </c>
      <c r="U2015">
        <v>9.65</v>
      </c>
      <c r="V2015">
        <v>134</v>
      </c>
      <c r="W2015" s="317">
        <v>3.9</v>
      </c>
      <c r="X2015" s="190">
        <f t="shared" si="86"/>
        <v>29.25</v>
      </c>
      <c r="Y2015" s="8"/>
      <c r="Z2015" s="8"/>
    </row>
    <row r="2016" spans="1:26" ht="12.75" customHeight="1" x14ac:dyDescent="0.2">
      <c r="A2016" s="15">
        <v>82</v>
      </c>
      <c r="B2016" s="15">
        <v>2000</v>
      </c>
      <c r="C2016" s="15">
        <v>7</v>
      </c>
      <c r="D2016" s="15">
        <v>8</v>
      </c>
      <c r="E2016" s="22" t="s">
        <v>17</v>
      </c>
      <c r="F2016" s="20" t="s">
        <v>51</v>
      </c>
      <c r="G2016" s="15">
        <v>141</v>
      </c>
      <c r="H2016" s="15" t="s">
        <v>29</v>
      </c>
      <c r="I2016" s="25">
        <v>8.8000000000000007</v>
      </c>
      <c r="J2016" s="11" t="s">
        <v>19</v>
      </c>
      <c r="K2016" s="20" t="s">
        <v>20</v>
      </c>
      <c r="L2016" s="11" t="s">
        <v>21</v>
      </c>
      <c r="M2016" s="11" t="s">
        <v>27</v>
      </c>
      <c r="N2016" s="11" t="s">
        <v>203</v>
      </c>
      <c r="O2016" s="16" t="s">
        <v>29</v>
      </c>
      <c r="P2016" s="15">
        <v>220</v>
      </c>
      <c r="Q2016" s="8"/>
      <c r="R2016">
        <v>13.16</v>
      </c>
      <c r="S2016">
        <v>2276.6799999999998</v>
      </c>
      <c r="T2016">
        <v>3.87</v>
      </c>
      <c r="U2016">
        <v>9.4499999999999993</v>
      </c>
      <c r="V2016">
        <v>132</v>
      </c>
      <c r="W2016" s="317">
        <v>3.9</v>
      </c>
      <c r="X2016" s="190">
        <f t="shared" si="86"/>
        <v>34.32</v>
      </c>
      <c r="Y2016" s="8"/>
      <c r="Z2016" s="8"/>
    </row>
    <row r="2017" spans="1:26" ht="12.75" customHeight="1" x14ac:dyDescent="0.2">
      <c r="A2017" s="15">
        <v>83</v>
      </c>
      <c r="B2017" s="15">
        <v>2000</v>
      </c>
      <c r="C2017" s="15">
        <v>7</v>
      </c>
      <c r="D2017" s="15">
        <v>8</v>
      </c>
      <c r="E2017" s="22" t="s">
        <v>17</v>
      </c>
      <c r="F2017" s="20" t="s">
        <v>51</v>
      </c>
      <c r="G2017" s="15">
        <v>161</v>
      </c>
      <c r="H2017" s="15" t="s">
        <v>29</v>
      </c>
      <c r="I2017" s="25">
        <v>14.8</v>
      </c>
      <c r="J2017" s="11" t="s">
        <v>19</v>
      </c>
      <c r="K2017" s="20" t="s">
        <v>20</v>
      </c>
      <c r="L2017" s="11" t="s">
        <v>21</v>
      </c>
      <c r="M2017" s="11" t="s">
        <v>45</v>
      </c>
      <c r="N2017" s="11" t="s">
        <v>24</v>
      </c>
      <c r="O2017" s="16" t="s">
        <v>29</v>
      </c>
      <c r="P2017" s="15">
        <v>220</v>
      </c>
      <c r="Q2017" s="8"/>
      <c r="R2017">
        <v>15.02</v>
      </c>
      <c r="S2017">
        <v>3389.4</v>
      </c>
      <c r="T2017">
        <v>4.37</v>
      </c>
      <c r="U2017">
        <v>10.79</v>
      </c>
      <c r="V2017">
        <v>150</v>
      </c>
      <c r="W2017" s="317">
        <v>3.9</v>
      </c>
      <c r="X2017" s="190">
        <f t="shared" si="86"/>
        <v>57.72</v>
      </c>
      <c r="Y2017" s="8"/>
      <c r="Z2017" s="8"/>
    </row>
    <row r="2018" spans="1:26" ht="12.75" customHeight="1" x14ac:dyDescent="0.2">
      <c r="A2018" s="15">
        <v>84</v>
      </c>
      <c r="B2018" s="15">
        <v>2000</v>
      </c>
      <c r="C2018" s="15">
        <v>7</v>
      </c>
      <c r="D2018" s="15">
        <v>8</v>
      </c>
      <c r="E2018" s="22" t="s">
        <v>17</v>
      </c>
      <c r="F2018" s="20" t="s">
        <v>51</v>
      </c>
      <c r="G2018" s="15">
        <v>173</v>
      </c>
      <c r="H2018" s="15" t="s">
        <v>29</v>
      </c>
      <c r="I2018" s="25">
        <v>15.5</v>
      </c>
      <c r="J2018" s="11" t="s">
        <v>19</v>
      </c>
      <c r="K2018" s="20" t="s">
        <v>20</v>
      </c>
      <c r="L2018" s="11" t="s">
        <v>21</v>
      </c>
      <c r="M2018" s="11" t="s">
        <v>27</v>
      </c>
      <c r="N2018" s="11" t="s">
        <v>25</v>
      </c>
      <c r="O2018" s="16" t="s">
        <v>29</v>
      </c>
      <c r="P2018" s="15">
        <v>220</v>
      </c>
      <c r="Q2018" s="8"/>
      <c r="R2018">
        <v>16.14</v>
      </c>
      <c r="S2018">
        <v>4205.17</v>
      </c>
      <c r="T2018">
        <v>3.69</v>
      </c>
      <c r="U2018">
        <v>11.59</v>
      </c>
      <c r="V2018">
        <v>161</v>
      </c>
      <c r="W2018" s="317">
        <v>3.9</v>
      </c>
      <c r="X2018" s="190">
        <f t="shared" si="86"/>
        <v>60.449999999999996</v>
      </c>
      <c r="Y2018" s="8"/>
      <c r="Z2018" s="8"/>
    </row>
    <row r="2019" spans="1:26" ht="12.75" customHeight="1" x14ac:dyDescent="0.2">
      <c r="A2019" s="15">
        <v>85</v>
      </c>
      <c r="B2019" s="15">
        <v>2000</v>
      </c>
      <c r="C2019" s="15">
        <v>7</v>
      </c>
      <c r="D2019" s="15">
        <v>8</v>
      </c>
      <c r="E2019" s="22" t="s">
        <v>17</v>
      </c>
      <c r="F2019" s="20" t="s">
        <v>51</v>
      </c>
      <c r="G2019" s="11" t="s">
        <v>29</v>
      </c>
      <c r="H2019" s="15" t="s">
        <v>29</v>
      </c>
      <c r="I2019" s="25">
        <v>17</v>
      </c>
      <c r="J2019" s="11" t="s">
        <v>19</v>
      </c>
      <c r="K2019" s="20" t="s">
        <v>20</v>
      </c>
      <c r="L2019" s="11" t="s">
        <v>21</v>
      </c>
      <c r="M2019" s="11" t="s">
        <v>218</v>
      </c>
      <c r="N2019" s="11" t="s">
        <v>25</v>
      </c>
      <c r="O2019" s="16" t="s">
        <v>29</v>
      </c>
      <c r="P2019" s="15">
        <v>220</v>
      </c>
      <c r="Q2019" s="8"/>
      <c r="W2019" s="317">
        <v>3.9</v>
      </c>
      <c r="X2019" s="190">
        <f t="shared" si="86"/>
        <v>66.3</v>
      </c>
      <c r="Y2019" s="8"/>
      <c r="Z2019" s="8"/>
    </row>
    <row r="2020" spans="1:26" ht="12.75" customHeight="1" x14ac:dyDescent="0.2">
      <c r="A2020" s="15">
        <v>86</v>
      </c>
      <c r="B2020" s="15">
        <v>2000</v>
      </c>
      <c r="C2020" s="15">
        <v>7</v>
      </c>
      <c r="D2020" s="15">
        <v>8</v>
      </c>
      <c r="E2020" s="22" t="s">
        <v>17</v>
      </c>
      <c r="F2020" s="20" t="s">
        <v>51</v>
      </c>
      <c r="G2020" s="11" t="s">
        <v>29</v>
      </c>
      <c r="H2020" s="15" t="s">
        <v>29</v>
      </c>
      <c r="I2020" s="11">
        <v>5.5</v>
      </c>
      <c r="J2020" s="11" t="s">
        <v>19</v>
      </c>
      <c r="K2020" s="20" t="s">
        <v>20</v>
      </c>
      <c r="L2020" s="11" t="s">
        <v>21</v>
      </c>
      <c r="M2020" s="11" t="s">
        <v>45</v>
      </c>
      <c r="N2020" s="11" t="s">
        <v>23</v>
      </c>
      <c r="O2020" s="16" t="s">
        <v>29</v>
      </c>
      <c r="P2020" s="15">
        <v>220</v>
      </c>
      <c r="Q2020" s="8"/>
      <c r="W2020" s="317">
        <v>3.9</v>
      </c>
      <c r="X2020" s="190">
        <f t="shared" si="86"/>
        <v>21.45</v>
      </c>
      <c r="Y2020" s="8"/>
      <c r="Z2020" s="8"/>
    </row>
    <row r="2021" spans="1:26" ht="12.75" customHeight="1" x14ac:dyDescent="0.2">
      <c r="A2021" s="15">
        <v>87</v>
      </c>
      <c r="B2021" s="15">
        <v>2000</v>
      </c>
      <c r="C2021" s="15">
        <v>7</v>
      </c>
      <c r="D2021" s="15">
        <v>8</v>
      </c>
      <c r="E2021" s="22" t="s">
        <v>17</v>
      </c>
      <c r="F2021" s="20" t="s">
        <v>51</v>
      </c>
      <c r="G2021" s="15">
        <v>142</v>
      </c>
      <c r="H2021" s="15" t="s">
        <v>29</v>
      </c>
      <c r="I2021" s="25">
        <v>11</v>
      </c>
      <c r="J2021" s="11" t="s">
        <v>19</v>
      </c>
      <c r="K2021" s="20" t="s">
        <v>20</v>
      </c>
      <c r="L2021" s="11" t="s">
        <v>21</v>
      </c>
      <c r="M2021" s="11" t="s">
        <v>46</v>
      </c>
      <c r="N2021" s="11" t="s">
        <v>24</v>
      </c>
      <c r="O2021" s="16" t="s">
        <v>29</v>
      </c>
      <c r="P2021" s="15">
        <v>220</v>
      </c>
      <c r="Q2021" s="8"/>
      <c r="R2021">
        <v>13.25</v>
      </c>
      <c r="S2021">
        <v>2325.4699999999998</v>
      </c>
      <c r="T2021">
        <v>4.7300000000000004</v>
      </c>
      <c r="U2021">
        <v>9.51</v>
      </c>
      <c r="V2021">
        <v>132</v>
      </c>
      <c r="W2021" s="317">
        <v>3.9</v>
      </c>
      <c r="X2021" s="190">
        <f t="shared" si="86"/>
        <v>42.9</v>
      </c>
      <c r="Y2021" s="8"/>
      <c r="Z2021" s="8"/>
    </row>
    <row r="2022" spans="1:26" ht="12.75" customHeight="1" x14ac:dyDescent="0.2">
      <c r="A2022" s="15">
        <v>88</v>
      </c>
      <c r="B2022" s="15">
        <v>2000</v>
      </c>
      <c r="C2022" s="15">
        <v>7</v>
      </c>
      <c r="D2022" s="15">
        <v>8</v>
      </c>
      <c r="E2022" s="22" t="s">
        <v>17</v>
      </c>
      <c r="F2022" s="20" t="s">
        <v>51</v>
      </c>
      <c r="G2022" s="11" t="s">
        <v>29</v>
      </c>
      <c r="H2022" s="15" t="s">
        <v>29</v>
      </c>
      <c r="I2022" s="25">
        <v>11.5</v>
      </c>
      <c r="J2022" s="11" t="s">
        <v>19</v>
      </c>
      <c r="K2022" s="20" t="s">
        <v>20</v>
      </c>
      <c r="L2022" s="11" t="s">
        <v>21</v>
      </c>
      <c r="M2022" s="11" t="s">
        <v>45</v>
      </c>
      <c r="N2022" s="11" t="s">
        <v>25</v>
      </c>
      <c r="O2022" s="16" t="s">
        <v>29</v>
      </c>
      <c r="P2022" s="15">
        <v>220</v>
      </c>
      <c r="Q2022" s="8"/>
      <c r="W2022" s="317">
        <v>3.9</v>
      </c>
      <c r="X2022" s="190">
        <f t="shared" si="86"/>
        <v>44.85</v>
      </c>
      <c r="Y2022" s="8"/>
      <c r="Z2022" s="8"/>
    </row>
    <row r="2023" spans="1:26" ht="12.75" customHeight="1" x14ac:dyDescent="0.2">
      <c r="A2023" s="15">
        <v>89</v>
      </c>
      <c r="B2023" s="15">
        <v>2000</v>
      </c>
      <c r="C2023" s="15">
        <v>7</v>
      </c>
      <c r="D2023" s="15">
        <v>8</v>
      </c>
      <c r="E2023" s="22" t="s">
        <v>17</v>
      </c>
      <c r="F2023" s="20" t="s">
        <v>51</v>
      </c>
      <c r="G2023" s="15">
        <v>146</v>
      </c>
      <c r="H2023" s="15" t="s">
        <v>29</v>
      </c>
      <c r="I2023" s="11">
        <v>11</v>
      </c>
      <c r="J2023" s="11" t="s">
        <v>19</v>
      </c>
      <c r="K2023" s="20" t="s">
        <v>20</v>
      </c>
      <c r="L2023" s="11" t="s">
        <v>21</v>
      </c>
      <c r="M2023" s="11" t="s">
        <v>218</v>
      </c>
      <c r="N2023" s="11" t="s">
        <v>23</v>
      </c>
      <c r="O2023" s="16" t="s">
        <v>29</v>
      </c>
      <c r="P2023" s="15">
        <v>220</v>
      </c>
      <c r="Q2023" s="8"/>
      <c r="R2023">
        <v>13.62</v>
      </c>
      <c r="S2023">
        <v>2527.5700000000002</v>
      </c>
      <c r="T2023">
        <v>4.3499999999999996</v>
      </c>
      <c r="U2023">
        <v>9.7799999999999994</v>
      </c>
      <c r="V2023">
        <v>136</v>
      </c>
      <c r="W2023" s="317">
        <v>3.9</v>
      </c>
      <c r="X2023" s="190">
        <f t="shared" si="86"/>
        <v>42.9</v>
      </c>
      <c r="Y2023" s="8"/>
      <c r="Z2023" s="8"/>
    </row>
    <row r="2024" spans="1:26" ht="12.75" customHeight="1" x14ac:dyDescent="0.2">
      <c r="A2024" s="15">
        <v>90</v>
      </c>
      <c r="B2024" s="15">
        <v>2000</v>
      </c>
      <c r="C2024" s="15">
        <v>7</v>
      </c>
      <c r="D2024" s="15">
        <v>8</v>
      </c>
      <c r="E2024" s="22" t="s">
        <v>17</v>
      </c>
      <c r="F2024" s="20" t="s">
        <v>51</v>
      </c>
      <c r="G2024" s="15">
        <v>140</v>
      </c>
      <c r="H2024" s="15" t="s">
        <v>29</v>
      </c>
      <c r="I2024" s="11">
        <v>7.8</v>
      </c>
      <c r="J2024" s="11" t="s">
        <v>19</v>
      </c>
      <c r="K2024" s="20" t="s">
        <v>20</v>
      </c>
      <c r="L2024" s="11" t="s">
        <v>21</v>
      </c>
      <c r="M2024" s="11" t="s">
        <v>27</v>
      </c>
      <c r="N2024" s="11" t="s">
        <v>23</v>
      </c>
      <c r="O2024" s="16" t="s">
        <v>29</v>
      </c>
      <c r="P2024" s="15">
        <v>220</v>
      </c>
      <c r="Q2024" s="8"/>
      <c r="R2024">
        <v>13.06</v>
      </c>
      <c r="S2024">
        <v>2228.58</v>
      </c>
      <c r="T2024">
        <v>3.5</v>
      </c>
      <c r="U2024">
        <v>9.3800000000000008</v>
      </c>
      <c r="V2024">
        <v>131</v>
      </c>
      <c r="W2024" s="317">
        <v>3.9</v>
      </c>
      <c r="X2024" s="190">
        <f t="shared" si="86"/>
        <v>30.419999999999998</v>
      </c>
      <c r="Y2024" s="8"/>
      <c r="Z2024" s="8"/>
    </row>
    <row r="2025" spans="1:26" ht="12.75" customHeight="1" x14ac:dyDescent="0.2">
      <c r="A2025" s="15">
        <v>91</v>
      </c>
      <c r="B2025" s="15">
        <v>2000</v>
      </c>
      <c r="C2025" s="15">
        <v>7</v>
      </c>
      <c r="D2025" s="15">
        <v>8</v>
      </c>
      <c r="E2025" s="22" t="s">
        <v>17</v>
      </c>
      <c r="F2025" s="20" t="s">
        <v>51</v>
      </c>
      <c r="G2025" s="15">
        <v>154</v>
      </c>
      <c r="H2025" s="15" t="s">
        <v>29</v>
      </c>
      <c r="I2025" s="25">
        <v>10.5</v>
      </c>
      <c r="J2025" s="11" t="s">
        <v>19</v>
      </c>
      <c r="K2025" s="20" t="s">
        <v>20</v>
      </c>
      <c r="L2025" s="11" t="s">
        <v>21</v>
      </c>
      <c r="M2025" s="11" t="s">
        <v>46</v>
      </c>
      <c r="N2025" s="11" t="s">
        <v>24</v>
      </c>
      <c r="O2025" s="16" t="s">
        <v>29</v>
      </c>
      <c r="P2025" s="15">
        <v>220</v>
      </c>
      <c r="Q2025" s="8"/>
      <c r="R2025">
        <v>14.37</v>
      </c>
      <c r="S2025">
        <v>2966.25</v>
      </c>
      <c r="T2025">
        <v>3.54</v>
      </c>
      <c r="U2025">
        <v>10.32</v>
      </c>
      <c r="V2025">
        <v>144</v>
      </c>
      <c r="W2025" s="317">
        <v>3.9</v>
      </c>
      <c r="X2025" s="190">
        <f t="shared" si="86"/>
        <v>40.949999999999996</v>
      </c>
      <c r="Y2025" s="8"/>
      <c r="Z2025" s="8"/>
    </row>
    <row r="2026" spans="1:26" ht="12.75" customHeight="1" x14ac:dyDescent="0.2">
      <c r="A2026" s="15">
        <v>92</v>
      </c>
      <c r="B2026" s="15">
        <v>2000</v>
      </c>
      <c r="C2026" s="15">
        <v>7</v>
      </c>
      <c r="D2026" s="15">
        <v>8</v>
      </c>
      <c r="E2026" s="22" t="s">
        <v>17</v>
      </c>
      <c r="F2026" s="20" t="s">
        <v>51</v>
      </c>
      <c r="G2026" s="15">
        <v>172</v>
      </c>
      <c r="H2026" s="15" t="s">
        <v>29</v>
      </c>
      <c r="I2026" s="25">
        <v>14</v>
      </c>
      <c r="J2026" s="11" t="s">
        <v>19</v>
      </c>
      <c r="K2026" s="20" t="s">
        <v>20</v>
      </c>
      <c r="L2026" s="11" t="s">
        <v>21</v>
      </c>
      <c r="M2026" s="11" t="s">
        <v>27</v>
      </c>
      <c r="N2026" s="11" t="s">
        <v>203</v>
      </c>
      <c r="O2026" s="16" t="s">
        <v>29</v>
      </c>
      <c r="P2026" s="15">
        <v>220</v>
      </c>
      <c r="Q2026" s="8"/>
      <c r="R2026">
        <v>16.05</v>
      </c>
      <c r="S2026">
        <v>4132.67</v>
      </c>
      <c r="T2026">
        <v>3.39</v>
      </c>
      <c r="U2026">
        <v>11.52</v>
      </c>
      <c r="V2026">
        <v>160</v>
      </c>
      <c r="W2026" s="317">
        <v>3.9</v>
      </c>
      <c r="X2026" s="190">
        <f t="shared" si="86"/>
        <v>54.6</v>
      </c>
      <c r="Y2026" s="8"/>
      <c r="Z2026" s="8"/>
    </row>
    <row r="2027" spans="1:26" ht="12.75" customHeight="1" x14ac:dyDescent="0.2">
      <c r="A2027" s="15">
        <v>93</v>
      </c>
      <c r="B2027" s="15">
        <v>2000</v>
      </c>
      <c r="C2027" s="15">
        <v>7</v>
      </c>
      <c r="D2027" s="15">
        <v>8</v>
      </c>
      <c r="E2027" s="22" t="s">
        <v>17</v>
      </c>
      <c r="F2027" s="20" t="s">
        <v>51</v>
      </c>
      <c r="G2027" s="15">
        <v>138</v>
      </c>
      <c r="H2027" s="15" t="s">
        <v>29</v>
      </c>
      <c r="I2027" s="25">
        <v>7.3</v>
      </c>
      <c r="J2027" s="11" t="s">
        <v>19</v>
      </c>
      <c r="K2027" s="20" t="s">
        <v>20</v>
      </c>
      <c r="L2027" s="11" t="s">
        <v>21</v>
      </c>
      <c r="M2027" s="11" t="s">
        <v>27</v>
      </c>
      <c r="N2027" s="11" t="s">
        <v>25</v>
      </c>
      <c r="O2027" s="16" t="s">
        <v>29</v>
      </c>
      <c r="P2027" s="15">
        <v>220</v>
      </c>
      <c r="Q2027" s="8"/>
      <c r="R2027">
        <v>12.88</v>
      </c>
      <c r="S2027">
        <v>2134.4299999999998</v>
      </c>
      <c r="T2027">
        <v>3.42</v>
      </c>
      <c r="U2027">
        <v>9.25</v>
      </c>
      <c r="V2027">
        <v>129</v>
      </c>
      <c r="W2027" s="317">
        <v>3.9</v>
      </c>
      <c r="X2027" s="190">
        <f t="shared" si="86"/>
        <v>28.47</v>
      </c>
      <c r="Y2027" s="8"/>
      <c r="Z2027" s="8"/>
    </row>
    <row r="2028" spans="1:26" ht="12.75" customHeight="1" x14ac:dyDescent="0.2">
      <c r="A2028" s="15">
        <v>94</v>
      </c>
      <c r="B2028" s="15">
        <v>2000</v>
      </c>
      <c r="C2028" s="15">
        <v>7</v>
      </c>
      <c r="D2028" s="15">
        <v>8</v>
      </c>
      <c r="E2028" s="22" t="s">
        <v>17</v>
      </c>
      <c r="F2028" s="20" t="s">
        <v>51</v>
      </c>
      <c r="G2028" s="15">
        <v>161</v>
      </c>
      <c r="H2028" s="15" t="s">
        <v>29</v>
      </c>
      <c r="I2028" s="25">
        <v>12.5</v>
      </c>
      <c r="J2028" s="11" t="s">
        <v>19</v>
      </c>
      <c r="K2028" s="20" t="s">
        <v>20</v>
      </c>
      <c r="L2028" s="11" t="s">
        <v>21</v>
      </c>
      <c r="M2028" s="11" t="s">
        <v>27</v>
      </c>
      <c r="N2028" s="11" t="s">
        <v>24</v>
      </c>
      <c r="O2028" s="16" t="s">
        <v>29</v>
      </c>
      <c r="P2028" s="15">
        <v>220</v>
      </c>
      <c r="Q2028" s="8"/>
      <c r="R2028">
        <v>15.02</v>
      </c>
      <c r="S2028">
        <v>3389.4</v>
      </c>
      <c r="T2028">
        <v>3.69</v>
      </c>
      <c r="U2028">
        <v>10.79</v>
      </c>
      <c r="V2028">
        <v>150</v>
      </c>
      <c r="W2028" s="317">
        <v>3.9</v>
      </c>
      <c r="X2028" s="190">
        <f t="shared" si="86"/>
        <v>48.75</v>
      </c>
      <c r="Y2028" s="8"/>
      <c r="Z2028" s="8"/>
    </row>
    <row r="2029" spans="1:26" ht="12.75" customHeight="1" x14ac:dyDescent="0.2">
      <c r="A2029" s="15">
        <v>95</v>
      </c>
      <c r="B2029" s="15">
        <v>2000</v>
      </c>
      <c r="C2029" s="15">
        <v>7</v>
      </c>
      <c r="D2029" s="15">
        <v>8</v>
      </c>
      <c r="E2029" s="22" t="s">
        <v>17</v>
      </c>
      <c r="F2029" s="20" t="s">
        <v>51</v>
      </c>
      <c r="G2029" s="15">
        <v>163</v>
      </c>
      <c r="H2029" s="15" t="s">
        <v>29</v>
      </c>
      <c r="I2029" s="25">
        <v>11.5</v>
      </c>
      <c r="J2029" s="11" t="s">
        <v>19</v>
      </c>
      <c r="K2029" s="20" t="s">
        <v>20</v>
      </c>
      <c r="L2029" s="11" t="s">
        <v>21</v>
      </c>
      <c r="M2029" s="11" t="s">
        <v>27</v>
      </c>
      <c r="N2029" s="11" t="s">
        <v>33</v>
      </c>
      <c r="O2029" s="16" t="s">
        <v>29</v>
      </c>
      <c r="P2029" s="15">
        <v>220</v>
      </c>
      <c r="Q2029" s="8"/>
      <c r="R2029">
        <v>15.21</v>
      </c>
      <c r="S2029">
        <v>3517.29</v>
      </c>
      <c r="T2029">
        <v>3.27</v>
      </c>
      <c r="U2029">
        <v>10.92</v>
      </c>
      <c r="V2029">
        <v>152</v>
      </c>
      <c r="W2029" s="317">
        <v>3.9</v>
      </c>
      <c r="X2029" s="190">
        <f t="shared" si="86"/>
        <v>44.85</v>
      </c>
      <c r="Y2029" s="8"/>
      <c r="Z2029" s="8"/>
    </row>
    <row r="2030" spans="1:26" ht="12.75" customHeight="1" x14ac:dyDescent="0.2">
      <c r="A2030" s="15">
        <v>96</v>
      </c>
      <c r="B2030" s="15">
        <v>2000</v>
      </c>
      <c r="C2030" s="15">
        <v>7</v>
      </c>
      <c r="D2030" s="15">
        <v>8</v>
      </c>
      <c r="E2030" s="22" t="s">
        <v>17</v>
      </c>
      <c r="F2030" s="20" t="s">
        <v>51</v>
      </c>
      <c r="G2030" s="11" t="s">
        <v>29</v>
      </c>
      <c r="H2030" s="15" t="s">
        <v>29</v>
      </c>
      <c r="I2030" s="11">
        <v>5</v>
      </c>
      <c r="J2030" s="11" t="s">
        <v>19</v>
      </c>
      <c r="K2030" s="20" t="s">
        <v>20</v>
      </c>
      <c r="L2030" s="11" t="s">
        <v>21</v>
      </c>
      <c r="M2030" s="11" t="s">
        <v>29</v>
      </c>
      <c r="N2030" s="11" t="s">
        <v>25</v>
      </c>
      <c r="O2030" s="16" t="s">
        <v>29</v>
      </c>
      <c r="P2030" s="15">
        <v>220</v>
      </c>
      <c r="Q2030" s="8"/>
      <c r="W2030" s="317">
        <v>3.9</v>
      </c>
      <c r="X2030" s="190">
        <f t="shared" si="86"/>
        <v>19.5</v>
      </c>
      <c r="Y2030" s="8"/>
      <c r="Z2030" s="8"/>
    </row>
    <row r="2031" spans="1:26" ht="12.75" customHeight="1" x14ac:dyDescent="0.2">
      <c r="A2031" s="15">
        <v>97</v>
      </c>
      <c r="B2031" s="15">
        <v>2000</v>
      </c>
      <c r="C2031" s="15">
        <v>7</v>
      </c>
      <c r="D2031" s="15">
        <v>8</v>
      </c>
      <c r="E2031" s="22" t="s">
        <v>17</v>
      </c>
      <c r="F2031" s="20" t="s">
        <v>51</v>
      </c>
      <c r="G2031" s="15">
        <v>150</v>
      </c>
      <c r="H2031" s="15" t="s">
        <v>29</v>
      </c>
      <c r="I2031" s="25">
        <v>11</v>
      </c>
      <c r="J2031" s="11" t="s">
        <v>19</v>
      </c>
      <c r="K2031" s="20" t="s">
        <v>20</v>
      </c>
      <c r="L2031" s="11" t="s">
        <v>21</v>
      </c>
      <c r="M2031" s="11" t="s">
        <v>27</v>
      </c>
      <c r="N2031" s="11" t="s">
        <v>25</v>
      </c>
      <c r="O2031" s="16" t="s">
        <v>29</v>
      </c>
      <c r="P2031" s="15">
        <v>220</v>
      </c>
      <c r="Q2031" s="8"/>
      <c r="R2031">
        <v>14</v>
      </c>
      <c r="S2031">
        <v>2741.06</v>
      </c>
      <c r="T2031">
        <v>4.01</v>
      </c>
      <c r="U2031">
        <v>10.050000000000001</v>
      </c>
      <c r="V2031">
        <v>140</v>
      </c>
      <c r="W2031" s="317">
        <v>3.9</v>
      </c>
      <c r="X2031" s="190">
        <f t="shared" si="86"/>
        <v>42.9</v>
      </c>
      <c r="Y2031" s="8"/>
      <c r="Z2031" s="8"/>
    </row>
    <row r="2032" spans="1:26" ht="12.75" customHeight="1" x14ac:dyDescent="0.2">
      <c r="A2032" s="15">
        <v>98</v>
      </c>
      <c r="B2032" s="15">
        <v>2000</v>
      </c>
      <c r="C2032" s="15">
        <v>7</v>
      </c>
      <c r="D2032" s="15">
        <v>8</v>
      </c>
      <c r="E2032" s="22" t="s">
        <v>17</v>
      </c>
      <c r="F2032" s="20" t="s">
        <v>51</v>
      </c>
      <c r="G2032" s="15">
        <v>138</v>
      </c>
      <c r="H2032" s="15" t="s">
        <v>29</v>
      </c>
      <c r="I2032" s="25">
        <v>8</v>
      </c>
      <c r="J2032" s="11" t="s">
        <v>19</v>
      </c>
      <c r="K2032" s="20" t="s">
        <v>20</v>
      </c>
      <c r="L2032" s="11" t="s">
        <v>21</v>
      </c>
      <c r="M2032" s="11" t="s">
        <v>46</v>
      </c>
      <c r="N2032" s="11" t="s">
        <v>25</v>
      </c>
      <c r="O2032" s="16" t="s">
        <v>29</v>
      </c>
      <c r="P2032" s="15">
        <v>220</v>
      </c>
      <c r="Q2032" s="8"/>
      <c r="R2032">
        <v>12.88</v>
      </c>
      <c r="S2032">
        <v>2134.4299999999998</v>
      </c>
      <c r="T2032">
        <v>3.75</v>
      </c>
      <c r="U2032">
        <v>9.25</v>
      </c>
      <c r="V2032">
        <v>129</v>
      </c>
      <c r="W2032" s="317">
        <v>3.9</v>
      </c>
      <c r="X2032" s="190">
        <f t="shared" si="86"/>
        <v>31.2</v>
      </c>
      <c r="Y2032" s="8"/>
      <c r="Z2032" s="8"/>
    </row>
    <row r="2033" spans="1:26" ht="12.75" customHeight="1" x14ac:dyDescent="0.2">
      <c r="A2033" s="15">
        <v>99</v>
      </c>
      <c r="B2033" s="15">
        <v>2000</v>
      </c>
      <c r="C2033" s="15">
        <v>7</v>
      </c>
      <c r="D2033" s="15">
        <v>8</v>
      </c>
      <c r="E2033" s="22" t="s">
        <v>17</v>
      </c>
      <c r="F2033" s="20" t="s">
        <v>51</v>
      </c>
      <c r="G2033" s="15">
        <v>148</v>
      </c>
      <c r="H2033" s="15" t="s">
        <v>29</v>
      </c>
      <c r="I2033" s="25">
        <v>16</v>
      </c>
      <c r="J2033" s="11" t="s">
        <v>19</v>
      </c>
      <c r="K2033" s="20" t="s">
        <v>20</v>
      </c>
      <c r="L2033" s="11" t="s">
        <v>21</v>
      </c>
      <c r="M2033" s="11" t="s">
        <v>27</v>
      </c>
      <c r="N2033" s="11" t="s">
        <v>24</v>
      </c>
      <c r="O2033" s="16" t="s">
        <v>29</v>
      </c>
      <c r="P2033" s="15">
        <v>220</v>
      </c>
      <c r="Q2033" s="8"/>
      <c r="R2033">
        <v>13.81</v>
      </c>
      <c r="S2033">
        <v>2632.87</v>
      </c>
      <c r="T2033">
        <v>6.08</v>
      </c>
      <c r="U2033">
        <v>9.92</v>
      </c>
      <c r="V2033">
        <v>138</v>
      </c>
      <c r="W2033" s="317">
        <v>3.9</v>
      </c>
      <c r="X2033" s="190">
        <f t="shared" si="86"/>
        <v>62.4</v>
      </c>
      <c r="Y2033" s="8"/>
      <c r="Z2033" s="8"/>
    </row>
    <row r="2034" spans="1:26" ht="12.75" customHeight="1" x14ac:dyDescent="0.2">
      <c r="A2034" s="15">
        <v>100</v>
      </c>
      <c r="B2034" s="15">
        <v>2000</v>
      </c>
      <c r="C2034" s="15">
        <v>7</v>
      </c>
      <c r="D2034" s="15">
        <v>8</v>
      </c>
      <c r="E2034" s="22" t="s">
        <v>17</v>
      </c>
      <c r="F2034" s="20" t="s">
        <v>51</v>
      </c>
      <c r="G2034" s="15">
        <v>153</v>
      </c>
      <c r="H2034" s="15" t="s">
        <v>29</v>
      </c>
      <c r="I2034" s="25">
        <v>9</v>
      </c>
      <c r="J2034" s="11" t="s">
        <v>19</v>
      </c>
      <c r="K2034" s="20" t="s">
        <v>20</v>
      </c>
      <c r="L2034" s="11" t="s">
        <v>21</v>
      </c>
      <c r="M2034" s="11" t="s">
        <v>27</v>
      </c>
      <c r="N2034" s="11" t="s">
        <v>203</v>
      </c>
      <c r="O2034" s="16" t="s">
        <v>29</v>
      </c>
      <c r="P2034" s="15">
        <v>220</v>
      </c>
      <c r="Q2034" s="8"/>
      <c r="R2034">
        <v>14.27</v>
      </c>
      <c r="S2034">
        <v>2908.84</v>
      </c>
      <c r="T2034">
        <v>3.09</v>
      </c>
      <c r="U2034">
        <v>10.25</v>
      </c>
      <c r="V2034">
        <v>143</v>
      </c>
      <c r="W2034" s="317">
        <v>3.9</v>
      </c>
      <c r="X2034" s="190">
        <f t="shared" si="86"/>
        <v>35.1</v>
      </c>
      <c r="Y2034" s="8"/>
      <c r="Z2034" s="8"/>
    </row>
    <row r="2035" spans="1:26" ht="12.75" customHeight="1" x14ac:dyDescent="0.2">
      <c r="A2035" s="15">
        <v>101</v>
      </c>
      <c r="B2035" s="15">
        <v>2000</v>
      </c>
      <c r="C2035" s="15">
        <v>7</v>
      </c>
      <c r="D2035" s="15">
        <v>8</v>
      </c>
      <c r="E2035" s="22" t="s">
        <v>17</v>
      </c>
      <c r="F2035" s="20" t="s">
        <v>51</v>
      </c>
      <c r="G2035" s="11" t="s">
        <v>29</v>
      </c>
      <c r="H2035" s="15" t="s">
        <v>29</v>
      </c>
      <c r="I2035" s="25">
        <v>11</v>
      </c>
      <c r="J2035" s="11" t="s">
        <v>19</v>
      </c>
      <c r="K2035" s="20" t="s">
        <v>20</v>
      </c>
      <c r="L2035" s="11" t="s">
        <v>21</v>
      </c>
      <c r="M2035" s="11" t="s">
        <v>29</v>
      </c>
      <c r="N2035" s="11" t="s">
        <v>25</v>
      </c>
      <c r="O2035" s="16" t="s">
        <v>29</v>
      </c>
      <c r="P2035" s="15">
        <v>220</v>
      </c>
      <c r="Q2035" s="8"/>
      <c r="W2035" s="317">
        <v>3.9</v>
      </c>
      <c r="X2035" s="190">
        <f t="shared" si="86"/>
        <v>42.9</v>
      </c>
      <c r="Y2035" s="8"/>
      <c r="Z2035" s="8"/>
    </row>
    <row r="2036" spans="1:26" ht="12.75" customHeight="1" x14ac:dyDescent="0.2">
      <c r="A2036" s="15">
        <v>102</v>
      </c>
      <c r="B2036" s="15">
        <v>2000</v>
      </c>
      <c r="C2036" s="15">
        <v>7</v>
      </c>
      <c r="D2036" s="15">
        <v>8</v>
      </c>
      <c r="E2036" s="22" t="s">
        <v>17</v>
      </c>
      <c r="F2036" s="20" t="s">
        <v>51</v>
      </c>
      <c r="G2036" s="15">
        <v>153</v>
      </c>
      <c r="H2036" s="15" t="s">
        <v>29</v>
      </c>
      <c r="I2036" s="25">
        <v>10</v>
      </c>
      <c r="J2036" s="11" t="s">
        <v>19</v>
      </c>
      <c r="K2036" s="20" t="s">
        <v>20</v>
      </c>
      <c r="L2036" s="11" t="s">
        <v>21</v>
      </c>
      <c r="M2036" s="11" t="s">
        <v>27</v>
      </c>
      <c r="N2036" s="11" t="s">
        <v>24</v>
      </c>
      <c r="O2036" s="16" t="s">
        <v>29</v>
      </c>
      <c r="P2036" s="15">
        <v>220</v>
      </c>
      <c r="Q2036" s="8"/>
      <c r="R2036">
        <v>14.27</v>
      </c>
      <c r="S2036">
        <v>2908.84</v>
      </c>
      <c r="T2036">
        <v>3.44</v>
      </c>
      <c r="U2036">
        <v>10.25</v>
      </c>
      <c r="V2036">
        <v>143</v>
      </c>
      <c r="W2036" s="317">
        <v>3.9</v>
      </c>
      <c r="X2036" s="190">
        <f t="shared" si="86"/>
        <v>39</v>
      </c>
      <c r="Y2036" s="8"/>
      <c r="Z2036" s="8"/>
    </row>
    <row r="2037" spans="1:26" ht="12.75" customHeight="1" x14ac:dyDescent="0.2">
      <c r="A2037" s="15">
        <v>103</v>
      </c>
      <c r="B2037" s="15">
        <v>2000</v>
      </c>
      <c r="C2037" s="15">
        <v>7</v>
      </c>
      <c r="D2037" s="15">
        <v>8</v>
      </c>
      <c r="E2037" s="22" t="s">
        <v>17</v>
      </c>
      <c r="F2037" s="20" t="s">
        <v>51</v>
      </c>
      <c r="G2037" s="11" t="s">
        <v>29</v>
      </c>
      <c r="H2037" s="15" t="s">
        <v>29</v>
      </c>
      <c r="I2037" s="25">
        <v>8</v>
      </c>
      <c r="J2037" s="11" t="s">
        <v>19</v>
      </c>
      <c r="K2037" s="20" t="s">
        <v>20</v>
      </c>
      <c r="L2037" s="11" t="s">
        <v>21</v>
      </c>
      <c r="M2037" s="11" t="s">
        <v>29</v>
      </c>
      <c r="N2037" s="11" t="s">
        <v>25</v>
      </c>
      <c r="O2037" s="16" t="s">
        <v>29</v>
      </c>
      <c r="P2037" s="15">
        <v>220</v>
      </c>
      <c r="Q2037" s="8"/>
      <c r="W2037" s="317">
        <v>3.9</v>
      </c>
      <c r="X2037" s="190">
        <f t="shared" si="86"/>
        <v>31.2</v>
      </c>
      <c r="Y2037" s="8"/>
      <c r="Z2037" s="8"/>
    </row>
    <row r="2038" spans="1:26" ht="12.75" customHeight="1" x14ac:dyDescent="0.2">
      <c r="A2038" s="15">
        <v>104</v>
      </c>
      <c r="B2038" s="15">
        <v>2000</v>
      </c>
      <c r="C2038" s="15">
        <v>7</v>
      </c>
      <c r="D2038" s="15">
        <v>8</v>
      </c>
      <c r="E2038" s="22" t="s">
        <v>17</v>
      </c>
      <c r="F2038" s="20" t="s">
        <v>51</v>
      </c>
      <c r="G2038" s="11" t="s">
        <v>29</v>
      </c>
      <c r="H2038" s="15" t="s">
        <v>29</v>
      </c>
      <c r="I2038" s="25">
        <v>9.5</v>
      </c>
      <c r="J2038" s="11" t="s">
        <v>19</v>
      </c>
      <c r="K2038" s="20" t="s">
        <v>20</v>
      </c>
      <c r="L2038" s="11" t="s">
        <v>21</v>
      </c>
      <c r="M2038" s="11" t="s">
        <v>27</v>
      </c>
      <c r="N2038" s="11" t="s">
        <v>25</v>
      </c>
      <c r="O2038" s="16" t="s">
        <v>29</v>
      </c>
      <c r="P2038" s="15">
        <v>220</v>
      </c>
      <c r="Q2038" s="8"/>
      <c r="W2038" s="317">
        <v>3.9</v>
      </c>
      <c r="X2038" s="190">
        <f t="shared" si="86"/>
        <v>37.049999999999997</v>
      </c>
      <c r="Y2038" s="8"/>
      <c r="Z2038" s="8"/>
    </row>
    <row r="2039" spans="1:26" ht="12.75" customHeight="1" x14ac:dyDescent="0.2">
      <c r="A2039" s="15">
        <v>105</v>
      </c>
      <c r="B2039" s="15">
        <v>2000</v>
      </c>
      <c r="C2039" s="15">
        <v>7</v>
      </c>
      <c r="D2039" s="15">
        <v>8</v>
      </c>
      <c r="E2039" s="22" t="s">
        <v>17</v>
      </c>
      <c r="F2039" s="20" t="s">
        <v>51</v>
      </c>
      <c r="G2039" s="15">
        <v>133</v>
      </c>
      <c r="H2039" s="15" t="s">
        <v>29</v>
      </c>
      <c r="I2039" s="25">
        <v>8</v>
      </c>
      <c r="J2039" s="11" t="s">
        <v>19</v>
      </c>
      <c r="K2039" s="20" t="s">
        <v>20</v>
      </c>
      <c r="L2039" s="11" t="s">
        <v>21</v>
      </c>
      <c r="M2039" s="11" t="s">
        <v>218</v>
      </c>
      <c r="N2039" s="11" t="s">
        <v>33</v>
      </c>
      <c r="O2039" s="16" t="s">
        <v>29</v>
      </c>
      <c r="P2039" s="15">
        <v>220</v>
      </c>
      <c r="Q2039" s="8"/>
      <c r="R2039">
        <v>12.41</v>
      </c>
      <c r="S2039">
        <v>1910.73</v>
      </c>
      <c r="T2039">
        <v>4.1900000000000004</v>
      </c>
      <c r="U2039">
        <v>8.91</v>
      </c>
      <c r="V2039">
        <v>124</v>
      </c>
      <c r="W2039" s="317">
        <v>3.9</v>
      </c>
      <c r="X2039" s="190">
        <f t="shared" si="86"/>
        <v>31.2</v>
      </c>
      <c r="Y2039" s="8"/>
      <c r="Z2039" s="8"/>
    </row>
    <row r="2040" spans="1:26" ht="12.75" customHeight="1" x14ac:dyDescent="0.2">
      <c r="A2040" s="15">
        <v>106</v>
      </c>
      <c r="B2040" s="15">
        <v>2000</v>
      </c>
      <c r="C2040" s="15">
        <v>7</v>
      </c>
      <c r="D2040" s="15">
        <v>8</v>
      </c>
      <c r="E2040" s="22" t="s">
        <v>17</v>
      </c>
      <c r="F2040" s="20" t="s">
        <v>51</v>
      </c>
      <c r="G2040" s="15">
        <v>134</v>
      </c>
      <c r="H2040" s="15" t="s">
        <v>29</v>
      </c>
      <c r="I2040" s="25">
        <v>6.5</v>
      </c>
      <c r="J2040" s="11" t="s">
        <v>19</v>
      </c>
      <c r="K2040" s="11" t="s">
        <v>41</v>
      </c>
      <c r="L2040" s="11" t="s">
        <v>21</v>
      </c>
      <c r="M2040" s="11" t="s">
        <v>27</v>
      </c>
      <c r="N2040" s="11" t="s">
        <v>33</v>
      </c>
      <c r="O2040" s="16" t="s">
        <v>29</v>
      </c>
      <c r="P2040" s="15">
        <v>220</v>
      </c>
      <c r="Q2040" s="8"/>
      <c r="R2040">
        <v>12.5</v>
      </c>
      <c r="S2040">
        <v>1954.16</v>
      </c>
      <c r="T2040">
        <v>3.33</v>
      </c>
      <c r="U2040">
        <v>8.98</v>
      </c>
      <c r="V2040">
        <v>125</v>
      </c>
      <c r="W2040" s="317"/>
      <c r="X2040" s="8"/>
      <c r="Y2040" s="8"/>
      <c r="Z2040" s="8"/>
    </row>
    <row r="2041" spans="1:26" ht="12.75" customHeight="1" x14ac:dyDescent="0.2">
      <c r="A2041" s="15">
        <v>107</v>
      </c>
      <c r="B2041" s="15">
        <v>2000</v>
      </c>
      <c r="C2041" s="15">
        <v>7</v>
      </c>
      <c r="D2041" s="15">
        <v>8</v>
      </c>
      <c r="E2041" s="22" t="s">
        <v>17</v>
      </c>
      <c r="F2041" s="20" t="s">
        <v>51</v>
      </c>
      <c r="G2041" s="11" t="s">
        <v>29</v>
      </c>
      <c r="H2041" s="15" t="s">
        <v>29</v>
      </c>
      <c r="I2041" s="25">
        <v>7</v>
      </c>
      <c r="J2041" s="11" t="s">
        <v>19</v>
      </c>
      <c r="K2041" s="11" t="s">
        <v>41</v>
      </c>
      <c r="L2041" s="11" t="s">
        <v>21</v>
      </c>
      <c r="M2041" s="11" t="s">
        <v>27</v>
      </c>
      <c r="N2041" s="11" t="s">
        <v>25</v>
      </c>
      <c r="O2041" s="16" t="s">
        <v>29</v>
      </c>
      <c r="P2041" s="15">
        <v>220</v>
      </c>
      <c r="Q2041" s="8"/>
      <c r="W2041" s="317"/>
      <c r="X2041" s="8"/>
      <c r="Y2041" s="8"/>
      <c r="Z2041" s="8"/>
    </row>
    <row r="2042" spans="1:26" ht="12.75" customHeight="1" x14ac:dyDescent="0.2">
      <c r="A2042" s="15">
        <v>108</v>
      </c>
      <c r="B2042" s="15">
        <v>2000</v>
      </c>
      <c r="C2042" s="15">
        <v>7</v>
      </c>
      <c r="D2042" s="15">
        <v>8</v>
      </c>
      <c r="E2042" s="22" t="s">
        <v>17</v>
      </c>
      <c r="F2042" s="20" t="s">
        <v>51</v>
      </c>
      <c r="G2042" s="15">
        <v>158</v>
      </c>
      <c r="H2042" s="15" t="s">
        <v>29</v>
      </c>
      <c r="I2042" s="25">
        <v>13</v>
      </c>
      <c r="J2042" s="11" t="s">
        <v>19</v>
      </c>
      <c r="K2042" s="20" t="s">
        <v>20</v>
      </c>
      <c r="L2042" s="11" t="s">
        <v>30</v>
      </c>
      <c r="M2042" s="11" t="s">
        <v>29</v>
      </c>
      <c r="N2042" s="11" t="s">
        <v>25</v>
      </c>
      <c r="O2042" s="16" t="s">
        <v>29</v>
      </c>
      <c r="P2042" s="15">
        <v>220</v>
      </c>
      <c r="Q2042" s="8"/>
      <c r="R2042">
        <v>14.74</v>
      </c>
      <c r="S2042">
        <v>3203.44</v>
      </c>
      <c r="T2042">
        <v>4.0599999999999996</v>
      </c>
      <c r="U2042">
        <v>10.59</v>
      </c>
      <c r="V2042">
        <v>147</v>
      </c>
      <c r="W2042" s="317">
        <v>4.5999999999999996</v>
      </c>
      <c r="X2042" s="190">
        <f>I2042*W2042</f>
        <v>59.8</v>
      </c>
      <c r="Y2042" s="8"/>
      <c r="Z2042" s="8"/>
    </row>
    <row r="2043" spans="1:26" ht="12.75" customHeight="1" x14ac:dyDescent="0.2">
      <c r="A2043" s="15">
        <v>109</v>
      </c>
      <c r="B2043" s="15">
        <v>2000</v>
      </c>
      <c r="C2043" s="15">
        <v>7</v>
      </c>
      <c r="D2043" s="15">
        <v>8</v>
      </c>
      <c r="E2043" s="22" t="s">
        <v>17</v>
      </c>
      <c r="F2043" s="20" t="s">
        <v>51</v>
      </c>
      <c r="G2043" s="15">
        <v>162</v>
      </c>
      <c r="H2043" s="15" t="s">
        <v>29</v>
      </c>
      <c r="I2043" s="25">
        <v>10</v>
      </c>
      <c r="J2043" s="11" t="s">
        <v>19</v>
      </c>
      <c r="K2043" s="20" t="s">
        <v>20</v>
      </c>
      <c r="L2043" s="11" t="s">
        <v>30</v>
      </c>
      <c r="M2043" s="11" t="s">
        <v>29</v>
      </c>
      <c r="N2043" s="11" t="s">
        <v>25</v>
      </c>
      <c r="O2043" s="16" t="s">
        <v>29</v>
      </c>
      <c r="P2043" s="15">
        <v>220</v>
      </c>
      <c r="Q2043" s="8"/>
      <c r="R2043">
        <v>15.11</v>
      </c>
      <c r="S2043">
        <v>3452.95</v>
      </c>
      <c r="T2043">
        <v>2.9</v>
      </c>
      <c r="U2043">
        <v>10.85</v>
      </c>
      <c r="V2043">
        <v>151</v>
      </c>
      <c r="W2043" s="317">
        <v>4.5999999999999996</v>
      </c>
      <c r="X2043" s="190">
        <f>I2043*W2043</f>
        <v>46</v>
      </c>
      <c r="Y2043" s="8"/>
      <c r="Z2043" s="8"/>
    </row>
    <row r="2044" spans="1:26" ht="12.75" customHeight="1" x14ac:dyDescent="0.2">
      <c r="A2044" s="15">
        <v>110</v>
      </c>
      <c r="B2044" s="15">
        <v>2000</v>
      </c>
      <c r="C2044" s="15">
        <v>7</v>
      </c>
      <c r="D2044" s="15">
        <v>8</v>
      </c>
      <c r="E2044" s="22" t="s">
        <v>17</v>
      </c>
      <c r="F2044" s="20" t="s">
        <v>51</v>
      </c>
      <c r="G2044" s="15">
        <v>162</v>
      </c>
      <c r="H2044" s="15" t="s">
        <v>29</v>
      </c>
      <c r="I2044" s="25">
        <v>14</v>
      </c>
      <c r="J2044" s="11" t="s">
        <v>19</v>
      </c>
      <c r="K2044" s="20" t="s">
        <v>20</v>
      </c>
      <c r="L2044" s="11" t="s">
        <v>21</v>
      </c>
      <c r="M2044" s="11" t="s">
        <v>29</v>
      </c>
      <c r="N2044" s="11" t="s">
        <v>25</v>
      </c>
      <c r="O2044" s="16" t="s">
        <v>29</v>
      </c>
      <c r="P2044" s="15">
        <v>220</v>
      </c>
      <c r="Q2044" s="8"/>
      <c r="R2044">
        <v>15.11</v>
      </c>
      <c r="S2044">
        <v>3452.95</v>
      </c>
      <c r="T2044">
        <v>4.05</v>
      </c>
      <c r="U2044">
        <v>10.85</v>
      </c>
      <c r="V2044">
        <v>151</v>
      </c>
      <c r="W2044" s="317">
        <v>3.9</v>
      </c>
      <c r="X2044" s="190">
        <f>I2044*W2044</f>
        <v>54.6</v>
      </c>
      <c r="Y2044" s="8"/>
      <c r="Z2044" s="8"/>
    </row>
    <row r="2045" spans="1:26" ht="12.75" customHeight="1" x14ac:dyDescent="0.2">
      <c r="A2045" s="15">
        <v>111</v>
      </c>
      <c r="B2045" s="15">
        <v>2000</v>
      </c>
      <c r="C2045" s="15">
        <v>7</v>
      </c>
      <c r="D2045" s="15">
        <v>8</v>
      </c>
      <c r="E2045" s="22" t="s">
        <v>17</v>
      </c>
      <c r="F2045" s="20" t="s">
        <v>51</v>
      </c>
      <c r="G2045" s="15">
        <v>174</v>
      </c>
      <c r="H2045" s="15" t="s">
        <v>29</v>
      </c>
      <c r="I2045" s="25">
        <v>16</v>
      </c>
      <c r="J2045" s="11" t="s">
        <v>19</v>
      </c>
      <c r="K2045" s="20" t="s">
        <v>20</v>
      </c>
      <c r="L2045" s="11" t="s">
        <v>21</v>
      </c>
      <c r="M2045" s="11" t="s">
        <v>29</v>
      </c>
      <c r="N2045" s="11" t="s">
        <v>25</v>
      </c>
      <c r="O2045" s="16" t="s">
        <v>29</v>
      </c>
      <c r="P2045" s="15">
        <v>220</v>
      </c>
      <c r="Q2045" s="8"/>
      <c r="R2045">
        <v>16.23</v>
      </c>
      <c r="S2045">
        <v>4278.51</v>
      </c>
      <c r="T2045">
        <v>3.74</v>
      </c>
      <c r="U2045">
        <v>11.66</v>
      </c>
      <c r="V2045">
        <v>162</v>
      </c>
      <c r="W2045" s="317">
        <v>3.9</v>
      </c>
      <c r="X2045" s="190">
        <f>I2045*W2045</f>
        <v>62.4</v>
      </c>
      <c r="Y2045" s="8"/>
      <c r="Z2045" s="8"/>
    </row>
    <row r="2046" spans="1:26" ht="12.75" customHeight="1" x14ac:dyDescent="0.2">
      <c r="A2046" s="15">
        <v>112</v>
      </c>
      <c r="B2046" s="15">
        <v>2000</v>
      </c>
      <c r="C2046" s="15">
        <v>7</v>
      </c>
      <c r="D2046" s="15">
        <v>8</v>
      </c>
      <c r="E2046" s="22" t="s">
        <v>17</v>
      </c>
      <c r="F2046" s="20" t="s">
        <v>51</v>
      </c>
      <c r="G2046" s="15">
        <v>154</v>
      </c>
      <c r="H2046" s="15" t="s">
        <v>29</v>
      </c>
      <c r="I2046" s="25">
        <v>12.5</v>
      </c>
      <c r="J2046" s="11" t="s">
        <v>19</v>
      </c>
      <c r="K2046" s="20" t="s">
        <v>20</v>
      </c>
      <c r="L2046" s="11" t="s">
        <v>21</v>
      </c>
      <c r="M2046" s="11" t="s">
        <v>29</v>
      </c>
      <c r="N2046" s="11" t="s">
        <v>24</v>
      </c>
      <c r="O2046" s="16" t="s">
        <v>29</v>
      </c>
      <c r="P2046" s="15">
        <v>220</v>
      </c>
      <c r="Q2046" s="8"/>
      <c r="R2046">
        <v>14.37</v>
      </c>
      <c r="S2046">
        <v>2966.25</v>
      </c>
      <c r="T2046">
        <v>4.21</v>
      </c>
      <c r="U2046">
        <v>10.32</v>
      </c>
      <c r="V2046">
        <v>144</v>
      </c>
      <c r="W2046" s="317">
        <v>3.9</v>
      </c>
      <c r="X2046" s="190">
        <f>I2046*W2046</f>
        <v>48.75</v>
      </c>
      <c r="Y2046" s="8"/>
      <c r="Z2046" s="8"/>
    </row>
    <row r="2047" spans="1:26" ht="12.75" customHeight="1" x14ac:dyDescent="0.2">
      <c r="A2047" s="15">
        <v>113</v>
      </c>
      <c r="B2047" s="15">
        <v>2000</v>
      </c>
      <c r="C2047" s="15">
        <v>7</v>
      </c>
      <c r="D2047" s="15">
        <v>8</v>
      </c>
      <c r="E2047" s="22" t="s">
        <v>17</v>
      </c>
      <c r="F2047" s="20" t="s">
        <v>51</v>
      </c>
      <c r="G2047" s="15">
        <v>143</v>
      </c>
      <c r="H2047" s="15" t="s">
        <v>29</v>
      </c>
      <c r="I2047" s="25">
        <v>7.5</v>
      </c>
      <c r="J2047" s="11" t="s">
        <v>19</v>
      </c>
      <c r="K2047" s="20" t="s">
        <v>20</v>
      </c>
      <c r="L2047" s="11" t="s">
        <v>41</v>
      </c>
      <c r="M2047" s="11" t="s">
        <v>29</v>
      </c>
      <c r="N2047" s="11" t="s">
        <v>24</v>
      </c>
      <c r="O2047" s="16" t="s">
        <v>29</v>
      </c>
      <c r="P2047" s="15">
        <v>220</v>
      </c>
      <c r="Q2047" s="8"/>
      <c r="R2047">
        <v>13.34</v>
      </c>
      <c r="S2047">
        <v>2374.94</v>
      </c>
      <c r="T2047">
        <v>3.16</v>
      </c>
      <c r="U2047">
        <v>9.58</v>
      </c>
      <c r="V2047">
        <v>133</v>
      </c>
      <c r="W2047" s="8"/>
      <c r="X2047" s="8"/>
      <c r="Y2047" s="8"/>
      <c r="Z2047" s="8"/>
    </row>
    <row r="2048" spans="1:26" ht="12.75" customHeight="1" x14ac:dyDescent="0.2">
      <c r="A2048" s="15">
        <v>114</v>
      </c>
      <c r="B2048" s="15">
        <v>2000</v>
      </c>
      <c r="C2048" s="15">
        <v>7</v>
      </c>
      <c r="D2048" s="15">
        <v>8</v>
      </c>
      <c r="E2048" s="22" t="s">
        <v>17</v>
      </c>
      <c r="F2048" s="20" t="s">
        <v>51</v>
      </c>
      <c r="G2048" s="11" t="s">
        <v>29</v>
      </c>
      <c r="H2048" s="15" t="s">
        <v>29</v>
      </c>
      <c r="I2048" s="25">
        <v>15</v>
      </c>
      <c r="J2048" s="11" t="s">
        <v>19</v>
      </c>
      <c r="K2048" s="11" t="s">
        <v>41</v>
      </c>
      <c r="L2048" s="11" t="s">
        <v>35</v>
      </c>
      <c r="M2048" s="11" t="s">
        <v>29</v>
      </c>
      <c r="N2048" s="11" t="s">
        <v>25</v>
      </c>
      <c r="O2048" s="16" t="s">
        <v>29</v>
      </c>
      <c r="P2048" s="15">
        <v>220</v>
      </c>
      <c r="Q2048" s="8"/>
      <c r="W2048" s="317"/>
      <c r="X2048" s="8"/>
      <c r="Y2048" s="8"/>
      <c r="Z2048" s="8"/>
    </row>
    <row r="2049" spans="1:26" ht="12.75" customHeight="1" x14ac:dyDescent="0.2">
      <c r="A2049" s="15">
        <v>115</v>
      </c>
      <c r="B2049" s="15">
        <v>2000</v>
      </c>
      <c r="C2049" s="15">
        <v>7</v>
      </c>
      <c r="D2049" s="15">
        <v>8</v>
      </c>
      <c r="E2049" s="22" t="s">
        <v>17</v>
      </c>
      <c r="F2049" s="11" t="s">
        <v>28</v>
      </c>
      <c r="G2049" s="11" t="s">
        <v>29</v>
      </c>
      <c r="H2049" s="15" t="s">
        <v>29</v>
      </c>
      <c r="I2049" s="25" t="s">
        <v>29</v>
      </c>
      <c r="J2049" s="11" t="s">
        <v>19</v>
      </c>
      <c r="K2049" s="11" t="s">
        <v>41</v>
      </c>
      <c r="L2049" s="11" t="s">
        <v>41</v>
      </c>
      <c r="M2049" s="11" t="s">
        <v>29</v>
      </c>
      <c r="N2049" s="11" t="s">
        <v>29</v>
      </c>
      <c r="O2049" s="16" t="s">
        <v>29</v>
      </c>
      <c r="P2049" s="15">
        <v>220</v>
      </c>
      <c r="Q2049" s="8"/>
      <c r="W2049" s="8"/>
      <c r="X2049" s="8"/>
      <c r="Y2049" s="8"/>
      <c r="Z2049" s="8"/>
    </row>
    <row r="2050" spans="1:26" ht="12.75" customHeight="1" x14ac:dyDescent="0.2">
      <c r="A2050" s="15">
        <v>116</v>
      </c>
      <c r="B2050" s="15">
        <v>2000</v>
      </c>
      <c r="C2050" s="15">
        <v>7</v>
      </c>
      <c r="D2050" s="15">
        <v>8</v>
      </c>
      <c r="E2050" s="22" t="s">
        <v>17</v>
      </c>
      <c r="F2050" s="11" t="s">
        <v>51</v>
      </c>
      <c r="G2050" s="15">
        <v>178</v>
      </c>
      <c r="H2050" s="15" t="s">
        <v>29</v>
      </c>
      <c r="I2050" s="25">
        <v>13</v>
      </c>
      <c r="J2050" s="11" t="s">
        <v>19</v>
      </c>
      <c r="K2050" s="20" t="s">
        <v>20</v>
      </c>
      <c r="L2050" s="11" t="s">
        <v>21</v>
      </c>
      <c r="M2050" s="11" t="s">
        <v>29</v>
      </c>
      <c r="N2050" s="11" t="s">
        <v>25</v>
      </c>
      <c r="O2050" s="16" t="s">
        <v>29</v>
      </c>
      <c r="P2050" s="15">
        <v>220</v>
      </c>
      <c r="Q2050" s="8"/>
      <c r="R2050">
        <v>16.61</v>
      </c>
      <c r="S2050">
        <v>4580.42</v>
      </c>
      <c r="T2050">
        <v>2.84</v>
      </c>
      <c r="U2050">
        <v>11.93</v>
      </c>
      <c r="V2050">
        <v>166</v>
      </c>
      <c r="W2050" s="317">
        <v>3.9</v>
      </c>
      <c r="X2050" s="190">
        <f>I2050*W2050</f>
        <v>50.699999999999996</v>
      </c>
      <c r="Y2050" s="8"/>
      <c r="Z2050" s="8"/>
    </row>
    <row r="2051" spans="1:26" ht="12.75" customHeight="1" x14ac:dyDescent="0.2">
      <c r="A2051" s="15">
        <v>117</v>
      </c>
      <c r="B2051" s="15">
        <v>2000</v>
      </c>
      <c r="C2051" s="15">
        <v>7</v>
      </c>
      <c r="D2051" s="15">
        <v>8</v>
      </c>
      <c r="E2051" s="22" t="s">
        <v>17</v>
      </c>
      <c r="F2051" s="11" t="s">
        <v>51</v>
      </c>
      <c r="G2051" s="15">
        <v>137</v>
      </c>
      <c r="H2051" s="15" t="s">
        <v>29</v>
      </c>
      <c r="I2051" s="25">
        <v>6.5</v>
      </c>
      <c r="J2051" s="11" t="s">
        <v>19</v>
      </c>
      <c r="K2051" s="11" t="s">
        <v>41</v>
      </c>
      <c r="L2051" s="11" t="s">
        <v>35</v>
      </c>
      <c r="M2051" s="11" t="s">
        <v>29</v>
      </c>
      <c r="N2051" s="11" t="s">
        <v>25</v>
      </c>
      <c r="O2051" s="16" t="s">
        <v>29</v>
      </c>
      <c r="P2051" s="15">
        <v>220</v>
      </c>
      <c r="Q2051" s="8"/>
      <c r="R2051">
        <v>12.78</v>
      </c>
      <c r="S2051">
        <v>2088.37</v>
      </c>
      <c r="T2051">
        <v>3.11</v>
      </c>
      <c r="U2051">
        <v>9.18</v>
      </c>
      <c r="V2051">
        <v>128</v>
      </c>
      <c r="W2051" s="317"/>
      <c r="X2051" s="8"/>
      <c r="Y2051" s="8"/>
      <c r="Z2051" s="8"/>
    </row>
    <row r="2052" spans="1:26" ht="12.75" customHeight="1" x14ac:dyDescent="0.2">
      <c r="A2052" s="15">
        <v>118</v>
      </c>
      <c r="B2052" s="15">
        <v>2000</v>
      </c>
      <c r="C2052" s="15">
        <v>7</v>
      </c>
      <c r="D2052" s="15">
        <v>8</v>
      </c>
      <c r="E2052" s="22" t="s">
        <v>17</v>
      </c>
      <c r="F2052" s="11" t="s">
        <v>51</v>
      </c>
      <c r="G2052" s="15">
        <v>161</v>
      </c>
      <c r="H2052" s="15" t="s">
        <v>29</v>
      </c>
      <c r="I2052" s="25">
        <v>12.5</v>
      </c>
      <c r="J2052" s="11" t="s">
        <v>19</v>
      </c>
      <c r="K2052" s="20" t="s">
        <v>20</v>
      </c>
      <c r="L2052" s="11" t="s">
        <v>21</v>
      </c>
      <c r="M2052" s="11" t="s">
        <v>29</v>
      </c>
      <c r="N2052" s="11" t="s">
        <v>24</v>
      </c>
      <c r="O2052" s="16" t="s">
        <v>29</v>
      </c>
      <c r="P2052" s="15">
        <v>220</v>
      </c>
      <c r="Q2052" s="8"/>
      <c r="R2052">
        <v>15.02</v>
      </c>
      <c r="S2052">
        <v>3389.4</v>
      </c>
      <c r="T2052">
        <v>3.69</v>
      </c>
      <c r="U2052">
        <v>10.79</v>
      </c>
      <c r="V2052">
        <v>150</v>
      </c>
      <c r="W2052" s="317">
        <v>3.9</v>
      </c>
      <c r="X2052" s="190">
        <f>I2052*W2052</f>
        <v>48.75</v>
      </c>
      <c r="Y2052" s="8"/>
      <c r="Z2052" s="8"/>
    </row>
    <row r="2053" spans="1:26" ht="12.75" customHeight="1" x14ac:dyDescent="0.2">
      <c r="A2053" s="15">
        <v>119</v>
      </c>
      <c r="B2053" s="15">
        <v>2000</v>
      </c>
      <c r="C2053" s="15">
        <v>7</v>
      </c>
      <c r="D2053" s="15">
        <v>8</v>
      </c>
      <c r="E2053" s="22" t="s">
        <v>17</v>
      </c>
      <c r="F2053" s="11" t="s">
        <v>28</v>
      </c>
      <c r="G2053" s="11" t="s">
        <v>29</v>
      </c>
      <c r="H2053" s="15" t="s">
        <v>29</v>
      </c>
      <c r="I2053" s="25" t="s">
        <v>29</v>
      </c>
      <c r="J2053" s="11" t="s">
        <v>19</v>
      </c>
      <c r="K2053" s="11" t="s">
        <v>41</v>
      </c>
      <c r="L2053" s="11" t="s">
        <v>41</v>
      </c>
      <c r="M2053" s="11" t="s">
        <v>29</v>
      </c>
      <c r="N2053" s="11" t="s">
        <v>29</v>
      </c>
      <c r="O2053" s="16" t="s">
        <v>29</v>
      </c>
      <c r="P2053" s="15">
        <v>220</v>
      </c>
      <c r="Q2053" s="8"/>
      <c r="W2053" s="8"/>
      <c r="X2053" s="8"/>
      <c r="Y2053" s="8"/>
      <c r="Z2053" s="8"/>
    </row>
    <row r="2054" spans="1:26" ht="12.75" customHeight="1" x14ac:dyDescent="0.2">
      <c r="A2054" s="15">
        <v>120</v>
      </c>
      <c r="B2054" s="15">
        <v>2000</v>
      </c>
      <c r="C2054" s="15">
        <v>7</v>
      </c>
      <c r="D2054" s="15">
        <v>8</v>
      </c>
      <c r="E2054" s="22" t="s">
        <v>17</v>
      </c>
      <c r="F2054" s="11" t="s">
        <v>51</v>
      </c>
      <c r="G2054" s="15">
        <v>146</v>
      </c>
      <c r="H2054" s="15" t="s">
        <v>29</v>
      </c>
      <c r="I2054" s="25">
        <v>8.5</v>
      </c>
      <c r="J2054" s="11" t="s">
        <v>19</v>
      </c>
      <c r="K2054" s="20" t="s">
        <v>20</v>
      </c>
      <c r="L2054" s="11" t="s">
        <v>21</v>
      </c>
      <c r="M2054" s="11" t="s">
        <v>29</v>
      </c>
      <c r="N2054" s="11" t="s">
        <v>24</v>
      </c>
      <c r="O2054" s="16" t="s">
        <v>29</v>
      </c>
      <c r="P2054" s="15">
        <v>220</v>
      </c>
      <c r="Q2054" s="8"/>
      <c r="R2054">
        <v>13.62</v>
      </c>
      <c r="S2054">
        <v>2527.5700000000002</v>
      </c>
      <c r="T2054">
        <v>3.36</v>
      </c>
      <c r="U2054">
        <v>9.7799999999999994</v>
      </c>
      <c r="V2054">
        <v>136</v>
      </c>
      <c r="W2054" s="317">
        <v>3.9</v>
      </c>
      <c r="X2054" s="190">
        <f>I2054*W2054</f>
        <v>33.15</v>
      </c>
      <c r="Y2054" s="8"/>
      <c r="Z2054" s="8"/>
    </row>
    <row r="2055" spans="1:26" ht="12.75" customHeight="1" x14ac:dyDescent="0.2">
      <c r="A2055" s="15">
        <v>121</v>
      </c>
      <c r="B2055" s="15">
        <v>2000</v>
      </c>
      <c r="C2055" s="15">
        <v>7</v>
      </c>
      <c r="D2055" s="15">
        <v>8</v>
      </c>
      <c r="E2055" s="22" t="s">
        <v>17</v>
      </c>
      <c r="F2055" s="11" t="s">
        <v>51</v>
      </c>
      <c r="G2055" s="15">
        <v>163</v>
      </c>
      <c r="H2055" s="15" t="s">
        <v>29</v>
      </c>
      <c r="I2055" s="25">
        <v>13</v>
      </c>
      <c r="J2055" s="11" t="s">
        <v>19</v>
      </c>
      <c r="K2055" s="20" t="s">
        <v>20</v>
      </c>
      <c r="L2055" s="11" t="s">
        <v>21</v>
      </c>
      <c r="M2055" s="11" t="s">
        <v>29</v>
      </c>
      <c r="N2055" s="11" t="s">
        <v>24</v>
      </c>
      <c r="O2055" s="16" t="s">
        <v>29</v>
      </c>
      <c r="P2055" s="15">
        <v>220</v>
      </c>
      <c r="Q2055" s="8"/>
      <c r="R2055">
        <v>15.21</v>
      </c>
      <c r="S2055">
        <v>3517.29</v>
      </c>
      <c r="T2055">
        <v>3.7</v>
      </c>
      <c r="U2055">
        <v>10.92</v>
      </c>
      <c r="V2055">
        <v>152</v>
      </c>
      <c r="W2055" s="317">
        <v>3.9</v>
      </c>
      <c r="X2055" s="190">
        <f>I2055*W2055</f>
        <v>50.699999999999996</v>
      </c>
      <c r="Y2055" s="8"/>
      <c r="Z2055" s="8"/>
    </row>
    <row r="2056" spans="1:26" ht="12.75" customHeight="1" x14ac:dyDescent="0.2">
      <c r="A2056" s="15">
        <v>122</v>
      </c>
      <c r="B2056" s="15">
        <v>2000</v>
      </c>
      <c r="C2056" s="15">
        <v>7</v>
      </c>
      <c r="D2056" s="15">
        <v>8</v>
      </c>
      <c r="E2056" s="22" t="s">
        <v>17</v>
      </c>
      <c r="F2056" s="11" t="s">
        <v>28</v>
      </c>
      <c r="G2056" s="11" t="s">
        <v>29</v>
      </c>
      <c r="H2056" s="15" t="s">
        <v>29</v>
      </c>
      <c r="I2056" s="25" t="s">
        <v>29</v>
      </c>
      <c r="J2056" s="11" t="s">
        <v>19</v>
      </c>
      <c r="K2056" s="20" t="s">
        <v>20</v>
      </c>
      <c r="L2056" s="11" t="s">
        <v>21</v>
      </c>
      <c r="M2056" s="11" t="s">
        <v>29</v>
      </c>
      <c r="N2056" s="11" t="s">
        <v>29</v>
      </c>
      <c r="O2056" s="16" t="s">
        <v>29</v>
      </c>
      <c r="P2056" s="15">
        <v>220</v>
      </c>
      <c r="Q2056" s="8"/>
      <c r="W2056" s="317">
        <v>3.9</v>
      </c>
      <c r="X2056" s="190"/>
      <c r="Y2056" s="8"/>
      <c r="Z2056" s="8"/>
    </row>
    <row r="2057" spans="1:26" ht="12.75" customHeight="1" x14ac:dyDescent="0.2">
      <c r="A2057" s="15">
        <v>123</v>
      </c>
      <c r="B2057" s="15">
        <v>2000</v>
      </c>
      <c r="C2057" s="15">
        <v>7</v>
      </c>
      <c r="D2057" s="15">
        <v>8</v>
      </c>
      <c r="E2057" s="22" t="s">
        <v>17</v>
      </c>
      <c r="F2057" s="11" t="s">
        <v>51</v>
      </c>
      <c r="G2057" s="15">
        <v>150</v>
      </c>
      <c r="H2057" s="15" t="s">
        <v>29</v>
      </c>
      <c r="I2057" s="25">
        <v>10</v>
      </c>
      <c r="J2057" s="11" t="s">
        <v>19</v>
      </c>
      <c r="K2057" s="20" t="s">
        <v>20</v>
      </c>
      <c r="L2057" s="11" t="s">
        <v>41</v>
      </c>
      <c r="M2057" s="11" t="s">
        <v>29</v>
      </c>
      <c r="N2057" s="11" t="s">
        <v>29</v>
      </c>
      <c r="O2057" s="16" t="s">
        <v>29</v>
      </c>
      <c r="P2057" s="15">
        <v>220</v>
      </c>
      <c r="Q2057" s="8"/>
      <c r="R2057">
        <v>14</v>
      </c>
      <c r="S2057">
        <v>2741.06</v>
      </c>
      <c r="T2057">
        <v>3.65</v>
      </c>
      <c r="U2057">
        <v>10.050000000000001</v>
      </c>
      <c r="V2057">
        <v>140</v>
      </c>
      <c r="W2057" s="8"/>
      <c r="X2057" s="8"/>
      <c r="Y2057" s="8"/>
      <c r="Z2057" s="8"/>
    </row>
    <row r="2058" spans="1:26" ht="12.75" customHeight="1" x14ac:dyDescent="0.2">
      <c r="A2058" s="15">
        <v>124</v>
      </c>
      <c r="B2058" s="15">
        <v>2000</v>
      </c>
      <c r="C2058" s="15">
        <v>7</v>
      </c>
      <c r="D2058" s="15">
        <v>8</v>
      </c>
      <c r="E2058" s="22" t="s">
        <v>17</v>
      </c>
      <c r="F2058" s="11" t="s">
        <v>51</v>
      </c>
      <c r="G2058" s="15">
        <v>142</v>
      </c>
      <c r="H2058" s="15" t="s">
        <v>29</v>
      </c>
      <c r="I2058" s="25">
        <v>9</v>
      </c>
      <c r="J2058" s="11" t="s">
        <v>19</v>
      </c>
      <c r="K2058" s="20" t="s">
        <v>20</v>
      </c>
      <c r="L2058" s="11" t="s">
        <v>41</v>
      </c>
      <c r="M2058" s="11" t="s">
        <v>29</v>
      </c>
      <c r="N2058" s="11" t="s">
        <v>25</v>
      </c>
      <c r="O2058" s="16" t="s">
        <v>29</v>
      </c>
      <c r="P2058" s="15">
        <v>220</v>
      </c>
      <c r="Q2058" s="8"/>
      <c r="R2058">
        <v>13.25</v>
      </c>
      <c r="S2058">
        <v>2325.4699999999998</v>
      </c>
      <c r="T2058">
        <v>3.87</v>
      </c>
      <c r="U2058">
        <v>9.51</v>
      </c>
      <c r="V2058">
        <v>132</v>
      </c>
      <c r="W2058" s="8"/>
      <c r="X2058" s="8"/>
      <c r="Y2058" s="8"/>
      <c r="Z2058" s="8"/>
    </row>
    <row r="2059" spans="1:26" ht="12.75" customHeight="1" x14ac:dyDescent="0.2">
      <c r="A2059" s="15">
        <v>125</v>
      </c>
      <c r="B2059" s="15">
        <v>2000</v>
      </c>
      <c r="C2059" s="15">
        <v>7</v>
      </c>
      <c r="D2059" s="15">
        <v>8</v>
      </c>
      <c r="E2059" s="22" t="s">
        <v>17</v>
      </c>
      <c r="F2059" s="11" t="s">
        <v>28</v>
      </c>
      <c r="G2059" s="11" t="s">
        <v>29</v>
      </c>
      <c r="H2059" s="15" t="s">
        <v>29</v>
      </c>
      <c r="I2059" s="25" t="s">
        <v>29</v>
      </c>
      <c r="J2059" s="11" t="s">
        <v>19</v>
      </c>
      <c r="K2059" s="20" t="s">
        <v>20</v>
      </c>
      <c r="L2059" s="11" t="s">
        <v>30</v>
      </c>
      <c r="M2059" s="11" t="s">
        <v>29</v>
      </c>
      <c r="N2059" s="11" t="s">
        <v>29</v>
      </c>
      <c r="O2059" s="16" t="s">
        <v>29</v>
      </c>
      <c r="P2059" s="15">
        <v>220</v>
      </c>
      <c r="Q2059" s="8"/>
      <c r="W2059" s="317">
        <v>4.5999999999999996</v>
      </c>
      <c r="X2059" s="190"/>
      <c r="Y2059" s="8"/>
      <c r="Z2059" s="8"/>
    </row>
    <row r="2060" spans="1:26" ht="12.75" customHeight="1" x14ac:dyDescent="0.2">
      <c r="A2060" s="15">
        <v>126</v>
      </c>
      <c r="B2060" s="15">
        <v>2000</v>
      </c>
      <c r="C2060" s="15">
        <v>7</v>
      </c>
      <c r="D2060" s="15">
        <v>8</v>
      </c>
      <c r="E2060" s="22" t="s">
        <v>17</v>
      </c>
      <c r="F2060" s="11" t="s">
        <v>51</v>
      </c>
      <c r="G2060" s="15">
        <v>176</v>
      </c>
      <c r="H2060" s="15" t="s">
        <v>29</v>
      </c>
      <c r="I2060" s="25">
        <v>17</v>
      </c>
      <c r="J2060" s="11" t="s">
        <v>19</v>
      </c>
      <c r="K2060" s="20" t="s">
        <v>20</v>
      </c>
      <c r="L2060" s="11" t="s">
        <v>21</v>
      </c>
      <c r="M2060" s="11" t="s">
        <v>29</v>
      </c>
      <c r="N2060" s="11" t="s">
        <v>24</v>
      </c>
      <c r="O2060" s="16" t="s">
        <v>29</v>
      </c>
      <c r="P2060" s="15">
        <v>220</v>
      </c>
      <c r="Q2060" s="8"/>
      <c r="R2060">
        <v>16.420000000000002</v>
      </c>
      <c r="S2060">
        <v>4427.75</v>
      </c>
      <c r="T2060">
        <v>3.84</v>
      </c>
      <c r="U2060">
        <v>11.79</v>
      </c>
      <c r="V2060">
        <v>164</v>
      </c>
      <c r="W2060" s="317">
        <v>3.9</v>
      </c>
      <c r="X2060" s="190">
        <f>I2060*W2060</f>
        <v>66.3</v>
      </c>
      <c r="Y2060" s="8"/>
      <c r="Z2060" s="8"/>
    </row>
    <row r="2061" spans="1:26" ht="12.75" customHeight="1" x14ac:dyDescent="0.2">
      <c r="A2061" s="15">
        <v>127</v>
      </c>
      <c r="B2061" s="15">
        <v>2000</v>
      </c>
      <c r="C2061" s="15">
        <v>7</v>
      </c>
      <c r="D2061" s="15">
        <v>8</v>
      </c>
      <c r="E2061" s="22" t="s">
        <v>17</v>
      </c>
      <c r="F2061" s="11" t="s">
        <v>51</v>
      </c>
      <c r="G2061" s="15">
        <v>170</v>
      </c>
      <c r="H2061" s="15" t="s">
        <v>29</v>
      </c>
      <c r="I2061" s="25">
        <v>14.5</v>
      </c>
      <c r="J2061" s="11" t="s">
        <v>19</v>
      </c>
      <c r="K2061" s="11" t="s">
        <v>41</v>
      </c>
      <c r="L2061" s="11" t="s">
        <v>21</v>
      </c>
      <c r="M2061" s="11" t="s">
        <v>29</v>
      </c>
      <c r="N2061" s="11" t="s">
        <v>29</v>
      </c>
      <c r="O2061" s="16" t="s">
        <v>29</v>
      </c>
      <c r="P2061" s="15">
        <v>220</v>
      </c>
      <c r="Q2061" s="8"/>
      <c r="R2061">
        <v>15.86</v>
      </c>
      <c r="S2061">
        <v>3990.17</v>
      </c>
      <c r="T2061">
        <v>3.63</v>
      </c>
      <c r="U2061">
        <v>11.39</v>
      </c>
      <c r="V2061">
        <v>159</v>
      </c>
      <c r="W2061" s="317"/>
      <c r="X2061" s="8"/>
      <c r="Y2061" s="8"/>
      <c r="Z2061" s="8"/>
    </row>
    <row r="2062" spans="1:26" ht="12.75" customHeight="1" x14ac:dyDescent="0.2">
      <c r="A2062" s="15">
        <v>128</v>
      </c>
      <c r="B2062" s="15">
        <v>2000</v>
      </c>
      <c r="C2062" s="15">
        <v>7</v>
      </c>
      <c r="D2062" s="15">
        <v>8</v>
      </c>
      <c r="E2062" s="22" t="s">
        <v>17</v>
      </c>
      <c r="F2062" s="11" t="s">
        <v>28</v>
      </c>
      <c r="G2062" s="11" t="s">
        <v>29</v>
      </c>
      <c r="H2062" s="15" t="s">
        <v>29</v>
      </c>
      <c r="I2062" s="25" t="s">
        <v>29</v>
      </c>
      <c r="J2062" s="11" t="s">
        <v>19</v>
      </c>
      <c r="K2062" s="20" t="s">
        <v>20</v>
      </c>
      <c r="L2062" s="11" t="s">
        <v>41</v>
      </c>
      <c r="M2062" s="11" t="s">
        <v>29</v>
      </c>
      <c r="N2062" s="11" t="s">
        <v>29</v>
      </c>
      <c r="O2062" s="16" t="s">
        <v>29</v>
      </c>
      <c r="P2062" s="15">
        <v>220</v>
      </c>
      <c r="Q2062" s="8"/>
      <c r="W2062" s="8"/>
      <c r="X2062" s="8"/>
      <c r="Y2062" s="8"/>
      <c r="Z2062" s="8"/>
    </row>
    <row r="2063" spans="1:26" ht="12.75" customHeight="1" x14ac:dyDescent="0.2">
      <c r="A2063" s="15">
        <v>129</v>
      </c>
      <c r="B2063" s="15">
        <v>2000</v>
      </c>
      <c r="C2063" s="15">
        <v>7</v>
      </c>
      <c r="D2063" s="15">
        <v>8</v>
      </c>
      <c r="E2063" s="22" t="s">
        <v>17</v>
      </c>
      <c r="F2063" s="11" t="s">
        <v>51</v>
      </c>
      <c r="G2063" s="15">
        <v>162</v>
      </c>
      <c r="H2063" s="15" t="s">
        <v>29</v>
      </c>
      <c r="I2063" s="25">
        <v>15.5</v>
      </c>
      <c r="J2063" s="11" t="s">
        <v>19</v>
      </c>
      <c r="K2063" s="20" t="s">
        <v>20</v>
      </c>
      <c r="L2063" s="11" t="s">
        <v>21</v>
      </c>
      <c r="M2063" s="11" t="s">
        <v>29</v>
      </c>
      <c r="N2063" s="11" t="s">
        <v>24</v>
      </c>
      <c r="O2063" s="16" t="s">
        <v>29</v>
      </c>
      <c r="P2063" s="15">
        <v>220</v>
      </c>
      <c r="Q2063" s="8"/>
      <c r="R2063">
        <v>15.11</v>
      </c>
      <c r="S2063">
        <v>3452.95</v>
      </c>
      <c r="T2063">
        <v>4.49</v>
      </c>
      <c r="U2063">
        <v>10.85</v>
      </c>
      <c r="V2063">
        <v>151</v>
      </c>
      <c r="W2063" s="317">
        <v>3.9</v>
      </c>
      <c r="X2063" s="190">
        <f>I2063*W2063</f>
        <v>60.449999999999996</v>
      </c>
      <c r="Y2063" s="8"/>
      <c r="Z2063" s="8"/>
    </row>
    <row r="2064" spans="1:26" ht="12.75" customHeight="1" x14ac:dyDescent="0.2">
      <c r="A2064" s="15">
        <v>130</v>
      </c>
      <c r="B2064" s="15">
        <v>2000</v>
      </c>
      <c r="C2064" s="15">
        <v>7</v>
      </c>
      <c r="D2064" s="15">
        <v>8</v>
      </c>
      <c r="E2064" s="22" t="s">
        <v>17</v>
      </c>
      <c r="F2064" s="11" t="s">
        <v>51</v>
      </c>
      <c r="G2064" s="15">
        <v>165</v>
      </c>
      <c r="H2064" s="15" t="s">
        <v>29</v>
      </c>
      <c r="I2064" s="25">
        <v>12</v>
      </c>
      <c r="J2064" s="11" t="s">
        <v>19</v>
      </c>
      <c r="K2064" s="20" t="s">
        <v>20</v>
      </c>
      <c r="L2064" s="11" t="s">
        <v>21</v>
      </c>
      <c r="M2064" s="11" t="s">
        <v>29</v>
      </c>
      <c r="N2064" s="11" t="s">
        <v>25</v>
      </c>
      <c r="O2064" s="16" t="s">
        <v>29</v>
      </c>
      <c r="P2064" s="15">
        <v>220</v>
      </c>
      <c r="Q2064" s="8"/>
      <c r="R2064">
        <v>15.39</v>
      </c>
      <c r="S2064">
        <v>3648.35</v>
      </c>
      <c r="T2064">
        <v>3.29</v>
      </c>
      <c r="U2064">
        <v>11.06</v>
      </c>
      <c r="V2064">
        <v>154</v>
      </c>
      <c r="W2064" s="317">
        <v>3.9</v>
      </c>
      <c r="X2064" s="190">
        <f>I2064*W2064</f>
        <v>46.8</v>
      </c>
      <c r="Y2064" s="8"/>
      <c r="Z2064" s="8"/>
    </row>
    <row r="2065" spans="1:26" ht="12.75" customHeight="1" x14ac:dyDescent="0.2">
      <c r="A2065" s="15">
        <v>131</v>
      </c>
      <c r="B2065" s="15">
        <v>2000</v>
      </c>
      <c r="C2065" s="15">
        <v>7</v>
      </c>
      <c r="D2065" s="15">
        <v>8</v>
      </c>
      <c r="E2065" s="22" t="s">
        <v>17</v>
      </c>
      <c r="F2065" s="11" t="s">
        <v>28</v>
      </c>
      <c r="G2065" s="11" t="s">
        <v>29</v>
      </c>
      <c r="H2065" s="15" t="s">
        <v>29</v>
      </c>
      <c r="I2065" s="25" t="s">
        <v>29</v>
      </c>
      <c r="J2065" s="11" t="s">
        <v>19</v>
      </c>
      <c r="K2065" s="11" t="s">
        <v>41</v>
      </c>
      <c r="L2065" s="11" t="s">
        <v>41</v>
      </c>
      <c r="M2065" s="11" t="s">
        <v>29</v>
      </c>
      <c r="N2065" s="11" t="s">
        <v>29</v>
      </c>
      <c r="O2065" s="16" t="s">
        <v>29</v>
      </c>
      <c r="P2065" s="15">
        <v>220</v>
      </c>
      <c r="Q2065" s="8"/>
      <c r="W2065" s="8"/>
      <c r="X2065" s="8"/>
      <c r="Y2065" s="8"/>
      <c r="Z2065" s="8"/>
    </row>
    <row r="2066" spans="1:26" ht="12.75" customHeight="1" x14ac:dyDescent="0.2">
      <c r="A2066" s="15">
        <v>132</v>
      </c>
      <c r="B2066" s="15">
        <v>2000</v>
      </c>
      <c r="C2066" s="15">
        <v>7</v>
      </c>
      <c r="D2066" s="15">
        <v>8</v>
      </c>
      <c r="E2066" s="22" t="s">
        <v>17</v>
      </c>
      <c r="F2066" s="11" t="s">
        <v>51</v>
      </c>
      <c r="G2066" s="15">
        <v>161</v>
      </c>
      <c r="H2066" s="15" t="s">
        <v>29</v>
      </c>
      <c r="I2066" s="25">
        <v>11.5</v>
      </c>
      <c r="J2066" s="11" t="s">
        <v>19</v>
      </c>
      <c r="K2066" s="20" t="s">
        <v>20</v>
      </c>
      <c r="L2066" s="11" t="s">
        <v>21</v>
      </c>
      <c r="M2066" s="11" t="s">
        <v>29</v>
      </c>
      <c r="N2066" s="11" t="s">
        <v>24</v>
      </c>
      <c r="O2066" s="16" t="s">
        <v>29</v>
      </c>
      <c r="P2066" s="15">
        <v>220</v>
      </c>
      <c r="Q2066" s="8"/>
      <c r="R2066">
        <v>15.02</v>
      </c>
      <c r="S2066">
        <v>3389.4</v>
      </c>
      <c r="T2066">
        <v>3.39</v>
      </c>
      <c r="U2066">
        <v>10.79</v>
      </c>
      <c r="V2066">
        <v>150</v>
      </c>
      <c r="W2066" s="317">
        <v>3.9</v>
      </c>
      <c r="X2066" s="190">
        <f>I2066*W2066</f>
        <v>44.85</v>
      </c>
      <c r="Y2066" s="8"/>
      <c r="Z2066" s="8"/>
    </row>
    <row r="2067" spans="1:26" ht="12.75" customHeight="1" x14ac:dyDescent="0.2">
      <c r="A2067" s="15">
        <v>133</v>
      </c>
      <c r="B2067" s="15">
        <v>2000</v>
      </c>
      <c r="C2067" s="15">
        <v>7</v>
      </c>
      <c r="D2067" s="15">
        <v>8</v>
      </c>
      <c r="E2067" s="22" t="s">
        <v>17</v>
      </c>
      <c r="F2067" s="11" t="s">
        <v>51</v>
      </c>
      <c r="G2067" s="15">
        <v>158</v>
      </c>
      <c r="H2067" s="15" t="s">
        <v>29</v>
      </c>
      <c r="I2067" s="25">
        <v>13</v>
      </c>
      <c r="J2067" s="11" t="s">
        <v>19</v>
      </c>
      <c r="K2067" s="20" t="s">
        <v>20</v>
      </c>
      <c r="L2067" s="11" t="s">
        <v>21</v>
      </c>
      <c r="M2067" s="11" t="s">
        <v>29</v>
      </c>
      <c r="N2067" s="11" t="s">
        <v>24</v>
      </c>
      <c r="O2067" s="16" t="s">
        <v>29</v>
      </c>
      <c r="P2067" s="15">
        <v>220</v>
      </c>
      <c r="Q2067" s="8"/>
      <c r="R2067">
        <v>14.74</v>
      </c>
      <c r="S2067">
        <v>3203.44</v>
      </c>
      <c r="T2067">
        <v>4.0599999999999996</v>
      </c>
      <c r="U2067">
        <v>10.59</v>
      </c>
      <c r="V2067">
        <v>147</v>
      </c>
      <c r="W2067" s="317">
        <v>3.9</v>
      </c>
      <c r="X2067" s="190">
        <f>I2067*W2067</f>
        <v>50.699999999999996</v>
      </c>
      <c r="Y2067" s="8"/>
      <c r="Z2067" s="8"/>
    </row>
    <row r="2068" spans="1:26" ht="12.75" customHeight="1" x14ac:dyDescent="0.2">
      <c r="A2068" s="15">
        <v>134</v>
      </c>
      <c r="B2068" s="15">
        <v>2000</v>
      </c>
      <c r="C2068" s="15">
        <v>7</v>
      </c>
      <c r="D2068" s="15">
        <v>8</v>
      </c>
      <c r="E2068" s="22" t="s">
        <v>17</v>
      </c>
      <c r="F2068" s="11" t="s">
        <v>51</v>
      </c>
      <c r="G2068" s="15">
        <v>159</v>
      </c>
      <c r="H2068" s="15" t="s">
        <v>29</v>
      </c>
      <c r="I2068" s="25">
        <v>18.5</v>
      </c>
      <c r="J2068" s="11" t="s">
        <v>19</v>
      </c>
      <c r="K2068" s="20" t="s">
        <v>20</v>
      </c>
      <c r="L2068" s="11" t="s">
        <v>21</v>
      </c>
      <c r="M2068" s="11" t="s">
        <v>29</v>
      </c>
      <c r="N2068" s="11" t="s">
        <v>25</v>
      </c>
      <c r="O2068" s="16" t="s">
        <v>29</v>
      </c>
      <c r="P2068" s="15">
        <v>220</v>
      </c>
      <c r="Q2068" s="8"/>
      <c r="R2068">
        <v>14.83</v>
      </c>
      <c r="S2068">
        <v>3264.65</v>
      </c>
      <c r="T2068">
        <v>5.67</v>
      </c>
      <c r="U2068">
        <v>10.65</v>
      </c>
      <c r="V2068">
        <v>148</v>
      </c>
      <c r="W2068" s="317">
        <v>3.9</v>
      </c>
      <c r="X2068" s="190">
        <f>I2068*W2068</f>
        <v>72.149999999999991</v>
      </c>
      <c r="Y2068" s="8"/>
      <c r="Z2068" s="8"/>
    </row>
    <row r="2069" spans="1:26" ht="12.75" customHeight="1" x14ac:dyDescent="0.2">
      <c r="A2069" s="15">
        <v>135</v>
      </c>
      <c r="B2069" s="15">
        <v>2000</v>
      </c>
      <c r="C2069" s="15">
        <v>7</v>
      </c>
      <c r="D2069" s="15">
        <v>8</v>
      </c>
      <c r="E2069" s="22" t="s">
        <v>17</v>
      </c>
      <c r="F2069" s="11" t="s">
        <v>51</v>
      </c>
      <c r="G2069" s="15">
        <v>135</v>
      </c>
      <c r="H2069" s="15" t="s">
        <v>29</v>
      </c>
      <c r="I2069" s="25">
        <v>9</v>
      </c>
      <c r="J2069" s="11" t="s">
        <v>19</v>
      </c>
      <c r="K2069" s="20" t="s">
        <v>20</v>
      </c>
      <c r="L2069" s="11" t="s">
        <v>41</v>
      </c>
      <c r="M2069" s="11" t="s">
        <v>47</v>
      </c>
      <c r="N2069" s="11" t="s">
        <v>25</v>
      </c>
      <c r="O2069" s="16" t="s">
        <v>29</v>
      </c>
      <c r="P2069" s="15">
        <v>220</v>
      </c>
      <c r="Q2069" s="8"/>
      <c r="R2069">
        <v>12.6</v>
      </c>
      <c r="S2069">
        <v>1998.23</v>
      </c>
      <c r="T2069">
        <v>4.5</v>
      </c>
      <c r="U2069">
        <v>9.0500000000000007</v>
      </c>
      <c r="V2069">
        <v>126</v>
      </c>
      <c r="W2069" s="8"/>
      <c r="X2069" s="8"/>
      <c r="Y2069" s="8"/>
      <c r="Z2069" s="8"/>
    </row>
    <row r="2070" spans="1:26" ht="12.75" customHeight="1" x14ac:dyDescent="0.2">
      <c r="A2070" s="15">
        <v>136</v>
      </c>
      <c r="B2070" s="15">
        <v>2000</v>
      </c>
      <c r="C2070" s="15">
        <v>7</v>
      </c>
      <c r="D2070" s="15">
        <v>8</v>
      </c>
      <c r="E2070" s="22" t="s">
        <v>17</v>
      </c>
      <c r="F2070" s="11" t="s">
        <v>51</v>
      </c>
      <c r="G2070" s="15">
        <v>160</v>
      </c>
      <c r="H2070" s="15" t="s">
        <v>29</v>
      </c>
      <c r="I2070" s="25">
        <v>11</v>
      </c>
      <c r="J2070" s="11" t="s">
        <v>19</v>
      </c>
      <c r="K2070" s="20" t="s">
        <v>20</v>
      </c>
      <c r="L2070" s="11" t="s">
        <v>21</v>
      </c>
      <c r="M2070" s="11" t="s">
        <v>27</v>
      </c>
      <c r="N2070" s="11" t="s">
        <v>25</v>
      </c>
      <c r="O2070" s="16" t="s">
        <v>29</v>
      </c>
      <c r="P2070" s="15">
        <v>220</v>
      </c>
      <c r="Q2070" s="8"/>
      <c r="R2070">
        <v>14.93</v>
      </c>
      <c r="S2070">
        <v>3326.63</v>
      </c>
      <c r="T2070">
        <v>3.31</v>
      </c>
      <c r="U2070">
        <v>10.72</v>
      </c>
      <c r="V2070">
        <v>149</v>
      </c>
      <c r="W2070" s="317">
        <v>3.9</v>
      </c>
      <c r="X2070" s="190">
        <f>I2070*W2070</f>
        <v>42.9</v>
      </c>
      <c r="Y2070" s="8"/>
      <c r="Z2070" s="8"/>
    </row>
    <row r="2071" spans="1:26" ht="12.75" customHeight="1" x14ac:dyDescent="0.2">
      <c r="A2071" s="15">
        <v>137</v>
      </c>
      <c r="B2071" s="15">
        <v>2000</v>
      </c>
      <c r="C2071" s="15">
        <v>6</v>
      </c>
      <c r="D2071" s="15">
        <v>8</v>
      </c>
      <c r="E2071" s="22" t="s">
        <v>17</v>
      </c>
      <c r="F2071" s="11" t="s">
        <v>51</v>
      </c>
      <c r="G2071" s="15">
        <v>158</v>
      </c>
      <c r="H2071" s="15" t="s">
        <v>29</v>
      </c>
      <c r="I2071" s="25">
        <v>15</v>
      </c>
      <c r="J2071" s="11" t="s">
        <v>19</v>
      </c>
      <c r="K2071" s="20" t="s">
        <v>20</v>
      </c>
      <c r="L2071" s="11" t="s">
        <v>21</v>
      </c>
      <c r="M2071" s="11" t="s">
        <v>46</v>
      </c>
      <c r="N2071" s="11" t="s">
        <v>24</v>
      </c>
      <c r="O2071" s="16" t="s">
        <v>29</v>
      </c>
      <c r="P2071" s="15">
        <v>219</v>
      </c>
      <c r="Q2071" s="8"/>
      <c r="R2071">
        <v>14.74</v>
      </c>
      <c r="S2071">
        <v>3203.44</v>
      </c>
      <c r="T2071">
        <v>4.68</v>
      </c>
      <c r="U2071">
        <v>10.59</v>
      </c>
      <c r="V2071">
        <v>147</v>
      </c>
      <c r="W2071" s="317">
        <v>3.9</v>
      </c>
      <c r="X2071" s="190">
        <f>I2071*W2071</f>
        <v>58.5</v>
      </c>
      <c r="Y2071" s="8"/>
      <c r="Z2071" s="8"/>
    </row>
    <row r="2072" spans="1:26" ht="12.75" customHeight="1" x14ac:dyDescent="0.2">
      <c r="A2072" s="15">
        <v>138</v>
      </c>
      <c r="B2072" s="15">
        <v>2000</v>
      </c>
      <c r="C2072" s="15">
        <v>6</v>
      </c>
      <c r="D2072" s="15">
        <v>8</v>
      </c>
      <c r="E2072" s="22" t="s">
        <v>17</v>
      </c>
      <c r="F2072" s="11" t="s">
        <v>51</v>
      </c>
      <c r="G2072" s="11" t="s">
        <v>29</v>
      </c>
      <c r="H2072" s="15" t="s">
        <v>29</v>
      </c>
      <c r="I2072" s="25">
        <v>8</v>
      </c>
      <c r="J2072" s="11" t="s">
        <v>19</v>
      </c>
      <c r="K2072" s="20" t="s">
        <v>20</v>
      </c>
      <c r="L2072" s="11" t="s">
        <v>21</v>
      </c>
      <c r="M2072" s="11" t="s">
        <v>27</v>
      </c>
      <c r="N2072" s="11" t="s">
        <v>25</v>
      </c>
      <c r="O2072" s="16" t="s">
        <v>29</v>
      </c>
      <c r="P2072" s="15">
        <v>219</v>
      </c>
      <c r="Q2072" s="8"/>
      <c r="W2072" s="317">
        <v>3.9</v>
      </c>
      <c r="X2072" s="190">
        <f>I2072*W2072</f>
        <v>31.2</v>
      </c>
      <c r="Y2072" s="8"/>
      <c r="Z2072" s="8"/>
    </row>
    <row r="2073" spans="1:26" ht="12.75" customHeight="1" x14ac:dyDescent="0.2">
      <c r="A2073" s="15">
        <v>139</v>
      </c>
      <c r="B2073" s="15">
        <v>2000</v>
      </c>
      <c r="C2073" s="15">
        <v>6</v>
      </c>
      <c r="D2073" s="15">
        <v>8</v>
      </c>
      <c r="E2073" s="22" t="s">
        <v>17</v>
      </c>
      <c r="F2073" s="11" t="s">
        <v>51</v>
      </c>
      <c r="G2073" s="15">
        <v>147</v>
      </c>
      <c r="H2073" s="15" t="s">
        <v>29</v>
      </c>
      <c r="I2073" s="25">
        <v>11</v>
      </c>
      <c r="J2073" s="11" t="s">
        <v>19</v>
      </c>
      <c r="K2073" s="20" t="s">
        <v>20</v>
      </c>
      <c r="L2073" s="11" t="s">
        <v>21</v>
      </c>
      <c r="M2073" s="11" t="s">
        <v>27</v>
      </c>
      <c r="N2073" s="11" t="s">
        <v>24</v>
      </c>
      <c r="O2073" s="16" t="s">
        <v>29</v>
      </c>
      <c r="P2073" s="15">
        <v>219</v>
      </c>
      <c r="Q2073" s="8"/>
      <c r="R2073">
        <v>13.72</v>
      </c>
      <c r="S2073">
        <v>2579.86</v>
      </c>
      <c r="T2073">
        <v>4.26</v>
      </c>
      <c r="U2073">
        <v>9.85</v>
      </c>
      <c r="V2073">
        <v>137</v>
      </c>
      <c r="W2073" s="317">
        <v>3.9</v>
      </c>
      <c r="X2073" s="190">
        <f>I2073*W2073</f>
        <v>42.9</v>
      </c>
      <c r="Y2073" s="8"/>
      <c r="Z2073" s="8"/>
    </row>
    <row r="2074" spans="1:26" ht="12.75" customHeight="1" x14ac:dyDescent="0.2">
      <c r="A2074" s="15">
        <v>140</v>
      </c>
      <c r="B2074" s="15">
        <v>2000</v>
      </c>
      <c r="C2074" s="15">
        <v>6</v>
      </c>
      <c r="D2074" s="15">
        <v>8</v>
      </c>
      <c r="E2074" s="22" t="s">
        <v>17</v>
      </c>
      <c r="F2074" s="11" t="s">
        <v>51</v>
      </c>
      <c r="G2074" s="11" t="s">
        <v>29</v>
      </c>
      <c r="H2074" s="15" t="s">
        <v>29</v>
      </c>
      <c r="I2074" s="25">
        <v>9.5</v>
      </c>
      <c r="J2074" s="11" t="s">
        <v>19</v>
      </c>
      <c r="K2074" s="20" t="s">
        <v>20</v>
      </c>
      <c r="L2074" s="11" t="s">
        <v>21</v>
      </c>
      <c r="M2074" s="11" t="s">
        <v>45</v>
      </c>
      <c r="N2074" s="11" t="s">
        <v>25</v>
      </c>
      <c r="O2074" s="16" t="s">
        <v>29</v>
      </c>
      <c r="P2074" s="15">
        <v>219</v>
      </c>
      <c r="Q2074" s="8"/>
      <c r="W2074" s="317">
        <v>3.9</v>
      </c>
      <c r="X2074" s="190">
        <f>I2074*W2074</f>
        <v>37.049999999999997</v>
      </c>
      <c r="Y2074" s="8"/>
      <c r="Z2074" s="8"/>
    </row>
    <row r="2075" spans="1:26" ht="12.75" customHeight="1" x14ac:dyDescent="0.2">
      <c r="A2075" s="15">
        <v>141</v>
      </c>
      <c r="B2075" s="15">
        <v>2000</v>
      </c>
      <c r="C2075" s="15">
        <v>6</v>
      </c>
      <c r="D2075" s="15">
        <v>8</v>
      </c>
      <c r="E2075" s="22" t="s">
        <v>17</v>
      </c>
      <c r="F2075" s="11" t="s">
        <v>51</v>
      </c>
      <c r="G2075" s="15">
        <v>103</v>
      </c>
      <c r="H2075" s="15" t="s">
        <v>29</v>
      </c>
      <c r="I2075" s="25">
        <v>8.5</v>
      </c>
      <c r="J2075" s="11" t="s">
        <v>36</v>
      </c>
      <c r="K2075" s="11" t="s">
        <v>29</v>
      </c>
      <c r="L2075" s="11" t="s">
        <v>29</v>
      </c>
      <c r="M2075" s="11" t="s">
        <v>29</v>
      </c>
      <c r="N2075" s="11" t="s">
        <v>33</v>
      </c>
      <c r="O2075" s="16" t="s">
        <v>29</v>
      </c>
      <c r="P2075" s="15">
        <v>219</v>
      </c>
      <c r="Q2075" s="8"/>
      <c r="R2075">
        <v>9.61</v>
      </c>
      <c r="S2075">
        <v>887.48</v>
      </c>
      <c r="T2075">
        <v>9.58</v>
      </c>
      <c r="U2075">
        <v>6.9</v>
      </c>
      <c r="V2075">
        <v>96</v>
      </c>
      <c r="W2075" s="8"/>
      <c r="X2075" s="8"/>
      <c r="Y2075" s="8"/>
      <c r="Z2075" s="8"/>
    </row>
    <row r="2076" spans="1:26" ht="12.75" customHeight="1" x14ac:dyDescent="0.2">
      <c r="A2076" s="15">
        <v>142</v>
      </c>
      <c r="B2076" s="15">
        <v>2000</v>
      </c>
      <c r="C2076" s="15">
        <v>5</v>
      </c>
      <c r="D2076" s="15">
        <v>8</v>
      </c>
      <c r="E2076" s="14">
        <v>0.81041666666666667</v>
      </c>
      <c r="F2076" s="11" t="s">
        <v>51</v>
      </c>
      <c r="G2076" s="11" t="s">
        <v>29</v>
      </c>
      <c r="H2076" s="15" t="s">
        <v>29</v>
      </c>
      <c r="I2076" s="25">
        <v>0.22916666666666666</v>
      </c>
      <c r="J2076" s="11" t="s">
        <v>19</v>
      </c>
      <c r="K2076" s="20" t="s">
        <v>20</v>
      </c>
      <c r="L2076" s="11" t="s">
        <v>21</v>
      </c>
      <c r="M2076" s="11" t="s">
        <v>27</v>
      </c>
      <c r="N2076" s="11" t="s">
        <v>25</v>
      </c>
      <c r="O2076" s="16" t="s">
        <v>29</v>
      </c>
      <c r="P2076" s="15">
        <v>218</v>
      </c>
      <c r="Q2076" s="8"/>
      <c r="W2076" s="317">
        <v>3.9</v>
      </c>
      <c r="X2076" s="190">
        <f t="shared" ref="X2076:X2085" si="87">I2076*W2076</f>
        <v>0.89374999999999993</v>
      </c>
      <c r="Y2076" s="8"/>
      <c r="Z2076" s="8"/>
    </row>
    <row r="2077" spans="1:26" ht="12.75" customHeight="1" x14ac:dyDescent="0.2">
      <c r="A2077" s="15">
        <v>143</v>
      </c>
      <c r="B2077" s="15">
        <v>2000</v>
      </c>
      <c r="C2077" s="15">
        <v>5</v>
      </c>
      <c r="D2077" s="15">
        <v>8</v>
      </c>
      <c r="E2077" s="14">
        <v>0.81041666666666667</v>
      </c>
      <c r="F2077" s="11" t="s">
        <v>51</v>
      </c>
      <c r="G2077" s="11" t="s">
        <v>29</v>
      </c>
      <c r="H2077" s="15" t="s">
        <v>29</v>
      </c>
      <c r="I2077" s="25">
        <v>11.5</v>
      </c>
      <c r="J2077" s="11" t="s">
        <v>19</v>
      </c>
      <c r="K2077" s="20" t="s">
        <v>20</v>
      </c>
      <c r="L2077" s="11" t="s">
        <v>21</v>
      </c>
      <c r="M2077" s="11" t="s">
        <v>27</v>
      </c>
      <c r="N2077" s="11" t="s">
        <v>25</v>
      </c>
      <c r="O2077" s="16" t="s">
        <v>29</v>
      </c>
      <c r="P2077" s="15">
        <v>218</v>
      </c>
      <c r="Q2077" s="8"/>
      <c r="W2077" s="317">
        <v>3.9</v>
      </c>
      <c r="X2077" s="190">
        <f t="shared" si="87"/>
        <v>44.85</v>
      </c>
      <c r="Y2077" s="8"/>
      <c r="Z2077" s="8"/>
    </row>
    <row r="2078" spans="1:26" ht="12.75" customHeight="1" x14ac:dyDescent="0.2">
      <c r="A2078" s="15">
        <v>144</v>
      </c>
      <c r="B2078" s="15">
        <v>2000</v>
      </c>
      <c r="C2078" s="15">
        <v>5</v>
      </c>
      <c r="D2078" s="15">
        <v>8</v>
      </c>
      <c r="E2078" s="14">
        <v>0.81041666666666667</v>
      </c>
      <c r="F2078" s="11" t="s">
        <v>51</v>
      </c>
      <c r="G2078" s="15">
        <v>135</v>
      </c>
      <c r="H2078" s="15" t="s">
        <v>29</v>
      </c>
      <c r="I2078" s="25">
        <v>9.5</v>
      </c>
      <c r="J2078" s="11" t="s">
        <v>19</v>
      </c>
      <c r="K2078" s="20" t="s">
        <v>20</v>
      </c>
      <c r="L2078" s="11" t="s">
        <v>21</v>
      </c>
      <c r="M2078" s="11" t="s">
        <v>27</v>
      </c>
      <c r="N2078" s="11" t="s">
        <v>24</v>
      </c>
      <c r="O2078" s="16" t="s">
        <v>29</v>
      </c>
      <c r="P2078" s="15">
        <v>218</v>
      </c>
      <c r="Q2078" s="8"/>
      <c r="R2078">
        <v>12.6</v>
      </c>
      <c r="S2078">
        <v>1998.23</v>
      </c>
      <c r="T2078">
        <v>4.75</v>
      </c>
      <c r="U2078">
        <v>9.0500000000000007</v>
      </c>
      <c r="V2078">
        <v>126</v>
      </c>
      <c r="W2078" s="317">
        <v>3.9</v>
      </c>
      <c r="X2078" s="190">
        <f t="shared" si="87"/>
        <v>37.049999999999997</v>
      </c>
      <c r="Y2078" s="8"/>
      <c r="Z2078" s="8"/>
    </row>
    <row r="2079" spans="1:26" ht="12.75" customHeight="1" x14ac:dyDescent="0.2">
      <c r="A2079" s="15">
        <v>145</v>
      </c>
      <c r="B2079" s="15">
        <v>2000</v>
      </c>
      <c r="C2079" s="15">
        <v>5</v>
      </c>
      <c r="D2079" s="15">
        <v>8</v>
      </c>
      <c r="E2079" s="14">
        <v>0.81041666666666667</v>
      </c>
      <c r="F2079" s="11" t="s">
        <v>51</v>
      </c>
      <c r="G2079" s="15">
        <v>131</v>
      </c>
      <c r="H2079" s="15" t="s">
        <v>29</v>
      </c>
      <c r="I2079" s="25">
        <v>8</v>
      </c>
      <c r="J2079" s="11" t="s">
        <v>19</v>
      </c>
      <c r="K2079" s="20" t="s">
        <v>20</v>
      </c>
      <c r="L2079" s="11" t="s">
        <v>21</v>
      </c>
      <c r="M2079" s="11" t="s">
        <v>27</v>
      </c>
      <c r="N2079" s="11" t="s">
        <v>25</v>
      </c>
      <c r="O2079" s="16" t="s">
        <v>29</v>
      </c>
      <c r="P2079" s="15">
        <v>218</v>
      </c>
      <c r="Q2079" s="8"/>
      <c r="R2079">
        <v>12.22</v>
      </c>
      <c r="S2079">
        <v>1825.82</v>
      </c>
      <c r="T2079">
        <v>4.38</v>
      </c>
      <c r="U2079">
        <v>8.7799999999999994</v>
      </c>
      <c r="V2079">
        <v>122</v>
      </c>
      <c r="W2079" s="317">
        <v>3.9</v>
      </c>
      <c r="X2079" s="190">
        <f t="shared" si="87"/>
        <v>31.2</v>
      </c>
      <c r="Y2079" s="8"/>
      <c r="Z2079" s="8"/>
    </row>
    <row r="2080" spans="1:26" ht="12.75" customHeight="1" x14ac:dyDescent="0.2">
      <c r="A2080" s="15">
        <v>146</v>
      </c>
      <c r="B2080" s="15">
        <v>2000</v>
      </c>
      <c r="C2080" s="15">
        <v>5</v>
      </c>
      <c r="D2080" s="15">
        <v>8</v>
      </c>
      <c r="E2080" s="14">
        <v>0.81041666666666667</v>
      </c>
      <c r="F2080" s="11" t="s">
        <v>51</v>
      </c>
      <c r="G2080" s="15">
        <v>161</v>
      </c>
      <c r="H2080" s="15" t="s">
        <v>29</v>
      </c>
      <c r="I2080" s="25">
        <v>17</v>
      </c>
      <c r="J2080" s="11" t="s">
        <v>19</v>
      </c>
      <c r="K2080" s="11" t="s">
        <v>34</v>
      </c>
      <c r="L2080" s="11" t="s">
        <v>41</v>
      </c>
      <c r="M2080" s="11" t="s">
        <v>47</v>
      </c>
      <c r="N2080" s="11" t="s">
        <v>33</v>
      </c>
      <c r="O2080" s="16" t="s">
        <v>29</v>
      </c>
      <c r="P2080" s="15">
        <v>218</v>
      </c>
      <c r="Q2080" s="8"/>
      <c r="R2080">
        <v>15.02</v>
      </c>
      <c r="S2080">
        <v>3389.4</v>
      </c>
      <c r="T2080">
        <v>5.0199999999999996</v>
      </c>
      <c r="U2080">
        <v>10.79</v>
      </c>
      <c r="V2080">
        <v>150</v>
      </c>
      <c r="W2080" s="317">
        <v>3.8</v>
      </c>
      <c r="X2080" s="190">
        <f t="shared" si="87"/>
        <v>64.599999999999994</v>
      </c>
      <c r="Y2080" s="8"/>
      <c r="Z2080" s="8"/>
    </row>
    <row r="2081" spans="1:26" ht="12.75" customHeight="1" x14ac:dyDescent="0.2">
      <c r="A2081" s="15">
        <v>147</v>
      </c>
      <c r="B2081" s="15">
        <v>2000</v>
      </c>
      <c r="C2081" s="15">
        <v>5</v>
      </c>
      <c r="D2081" s="15">
        <v>8</v>
      </c>
      <c r="E2081" s="14">
        <v>0.81041666666666667</v>
      </c>
      <c r="F2081" s="11" t="s">
        <v>51</v>
      </c>
      <c r="G2081" s="11" t="s">
        <v>29</v>
      </c>
      <c r="H2081" s="15" t="s">
        <v>29</v>
      </c>
      <c r="I2081" s="25">
        <v>10</v>
      </c>
      <c r="J2081" s="11" t="s">
        <v>19</v>
      </c>
      <c r="K2081" s="20" t="s">
        <v>20</v>
      </c>
      <c r="L2081" s="11" t="s">
        <v>21</v>
      </c>
      <c r="M2081" s="11" t="s">
        <v>45</v>
      </c>
      <c r="N2081" s="11" t="s">
        <v>25</v>
      </c>
      <c r="O2081" s="16" t="s">
        <v>29</v>
      </c>
      <c r="P2081" s="15">
        <v>218</v>
      </c>
      <c r="Q2081" s="8"/>
      <c r="W2081" s="317">
        <v>3.9</v>
      </c>
      <c r="X2081" s="190">
        <f t="shared" si="87"/>
        <v>39</v>
      </c>
      <c r="Y2081" s="8"/>
      <c r="Z2081" s="8"/>
    </row>
    <row r="2082" spans="1:26" ht="12.75" customHeight="1" x14ac:dyDescent="0.2">
      <c r="A2082" s="15">
        <v>148</v>
      </c>
      <c r="B2082" s="15">
        <v>2000</v>
      </c>
      <c r="C2082" s="15">
        <v>5</v>
      </c>
      <c r="D2082" s="15">
        <v>8</v>
      </c>
      <c r="E2082" s="14">
        <v>0.81041666666666667</v>
      </c>
      <c r="F2082" s="11" t="s">
        <v>51</v>
      </c>
      <c r="G2082" s="11" t="s">
        <v>29</v>
      </c>
      <c r="H2082" s="15" t="s">
        <v>29</v>
      </c>
      <c r="I2082" s="25">
        <v>10</v>
      </c>
      <c r="J2082" s="11" t="s">
        <v>19</v>
      </c>
      <c r="K2082" s="20" t="s">
        <v>20</v>
      </c>
      <c r="L2082" s="11" t="s">
        <v>21</v>
      </c>
      <c r="M2082" s="11" t="s">
        <v>27</v>
      </c>
      <c r="N2082" s="11" t="s">
        <v>25</v>
      </c>
      <c r="O2082" s="16" t="s">
        <v>29</v>
      </c>
      <c r="P2082" s="15">
        <v>218</v>
      </c>
      <c r="Q2082" s="8"/>
      <c r="W2082" s="317">
        <v>3.9</v>
      </c>
      <c r="X2082" s="190">
        <f t="shared" si="87"/>
        <v>39</v>
      </c>
      <c r="Y2082" s="8"/>
      <c r="Z2082" s="8"/>
    </row>
    <row r="2083" spans="1:26" ht="12.75" customHeight="1" x14ac:dyDescent="0.2">
      <c r="A2083" s="15">
        <v>149</v>
      </c>
      <c r="B2083" s="15">
        <v>2000</v>
      </c>
      <c r="C2083" s="15">
        <v>5</v>
      </c>
      <c r="D2083" s="15">
        <v>8</v>
      </c>
      <c r="E2083" s="14">
        <v>0.81041666666666667</v>
      </c>
      <c r="F2083" s="11" t="s">
        <v>51</v>
      </c>
      <c r="G2083" s="15">
        <v>138</v>
      </c>
      <c r="H2083" s="15" t="s">
        <v>29</v>
      </c>
      <c r="I2083" s="25">
        <v>14</v>
      </c>
      <c r="J2083" s="11" t="s">
        <v>19</v>
      </c>
      <c r="K2083" s="20" t="s">
        <v>20</v>
      </c>
      <c r="L2083" s="11" t="s">
        <v>30</v>
      </c>
      <c r="M2083" s="11" t="s">
        <v>45</v>
      </c>
      <c r="N2083" s="11" t="s">
        <v>23</v>
      </c>
      <c r="O2083" s="16" t="s">
        <v>29</v>
      </c>
      <c r="P2083" s="15">
        <v>218</v>
      </c>
      <c r="Q2083" s="8"/>
      <c r="R2083">
        <v>12.88</v>
      </c>
      <c r="S2083">
        <v>2134.4299999999998</v>
      </c>
      <c r="T2083">
        <v>6.56</v>
      </c>
      <c r="U2083">
        <v>9.25</v>
      </c>
      <c r="V2083">
        <v>129</v>
      </c>
      <c r="W2083" s="317">
        <v>4.5999999999999996</v>
      </c>
      <c r="X2083" s="190">
        <f t="shared" si="87"/>
        <v>64.399999999999991</v>
      </c>
      <c r="Y2083" s="8"/>
      <c r="Z2083" s="8"/>
    </row>
    <row r="2084" spans="1:26" ht="12.75" customHeight="1" x14ac:dyDescent="0.2">
      <c r="A2084" s="15">
        <v>150</v>
      </c>
      <c r="B2084" s="15">
        <v>2000</v>
      </c>
      <c r="C2084" s="15">
        <v>5</v>
      </c>
      <c r="D2084" s="15">
        <v>8</v>
      </c>
      <c r="E2084" s="14">
        <v>0.81041666666666667</v>
      </c>
      <c r="F2084" s="11" t="s">
        <v>51</v>
      </c>
      <c r="G2084" s="11" t="s">
        <v>29</v>
      </c>
      <c r="H2084" s="15" t="s">
        <v>29</v>
      </c>
      <c r="I2084" s="25">
        <v>14</v>
      </c>
      <c r="J2084" s="11" t="s">
        <v>19</v>
      </c>
      <c r="K2084" s="20" t="s">
        <v>20</v>
      </c>
      <c r="L2084" s="11" t="s">
        <v>21</v>
      </c>
      <c r="M2084" s="11" t="s">
        <v>27</v>
      </c>
      <c r="N2084" s="11" t="s">
        <v>25</v>
      </c>
      <c r="O2084" s="16" t="s">
        <v>29</v>
      </c>
      <c r="P2084" s="15">
        <v>218</v>
      </c>
      <c r="Q2084" s="8"/>
      <c r="W2084" s="317">
        <v>3.9</v>
      </c>
      <c r="X2084" s="190">
        <f t="shared" si="87"/>
        <v>54.6</v>
      </c>
      <c r="Y2084" s="8"/>
      <c r="Z2084" s="8"/>
    </row>
    <row r="2085" spans="1:26" ht="12.75" customHeight="1" x14ac:dyDescent="0.2">
      <c r="A2085" s="15">
        <v>151</v>
      </c>
      <c r="B2085" s="15">
        <v>2000</v>
      </c>
      <c r="C2085" s="15">
        <v>5</v>
      </c>
      <c r="D2085" s="15">
        <v>8</v>
      </c>
      <c r="E2085" s="14">
        <v>0.81041666666666667</v>
      </c>
      <c r="F2085" s="11" t="s">
        <v>51</v>
      </c>
      <c r="G2085" s="11" t="s">
        <v>29</v>
      </c>
      <c r="H2085" s="15" t="s">
        <v>29</v>
      </c>
      <c r="I2085" s="25">
        <v>15.5</v>
      </c>
      <c r="J2085" s="11" t="s">
        <v>19</v>
      </c>
      <c r="K2085" s="11" t="s">
        <v>34</v>
      </c>
      <c r="L2085" s="11" t="s">
        <v>41</v>
      </c>
      <c r="M2085" s="11" t="s">
        <v>27</v>
      </c>
      <c r="N2085" s="11" t="s">
        <v>25</v>
      </c>
      <c r="O2085" s="16" t="s">
        <v>29</v>
      </c>
      <c r="P2085" s="15">
        <v>218</v>
      </c>
      <c r="Q2085" s="8"/>
      <c r="W2085" s="317">
        <v>3.8</v>
      </c>
      <c r="X2085" s="190">
        <f t="shared" si="87"/>
        <v>58.9</v>
      </c>
      <c r="Y2085" s="8"/>
      <c r="Z2085" s="8"/>
    </row>
    <row r="2086" spans="1:26" ht="12.75" customHeight="1" x14ac:dyDescent="0.2">
      <c r="A2086" s="15">
        <v>152</v>
      </c>
      <c r="B2086" s="15">
        <v>2000</v>
      </c>
      <c r="C2086" s="15">
        <v>5</v>
      </c>
      <c r="D2086" s="15">
        <v>8</v>
      </c>
      <c r="E2086" s="14">
        <v>0.81041666666666667</v>
      </c>
      <c r="F2086" s="11" t="s">
        <v>51</v>
      </c>
      <c r="G2086" s="15">
        <v>139</v>
      </c>
      <c r="H2086" s="15" t="s">
        <v>29</v>
      </c>
      <c r="I2086" s="25">
        <v>9.5</v>
      </c>
      <c r="J2086" s="11" t="s">
        <v>19</v>
      </c>
      <c r="K2086" s="20" t="s">
        <v>20</v>
      </c>
      <c r="L2086" s="11" t="s">
        <v>21</v>
      </c>
      <c r="M2086" s="11" t="s">
        <v>46</v>
      </c>
      <c r="N2086" s="11" t="s">
        <v>24</v>
      </c>
      <c r="O2086" s="16" t="s">
        <v>29</v>
      </c>
      <c r="P2086" s="15">
        <v>218</v>
      </c>
      <c r="Q2086" s="8"/>
      <c r="R2086">
        <v>12.97</v>
      </c>
      <c r="S2086">
        <v>2181.17</v>
      </c>
      <c r="T2086">
        <v>4.3600000000000003</v>
      </c>
      <c r="U2086">
        <v>9.31</v>
      </c>
      <c r="V2086">
        <v>130</v>
      </c>
      <c r="W2086" s="317">
        <v>3.9</v>
      </c>
      <c r="X2086" s="190">
        <f t="shared" ref="X2086:X2093" si="88">I2086*W2086</f>
        <v>37.049999999999997</v>
      </c>
      <c r="Y2086" s="8"/>
      <c r="Z2086" s="8"/>
    </row>
    <row r="2087" spans="1:26" ht="12.75" customHeight="1" x14ac:dyDescent="0.2">
      <c r="A2087" s="15">
        <v>153</v>
      </c>
      <c r="B2087" s="15">
        <v>2000</v>
      </c>
      <c r="C2087" s="15">
        <v>5</v>
      </c>
      <c r="D2087" s="15">
        <v>8</v>
      </c>
      <c r="E2087" s="14">
        <v>0.81041666666666667</v>
      </c>
      <c r="F2087" s="11" t="s">
        <v>51</v>
      </c>
      <c r="G2087" s="15">
        <v>147</v>
      </c>
      <c r="H2087" s="15" t="s">
        <v>29</v>
      </c>
      <c r="I2087" s="25">
        <v>11.5</v>
      </c>
      <c r="J2087" s="11" t="s">
        <v>19</v>
      </c>
      <c r="K2087" s="20" t="s">
        <v>20</v>
      </c>
      <c r="L2087" s="11" t="s">
        <v>21</v>
      </c>
      <c r="M2087" s="11" t="s">
        <v>29</v>
      </c>
      <c r="N2087" s="11" t="s">
        <v>23</v>
      </c>
      <c r="O2087" s="16" t="s">
        <v>29</v>
      </c>
      <c r="P2087" s="15">
        <v>218</v>
      </c>
      <c r="Q2087" s="8"/>
      <c r="R2087">
        <v>13.72</v>
      </c>
      <c r="S2087">
        <v>2579.86</v>
      </c>
      <c r="T2087">
        <v>4.46</v>
      </c>
      <c r="U2087">
        <v>9.85</v>
      </c>
      <c r="V2087">
        <v>137</v>
      </c>
      <c r="W2087" s="317">
        <v>3.9</v>
      </c>
      <c r="X2087" s="190">
        <f t="shared" si="88"/>
        <v>44.85</v>
      </c>
      <c r="Y2087" s="8"/>
      <c r="Z2087" s="8"/>
    </row>
    <row r="2088" spans="1:26" ht="12.75" customHeight="1" x14ac:dyDescent="0.2">
      <c r="A2088" s="15">
        <v>154</v>
      </c>
      <c r="B2088" s="15">
        <v>2000</v>
      </c>
      <c r="C2088" s="15">
        <v>5</v>
      </c>
      <c r="D2088" s="15">
        <v>8</v>
      </c>
      <c r="E2088" s="14">
        <v>0.83194444444444438</v>
      </c>
      <c r="F2088" s="11" t="s">
        <v>51</v>
      </c>
      <c r="G2088" s="15">
        <v>132</v>
      </c>
      <c r="H2088" s="15" t="s">
        <v>29</v>
      </c>
      <c r="I2088" s="25">
        <v>7</v>
      </c>
      <c r="J2088" s="11" t="s">
        <v>19</v>
      </c>
      <c r="K2088" s="20" t="s">
        <v>20</v>
      </c>
      <c r="L2088" s="11" t="s">
        <v>21</v>
      </c>
      <c r="M2088" s="11" t="s">
        <v>45</v>
      </c>
      <c r="N2088" s="11" t="s">
        <v>23</v>
      </c>
      <c r="O2088" s="16" t="s">
        <v>29</v>
      </c>
      <c r="P2088" s="15">
        <v>218</v>
      </c>
      <c r="Q2088" s="8"/>
      <c r="R2088">
        <v>12.32</v>
      </c>
      <c r="S2088">
        <v>1867.96</v>
      </c>
      <c r="T2088">
        <v>3.75</v>
      </c>
      <c r="U2088">
        <v>8.84</v>
      </c>
      <c r="V2088">
        <v>123</v>
      </c>
      <c r="W2088" s="317">
        <v>3.9</v>
      </c>
      <c r="X2088" s="190">
        <f t="shared" si="88"/>
        <v>27.3</v>
      </c>
      <c r="Y2088" s="8"/>
      <c r="Z2088" s="8"/>
    </row>
    <row r="2089" spans="1:26" ht="12.75" customHeight="1" x14ac:dyDescent="0.2">
      <c r="A2089" s="15">
        <v>155</v>
      </c>
      <c r="B2089" s="15">
        <v>2000</v>
      </c>
      <c r="C2089" s="15">
        <v>5</v>
      </c>
      <c r="D2089" s="15">
        <v>8</v>
      </c>
      <c r="E2089" s="14">
        <v>0.83194444444444438</v>
      </c>
      <c r="F2089" s="11" t="s">
        <v>51</v>
      </c>
      <c r="G2089" s="11" t="s">
        <v>29</v>
      </c>
      <c r="H2089" s="15" t="s">
        <v>29</v>
      </c>
      <c r="I2089" s="25">
        <v>8.5</v>
      </c>
      <c r="J2089" s="11" t="s">
        <v>19</v>
      </c>
      <c r="K2089" s="20" t="s">
        <v>20</v>
      </c>
      <c r="L2089" s="11" t="s">
        <v>21</v>
      </c>
      <c r="M2089" s="11" t="s">
        <v>29</v>
      </c>
      <c r="N2089" s="11" t="s">
        <v>25</v>
      </c>
      <c r="O2089" s="16" t="s">
        <v>29</v>
      </c>
      <c r="P2089" s="15">
        <v>218</v>
      </c>
      <c r="Q2089" s="8"/>
      <c r="W2089" s="317">
        <v>3.9</v>
      </c>
      <c r="X2089" s="190">
        <f t="shared" si="88"/>
        <v>33.15</v>
      </c>
      <c r="Y2089" s="8"/>
      <c r="Z2089" s="8"/>
    </row>
    <row r="2090" spans="1:26" ht="12.75" customHeight="1" x14ac:dyDescent="0.2">
      <c r="A2090" s="15">
        <v>156</v>
      </c>
      <c r="B2090" s="15">
        <v>2000</v>
      </c>
      <c r="C2090" s="15">
        <v>5</v>
      </c>
      <c r="D2090" s="15">
        <v>8</v>
      </c>
      <c r="E2090" s="14">
        <v>0.83194444444444438</v>
      </c>
      <c r="F2090" s="11" t="s">
        <v>51</v>
      </c>
      <c r="G2090" s="11" t="s">
        <v>29</v>
      </c>
      <c r="H2090" s="15" t="s">
        <v>29</v>
      </c>
      <c r="I2090" s="25">
        <v>6</v>
      </c>
      <c r="J2090" s="11" t="s">
        <v>19</v>
      </c>
      <c r="K2090" s="20" t="s">
        <v>20</v>
      </c>
      <c r="L2090" s="11" t="s">
        <v>21</v>
      </c>
      <c r="M2090" s="11" t="s">
        <v>27</v>
      </c>
      <c r="N2090" s="11" t="s">
        <v>25</v>
      </c>
      <c r="O2090" s="16" t="s">
        <v>29</v>
      </c>
      <c r="P2090" s="15">
        <v>218</v>
      </c>
      <c r="Q2090" s="8"/>
      <c r="W2090" s="317">
        <v>3.9</v>
      </c>
      <c r="X2090" s="190">
        <f t="shared" si="88"/>
        <v>23.4</v>
      </c>
      <c r="Y2090" s="8"/>
      <c r="Z2090" s="8"/>
    </row>
    <row r="2091" spans="1:26" ht="12.75" customHeight="1" x14ac:dyDescent="0.2">
      <c r="A2091" s="15">
        <v>157</v>
      </c>
      <c r="B2091" s="15">
        <v>2000</v>
      </c>
      <c r="C2091" s="15">
        <v>5</v>
      </c>
      <c r="D2091" s="15">
        <v>8</v>
      </c>
      <c r="E2091" s="14">
        <v>0.83194444444444438</v>
      </c>
      <c r="F2091" s="11" t="s">
        <v>28</v>
      </c>
      <c r="G2091" s="11" t="s">
        <v>29</v>
      </c>
      <c r="H2091" s="15" t="s">
        <v>29</v>
      </c>
      <c r="I2091" s="25">
        <v>7.5</v>
      </c>
      <c r="J2091" s="11" t="s">
        <v>19</v>
      </c>
      <c r="K2091" s="20" t="s">
        <v>20</v>
      </c>
      <c r="L2091" s="11" t="s">
        <v>21</v>
      </c>
      <c r="M2091" s="11" t="s">
        <v>29</v>
      </c>
      <c r="N2091" s="11" t="s">
        <v>29</v>
      </c>
      <c r="O2091" s="16" t="s">
        <v>29</v>
      </c>
      <c r="P2091" s="15">
        <v>218</v>
      </c>
      <c r="Q2091" s="8"/>
      <c r="W2091" s="317">
        <v>3.9</v>
      </c>
      <c r="X2091" s="190">
        <f t="shared" si="88"/>
        <v>29.25</v>
      </c>
      <c r="Y2091" s="8"/>
      <c r="Z2091" s="8"/>
    </row>
    <row r="2092" spans="1:26" ht="12.75" customHeight="1" x14ac:dyDescent="0.2">
      <c r="A2092" s="15">
        <v>158</v>
      </c>
      <c r="B2092" s="15">
        <v>2000</v>
      </c>
      <c r="C2092" s="15">
        <v>5</v>
      </c>
      <c r="D2092" s="15">
        <v>8</v>
      </c>
      <c r="E2092" s="14">
        <v>0.83194444444444438</v>
      </c>
      <c r="F2092" s="11" t="s">
        <v>51</v>
      </c>
      <c r="G2092" s="11" t="s">
        <v>29</v>
      </c>
      <c r="H2092" s="15" t="s">
        <v>29</v>
      </c>
      <c r="I2092" s="25">
        <v>4.5</v>
      </c>
      <c r="J2092" s="11" t="s">
        <v>19</v>
      </c>
      <c r="K2092" s="20" t="s">
        <v>20</v>
      </c>
      <c r="L2092" s="11" t="s">
        <v>21</v>
      </c>
      <c r="M2092" s="11" t="s">
        <v>27</v>
      </c>
      <c r="N2092" s="11" t="s">
        <v>25</v>
      </c>
      <c r="O2092" s="16" t="s">
        <v>29</v>
      </c>
      <c r="P2092" s="15">
        <v>218</v>
      </c>
      <c r="Q2092" s="8"/>
      <c r="W2092" s="317">
        <v>3.9</v>
      </c>
      <c r="X2092" s="190">
        <f t="shared" si="88"/>
        <v>17.55</v>
      </c>
      <c r="Y2092" s="8"/>
      <c r="Z2092" s="8"/>
    </row>
    <row r="2093" spans="1:26" ht="12.75" customHeight="1" x14ac:dyDescent="0.2">
      <c r="A2093" s="15">
        <v>159</v>
      </c>
      <c r="B2093" s="15">
        <v>2000</v>
      </c>
      <c r="C2093" s="15">
        <v>5</v>
      </c>
      <c r="D2093" s="15">
        <v>8</v>
      </c>
      <c r="E2093" s="14">
        <v>0.83680555555555547</v>
      </c>
      <c r="F2093" s="11" t="s">
        <v>51</v>
      </c>
      <c r="G2093" s="15">
        <v>161</v>
      </c>
      <c r="H2093" s="15" t="s">
        <v>29</v>
      </c>
      <c r="I2093" s="25">
        <v>20</v>
      </c>
      <c r="J2093" s="11" t="s">
        <v>19</v>
      </c>
      <c r="K2093" s="11" t="s">
        <v>34</v>
      </c>
      <c r="L2093" s="11" t="s">
        <v>41</v>
      </c>
      <c r="M2093" s="11" t="s">
        <v>27</v>
      </c>
      <c r="N2093" s="11" t="s">
        <v>23</v>
      </c>
      <c r="O2093" s="16" t="s">
        <v>29</v>
      </c>
      <c r="P2093" s="15">
        <v>218</v>
      </c>
      <c r="Q2093" s="8"/>
      <c r="R2093">
        <v>15.02</v>
      </c>
      <c r="S2093">
        <v>3389.4</v>
      </c>
      <c r="T2093">
        <v>5.9</v>
      </c>
      <c r="U2093">
        <v>10.79</v>
      </c>
      <c r="V2093">
        <v>150</v>
      </c>
      <c r="W2093" s="317">
        <v>3.8</v>
      </c>
      <c r="X2093" s="190">
        <f t="shared" si="88"/>
        <v>76</v>
      </c>
      <c r="Y2093" s="8"/>
      <c r="Z2093" s="8"/>
    </row>
    <row r="2094" spans="1:26" ht="12.75" customHeight="1" x14ac:dyDescent="0.2">
      <c r="A2094" s="15">
        <v>160</v>
      </c>
      <c r="B2094" s="15">
        <v>2000</v>
      </c>
      <c r="C2094" s="15">
        <v>5</v>
      </c>
      <c r="D2094" s="15">
        <v>8</v>
      </c>
      <c r="E2094" s="14">
        <v>0.83680555555555547</v>
      </c>
      <c r="F2094" s="11" t="s">
        <v>51</v>
      </c>
      <c r="G2094" s="11" t="s">
        <v>29</v>
      </c>
      <c r="H2094" s="15" t="s">
        <v>29</v>
      </c>
      <c r="I2094" s="25">
        <v>13.5</v>
      </c>
      <c r="J2094" s="11" t="s">
        <v>19</v>
      </c>
      <c r="K2094" s="20" t="s">
        <v>20</v>
      </c>
      <c r="L2094" s="11" t="s">
        <v>21</v>
      </c>
      <c r="M2094" s="11" t="s">
        <v>27</v>
      </c>
      <c r="N2094" s="11" t="s">
        <v>25</v>
      </c>
      <c r="O2094" s="16" t="s">
        <v>29</v>
      </c>
      <c r="P2094" s="15">
        <v>218</v>
      </c>
      <c r="Q2094" s="8"/>
      <c r="W2094" s="317">
        <v>3.9</v>
      </c>
      <c r="X2094" s="190">
        <f t="shared" ref="X2094:X2100" si="89">I2094*W2094</f>
        <v>52.65</v>
      </c>
      <c r="Y2094" s="8"/>
      <c r="Z2094" s="8"/>
    </row>
    <row r="2095" spans="1:26" ht="12.75" customHeight="1" x14ac:dyDescent="0.2">
      <c r="A2095" s="15">
        <v>161</v>
      </c>
      <c r="B2095" s="15">
        <v>2000</v>
      </c>
      <c r="C2095" s="15">
        <v>5</v>
      </c>
      <c r="D2095" s="15">
        <v>8</v>
      </c>
      <c r="E2095" s="14">
        <v>0.83680555555555547</v>
      </c>
      <c r="F2095" s="11" t="s">
        <v>51</v>
      </c>
      <c r="G2095" s="11" t="s">
        <v>29</v>
      </c>
      <c r="H2095" s="15" t="s">
        <v>29</v>
      </c>
      <c r="I2095" s="25">
        <v>7</v>
      </c>
      <c r="J2095" s="11" t="s">
        <v>19</v>
      </c>
      <c r="K2095" s="20" t="s">
        <v>20</v>
      </c>
      <c r="L2095" s="11" t="s">
        <v>21</v>
      </c>
      <c r="M2095" s="11" t="s">
        <v>45</v>
      </c>
      <c r="N2095" s="11" t="s">
        <v>25</v>
      </c>
      <c r="O2095" s="16" t="s">
        <v>29</v>
      </c>
      <c r="P2095" s="15">
        <v>218</v>
      </c>
      <c r="Q2095" s="8"/>
      <c r="W2095" s="317">
        <v>3.9</v>
      </c>
      <c r="X2095" s="190">
        <f t="shared" si="89"/>
        <v>27.3</v>
      </c>
      <c r="Y2095" s="8"/>
      <c r="Z2095" s="8"/>
    </row>
    <row r="2096" spans="1:26" ht="12.75" customHeight="1" x14ac:dyDescent="0.2">
      <c r="A2096" s="15">
        <v>1</v>
      </c>
      <c r="B2096" s="15">
        <v>1999</v>
      </c>
      <c r="C2096" s="15">
        <v>5</v>
      </c>
      <c r="D2096" s="15">
        <v>8</v>
      </c>
      <c r="E2096" s="22" t="s">
        <v>219</v>
      </c>
      <c r="F2096" s="11" t="s">
        <v>51</v>
      </c>
      <c r="G2096" s="15">
        <v>149</v>
      </c>
      <c r="H2096" s="15" t="s">
        <v>29</v>
      </c>
      <c r="I2096" s="25">
        <v>8.5</v>
      </c>
      <c r="J2096" s="11" t="s">
        <v>19</v>
      </c>
      <c r="K2096" s="11" t="s">
        <v>20</v>
      </c>
      <c r="L2096" s="11" t="s">
        <v>21</v>
      </c>
      <c r="M2096" s="11" t="s">
        <v>46</v>
      </c>
      <c r="N2096" s="11" t="s">
        <v>24</v>
      </c>
      <c r="O2096" s="16" t="s">
        <v>29</v>
      </c>
      <c r="P2096" s="15">
        <v>217</v>
      </c>
      <c r="Q2096" s="8"/>
      <c r="R2096">
        <v>13.9</v>
      </c>
      <c r="S2096">
        <v>2686.6</v>
      </c>
      <c r="T2096">
        <v>3.16</v>
      </c>
      <c r="U2096">
        <v>9.98</v>
      </c>
      <c r="V2096">
        <v>139</v>
      </c>
      <c r="W2096" s="317">
        <v>3.9</v>
      </c>
      <c r="X2096" s="190">
        <f t="shared" si="89"/>
        <v>33.15</v>
      </c>
      <c r="Y2096" s="8"/>
      <c r="Z2096" s="8"/>
    </row>
    <row r="2097" spans="1:26" ht="12.75" customHeight="1" x14ac:dyDescent="0.2">
      <c r="A2097" s="15">
        <v>2</v>
      </c>
      <c r="B2097" s="15">
        <v>1999</v>
      </c>
      <c r="C2097" s="15">
        <v>5</v>
      </c>
      <c r="D2097" s="15">
        <v>8</v>
      </c>
      <c r="E2097" s="22" t="s">
        <v>219</v>
      </c>
      <c r="F2097" s="11" t="s">
        <v>51</v>
      </c>
      <c r="G2097" s="15">
        <v>159</v>
      </c>
      <c r="H2097" s="15" t="s">
        <v>29</v>
      </c>
      <c r="I2097" s="25">
        <v>15</v>
      </c>
      <c r="J2097" s="11" t="s">
        <v>19</v>
      </c>
      <c r="K2097" s="11" t="s">
        <v>20</v>
      </c>
      <c r="L2097" s="11" t="s">
        <v>21</v>
      </c>
      <c r="M2097" s="11" t="s">
        <v>46</v>
      </c>
      <c r="N2097" s="11" t="s">
        <v>24</v>
      </c>
      <c r="O2097" s="16" t="s">
        <v>29</v>
      </c>
      <c r="P2097" s="15">
        <v>217</v>
      </c>
      <c r="Q2097" s="8"/>
      <c r="R2097">
        <v>14.83</v>
      </c>
      <c r="S2097">
        <v>3264.65</v>
      </c>
      <c r="T2097">
        <v>4.59</v>
      </c>
      <c r="U2097">
        <v>10.65</v>
      </c>
      <c r="V2097">
        <v>148</v>
      </c>
      <c r="W2097" s="317">
        <v>3.9</v>
      </c>
      <c r="X2097" s="190">
        <f t="shared" si="89"/>
        <v>58.5</v>
      </c>
      <c r="Y2097" s="8"/>
      <c r="Z2097" s="8"/>
    </row>
    <row r="2098" spans="1:26" ht="12.75" customHeight="1" x14ac:dyDescent="0.2">
      <c r="A2098" s="15">
        <v>3</v>
      </c>
      <c r="B2098" s="15">
        <v>1999</v>
      </c>
      <c r="C2098" s="15">
        <v>5</v>
      </c>
      <c r="D2098" s="15">
        <v>8</v>
      </c>
      <c r="E2098" s="22" t="s">
        <v>219</v>
      </c>
      <c r="F2098" s="11" t="s">
        <v>51</v>
      </c>
      <c r="G2098" s="15">
        <v>138</v>
      </c>
      <c r="H2098" s="15" t="s">
        <v>29</v>
      </c>
      <c r="I2098" s="25">
        <v>12.5</v>
      </c>
      <c r="J2098" s="11" t="s">
        <v>19</v>
      </c>
      <c r="K2098" s="11" t="s">
        <v>20</v>
      </c>
      <c r="L2098" s="11" t="s">
        <v>30</v>
      </c>
      <c r="M2098" s="11" t="s">
        <v>46</v>
      </c>
      <c r="N2098" s="11" t="s">
        <v>24</v>
      </c>
      <c r="O2098" s="16" t="s">
        <v>29</v>
      </c>
      <c r="P2098" s="15">
        <v>217</v>
      </c>
      <c r="Q2098" s="8"/>
      <c r="R2098">
        <v>12.88</v>
      </c>
      <c r="S2098">
        <v>2134.4299999999998</v>
      </c>
      <c r="T2098">
        <v>5.86</v>
      </c>
      <c r="U2098">
        <v>9.25</v>
      </c>
      <c r="V2098">
        <v>129</v>
      </c>
      <c r="W2098" s="317">
        <v>4.5999999999999996</v>
      </c>
      <c r="X2098" s="190">
        <f t="shared" si="89"/>
        <v>57.499999999999993</v>
      </c>
      <c r="Y2098" s="8"/>
      <c r="Z2098" s="8"/>
    </row>
    <row r="2099" spans="1:26" ht="12.75" customHeight="1" x14ac:dyDescent="0.2">
      <c r="A2099" s="15">
        <v>4</v>
      </c>
      <c r="B2099" s="15">
        <v>1999</v>
      </c>
      <c r="C2099" s="15">
        <v>5</v>
      </c>
      <c r="D2099" s="15">
        <v>8</v>
      </c>
      <c r="E2099" s="22" t="s">
        <v>219</v>
      </c>
      <c r="F2099" s="11" t="s">
        <v>51</v>
      </c>
      <c r="G2099" s="15">
        <v>123</v>
      </c>
      <c r="H2099" s="15" t="s">
        <v>29</v>
      </c>
      <c r="I2099" s="25">
        <v>6.5</v>
      </c>
      <c r="J2099" s="11" t="s">
        <v>19</v>
      </c>
      <c r="K2099" s="11" t="s">
        <v>20</v>
      </c>
      <c r="L2099" s="11" t="s">
        <v>21</v>
      </c>
      <c r="M2099" s="11" t="s">
        <v>46</v>
      </c>
      <c r="N2099" s="11" t="s">
        <v>23</v>
      </c>
      <c r="O2099" s="16" t="s">
        <v>29</v>
      </c>
      <c r="P2099" s="15">
        <v>217</v>
      </c>
      <c r="Q2099" s="8"/>
      <c r="R2099">
        <v>11.48</v>
      </c>
      <c r="S2099">
        <v>1511.33</v>
      </c>
      <c r="T2099">
        <v>4.3</v>
      </c>
      <c r="U2099">
        <v>8.24</v>
      </c>
      <c r="V2099">
        <v>115</v>
      </c>
      <c r="W2099" s="317">
        <v>3.9</v>
      </c>
      <c r="X2099" s="190">
        <f t="shared" si="89"/>
        <v>25.349999999999998</v>
      </c>
      <c r="Y2099" s="8"/>
      <c r="Z2099" s="8"/>
    </row>
    <row r="2100" spans="1:26" ht="12.75" customHeight="1" x14ac:dyDescent="0.2">
      <c r="A2100" s="15">
        <v>5</v>
      </c>
      <c r="B2100" s="15">
        <v>1999</v>
      </c>
      <c r="C2100" s="15">
        <v>5</v>
      </c>
      <c r="D2100" s="15">
        <v>8</v>
      </c>
      <c r="E2100" s="22" t="s">
        <v>219</v>
      </c>
      <c r="F2100" s="11" t="s">
        <v>51</v>
      </c>
      <c r="G2100" s="15">
        <v>122</v>
      </c>
      <c r="H2100" s="15" t="s">
        <v>29</v>
      </c>
      <c r="I2100" s="25">
        <v>8.5</v>
      </c>
      <c r="J2100" s="11" t="s">
        <v>19</v>
      </c>
      <c r="K2100" s="11" t="s">
        <v>20</v>
      </c>
      <c r="L2100" s="11" t="s">
        <v>21</v>
      </c>
      <c r="M2100" s="11" t="s">
        <v>45</v>
      </c>
      <c r="N2100" s="11" t="s">
        <v>23</v>
      </c>
      <c r="O2100" s="16" t="s">
        <v>29</v>
      </c>
      <c r="P2100" s="15">
        <v>217</v>
      </c>
      <c r="Q2100" s="8"/>
      <c r="R2100">
        <v>11.38</v>
      </c>
      <c r="S2100">
        <v>1474.77</v>
      </c>
      <c r="T2100">
        <v>5.76</v>
      </c>
      <c r="U2100">
        <v>8.17</v>
      </c>
      <c r="V2100">
        <v>114</v>
      </c>
      <c r="W2100" s="317">
        <v>3.9</v>
      </c>
      <c r="X2100" s="190">
        <f t="shared" si="89"/>
        <v>33.15</v>
      </c>
      <c r="Y2100" s="8"/>
      <c r="Z2100" s="8"/>
    </row>
    <row r="2101" spans="1:26" ht="12.75" customHeight="1" x14ac:dyDescent="0.2">
      <c r="A2101" s="15">
        <v>6</v>
      </c>
      <c r="B2101" s="15">
        <v>1999</v>
      </c>
      <c r="C2101" s="15">
        <v>5</v>
      </c>
      <c r="D2101" s="15">
        <v>8</v>
      </c>
      <c r="E2101" s="22" t="s">
        <v>219</v>
      </c>
      <c r="F2101" s="11" t="s">
        <v>51</v>
      </c>
      <c r="G2101" s="15">
        <v>163</v>
      </c>
      <c r="H2101" s="15" t="s">
        <v>29</v>
      </c>
      <c r="I2101" s="25">
        <v>7</v>
      </c>
      <c r="J2101" s="11" t="s">
        <v>32</v>
      </c>
      <c r="K2101" s="11" t="s">
        <v>29</v>
      </c>
      <c r="L2101" s="11" t="s">
        <v>29</v>
      </c>
      <c r="M2101" s="11" t="s">
        <v>47</v>
      </c>
      <c r="N2101" s="11" t="s">
        <v>24</v>
      </c>
      <c r="O2101" s="16" t="s">
        <v>29</v>
      </c>
      <c r="P2101" s="15">
        <v>217</v>
      </c>
      <c r="Q2101" s="8"/>
      <c r="R2101">
        <v>15.21</v>
      </c>
      <c r="S2101">
        <v>3517.29</v>
      </c>
      <c r="T2101">
        <v>1.99</v>
      </c>
      <c r="U2101">
        <v>10.92</v>
      </c>
      <c r="V2101">
        <v>152</v>
      </c>
      <c r="W2101" s="8"/>
      <c r="X2101" s="8"/>
      <c r="Y2101" s="8"/>
      <c r="Z2101" s="8"/>
    </row>
    <row r="2102" spans="1:26" ht="12.75" customHeight="1" x14ac:dyDescent="0.2">
      <c r="A2102" s="15">
        <v>7</v>
      </c>
      <c r="B2102" s="15">
        <v>1999</v>
      </c>
      <c r="C2102" s="15">
        <v>5</v>
      </c>
      <c r="D2102" s="15">
        <v>8</v>
      </c>
      <c r="E2102" s="22" t="s">
        <v>219</v>
      </c>
      <c r="F2102" s="11" t="s">
        <v>51</v>
      </c>
      <c r="G2102" s="15">
        <v>151</v>
      </c>
      <c r="H2102" s="15" t="s">
        <v>29</v>
      </c>
      <c r="I2102" s="25">
        <v>11.5</v>
      </c>
      <c r="J2102" s="11" t="s">
        <v>19</v>
      </c>
      <c r="K2102" s="11" t="s">
        <v>20</v>
      </c>
      <c r="L2102" s="11" t="s">
        <v>21</v>
      </c>
      <c r="M2102" s="11" t="s">
        <v>46</v>
      </c>
      <c r="N2102" s="11" t="s">
        <v>23</v>
      </c>
      <c r="O2102" s="16" t="s">
        <v>29</v>
      </c>
      <c r="P2102" s="15">
        <v>217</v>
      </c>
      <c r="Q2102" s="8"/>
      <c r="R2102">
        <v>14.09</v>
      </c>
      <c r="S2102">
        <v>2796.25</v>
      </c>
      <c r="T2102">
        <v>4.1100000000000003</v>
      </c>
      <c r="U2102">
        <v>10.119999999999999</v>
      </c>
      <c r="V2102">
        <v>141</v>
      </c>
      <c r="W2102" s="317">
        <v>3.9</v>
      </c>
      <c r="X2102" s="190">
        <f t="shared" ref="X2102:X2131" si="90">I2102*W2102</f>
        <v>44.85</v>
      </c>
      <c r="Y2102" s="8"/>
      <c r="Z2102" s="8"/>
    </row>
    <row r="2103" spans="1:26" ht="12.75" customHeight="1" x14ac:dyDescent="0.2">
      <c r="A2103" s="15">
        <v>8</v>
      </c>
      <c r="B2103" s="15">
        <v>1999</v>
      </c>
      <c r="C2103" s="15">
        <v>5</v>
      </c>
      <c r="D2103" s="15">
        <v>8</v>
      </c>
      <c r="E2103" s="22" t="s">
        <v>219</v>
      </c>
      <c r="F2103" s="11" t="s">
        <v>51</v>
      </c>
      <c r="G2103" s="15">
        <v>142</v>
      </c>
      <c r="H2103" s="15" t="s">
        <v>29</v>
      </c>
      <c r="I2103" s="25">
        <v>12.5</v>
      </c>
      <c r="J2103" s="11" t="s">
        <v>19</v>
      </c>
      <c r="K2103" s="11" t="s">
        <v>20</v>
      </c>
      <c r="L2103" s="11" t="s">
        <v>21</v>
      </c>
      <c r="M2103" s="11" t="s">
        <v>45</v>
      </c>
      <c r="N2103" s="11" t="s">
        <v>23</v>
      </c>
      <c r="O2103" s="16" t="s">
        <v>29</v>
      </c>
      <c r="P2103" s="15">
        <v>217</v>
      </c>
      <c r="Q2103" s="8"/>
      <c r="R2103">
        <v>13.25</v>
      </c>
      <c r="S2103">
        <v>2325.4699999999998</v>
      </c>
      <c r="T2103">
        <v>5.38</v>
      </c>
      <c r="U2103">
        <v>9.51</v>
      </c>
      <c r="V2103">
        <v>132</v>
      </c>
      <c r="W2103" s="317">
        <v>3.9</v>
      </c>
      <c r="X2103" s="190">
        <f t="shared" si="90"/>
        <v>48.75</v>
      </c>
      <c r="Y2103" s="8"/>
      <c r="Z2103" s="8"/>
    </row>
    <row r="2104" spans="1:26" ht="12.75" customHeight="1" x14ac:dyDescent="0.2">
      <c r="A2104" s="15">
        <v>9</v>
      </c>
      <c r="B2104" s="15">
        <v>1999</v>
      </c>
      <c r="C2104" s="15">
        <v>5</v>
      </c>
      <c r="D2104" s="15">
        <v>8</v>
      </c>
      <c r="E2104" s="22" t="s">
        <v>219</v>
      </c>
      <c r="F2104" s="11" t="s">
        <v>51</v>
      </c>
      <c r="G2104" s="15">
        <v>164</v>
      </c>
      <c r="H2104" s="15" t="s">
        <v>29</v>
      </c>
      <c r="I2104" s="25">
        <v>15</v>
      </c>
      <c r="J2104" s="11" t="s">
        <v>19</v>
      </c>
      <c r="K2104" s="11" t="s">
        <v>20</v>
      </c>
      <c r="L2104" s="11" t="s">
        <v>21</v>
      </c>
      <c r="M2104" s="11" t="s">
        <v>45</v>
      </c>
      <c r="N2104" s="11" t="s">
        <v>23</v>
      </c>
      <c r="O2104" s="16" t="s">
        <v>29</v>
      </c>
      <c r="P2104" s="15">
        <v>217</v>
      </c>
      <c r="Q2104" s="8"/>
      <c r="R2104">
        <v>15.3</v>
      </c>
      <c r="S2104">
        <v>3582.42</v>
      </c>
      <c r="T2104">
        <v>4.1900000000000004</v>
      </c>
      <c r="U2104">
        <v>10.99</v>
      </c>
      <c r="V2104">
        <v>153</v>
      </c>
      <c r="W2104" s="317">
        <v>3.9</v>
      </c>
      <c r="X2104" s="190">
        <f t="shared" si="90"/>
        <v>58.5</v>
      </c>
      <c r="Y2104" s="8"/>
      <c r="Z2104" s="8"/>
    </row>
    <row r="2105" spans="1:26" ht="12.75" customHeight="1" x14ac:dyDescent="0.2">
      <c r="A2105" s="15">
        <v>10</v>
      </c>
      <c r="B2105" s="15">
        <v>1999</v>
      </c>
      <c r="C2105" s="15">
        <v>5</v>
      </c>
      <c r="D2105" s="15">
        <v>8</v>
      </c>
      <c r="E2105" s="22" t="s">
        <v>219</v>
      </c>
      <c r="F2105" s="11" t="s">
        <v>51</v>
      </c>
      <c r="G2105" s="15">
        <v>132</v>
      </c>
      <c r="H2105" s="15" t="s">
        <v>29</v>
      </c>
      <c r="I2105" s="25">
        <v>11.5</v>
      </c>
      <c r="J2105" s="11" t="s">
        <v>19</v>
      </c>
      <c r="K2105" s="11" t="s">
        <v>20</v>
      </c>
      <c r="L2105" s="11" t="s">
        <v>21</v>
      </c>
      <c r="M2105" s="11" t="s">
        <v>27</v>
      </c>
      <c r="N2105" s="11" t="s">
        <v>24</v>
      </c>
      <c r="O2105" s="16" t="s">
        <v>29</v>
      </c>
      <c r="P2105" s="15">
        <v>217</v>
      </c>
      <c r="Q2105" s="8"/>
      <c r="R2105">
        <v>12.32</v>
      </c>
      <c r="S2105">
        <v>1867.96</v>
      </c>
      <c r="T2105">
        <v>6.16</v>
      </c>
      <c r="U2105">
        <v>8.84</v>
      </c>
      <c r="V2105">
        <v>123</v>
      </c>
      <c r="W2105" s="317">
        <v>3.9</v>
      </c>
      <c r="X2105" s="190">
        <f t="shared" si="90"/>
        <v>44.85</v>
      </c>
      <c r="Y2105" s="8"/>
      <c r="Z2105" s="8"/>
    </row>
    <row r="2106" spans="1:26" ht="12.75" customHeight="1" x14ac:dyDescent="0.2">
      <c r="A2106" s="15">
        <v>11</v>
      </c>
      <c r="B2106" s="15">
        <v>1999</v>
      </c>
      <c r="C2106" s="15">
        <v>31</v>
      </c>
      <c r="D2106" s="15">
        <v>7</v>
      </c>
      <c r="E2106" s="22" t="s">
        <v>220</v>
      </c>
      <c r="F2106" s="11" t="s">
        <v>51</v>
      </c>
      <c r="G2106" s="15">
        <v>141</v>
      </c>
      <c r="H2106" s="15" t="s">
        <v>29</v>
      </c>
      <c r="I2106" s="25">
        <v>12.5</v>
      </c>
      <c r="J2106" s="11" t="s">
        <v>19</v>
      </c>
      <c r="K2106" s="11" t="s">
        <v>20</v>
      </c>
      <c r="L2106" s="11" t="s">
        <v>21</v>
      </c>
      <c r="M2106" s="11" t="s">
        <v>27</v>
      </c>
      <c r="N2106" s="11" t="s">
        <v>25</v>
      </c>
      <c r="O2106" s="16" t="s">
        <v>29</v>
      </c>
      <c r="P2106" s="15">
        <v>212</v>
      </c>
      <c r="Q2106" s="8"/>
      <c r="R2106">
        <v>13.16</v>
      </c>
      <c r="S2106">
        <v>2276.6799999999998</v>
      </c>
      <c r="T2106">
        <v>5.49</v>
      </c>
      <c r="U2106">
        <v>9.4499999999999993</v>
      </c>
      <c r="V2106">
        <v>132</v>
      </c>
      <c r="W2106" s="317">
        <v>3.9</v>
      </c>
      <c r="X2106" s="190">
        <f t="shared" si="90"/>
        <v>48.75</v>
      </c>
      <c r="Y2106" s="8"/>
      <c r="Z2106" s="8"/>
    </row>
    <row r="2107" spans="1:26" ht="12.75" customHeight="1" x14ac:dyDescent="0.2">
      <c r="A2107" s="15">
        <v>12</v>
      </c>
      <c r="B2107" s="15">
        <v>1999</v>
      </c>
      <c r="C2107" s="15">
        <v>31</v>
      </c>
      <c r="D2107" s="15">
        <v>7</v>
      </c>
      <c r="E2107" s="22" t="s">
        <v>220</v>
      </c>
      <c r="F2107" s="11" t="s">
        <v>51</v>
      </c>
      <c r="G2107" s="15">
        <v>128</v>
      </c>
      <c r="H2107" s="15" t="s">
        <v>29</v>
      </c>
      <c r="I2107" s="25">
        <v>9.5</v>
      </c>
      <c r="J2107" s="11" t="s">
        <v>19</v>
      </c>
      <c r="K2107" s="11" t="s">
        <v>20</v>
      </c>
      <c r="L2107" s="11" t="s">
        <v>21</v>
      </c>
      <c r="M2107" s="11" t="s">
        <v>27</v>
      </c>
      <c r="N2107" s="11" t="s">
        <v>25</v>
      </c>
      <c r="O2107" s="16" t="s">
        <v>29</v>
      </c>
      <c r="P2107" s="15">
        <v>212</v>
      </c>
      <c r="Q2107" s="8"/>
      <c r="R2107">
        <v>11.94</v>
      </c>
      <c r="S2107">
        <v>1703.24</v>
      </c>
      <c r="T2107">
        <v>5.58</v>
      </c>
      <c r="U2107">
        <v>8.58</v>
      </c>
      <c r="V2107">
        <v>119</v>
      </c>
      <c r="W2107" s="317">
        <v>3.9</v>
      </c>
      <c r="X2107" s="190">
        <f t="shared" si="90"/>
        <v>37.049999999999997</v>
      </c>
      <c r="Y2107" s="8"/>
      <c r="Z2107" s="8"/>
    </row>
    <row r="2108" spans="1:26" ht="12.75" customHeight="1" x14ac:dyDescent="0.2">
      <c r="A2108" s="15">
        <v>13</v>
      </c>
      <c r="B2108" s="15">
        <v>1999</v>
      </c>
      <c r="C2108" s="15">
        <v>31</v>
      </c>
      <c r="D2108" s="15">
        <v>7</v>
      </c>
      <c r="E2108" s="22" t="s">
        <v>220</v>
      </c>
      <c r="F2108" s="11" t="s">
        <v>51</v>
      </c>
      <c r="G2108" s="15">
        <v>139</v>
      </c>
      <c r="H2108" s="15" t="s">
        <v>29</v>
      </c>
      <c r="I2108" s="25" t="s">
        <v>29</v>
      </c>
      <c r="J2108" s="11" t="s">
        <v>19</v>
      </c>
      <c r="K2108" s="11" t="s">
        <v>20</v>
      </c>
      <c r="L2108" s="11" t="s">
        <v>21</v>
      </c>
      <c r="M2108" s="11" t="s">
        <v>27</v>
      </c>
      <c r="N2108" s="11" t="s">
        <v>24</v>
      </c>
      <c r="O2108" s="16" t="s">
        <v>29</v>
      </c>
      <c r="P2108" s="15">
        <v>212</v>
      </c>
      <c r="Q2108" s="8"/>
      <c r="U2108">
        <v>9.31</v>
      </c>
      <c r="V2108">
        <v>130</v>
      </c>
      <c r="W2108" s="317">
        <v>3.9</v>
      </c>
      <c r="X2108" s="190"/>
      <c r="Y2108" s="8"/>
      <c r="Z2108" s="8"/>
    </row>
    <row r="2109" spans="1:26" ht="12.75" customHeight="1" x14ac:dyDescent="0.2">
      <c r="A2109" s="15">
        <v>14</v>
      </c>
      <c r="B2109" s="15">
        <v>1999</v>
      </c>
      <c r="C2109" s="15">
        <v>31</v>
      </c>
      <c r="D2109" s="15">
        <v>7</v>
      </c>
      <c r="E2109" s="22" t="s">
        <v>220</v>
      </c>
      <c r="F2109" s="11" t="s">
        <v>51</v>
      </c>
      <c r="G2109" s="15">
        <v>144</v>
      </c>
      <c r="H2109" s="15" t="s">
        <v>29</v>
      </c>
      <c r="I2109" s="25">
        <v>14.5</v>
      </c>
      <c r="J2109" s="11" t="s">
        <v>19</v>
      </c>
      <c r="K2109" s="11" t="s">
        <v>20</v>
      </c>
      <c r="L2109" s="11" t="s">
        <v>21</v>
      </c>
      <c r="M2109" s="11" t="s">
        <v>47</v>
      </c>
      <c r="N2109" s="11" t="s">
        <v>25</v>
      </c>
      <c r="O2109" s="16" t="s">
        <v>29</v>
      </c>
      <c r="P2109" s="15">
        <v>212</v>
      </c>
      <c r="Q2109" s="8"/>
      <c r="R2109">
        <v>13.44</v>
      </c>
      <c r="S2109">
        <v>2425.12</v>
      </c>
      <c r="T2109">
        <v>5.98</v>
      </c>
      <c r="U2109">
        <v>9.65</v>
      </c>
      <c r="V2109">
        <v>134</v>
      </c>
      <c r="W2109" s="317">
        <v>3.9</v>
      </c>
      <c r="X2109" s="190">
        <f t="shared" si="90"/>
        <v>56.55</v>
      </c>
      <c r="Y2109" s="8"/>
      <c r="Z2109" s="8"/>
    </row>
    <row r="2110" spans="1:26" ht="12.75" customHeight="1" x14ac:dyDescent="0.2">
      <c r="A2110" s="15">
        <v>15</v>
      </c>
      <c r="B2110" s="15">
        <v>1999</v>
      </c>
      <c r="C2110" s="15">
        <v>31</v>
      </c>
      <c r="D2110" s="15">
        <v>7</v>
      </c>
      <c r="E2110" s="22" t="s">
        <v>220</v>
      </c>
      <c r="F2110" s="11" t="s">
        <v>51</v>
      </c>
      <c r="G2110" s="15">
        <v>147</v>
      </c>
      <c r="H2110" s="15" t="s">
        <v>29</v>
      </c>
      <c r="I2110" s="25">
        <v>13.5</v>
      </c>
      <c r="J2110" s="11" t="s">
        <v>19</v>
      </c>
      <c r="K2110" s="11" t="s">
        <v>20</v>
      </c>
      <c r="L2110" s="11" t="s">
        <v>21</v>
      </c>
      <c r="M2110" s="11" t="s">
        <v>47</v>
      </c>
      <c r="N2110" s="11" t="s">
        <v>23</v>
      </c>
      <c r="O2110" s="16" t="s">
        <v>29</v>
      </c>
      <c r="P2110" s="15">
        <v>212</v>
      </c>
      <c r="Q2110" s="8"/>
      <c r="R2110">
        <v>13.72</v>
      </c>
      <c r="S2110">
        <v>2579.86</v>
      </c>
      <c r="T2110">
        <v>5.23</v>
      </c>
      <c r="U2110">
        <v>9.85</v>
      </c>
      <c r="V2110">
        <v>137</v>
      </c>
      <c r="W2110" s="317">
        <v>3.9</v>
      </c>
      <c r="X2110" s="190">
        <f t="shared" si="90"/>
        <v>52.65</v>
      </c>
      <c r="Y2110" s="8"/>
      <c r="Z2110" s="8"/>
    </row>
    <row r="2111" spans="1:26" ht="12.75" customHeight="1" x14ac:dyDescent="0.2">
      <c r="A2111" s="15">
        <v>16</v>
      </c>
      <c r="B2111" s="15">
        <v>1999</v>
      </c>
      <c r="C2111" s="15">
        <v>31</v>
      </c>
      <c r="D2111" s="15">
        <v>7</v>
      </c>
      <c r="E2111" s="22" t="s">
        <v>220</v>
      </c>
      <c r="F2111" s="11" t="s">
        <v>51</v>
      </c>
      <c r="G2111" s="15">
        <v>147</v>
      </c>
      <c r="H2111" s="15" t="s">
        <v>29</v>
      </c>
      <c r="I2111" s="25" t="s">
        <v>29</v>
      </c>
      <c r="J2111" s="11" t="s">
        <v>19</v>
      </c>
      <c r="K2111" s="11" t="s">
        <v>20</v>
      </c>
      <c r="L2111" s="11" t="s">
        <v>21</v>
      </c>
      <c r="M2111" s="11" t="s">
        <v>47</v>
      </c>
      <c r="N2111" s="11" t="s">
        <v>24</v>
      </c>
      <c r="O2111" s="16" t="s">
        <v>29</v>
      </c>
      <c r="P2111" s="15">
        <v>212</v>
      </c>
      <c r="Q2111" s="8"/>
      <c r="U2111">
        <v>9.85</v>
      </c>
      <c r="V2111">
        <v>137</v>
      </c>
      <c r="W2111" s="317">
        <v>3.9</v>
      </c>
      <c r="X2111" s="190"/>
      <c r="Y2111" s="8"/>
      <c r="Z2111" s="8"/>
    </row>
    <row r="2112" spans="1:26" ht="12.75" customHeight="1" x14ac:dyDescent="0.2">
      <c r="A2112" s="15">
        <v>17</v>
      </c>
      <c r="B2112" s="15">
        <v>1999</v>
      </c>
      <c r="C2112" s="15">
        <v>31</v>
      </c>
      <c r="D2112" s="15">
        <v>7</v>
      </c>
      <c r="E2112" s="22" t="s">
        <v>220</v>
      </c>
      <c r="F2112" s="11" t="s">
        <v>51</v>
      </c>
      <c r="G2112" s="15">
        <v>146</v>
      </c>
      <c r="H2112" s="15" t="s">
        <v>29</v>
      </c>
      <c r="I2112" s="25">
        <v>10.5</v>
      </c>
      <c r="J2112" s="11" t="s">
        <v>19</v>
      </c>
      <c r="K2112" s="11" t="s">
        <v>20</v>
      </c>
      <c r="L2112" s="11" t="s">
        <v>21</v>
      </c>
      <c r="M2112" s="11" t="s">
        <v>27</v>
      </c>
      <c r="N2112" s="11" t="s">
        <v>23</v>
      </c>
      <c r="O2112" s="16" t="s">
        <v>29</v>
      </c>
      <c r="P2112" s="15">
        <v>212</v>
      </c>
      <c r="Q2112" s="8"/>
      <c r="R2112">
        <v>13.62</v>
      </c>
      <c r="S2112">
        <v>2527.5700000000002</v>
      </c>
      <c r="T2112">
        <v>4.1500000000000004</v>
      </c>
      <c r="U2112">
        <v>9.7799999999999994</v>
      </c>
      <c r="V2112">
        <v>136</v>
      </c>
      <c r="W2112" s="317">
        <v>3.9</v>
      </c>
      <c r="X2112" s="190">
        <f t="shared" si="90"/>
        <v>40.949999999999996</v>
      </c>
      <c r="Y2112" s="8"/>
      <c r="Z2112" s="8"/>
    </row>
    <row r="2113" spans="1:26" ht="12.75" customHeight="1" x14ac:dyDescent="0.2">
      <c r="A2113" s="15">
        <v>18</v>
      </c>
      <c r="B2113" s="15">
        <v>1999</v>
      </c>
      <c r="C2113" s="15">
        <v>31</v>
      </c>
      <c r="D2113" s="15">
        <v>7</v>
      </c>
      <c r="E2113" s="22" t="s">
        <v>220</v>
      </c>
      <c r="F2113" s="11" t="s">
        <v>51</v>
      </c>
      <c r="G2113" s="15">
        <v>137</v>
      </c>
      <c r="H2113" s="15" t="s">
        <v>29</v>
      </c>
      <c r="I2113" s="25" t="s">
        <v>29</v>
      </c>
      <c r="J2113" s="11" t="s">
        <v>19</v>
      </c>
      <c r="K2113" s="11" t="s">
        <v>20</v>
      </c>
      <c r="L2113" s="11" t="s">
        <v>21</v>
      </c>
      <c r="M2113" s="11" t="s">
        <v>46</v>
      </c>
      <c r="N2113" s="11" t="s">
        <v>24</v>
      </c>
      <c r="O2113" s="16" t="s">
        <v>29</v>
      </c>
      <c r="P2113" s="15">
        <v>212</v>
      </c>
      <c r="Q2113" s="8"/>
      <c r="U2113">
        <v>9.18</v>
      </c>
      <c r="V2113">
        <v>128</v>
      </c>
      <c r="W2113" s="317">
        <v>3.9</v>
      </c>
      <c r="X2113" s="190"/>
      <c r="Y2113" s="8"/>
      <c r="Z2113" s="8"/>
    </row>
    <row r="2114" spans="1:26" ht="12.75" customHeight="1" x14ac:dyDescent="0.2">
      <c r="A2114" s="15">
        <v>19</v>
      </c>
      <c r="B2114" s="15">
        <v>1999</v>
      </c>
      <c r="C2114" s="15">
        <v>31</v>
      </c>
      <c r="D2114" s="15">
        <v>7</v>
      </c>
      <c r="E2114" s="22" t="s">
        <v>220</v>
      </c>
      <c r="F2114" s="11" t="s">
        <v>51</v>
      </c>
      <c r="G2114" s="15">
        <v>154</v>
      </c>
      <c r="H2114" s="15" t="s">
        <v>29</v>
      </c>
      <c r="I2114" s="25">
        <v>16.5</v>
      </c>
      <c r="J2114" s="11" t="s">
        <v>19</v>
      </c>
      <c r="K2114" s="11" t="s">
        <v>20</v>
      </c>
      <c r="L2114" s="11" t="s">
        <v>21</v>
      </c>
      <c r="M2114" s="11" t="s">
        <v>47</v>
      </c>
      <c r="N2114" s="11" t="s">
        <v>23</v>
      </c>
      <c r="O2114" s="16" t="s">
        <v>29</v>
      </c>
      <c r="P2114" s="15">
        <v>212</v>
      </c>
      <c r="Q2114" s="8"/>
      <c r="R2114">
        <v>14.37</v>
      </c>
      <c r="S2114">
        <v>2966.25</v>
      </c>
      <c r="T2114">
        <v>5.56</v>
      </c>
      <c r="U2114">
        <v>10.32</v>
      </c>
      <c r="V2114">
        <v>144</v>
      </c>
      <c r="W2114" s="317">
        <v>3.9</v>
      </c>
      <c r="X2114" s="190">
        <f t="shared" si="90"/>
        <v>64.349999999999994</v>
      </c>
      <c r="Y2114" s="8"/>
      <c r="Z2114" s="8"/>
    </row>
    <row r="2115" spans="1:26" ht="12.75" customHeight="1" x14ac:dyDescent="0.2">
      <c r="A2115" s="15">
        <v>20</v>
      </c>
      <c r="B2115" s="15">
        <v>1999</v>
      </c>
      <c r="C2115" s="15">
        <v>31</v>
      </c>
      <c r="D2115" s="15">
        <v>7</v>
      </c>
      <c r="E2115" s="22" t="s">
        <v>220</v>
      </c>
      <c r="F2115" s="11" t="s">
        <v>51</v>
      </c>
      <c r="G2115" s="15">
        <v>144</v>
      </c>
      <c r="H2115" s="15" t="s">
        <v>29</v>
      </c>
      <c r="I2115" s="25">
        <v>17.5</v>
      </c>
      <c r="J2115" s="11" t="s">
        <v>19</v>
      </c>
      <c r="K2115" s="11" t="s">
        <v>20</v>
      </c>
      <c r="L2115" s="11" t="s">
        <v>30</v>
      </c>
      <c r="M2115" s="11" t="s">
        <v>45</v>
      </c>
      <c r="N2115" s="11" t="s">
        <v>24</v>
      </c>
      <c r="O2115" s="16" t="s">
        <v>29</v>
      </c>
      <c r="P2115" s="15">
        <v>212</v>
      </c>
      <c r="Q2115" s="8"/>
      <c r="R2115">
        <v>13.44</v>
      </c>
      <c r="S2115">
        <v>2425.12</v>
      </c>
      <c r="T2115">
        <v>7.22</v>
      </c>
      <c r="U2115">
        <v>9.65</v>
      </c>
      <c r="V2115">
        <v>134</v>
      </c>
      <c r="W2115" s="317">
        <v>4.5999999999999996</v>
      </c>
      <c r="X2115" s="190">
        <f t="shared" si="90"/>
        <v>80.5</v>
      </c>
      <c r="Y2115" s="8"/>
      <c r="Z2115" s="8"/>
    </row>
    <row r="2116" spans="1:26" ht="12.75" customHeight="1" x14ac:dyDescent="0.2">
      <c r="A2116" s="15">
        <v>21</v>
      </c>
      <c r="B2116" s="15">
        <v>1999</v>
      </c>
      <c r="C2116" s="15">
        <v>31</v>
      </c>
      <c r="D2116" s="15">
        <v>7</v>
      </c>
      <c r="E2116" s="22" t="s">
        <v>220</v>
      </c>
      <c r="F2116" s="11" t="s">
        <v>51</v>
      </c>
      <c r="G2116" s="15">
        <v>151</v>
      </c>
      <c r="H2116" s="15" t="s">
        <v>29</v>
      </c>
      <c r="I2116" s="25">
        <v>14.5</v>
      </c>
      <c r="J2116" s="11" t="s">
        <v>19</v>
      </c>
      <c r="K2116" s="11" t="s">
        <v>20</v>
      </c>
      <c r="L2116" s="11" t="s">
        <v>21</v>
      </c>
      <c r="M2116" s="11" t="s">
        <v>47</v>
      </c>
      <c r="N2116" s="11" t="s">
        <v>23</v>
      </c>
      <c r="O2116" s="16" t="s">
        <v>29</v>
      </c>
      <c r="P2116" s="15">
        <v>212</v>
      </c>
      <c r="Q2116" s="8"/>
      <c r="R2116">
        <v>14.09</v>
      </c>
      <c r="S2116">
        <v>2796.25</v>
      </c>
      <c r="T2116">
        <v>5.19</v>
      </c>
      <c r="U2116">
        <v>10.119999999999999</v>
      </c>
      <c r="V2116">
        <v>141</v>
      </c>
      <c r="W2116" s="317">
        <v>3.9</v>
      </c>
      <c r="X2116" s="190">
        <f t="shared" si="90"/>
        <v>56.55</v>
      </c>
      <c r="Y2116" s="8"/>
      <c r="Z2116" s="8"/>
    </row>
    <row r="2117" spans="1:26" ht="12.75" customHeight="1" x14ac:dyDescent="0.2">
      <c r="A2117" s="15">
        <v>22</v>
      </c>
      <c r="B2117" s="15">
        <v>1999</v>
      </c>
      <c r="C2117" s="15">
        <v>31</v>
      </c>
      <c r="D2117" s="15">
        <v>7</v>
      </c>
      <c r="E2117" s="22" t="s">
        <v>220</v>
      </c>
      <c r="F2117" s="11" t="s">
        <v>51</v>
      </c>
      <c r="G2117" s="15">
        <v>160</v>
      </c>
      <c r="H2117" s="15" t="s">
        <v>29</v>
      </c>
      <c r="I2117" s="25">
        <v>15</v>
      </c>
      <c r="J2117" s="11" t="s">
        <v>19</v>
      </c>
      <c r="K2117" s="11" t="s">
        <v>20</v>
      </c>
      <c r="L2117" s="11" t="s">
        <v>21</v>
      </c>
      <c r="M2117" s="11" t="s">
        <v>47</v>
      </c>
      <c r="N2117" s="11" t="s">
        <v>24</v>
      </c>
      <c r="O2117" s="16" t="s">
        <v>29</v>
      </c>
      <c r="P2117" s="15">
        <v>212</v>
      </c>
      <c r="Q2117" s="8"/>
      <c r="R2117">
        <v>14.93</v>
      </c>
      <c r="S2117">
        <v>3326.63</v>
      </c>
      <c r="T2117">
        <v>4.51</v>
      </c>
      <c r="U2117">
        <v>10.72</v>
      </c>
      <c r="V2117">
        <v>149</v>
      </c>
      <c r="W2117" s="317">
        <v>3.9</v>
      </c>
      <c r="X2117" s="190">
        <f t="shared" si="90"/>
        <v>58.5</v>
      </c>
      <c r="Y2117" s="8"/>
      <c r="Z2117" s="8"/>
    </row>
    <row r="2118" spans="1:26" ht="12.75" customHeight="1" x14ac:dyDescent="0.2">
      <c r="A2118" s="15">
        <v>23</v>
      </c>
      <c r="B2118" s="15">
        <v>1999</v>
      </c>
      <c r="C2118" s="15">
        <v>31</v>
      </c>
      <c r="D2118" s="15">
        <v>7</v>
      </c>
      <c r="E2118" s="22" t="s">
        <v>220</v>
      </c>
      <c r="F2118" s="11" t="s">
        <v>51</v>
      </c>
      <c r="G2118" s="15">
        <v>134</v>
      </c>
      <c r="H2118" s="15" t="s">
        <v>29</v>
      </c>
      <c r="I2118" s="25">
        <v>11</v>
      </c>
      <c r="J2118" s="11" t="s">
        <v>19</v>
      </c>
      <c r="K2118" s="11" t="s">
        <v>20</v>
      </c>
      <c r="L2118" s="11" t="s">
        <v>30</v>
      </c>
      <c r="M2118" s="11" t="s">
        <v>46</v>
      </c>
      <c r="N2118" s="11" t="s">
        <v>39</v>
      </c>
      <c r="O2118" s="16" t="s">
        <v>29</v>
      </c>
      <c r="P2118" s="15">
        <v>212</v>
      </c>
      <c r="Q2118" s="8"/>
      <c r="R2118">
        <v>12.5</v>
      </c>
      <c r="S2118">
        <v>1954.16</v>
      </c>
      <c r="T2118">
        <v>5.63</v>
      </c>
      <c r="U2118">
        <v>8.98</v>
      </c>
      <c r="V2118">
        <v>125</v>
      </c>
      <c r="W2118" s="317">
        <v>4.5999999999999996</v>
      </c>
      <c r="X2118" s="190">
        <f t="shared" si="90"/>
        <v>50.599999999999994</v>
      </c>
      <c r="Y2118" s="8"/>
      <c r="Z2118" s="8"/>
    </row>
    <row r="2119" spans="1:26" ht="12.75" customHeight="1" x14ac:dyDescent="0.2">
      <c r="A2119" s="15">
        <v>24</v>
      </c>
      <c r="B2119" s="15">
        <v>1999</v>
      </c>
      <c r="C2119" s="15">
        <v>31</v>
      </c>
      <c r="D2119" s="15">
        <v>7</v>
      </c>
      <c r="E2119" s="22" t="s">
        <v>220</v>
      </c>
      <c r="F2119" s="11" t="s">
        <v>51</v>
      </c>
      <c r="G2119" s="15">
        <v>147</v>
      </c>
      <c r="H2119" s="15" t="s">
        <v>29</v>
      </c>
      <c r="I2119" s="25">
        <v>17</v>
      </c>
      <c r="J2119" s="11" t="s">
        <v>19</v>
      </c>
      <c r="K2119" s="11" t="s">
        <v>20</v>
      </c>
      <c r="L2119" s="11" t="s">
        <v>21</v>
      </c>
      <c r="M2119" s="11" t="s">
        <v>27</v>
      </c>
      <c r="N2119" s="11" t="s">
        <v>24</v>
      </c>
      <c r="O2119" s="16" t="s">
        <v>29</v>
      </c>
      <c r="P2119" s="15">
        <v>212</v>
      </c>
      <c r="Q2119" s="8"/>
      <c r="R2119">
        <v>13.72</v>
      </c>
      <c r="S2119">
        <v>2579.86</v>
      </c>
      <c r="T2119">
        <v>6.59</v>
      </c>
      <c r="U2119">
        <v>9.85</v>
      </c>
      <c r="V2119">
        <v>137</v>
      </c>
      <c r="W2119" s="317">
        <v>3.9</v>
      </c>
      <c r="X2119" s="190">
        <f t="shared" si="90"/>
        <v>66.3</v>
      </c>
      <c r="Y2119" s="8"/>
      <c r="Z2119" s="8"/>
    </row>
    <row r="2120" spans="1:26" ht="12.75" customHeight="1" x14ac:dyDescent="0.2">
      <c r="A2120" s="15">
        <v>25</v>
      </c>
      <c r="B2120" s="15">
        <v>1999</v>
      </c>
      <c r="C2120" s="15">
        <v>31</v>
      </c>
      <c r="D2120" s="15">
        <v>7</v>
      </c>
      <c r="E2120" s="22" t="s">
        <v>220</v>
      </c>
      <c r="F2120" s="11" t="s">
        <v>51</v>
      </c>
      <c r="G2120" s="15">
        <v>147</v>
      </c>
      <c r="H2120" s="15" t="s">
        <v>29</v>
      </c>
      <c r="I2120" s="25">
        <v>17</v>
      </c>
      <c r="J2120" s="11" t="s">
        <v>19</v>
      </c>
      <c r="K2120" s="11" t="s">
        <v>20</v>
      </c>
      <c r="L2120" s="11" t="s">
        <v>21</v>
      </c>
      <c r="M2120" s="11" t="s">
        <v>47</v>
      </c>
      <c r="N2120" s="11" t="s">
        <v>24</v>
      </c>
      <c r="O2120" s="16" t="s">
        <v>29</v>
      </c>
      <c r="P2120" s="15">
        <v>212</v>
      </c>
      <c r="Q2120" s="8"/>
      <c r="R2120">
        <v>13.72</v>
      </c>
      <c r="S2120">
        <v>2579.86</v>
      </c>
      <c r="T2120">
        <v>6.59</v>
      </c>
      <c r="U2120">
        <v>9.85</v>
      </c>
      <c r="V2120">
        <v>137</v>
      </c>
      <c r="W2120" s="317">
        <v>3.9</v>
      </c>
      <c r="X2120" s="190">
        <f t="shared" si="90"/>
        <v>66.3</v>
      </c>
      <c r="Y2120" s="8"/>
      <c r="Z2120" s="8"/>
    </row>
    <row r="2121" spans="1:26" ht="12.75" customHeight="1" x14ac:dyDescent="0.2">
      <c r="A2121" s="15">
        <v>26</v>
      </c>
      <c r="B2121" s="15">
        <v>1999</v>
      </c>
      <c r="C2121" s="15">
        <v>31</v>
      </c>
      <c r="D2121" s="15">
        <v>7</v>
      </c>
      <c r="E2121" s="22" t="s">
        <v>220</v>
      </c>
      <c r="F2121" s="11" t="s">
        <v>51</v>
      </c>
      <c r="G2121" s="15">
        <v>123</v>
      </c>
      <c r="H2121" s="15" t="s">
        <v>29</v>
      </c>
      <c r="I2121" s="25">
        <v>8</v>
      </c>
      <c r="J2121" s="11" t="s">
        <v>19</v>
      </c>
      <c r="K2121" s="11" t="s">
        <v>20</v>
      </c>
      <c r="L2121" s="11" t="s">
        <v>21</v>
      </c>
      <c r="M2121" s="11" t="s">
        <v>45</v>
      </c>
      <c r="N2121" s="11" t="s">
        <v>23</v>
      </c>
      <c r="O2121" s="16" t="s">
        <v>29</v>
      </c>
      <c r="P2121" s="15">
        <v>212</v>
      </c>
      <c r="Q2121" s="8"/>
      <c r="R2121">
        <v>11.48</v>
      </c>
      <c r="S2121">
        <v>1511.33</v>
      </c>
      <c r="T2121">
        <v>5.29</v>
      </c>
      <c r="U2121">
        <v>8.24</v>
      </c>
      <c r="V2121">
        <v>115</v>
      </c>
      <c r="W2121" s="317">
        <v>3.9</v>
      </c>
      <c r="X2121" s="190">
        <f t="shared" si="90"/>
        <v>31.2</v>
      </c>
      <c r="Y2121" s="8"/>
      <c r="Z2121" s="8"/>
    </row>
    <row r="2122" spans="1:26" ht="12.75" customHeight="1" x14ac:dyDescent="0.2">
      <c r="A2122" s="15">
        <v>27</v>
      </c>
      <c r="B2122" s="15">
        <v>1999</v>
      </c>
      <c r="C2122" s="15">
        <v>31</v>
      </c>
      <c r="D2122" s="15">
        <v>7</v>
      </c>
      <c r="E2122" s="22" t="s">
        <v>220</v>
      </c>
      <c r="F2122" s="11" t="s">
        <v>51</v>
      </c>
      <c r="G2122" s="15">
        <v>150</v>
      </c>
      <c r="H2122" s="15" t="s">
        <v>29</v>
      </c>
      <c r="I2122" s="25">
        <v>11.5</v>
      </c>
      <c r="J2122" s="11" t="s">
        <v>19</v>
      </c>
      <c r="K2122" s="11" t="s">
        <v>20</v>
      </c>
      <c r="L2122" s="11" t="s">
        <v>21</v>
      </c>
      <c r="M2122" s="11" t="s">
        <v>46</v>
      </c>
      <c r="N2122" s="11" t="s">
        <v>23</v>
      </c>
      <c r="O2122" s="16" t="s">
        <v>29</v>
      </c>
      <c r="P2122" s="15">
        <v>212</v>
      </c>
      <c r="Q2122" s="8"/>
      <c r="R2122">
        <v>14</v>
      </c>
      <c r="S2122">
        <v>2741.06</v>
      </c>
      <c r="T2122">
        <v>4.2</v>
      </c>
      <c r="U2122">
        <v>10.050000000000001</v>
      </c>
      <c r="V2122">
        <v>140</v>
      </c>
      <c r="W2122" s="317">
        <v>3.9</v>
      </c>
      <c r="X2122" s="190">
        <f t="shared" si="90"/>
        <v>44.85</v>
      </c>
      <c r="Y2122" s="8"/>
      <c r="Z2122" s="8"/>
    </row>
    <row r="2123" spans="1:26" ht="12.75" customHeight="1" x14ac:dyDescent="0.2">
      <c r="A2123" s="15">
        <v>28</v>
      </c>
      <c r="B2123" s="15">
        <v>1999</v>
      </c>
      <c r="C2123" s="15">
        <v>31</v>
      </c>
      <c r="D2123" s="15">
        <v>7</v>
      </c>
      <c r="E2123" s="22" t="s">
        <v>220</v>
      </c>
      <c r="F2123" s="11" t="s">
        <v>51</v>
      </c>
      <c r="G2123" s="15">
        <v>131</v>
      </c>
      <c r="H2123" s="15" t="s">
        <v>29</v>
      </c>
      <c r="I2123" s="25">
        <v>8.5</v>
      </c>
      <c r="J2123" s="11" t="s">
        <v>19</v>
      </c>
      <c r="K2123" s="11" t="s">
        <v>20</v>
      </c>
      <c r="L2123" s="11" t="s">
        <v>21</v>
      </c>
      <c r="M2123" s="11" t="s">
        <v>46</v>
      </c>
      <c r="N2123" s="11" t="s">
        <v>25</v>
      </c>
      <c r="O2123" s="16" t="s">
        <v>29</v>
      </c>
      <c r="P2123" s="15">
        <v>212</v>
      </c>
      <c r="Q2123" s="8"/>
      <c r="R2123">
        <v>12.22</v>
      </c>
      <c r="S2123">
        <v>1825.82</v>
      </c>
      <c r="T2123">
        <v>4.66</v>
      </c>
      <c r="U2123">
        <v>8.7799999999999994</v>
      </c>
      <c r="V2123">
        <v>122</v>
      </c>
      <c r="W2123" s="317">
        <v>3.9</v>
      </c>
      <c r="X2123" s="190">
        <f t="shared" si="90"/>
        <v>33.15</v>
      </c>
      <c r="Y2123" s="8"/>
      <c r="Z2123" s="8"/>
    </row>
    <row r="2124" spans="1:26" ht="12.75" customHeight="1" x14ac:dyDescent="0.2">
      <c r="A2124" s="15">
        <v>29</v>
      </c>
      <c r="B2124" s="15">
        <v>1999</v>
      </c>
      <c r="C2124" s="15">
        <v>31</v>
      </c>
      <c r="D2124" s="15">
        <v>7</v>
      </c>
      <c r="E2124" s="22" t="s">
        <v>220</v>
      </c>
      <c r="F2124" s="11" t="s">
        <v>51</v>
      </c>
      <c r="G2124" s="15">
        <v>141</v>
      </c>
      <c r="H2124" s="15" t="s">
        <v>29</v>
      </c>
      <c r="I2124" s="25">
        <v>16</v>
      </c>
      <c r="J2124" s="11" t="s">
        <v>19</v>
      </c>
      <c r="K2124" s="11" t="s">
        <v>20</v>
      </c>
      <c r="L2124" s="11" t="s">
        <v>21</v>
      </c>
      <c r="M2124" s="11" t="s">
        <v>47</v>
      </c>
      <c r="N2124" s="11" t="s">
        <v>24</v>
      </c>
      <c r="O2124" s="16" t="s">
        <v>29</v>
      </c>
      <c r="P2124" s="15">
        <v>212</v>
      </c>
      <c r="Q2124" s="8"/>
      <c r="R2124">
        <v>13.16</v>
      </c>
      <c r="S2124">
        <v>2276.6799999999998</v>
      </c>
      <c r="T2124">
        <v>7.03</v>
      </c>
      <c r="U2124">
        <v>9.4499999999999993</v>
      </c>
      <c r="V2124">
        <v>132</v>
      </c>
      <c r="W2124" s="317">
        <v>3.9</v>
      </c>
      <c r="X2124" s="190">
        <f t="shared" si="90"/>
        <v>62.4</v>
      </c>
      <c r="Y2124" s="8"/>
      <c r="Z2124" s="8"/>
    </row>
    <row r="2125" spans="1:26" ht="12.75" customHeight="1" x14ac:dyDescent="0.2">
      <c r="A2125" s="15">
        <v>30</v>
      </c>
      <c r="B2125" s="15">
        <v>1999</v>
      </c>
      <c r="C2125" s="15">
        <v>31</v>
      </c>
      <c r="D2125" s="15">
        <v>7</v>
      </c>
      <c r="E2125" s="22" t="s">
        <v>220</v>
      </c>
      <c r="F2125" s="11" t="s">
        <v>51</v>
      </c>
      <c r="G2125" s="11" t="s">
        <v>29</v>
      </c>
      <c r="H2125" s="15" t="s">
        <v>29</v>
      </c>
      <c r="I2125" s="25">
        <v>8</v>
      </c>
      <c r="J2125" s="11" t="s">
        <v>19</v>
      </c>
      <c r="K2125" s="11" t="s">
        <v>20</v>
      </c>
      <c r="L2125" s="11" t="s">
        <v>21</v>
      </c>
      <c r="M2125" s="11" t="s">
        <v>27</v>
      </c>
      <c r="N2125" s="11" t="s">
        <v>25</v>
      </c>
      <c r="O2125" s="16" t="s">
        <v>29</v>
      </c>
      <c r="P2125" s="15">
        <v>212</v>
      </c>
      <c r="Q2125" s="8"/>
      <c r="W2125" s="317">
        <v>3.9</v>
      </c>
      <c r="X2125" s="190">
        <f t="shared" si="90"/>
        <v>31.2</v>
      </c>
      <c r="Y2125" s="8"/>
      <c r="Z2125" s="8"/>
    </row>
    <row r="2126" spans="1:26" ht="12.75" customHeight="1" x14ac:dyDescent="0.2">
      <c r="A2126" s="15">
        <v>31</v>
      </c>
      <c r="B2126" s="15">
        <v>1999</v>
      </c>
      <c r="C2126" s="15">
        <v>31</v>
      </c>
      <c r="D2126" s="15">
        <v>7</v>
      </c>
      <c r="E2126" s="22" t="s">
        <v>220</v>
      </c>
      <c r="F2126" s="11" t="s">
        <v>51</v>
      </c>
      <c r="G2126" s="15">
        <v>138</v>
      </c>
      <c r="H2126" s="15" t="s">
        <v>29</v>
      </c>
      <c r="I2126" s="25">
        <v>11</v>
      </c>
      <c r="J2126" s="11" t="s">
        <v>19</v>
      </c>
      <c r="K2126" s="11" t="s">
        <v>20</v>
      </c>
      <c r="L2126" s="11" t="s">
        <v>30</v>
      </c>
      <c r="M2126" s="11" t="s">
        <v>27</v>
      </c>
      <c r="N2126" s="11" t="s">
        <v>24</v>
      </c>
      <c r="O2126" s="16" t="s">
        <v>29</v>
      </c>
      <c r="P2126" s="15">
        <v>212</v>
      </c>
      <c r="Q2126" s="8"/>
      <c r="R2126">
        <v>12.88</v>
      </c>
      <c r="S2126">
        <v>2134.4299999999998</v>
      </c>
      <c r="T2126">
        <v>5.15</v>
      </c>
      <c r="U2126">
        <v>9.25</v>
      </c>
      <c r="V2126">
        <v>129</v>
      </c>
      <c r="W2126" s="317">
        <v>4.5999999999999996</v>
      </c>
      <c r="X2126" s="190">
        <f t="shared" si="90"/>
        <v>50.599999999999994</v>
      </c>
      <c r="Y2126" s="8"/>
      <c r="Z2126" s="8"/>
    </row>
    <row r="2127" spans="1:26" ht="12.75" customHeight="1" x14ac:dyDescent="0.2">
      <c r="A2127" s="15">
        <v>32</v>
      </c>
      <c r="B2127" s="15">
        <v>1999</v>
      </c>
      <c r="C2127" s="15">
        <v>31</v>
      </c>
      <c r="D2127" s="15">
        <v>7</v>
      </c>
      <c r="E2127" s="22" t="s">
        <v>220</v>
      </c>
      <c r="F2127" s="11" t="s">
        <v>51</v>
      </c>
      <c r="G2127" s="15">
        <v>145</v>
      </c>
      <c r="H2127" s="15" t="s">
        <v>29</v>
      </c>
      <c r="I2127" s="25">
        <v>12.5</v>
      </c>
      <c r="J2127" s="11" t="s">
        <v>19</v>
      </c>
      <c r="K2127" s="11" t="s">
        <v>20</v>
      </c>
      <c r="L2127" s="11" t="s">
        <v>21</v>
      </c>
      <c r="M2127" s="11" t="s">
        <v>27</v>
      </c>
      <c r="N2127" s="11" t="s">
        <v>23</v>
      </c>
      <c r="O2127" s="16" t="s">
        <v>29</v>
      </c>
      <c r="P2127" s="15">
        <v>212</v>
      </c>
      <c r="Q2127" s="8"/>
      <c r="R2127">
        <v>13.53</v>
      </c>
      <c r="S2127">
        <v>2475.9899999999998</v>
      </c>
      <c r="T2127">
        <v>5.05</v>
      </c>
      <c r="U2127">
        <v>9.7200000000000006</v>
      </c>
      <c r="V2127">
        <v>135</v>
      </c>
      <c r="W2127" s="317">
        <v>3.9</v>
      </c>
      <c r="X2127" s="190">
        <f t="shared" si="90"/>
        <v>48.75</v>
      </c>
      <c r="Y2127" s="8"/>
      <c r="Z2127" s="8"/>
    </row>
    <row r="2128" spans="1:26" ht="12.75" customHeight="1" x14ac:dyDescent="0.2">
      <c r="A2128" s="15">
        <v>33</v>
      </c>
      <c r="B2128" s="15">
        <v>1999</v>
      </c>
      <c r="C2128" s="15">
        <v>31</v>
      </c>
      <c r="D2128" s="15">
        <v>7</v>
      </c>
      <c r="E2128" s="22" t="s">
        <v>220</v>
      </c>
      <c r="F2128" s="11" t="s">
        <v>51</v>
      </c>
      <c r="G2128" s="15">
        <v>155</v>
      </c>
      <c r="H2128" s="15" t="s">
        <v>29</v>
      </c>
      <c r="I2128" s="25">
        <v>16.5</v>
      </c>
      <c r="J2128" s="11" t="s">
        <v>19</v>
      </c>
      <c r="K2128" s="11" t="s">
        <v>20</v>
      </c>
      <c r="L2128" s="11" t="s">
        <v>21</v>
      </c>
      <c r="M2128" s="11" t="s">
        <v>46</v>
      </c>
      <c r="N2128" s="11" t="s">
        <v>23</v>
      </c>
      <c r="O2128" s="16" t="s">
        <v>29</v>
      </c>
      <c r="P2128" s="15">
        <v>212</v>
      </c>
      <c r="Q2128" s="8"/>
      <c r="R2128">
        <v>14.46</v>
      </c>
      <c r="S2128">
        <v>3024.41</v>
      </c>
      <c r="T2128">
        <v>5.46</v>
      </c>
      <c r="U2128">
        <v>10.39</v>
      </c>
      <c r="V2128">
        <v>145</v>
      </c>
      <c r="W2128" s="317">
        <v>3.9</v>
      </c>
      <c r="X2128" s="190">
        <f t="shared" si="90"/>
        <v>64.349999999999994</v>
      </c>
      <c r="Y2128" s="8"/>
      <c r="Z2128" s="8"/>
    </row>
    <row r="2129" spans="1:26" ht="12.75" customHeight="1" x14ac:dyDescent="0.2">
      <c r="A2129" s="15">
        <v>34</v>
      </c>
      <c r="B2129" s="15">
        <v>1999</v>
      </c>
      <c r="C2129" s="15">
        <v>31</v>
      </c>
      <c r="D2129" s="15">
        <v>7</v>
      </c>
      <c r="E2129" s="22" t="s">
        <v>220</v>
      </c>
      <c r="F2129" s="11" t="s">
        <v>51</v>
      </c>
      <c r="G2129" s="15">
        <v>153</v>
      </c>
      <c r="H2129" s="15" t="s">
        <v>29</v>
      </c>
      <c r="I2129" s="25">
        <v>13.5</v>
      </c>
      <c r="J2129" s="11" t="s">
        <v>19</v>
      </c>
      <c r="K2129" s="11" t="s">
        <v>20</v>
      </c>
      <c r="L2129" s="11" t="s">
        <v>21</v>
      </c>
      <c r="M2129" s="11" t="s">
        <v>27</v>
      </c>
      <c r="N2129" s="11" t="s">
        <v>23</v>
      </c>
      <c r="O2129" s="16" t="s">
        <v>29</v>
      </c>
      <c r="P2129" s="15">
        <v>212</v>
      </c>
      <c r="Q2129" s="8"/>
      <c r="R2129">
        <v>14.27</v>
      </c>
      <c r="S2129">
        <v>2908.84</v>
      </c>
      <c r="T2129">
        <v>4.6399999999999997</v>
      </c>
      <c r="U2129">
        <v>10.25</v>
      </c>
      <c r="V2129">
        <v>143</v>
      </c>
      <c r="W2129" s="317">
        <v>3.9</v>
      </c>
      <c r="X2129" s="190">
        <f t="shared" si="90"/>
        <v>52.65</v>
      </c>
      <c r="Y2129" s="8"/>
      <c r="Z2129" s="8"/>
    </row>
    <row r="2130" spans="1:26" ht="12.75" customHeight="1" x14ac:dyDescent="0.2">
      <c r="A2130" s="15">
        <v>35</v>
      </c>
      <c r="B2130" s="15">
        <v>1999</v>
      </c>
      <c r="C2130" s="15">
        <v>31</v>
      </c>
      <c r="D2130" s="15">
        <v>7</v>
      </c>
      <c r="E2130" s="22" t="s">
        <v>220</v>
      </c>
      <c r="F2130" s="11" t="s">
        <v>51</v>
      </c>
      <c r="G2130" s="15">
        <v>156</v>
      </c>
      <c r="H2130" s="15" t="s">
        <v>29</v>
      </c>
      <c r="I2130" s="25">
        <v>11</v>
      </c>
      <c r="J2130" s="11" t="s">
        <v>19</v>
      </c>
      <c r="K2130" s="11" t="s">
        <v>20</v>
      </c>
      <c r="L2130" s="11" t="s">
        <v>21</v>
      </c>
      <c r="M2130" s="11" t="s">
        <v>27</v>
      </c>
      <c r="N2130" s="11" t="s">
        <v>25</v>
      </c>
      <c r="O2130" s="16" t="s">
        <v>29</v>
      </c>
      <c r="P2130" s="15">
        <v>212</v>
      </c>
      <c r="Q2130" s="8"/>
      <c r="R2130">
        <v>14.55</v>
      </c>
      <c r="S2130">
        <v>3083.32</v>
      </c>
      <c r="T2130">
        <v>3.57</v>
      </c>
      <c r="U2130">
        <v>10.45</v>
      </c>
      <c r="V2130">
        <v>146</v>
      </c>
      <c r="W2130" s="317">
        <v>3.9</v>
      </c>
      <c r="X2130" s="190">
        <f t="shared" si="90"/>
        <v>42.9</v>
      </c>
      <c r="Y2130" s="8"/>
      <c r="Z2130" s="8"/>
    </row>
    <row r="2131" spans="1:26" ht="12.75" customHeight="1" x14ac:dyDescent="0.2">
      <c r="A2131" s="15">
        <v>36</v>
      </c>
      <c r="B2131" s="15">
        <v>1999</v>
      </c>
      <c r="C2131" s="15">
        <v>31</v>
      </c>
      <c r="D2131" s="15">
        <v>7</v>
      </c>
      <c r="E2131" s="22" t="s">
        <v>220</v>
      </c>
      <c r="F2131" s="11" t="s">
        <v>51</v>
      </c>
      <c r="G2131" s="15">
        <v>139</v>
      </c>
      <c r="H2131" s="15" t="s">
        <v>29</v>
      </c>
      <c r="I2131" s="25">
        <v>10.5</v>
      </c>
      <c r="J2131" s="11" t="s">
        <v>19</v>
      </c>
      <c r="K2131" s="11" t="s">
        <v>20</v>
      </c>
      <c r="L2131" s="11" t="s">
        <v>21</v>
      </c>
      <c r="M2131" s="11" t="s">
        <v>45</v>
      </c>
      <c r="N2131" s="11" t="s">
        <v>39</v>
      </c>
      <c r="O2131" s="16" t="s">
        <v>29</v>
      </c>
      <c r="P2131" s="15">
        <v>212</v>
      </c>
      <c r="Q2131" s="8"/>
      <c r="R2131">
        <v>12.97</v>
      </c>
      <c r="S2131">
        <v>2181.17</v>
      </c>
      <c r="T2131">
        <v>4.8099999999999996</v>
      </c>
      <c r="U2131">
        <v>9.31</v>
      </c>
      <c r="V2131">
        <v>130</v>
      </c>
      <c r="W2131" s="317">
        <v>3.9</v>
      </c>
      <c r="X2131" s="190">
        <f t="shared" si="90"/>
        <v>40.949999999999996</v>
      </c>
      <c r="Y2131" s="8"/>
      <c r="Z2131" s="8"/>
    </row>
    <row r="2132" spans="1:26" ht="12.75" customHeight="1" x14ac:dyDescent="0.2">
      <c r="A2132" s="15">
        <v>37</v>
      </c>
      <c r="B2132" s="15">
        <v>1999</v>
      </c>
      <c r="C2132" s="15">
        <v>31</v>
      </c>
      <c r="D2132" s="15">
        <v>7</v>
      </c>
      <c r="E2132" s="22" t="s">
        <v>220</v>
      </c>
      <c r="F2132" s="11" t="s">
        <v>51</v>
      </c>
      <c r="G2132" s="15">
        <v>123</v>
      </c>
      <c r="H2132" s="15" t="s">
        <v>29</v>
      </c>
      <c r="I2132" s="25">
        <v>6.5</v>
      </c>
      <c r="J2132" s="11" t="s">
        <v>19</v>
      </c>
      <c r="K2132" s="11" t="s">
        <v>41</v>
      </c>
      <c r="L2132" s="11" t="s">
        <v>35</v>
      </c>
      <c r="M2132" s="11" t="s">
        <v>45</v>
      </c>
      <c r="N2132" s="11" t="s">
        <v>39</v>
      </c>
      <c r="O2132" s="16" t="s">
        <v>29</v>
      </c>
      <c r="P2132" s="15">
        <v>212</v>
      </c>
      <c r="Q2132" s="8"/>
      <c r="R2132">
        <v>11.48</v>
      </c>
      <c r="S2132">
        <v>1511.33</v>
      </c>
      <c r="T2132">
        <v>4.3</v>
      </c>
      <c r="U2132">
        <v>8.24</v>
      </c>
      <c r="V2132">
        <v>115</v>
      </c>
      <c r="W2132" s="8"/>
      <c r="X2132" s="8"/>
      <c r="Y2132" s="8"/>
      <c r="Z2132" s="8"/>
    </row>
    <row r="2133" spans="1:26" ht="12.75" customHeight="1" x14ac:dyDescent="0.2">
      <c r="A2133" s="15">
        <v>38</v>
      </c>
      <c r="B2133" s="15">
        <v>1999</v>
      </c>
      <c r="C2133" s="15">
        <v>31</v>
      </c>
      <c r="D2133" s="15">
        <v>7</v>
      </c>
      <c r="E2133" s="22" t="s">
        <v>220</v>
      </c>
      <c r="F2133" s="11" t="s">
        <v>51</v>
      </c>
      <c r="G2133" s="15">
        <v>150</v>
      </c>
      <c r="H2133" s="15" t="s">
        <v>29</v>
      </c>
      <c r="I2133" s="25">
        <v>15</v>
      </c>
      <c r="J2133" s="11" t="s">
        <v>19</v>
      </c>
      <c r="K2133" s="11" t="s">
        <v>20</v>
      </c>
      <c r="L2133" s="11" t="s">
        <v>21</v>
      </c>
      <c r="M2133" s="11" t="s">
        <v>45</v>
      </c>
      <c r="N2133" s="11" t="s">
        <v>24</v>
      </c>
      <c r="O2133" s="16" t="s">
        <v>29</v>
      </c>
      <c r="P2133" s="15">
        <v>212</v>
      </c>
      <c r="Q2133" s="8"/>
      <c r="R2133">
        <v>14</v>
      </c>
      <c r="S2133">
        <v>2741.06</v>
      </c>
      <c r="T2133">
        <v>5.47</v>
      </c>
      <c r="U2133">
        <v>10.050000000000001</v>
      </c>
      <c r="V2133">
        <v>140</v>
      </c>
      <c r="W2133" s="317">
        <v>3.9</v>
      </c>
      <c r="X2133" s="190">
        <f t="shared" ref="X2133:X2160" si="91">I2133*W2133</f>
        <v>58.5</v>
      </c>
      <c r="Y2133" s="8"/>
      <c r="Z2133" s="8"/>
    </row>
    <row r="2134" spans="1:26" ht="12.75" customHeight="1" x14ac:dyDescent="0.2">
      <c r="A2134" s="15">
        <v>39</v>
      </c>
      <c r="B2134" s="15">
        <v>1999</v>
      </c>
      <c r="C2134" s="15">
        <v>31</v>
      </c>
      <c r="D2134" s="15">
        <v>7</v>
      </c>
      <c r="E2134" s="22" t="s">
        <v>220</v>
      </c>
      <c r="F2134" s="11" t="s">
        <v>51</v>
      </c>
      <c r="G2134" s="15">
        <v>141</v>
      </c>
      <c r="H2134" s="15" t="s">
        <v>29</v>
      </c>
      <c r="I2134" s="25">
        <v>12.5</v>
      </c>
      <c r="J2134" s="11" t="s">
        <v>19</v>
      </c>
      <c r="K2134" s="11" t="s">
        <v>20</v>
      </c>
      <c r="L2134" s="11" t="s">
        <v>21</v>
      </c>
      <c r="M2134" s="11" t="s">
        <v>46</v>
      </c>
      <c r="N2134" s="11" t="s">
        <v>24</v>
      </c>
      <c r="O2134" s="16" t="s">
        <v>29</v>
      </c>
      <c r="P2134" s="15">
        <v>212</v>
      </c>
      <c r="Q2134" s="8"/>
      <c r="R2134">
        <v>13.16</v>
      </c>
      <c r="S2134">
        <v>2276.6799999999998</v>
      </c>
      <c r="T2134">
        <v>5.49</v>
      </c>
      <c r="U2134">
        <v>9.4499999999999993</v>
      </c>
      <c r="V2134">
        <v>132</v>
      </c>
      <c r="W2134" s="317">
        <v>3.9</v>
      </c>
      <c r="X2134" s="190">
        <f t="shared" si="91"/>
        <v>48.75</v>
      </c>
      <c r="Y2134" s="8"/>
      <c r="Z2134" s="8"/>
    </row>
    <row r="2135" spans="1:26" ht="12.75" customHeight="1" x14ac:dyDescent="0.2">
      <c r="A2135" s="15">
        <v>40</v>
      </c>
      <c r="B2135" s="15">
        <v>1999</v>
      </c>
      <c r="C2135" s="15">
        <v>31</v>
      </c>
      <c r="D2135" s="15">
        <v>7</v>
      </c>
      <c r="E2135" s="22" t="s">
        <v>220</v>
      </c>
      <c r="F2135" s="11" t="s">
        <v>51</v>
      </c>
      <c r="G2135" s="15">
        <v>142</v>
      </c>
      <c r="H2135" s="15" t="s">
        <v>29</v>
      </c>
      <c r="I2135" s="25">
        <v>11</v>
      </c>
      <c r="J2135" s="11" t="s">
        <v>19</v>
      </c>
      <c r="K2135" s="11" t="s">
        <v>20</v>
      </c>
      <c r="L2135" s="11" t="s">
        <v>21</v>
      </c>
      <c r="M2135" s="11" t="s">
        <v>29</v>
      </c>
      <c r="N2135" s="11" t="s">
        <v>25</v>
      </c>
      <c r="O2135" s="16" t="s">
        <v>29</v>
      </c>
      <c r="P2135" s="15">
        <v>212</v>
      </c>
      <c r="Q2135" s="8"/>
      <c r="R2135">
        <v>13.25</v>
      </c>
      <c r="S2135">
        <v>2325.4699999999998</v>
      </c>
      <c r="T2135">
        <v>4.7300000000000004</v>
      </c>
      <c r="U2135">
        <v>9.51</v>
      </c>
      <c r="V2135">
        <v>132</v>
      </c>
      <c r="W2135" s="317">
        <v>3.9</v>
      </c>
      <c r="X2135" s="190">
        <f t="shared" si="91"/>
        <v>42.9</v>
      </c>
      <c r="Y2135" s="8"/>
      <c r="Z2135" s="8"/>
    </row>
    <row r="2136" spans="1:26" ht="12.75" customHeight="1" x14ac:dyDescent="0.2">
      <c r="A2136" s="15">
        <v>41</v>
      </c>
      <c r="B2136" s="15">
        <v>1999</v>
      </c>
      <c r="C2136" s="15">
        <v>29</v>
      </c>
      <c r="D2136" s="15">
        <v>7</v>
      </c>
      <c r="E2136" s="22" t="s">
        <v>17</v>
      </c>
      <c r="F2136" s="11" t="s">
        <v>28</v>
      </c>
      <c r="G2136" s="11" t="s">
        <v>29</v>
      </c>
      <c r="H2136" s="15" t="s">
        <v>29</v>
      </c>
      <c r="I2136" s="25">
        <v>5.5</v>
      </c>
      <c r="J2136" s="11" t="s">
        <v>19</v>
      </c>
      <c r="K2136" s="11" t="s">
        <v>20</v>
      </c>
      <c r="L2136" s="11" t="s">
        <v>21</v>
      </c>
      <c r="M2136" s="11" t="s">
        <v>29</v>
      </c>
      <c r="N2136" s="11" t="s">
        <v>29</v>
      </c>
      <c r="O2136" s="16" t="s">
        <v>29</v>
      </c>
      <c r="P2136" s="15">
        <v>210</v>
      </c>
      <c r="Q2136" s="8"/>
      <c r="W2136" s="317">
        <v>3.9</v>
      </c>
      <c r="X2136" s="190">
        <f t="shared" si="91"/>
        <v>21.45</v>
      </c>
      <c r="Y2136" s="8"/>
      <c r="Z2136" s="8"/>
    </row>
    <row r="2137" spans="1:26" ht="12.75" customHeight="1" x14ac:dyDescent="0.2">
      <c r="A2137" s="15">
        <v>42</v>
      </c>
      <c r="B2137" s="15">
        <v>1999</v>
      </c>
      <c r="C2137" s="15">
        <v>29</v>
      </c>
      <c r="D2137" s="15">
        <v>7</v>
      </c>
      <c r="E2137" s="22" t="s">
        <v>17</v>
      </c>
      <c r="F2137" s="11" t="s">
        <v>51</v>
      </c>
      <c r="G2137" s="15">
        <v>123</v>
      </c>
      <c r="H2137" s="15" t="s">
        <v>29</v>
      </c>
      <c r="I2137" s="25">
        <v>9</v>
      </c>
      <c r="J2137" s="11" t="s">
        <v>19</v>
      </c>
      <c r="K2137" s="11" t="s">
        <v>20</v>
      </c>
      <c r="L2137" s="11" t="s">
        <v>21</v>
      </c>
      <c r="M2137" s="11" t="s">
        <v>27</v>
      </c>
      <c r="N2137" s="11" t="s">
        <v>24</v>
      </c>
      <c r="O2137" s="16" t="s">
        <v>29</v>
      </c>
      <c r="P2137" s="15">
        <v>210</v>
      </c>
      <c r="Q2137" s="8"/>
      <c r="R2137">
        <v>11.48</v>
      </c>
      <c r="S2137">
        <v>1511.33</v>
      </c>
      <c r="T2137">
        <v>5.96</v>
      </c>
      <c r="U2137">
        <v>8.24</v>
      </c>
      <c r="V2137">
        <v>115</v>
      </c>
      <c r="W2137" s="317">
        <v>3.9</v>
      </c>
      <c r="X2137" s="190">
        <f t="shared" si="91"/>
        <v>35.1</v>
      </c>
      <c r="Y2137" s="8"/>
      <c r="Z2137" s="8"/>
    </row>
    <row r="2138" spans="1:26" ht="12.75" customHeight="1" x14ac:dyDescent="0.2">
      <c r="A2138" s="15">
        <v>43</v>
      </c>
      <c r="B2138" s="15">
        <v>1999</v>
      </c>
      <c r="C2138" s="15">
        <v>27</v>
      </c>
      <c r="D2138" s="15">
        <v>7</v>
      </c>
      <c r="E2138" s="22" t="s">
        <v>17</v>
      </c>
      <c r="F2138" s="11" t="s">
        <v>51</v>
      </c>
      <c r="G2138" s="15">
        <v>129</v>
      </c>
      <c r="H2138" s="15" t="s">
        <v>29</v>
      </c>
      <c r="I2138" s="25">
        <v>7.5</v>
      </c>
      <c r="J2138" s="11" t="s">
        <v>19</v>
      </c>
      <c r="K2138" s="11" t="s">
        <v>20</v>
      </c>
      <c r="L2138" s="11" t="s">
        <v>21</v>
      </c>
      <c r="M2138" s="11" t="s">
        <v>46</v>
      </c>
      <c r="N2138" s="11" t="s">
        <v>23</v>
      </c>
      <c r="O2138" s="16" t="s">
        <v>29</v>
      </c>
      <c r="P2138" s="15">
        <v>208</v>
      </c>
      <c r="Q2138" s="8"/>
      <c r="R2138">
        <v>12.04</v>
      </c>
      <c r="S2138">
        <v>1743.47</v>
      </c>
      <c r="T2138">
        <v>4.3</v>
      </c>
      <c r="U2138">
        <v>8.64</v>
      </c>
      <c r="V2138">
        <v>120</v>
      </c>
      <c r="W2138" s="317">
        <v>3.9</v>
      </c>
      <c r="X2138" s="190">
        <f t="shared" si="91"/>
        <v>29.25</v>
      </c>
      <c r="Y2138" s="8"/>
      <c r="Z2138" s="8"/>
    </row>
    <row r="2139" spans="1:26" ht="12.75" customHeight="1" x14ac:dyDescent="0.2">
      <c r="A2139" s="15">
        <v>44</v>
      </c>
      <c r="B2139" s="15">
        <v>1999</v>
      </c>
      <c r="C2139" s="15">
        <v>27</v>
      </c>
      <c r="D2139" s="15">
        <v>7</v>
      </c>
      <c r="E2139" s="22" t="s">
        <v>17</v>
      </c>
      <c r="F2139" s="11" t="s">
        <v>51</v>
      </c>
      <c r="G2139" s="15">
        <v>137</v>
      </c>
      <c r="H2139" s="15" t="s">
        <v>29</v>
      </c>
      <c r="I2139" s="25">
        <v>10.5</v>
      </c>
      <c r="J2139" s="11" t="s">
        <v>19</v>
      </c>
      <c r="K2139" s="11" t="s">
        <v>20</v>
      </c>
      <c r="L2139" s="11" t="s">
        <v>30</v>
      </c>
      <c r="M2139" s="11" t="s">
        <v>45</v>
      </c>
      <c r="N2139" s="11" t="s">
        <v>24</v>
      </c>
      <c r="O2139" s="16" t="s">
        <v>29</v>
      </c>
      <c r="P2139" s="15">
        <v>208</v>
      </c>
      <c r="Q2139" s="8"/>
      <c r="R2139">
        <v>12.78</v>
      </c>
      <c r="S2139">
        <v>2088.37</v>
      </c>
      <c r="T2139">
        <v>5.03</v>
      </c>
      <c r="U2139">
        <v>9.18</v>
      </c>
      <c r="V2139">
        <v>128</v>
      </c>
      <c r="W2139" s="317">
        <v>4.5999999999999996</v>
      </c>
      <c r="X2139" s="190">
        <f t="shared" si="91"/>
        <v>48.3</v>
      </c>
      <c r="Y2139" s="8"/>
      <c r="Z2139" s="8"/>
    </row>
    <row r="2140" spans="1:26" ht="12.75" customHeight="1" x14ac:dyDescent="0.2">
      <c r="A2140" s="15">
        <v>45</v>
      </c>
      <c r="B2140" s="15">
        <v>1999</v>
      </c>
      <c r="C2140" s="15">
        <v>27</v>
      </c>
      <c r="D2140" s="15">
        <v>7</v>
      </c>
      <c r="E2140" s="22" t="s">
        <v>17</v>
      </c>
      <c r="F2140" s="11" t="s">
        <v>51</v>
      </c>
      <c r="G2140" s="15">
        <v>164</v>
      </c>
      <c r="H2140" s="15" t="s">
        <v>29</v>
      </c>
      <c r="I2140" s="25">
        <v>22</v>
      </c>
      <c r="J2140" s="11" t="s">
        <v>19</v>
      </c>
      <c r="K2140" s="11" t="s">
        <v>20</v>
      </c>
      <c r="L2140" s="11" t="s">
        <v>30</v>
      </c>
      <c r="M2140" s="11" t="s">
        <v>46</v>
      </c>
      <c r="N2140" s="11" t="s">
        <v>24</v>
      </c>
      <c r="O2140" s="16" t="s">
        <v>29</v>
      </c>
      <c r="P2140" s="15">
        <v>208</v>
      </c>
      <c r="Q2140" s="8"/>
      <c r="R2140">
        <v>15.3</v>
      </c>
      <c r="S2140">
        <v>3582.42</v>
      </c>
      <c r="T2140">
        <v>6.14</v>
      </c>
      <c r="U2140">
        <v>10.99</v>
      </c>
      <c r="V2140">
        <v>153</v>
      </c>
      <c r="W2140" s="317">
        <v>4.5999999999999996</v>
      </c>
      <c r="X2140" s="190">
        <f t="shared" si="91"/>
        <v>101.19999999999999</v>
      </c>
      <c r="Y2140" s="8"/>
      <c r="Z2140" s="8"/>
    </row>
    <row r="2141" spans="1:26" ht="12.75" customHeight="1" x14ac:dyDescent="0.2">
      <c r="A2141" s="15">
        <v>46</v>
      </c>
      <c r="B2141" s="15">
        <v>1999</v>
      </c>
      <c r="C2141" s="15">
        <v>27</v>
      </c>
      <c r="D2141" s="15">
        <v>7</v>
      </c>
      <c r="E2141" s="22" t="s">
        <v>17</v>
      </c>
      <c r="F2141" s="11" t="s">
        <v>51</v>
      </c>
      <c r="G2141" s="15">
        <v>159</v>
      </c>
      <c r="H2141" s="15" t="s">
        <v>29</v>
      </c>
      <c r="I2141" s="25">
        <v>19</v>
      </c>
      <c r="J2141" s="11" t="s">
        <v>19</v>
      </c>
      <c r="K2141" s="11" t="s">
        <v>20</v>
      </c>
      <c r="L2141" s="11" t="s">
        <v>30</v>
      </c>
      <c r="M2141" s="11" t="s">
        <v>46</v>
      </c>
      <c r="N2141" s="11" t="s">
        <v>25</v>
      </c>
      <c r="O2141" s="16" t="s">
        <v>29</v>
      </c>
      <c r="P2141" s="15">
        <v>208</v>
      </c>
      <c r="Q2141" s="8"/>
      <c r="R2141">
        <v>14.83</v>
      </c>
      <c r="S2141">
        <v>3264.65</v>
      </c>
      <c r="T2141">
        <v>5.82</v>
      </c>
      <c r="U2141">
        <v>10.65</v>
      </c>
      <c r="V2141">
        <v>148</v>
      </c>
      <c r="W2141" s="317">
        <v>4.5999999999999996</v>
      </c>
      <c r="X2141" s="190">
        <f t="shared" si="91"/>
        <v>87.399999999999991</v>
      </c>
      <c r="Y2141" s="8"/>
      <c r="Z2141" s="8"/>
    </row>
    <row r="2142" spans="1:26" ht="12.75" customHeight="1" x14ac:dyDescent="0.2">
      <c r="A2142" s="15">
        <v>47</v>
      </c>
      <c r="B2142" s="15">
        <v>1999</v>
      </c>
      <c r="C2142" s="15">
        <v>27</v>
      </c>
      <c r="D2142" s="15">
        <v>7</v>
      </c>
      <c r="E2142" s="22" t="s">
        <v>17</v>
      </c>
      <c r="F2142" s="11" t="s">
        <v>51</v>
      </c>
      <c r="G2142" s="15">
        <v>153</v>
      </c>
      <c r="H2142" s="15" t="s">
        <v>29</v>
      </c>
      <c r="I2142" s="25">
        <v>15</v>
      </c>
      <c r="J2142" s="11" t="s">
        <v>19</v>
      </c>
      <c r="K2142" s="11" t="s">
        <v>20</v>
      </c>
      <c r="L2142" s="11" t="s">
        <v>30</v>
      </c>
      <c r="M2142" s="11" t="s">
        <v>45</v>
      </c>
      <c r="N2142" s="11" t="s">
        <v>39</v>
      </c>
      <c r="O2142" s="16" t="s">
        <v>29</v>
      </c>
      <c r="P2142" s="15">
        <v>208</v>
      </c>
      <c r="Q2142" s="8"/>
      <c r="R2142">
        <v>14.27</v>
      </c>
      <c r="S2142">
        <v>2908.84</v>
      </c>
      <c r="T2142">
        <v>5.16</v>
      </c>
      <c r="U2142">
        <v>10.25</v>
      </c>
      <c r="V2142">
        <v>143</v>
      </c>
      <c r="W2142" s="317">
        <v>4.5999999999999996</v>
      </c>
      <c r="X2142" s="190">
        <f t="shared" si="91"/>
        <v>69</v>
      </c>
      <c r="Y2142" s="8"/>
      <c r="Z2142" s="8"/>
    </row>
    <row r="2143" spans="1:26" ht="12.75" customHeight="1" x14ac:dyDescent="0.2">
      <c r="A2143" s="15">
        <v>48</v>
      </c>
      <c r="B2143" s="15">
        <v>1999</v>
      </c>
      <c r="C2143" s="15">
        <v>27</v>
      </c>
      <c r="D2143" s="15">
        <v>7</v>
      </c>
      <c r="E2143" s="22" t="s">
        <v>17</v>
      </c>
      <c r="F2143" s="11" t="s">
        <v>51</v>
      </c>
      <c r="G2143" s="15">
        <v>149</v>
      </c>
      <c r="H2143" s="15" t="s">
        <v>29</v>
      </c>
      <c r="I2143" s="25">
        <v>14</v>
      </c>
      <c r="J2143" s="11" t="s">
        <v>19</v>
      </c>
      <c r="K2143" s="11" t="s">
        <v>20</v>
      </c>
      <c r="L2143" s="11" t="s">
        <v>21</v>
      </c>
      <c r="M2143" s="11" t="s">
        <v>45</v>
      </c>
      <c r="N2143" s="11" t="s">
        <v>23</v>
      </c>
      <c r="O2143" s="16" t="s">
        <v>29</v>
      </c>
      <c r="P2143" s="15">
        <v>208</v>
      </c>
      <c r="Q2143" s="8"/>
      <c r="R2143">
        <v>13.9</v>
      </c>
      <c r="S2143">
        <v>2686.6</v>
      </c>
      <c r="T2143">
        <v>5.21</v>
      </c>
      <c r="U2143">
        <v>9.98</v>
      </c>
      <c r="V2143">
        <v>139</v>
      </c>
      <c r="W2143" s="317">
        <v>3.9</v>
      </c>
      <c r="X2143" s="190">
        <f t="shared" si="91"/>
        <v>54.6</v>
      </c>
      <c r="Y2143" s="8"/>
      <c r="Z2143" s="8"/>
    </row>
    <row r="2144" spans="1:26" ht="12.75" customHeight="1" x14ac:dyDescent="0.2">
      <c r="A2144" s="15">
        <v>49</v>
      </c>
      <c r="B2144" s="15">
        <v>1999</v>
      </c>
      <c r="C2144" s="15">
        <v>27</v>
      </c>
      <c r="D2144" s="15">
        <v>7</v>
      </c>
      <c r="E2144" s="22" t="s">
        <v>17</v>
      </c>
      <c r="F2144" s="11" t="s">
        <v>51</v>
      </c>
      <c r="G2144" s="15">
        <v>163</v>
      </c>
      <c r="H2144" s="15" t="s">
        <v>29</v>
      </c>
      <c r="I2144" s="25">
        <v>22</v>
      </c>
      <c r="J2144" s="11" t="s">
        <v>19</v>
      </c>
      <c r="K2144" s="11" t="s">
        <v>20</v>
      </c>
      <c r="L2144" s="11" t="s">
        <v>21</v>
      </c>
      <c r="M2144" s="11" t="s">
        <v>27</v>
      </c>
      <c r="N2144" s="11" t="s">
        <v>24</v>
      </c>
      <c r="O2144" s="16" t="s">
        <v>29</v>
      </c>
      <c r="P2144" s="15">
        <v>208</v>
      </c>
      <c r="Q2144" s="8"/>
      <c r="R2144">
        <v>15.21</v>
      </c>
      <c r="S2144">
        <v>3517.29</v>
      </c>
      <c r="T2144">
        <v>6.25</v>
      </c>
      <c r="U2144">
        <v>10.92</v>
      </c>
      <c r="V2144">
        <v>152</v>
      </c>
      <c r="W2144" s="317">
        <v>3.9</v>
      </c>
      <c r="X2144" s="190">
        <f t="shared" si="91"/>
        <v>85.8</v>
      </c>
      <c r="Y2144" s="8"/>
      <c r="Z2144" s="8"/>
    </row>
    <row r="2145" spans="1:26" ht="12.75" customHeight="1" x14ac:dyDescent="0.2">
      <c r="A2145" s="15">
        <v>50</v>
      </c>
      <c r="B2145" s="15">
        <v>1999</v>
      </c>
      <c r="C2145" s="15">
        <v>27</v>
      </c>
      <c r="D2145" s="15">
        <v>7</v>
      </c>
      <c r="E2145" s="22" t="s">
        <v>17</v>
      </c>
      <c r="F2145" s="11" t="s">
        <v>51</v>
      </c>
      <c r="G2145" s="15">
        <v>166</v>
      </c>
      <c r="H2145" s="15" t="s">
        <v>29</v>
      </c>
      <c r="I2145" s="25">
        <v>18</v>
      </c>
      <c r="J2145" s="11" t="s">
        <v>19</v>
      </c>
      <c r="K2145" s="11" t="s">
        <v>20</v>
      </c>
      <c r="L2145" s="11" t="s">
        <v>21</v>
      </c>
      <c r="M2145" s="11" t="s">
        <v>46</v>
      </c>
      <c r="N2145" s="11" t="s">
        <v>24</v>
      </c>
      <c r="O2145" s="16" t="s">
        <v>29</v>
      </c>
      <c r="P2145" s="15">
        <v>208</v>
      </c>
      <c r="Q2145" s="8"/>
      <c r="R2145">
        <v>15.49</v>
      </c>
      <c r="S2145">
        <v>3715.09</v>
      </c>
      <c r="T2145">
        <v>4.8499999999999996</v>
      </c>
      <c r="U2145">
        <v>11.12</v>
      </c>
      <c r="V2145">
        <v>155</v>
      </c>
      <c r="W2145" s="317">
        <v>3.9</v>
      </c>
      <c r="X2145" s="190">
        <f t="shared" si="91"/>
        <v>70.2</v>
      </c>
      <c r="Y2145" s="8"/>
      <c r="Z2145" s="8"/>
    </row>
    <row r="2146" spans="1:26" ht="12.75" customHeight="1" x14ac:dyDescent="0.2">
      <c r="A2146" s="15">
        <v>51</v>
      </c>
      <c r="B2146" s="15">
        <v>1999</v>
      </c>
      <c r="C2146" s="15">
        <v>27</v>
      </c>
      <c r="D2146" s="15">
        <v>7</v>
      </c>
      <c r="E2146" s="22" t="s">
        <v>17</v>
      </c>
      <c r="F2146" s="11" t="s">
        <v>51</v>
      </c>
      <c r="G2146" s="15">
        <v>125</v>
      </c>
      <c r="H2146" s="15" t="s">
        <v>29</v>
      </c>
      <c r="I2146" s="25">
        <v>7.5</v>
      </c>
      <c r="J2146" s="11" t="s">
        <v>19</v>
      </c>
      <c r="K2146" s="11" t="s">
        <v>20</v>
      </c>
      <c r="L2146" s="11" t="s">
        <v>21</v>
      </c>
      <c r="M2146" s="11" t="s">
        <v>45</v>
      </c>
      <c r="N2146" s="11" t="s">
        <v>25</v>
      </c>
      <c r="O2146" s="16" t="s">
        <v>29</v>
      </c>
      <c r="P2146" s="15">
        <v>208</v>
      </c>
      <c r="Q2146" s="8"/>
      <c r="R2146">
        <v>11.66</v>
      </c>
      <c r="S2146">
        <v>1586.26</v>
      </c>
      <c r="T2146">
        <v>4.7300000000000004</v>
      </c>
      <c r="U2146">
        <v>8.3800000000000008</v>
      </c>
      <c r="V2146">
        <v>117</v>
      </c>
      <c r="W2146" s="317">
        <v>3.9</v>
      </c>
      <c r="X2146" s="190">
        <f t="shared" si="91"/>
        <v>29.25</v>
      </c>
      <c r="Y2146" s="8"/>
      <c r="Z2146" s="8"/>
    </row>
    <row r="2147" spans="1:26" ht="12.75" customHeight="1" x14ac:dyDescent="0.2">
      <c r="A2147" s="15">
        <v>52</v>
      </c>
      <c r="B2147" s="15">
        <v>1999</v>
      </c>
      <c r="C2147" s="15">
        <v>27</v>
      </c>
      <c r="D2147" s="15">
        <v>7</v>
      </c>
      <c r="E2147" s="22" t="s">
        <v>17</v>
      </c>
      <c r="F2147" s="11" t="s">
        <v>51</v>
      </c>
      <c r="G2147" s="15">
        <v>152</v>
      </c>
      <c r="H2147" s="15" t="s">
        <v>29</v>
      </c>
      <c r="I2147" s="25">
        <v>16.5</v>
      </c>
      <c r="J2147" s="11" t="s">
        <v>19</v>
      </c>
      <c r="K2147" s="11" t="s">
        <v>20</v>
      </c>
      <c r="L2147" s="11" t="s">
        <v>21</v>
      </c>
      <c r="M2147" s="11" t="s">
        <v>45</v>
      </c>
      <c r="N2147" s="11" t="s">
        <v>39</v>
      </c>
      <c r="O2147" s="16" t="s">
        <v>29</v>
      </c>
      <c r="P2147" s="15">
        <v>208</v>
      </c>
      <c r="Q2147" s="8"/>
      <c r="R2147">
        <v>14.18</v>
      </c>
      <c r="S2147">
        <v>2852.17</v>
      </c>
      <c r="T2147">
        <v>5.79</v>
      </c>
      <c r="U2147">
        <v>10.18</v>
      </c>
      <c r="V2147">
        <v>142</v>
      </c>
      <c r="W2147" s="317">
        <v>3.9</v>
      </c>
      <c r="X2147" s="190">
        <f t="shared" si="91"/>
        <v>64.349999999999994</v>
      </c>
      <c r="Y2147" s="8"/>
      <c r="Z2147" s="8"/>
    </row>
    <row r="2148" spans="1:26" ht="12.75" customHeight="1" x14ac:dyDescent="0.2">
      <c r="A2148" s="15">
        <v>53</v>
      </c>
      <c r="B2148" s="15">
        <v>1999</v>
      </c>
      <c r="C2148" s="15">
        <v>27</v>
      </c>
      <c r="D2148" s="15">
        <v>7</v>
      </c>
      <c r="E2148" s="22" t="s">
        <v>17</v>
      </c>
      <c r="F2148" s="11" t="s">
        <v>51</v>
      </c>
      <c r="G2148" s="15">
        <v>139</v>
      </c>
      <c r="H2148" s="15" t="s">
        <v>29</v>
      </c>
      <c r="I2148" s="25">
        <v>12.5</v>
      </c>
      <c r="J2148" s="11" t="s">
        <v>19</v>
      </c>
      <c r="K2148" s="11" t="s">
        <v>20</v>
      </c>
      <c r="L2148" s="11" t="s">
        <v>21</v>
      </c>
      <c r="M2148" s="11" t="s">
        <v>27</v>
      </c>
      <c r="N2148" s="11" t="s">
        <v>24</v>
      </c>
      <c r="O2148" s="16" t="s">
        <v>29</v>
      </c>
      <c r="P2148" s="15">
        <v>208</v>
      </c>
      <c r="Q2148" s="8"/>
      <c r="R2148">
        <v>12.97</v>
      </c>
      <c r="S2148">
        <v>2181.17</v>
      </c>
      <c r="T2148">
        <v>5.73</v>
      </c>
      <c r="U2148">
        <v>9.31</v>
      </c>
      <c r="V2148">
        <v>130</v>
      </c>
      <c r="W2148" s="317">
        <v>3.9</v>
      </c>
      <c r="X2148" s="190">
        <f t="shared" si="91"/>
        <v>48.75</v>
      </c>
      <c r="Y2148" s="8"/>
      <c r="Z2148" s="8"/>
    </row>
    <row r="2149" spans="1:26" ht="12.75" customHeight="1" x14ac:dyDescent="0.2">
      <c r="A2149" s="15">
        <v>54</v>
      </c>
      <c r="B2149" s="15">
        <v>1999</v>
      </c>
      <c r="C2149" s="15">
        <v>27</v>
      </c>
      <c r="D2149" s="15">
        <v>7</v>
      </c>
      <c r="E2149" s="22" t="s">
        <v>17</v>
      </c>
      <c r="F2149" s="11" t="s">
        <v>51</v>
      </c>
      <c r="G2149" s="15">
        <v>167</v>
      </c>
      <c r="H2149" s="15" t="s">
        <v>29</v>
      </c>
      <c r="I2149" s="25">
        <v>16.5</v>
      </c>
      <c r="J2149" s="11" t="s">
        <v>19</v>
      </c>
      <c r="K2149" s="11" t="s">
        <v>20</v>
      </c>
      <c r="L2149" s="11" t="s">
        <v>21</v>
      </c>
      <c r="M2149" s="11" t="s">
        <v>27</v>
      </c>
      <c r="N2149" s="11" t="s">
        <v>24</v>
      </c>
      <c r="O2149" s="16" t="s">
        <v>29</v>
      </c>
      <c r="P2149" s="15">
        <v>208</v>
      </c>
      <c r="Q2149" s="8"/>
      <c r="R2149">
        <v>15.58</v>
      </c>
      <c r="S2149">
        <v>3782.63</v>
      </c>
      <c r="T2149">
        <v>4.3600000000000003</v>
      </c>
      <c r="U2149">
        <v>11.19</v>
      </c>
      <c r="V2149">
        <v>156</v>
      </c>
      <c r="W2149" s="317">
        <v>3.9</v>
      </c>
      <c r="X2149" s="190">
        <f t="shared" si="91"/>
        <v>64.349999999999994</v>
      </c>
      <c r="Y2149" s="8"/>
      <c r="Z2149" s="8"/>
    </row>
    <row r="2150" spans="1:26" ht="12.75" customHeight="1" x14ac:dyDescent="0.2">
      <c r="A2150" s="15">
        <v>55</v>
      </c>
      <c r="B2150" s="15">
        <v>1999</v>
      </c>
      <c r="C2150" s="15">
        <v>27</v>
      </c>
      <c r="D2150" s="15">
        <v>7</v>
      </c>
      <c r="E2150" s="22" t="s">
        <v>17</v>
      </c>
      <c r="F2150" s="11" t="s">
        <v>51</v>
      </c>
      <c r="G2150" s="15">
        <v>140</v>
      </c>
      <c r="H2150" s="15" t="s">
        <v>29</v>
      </c>
      <c r="I2150" s="25">
        <v>10</v>
      </c>
      <c r="J2150" s="11" t="s">
        <v>19</v>
      </c>
      <c r="K2150" s="11" t="s">
        <v>20</v>
      </c>
      <c r="L2150" s="11" t="s">
        <v>21</v>
      </c>
      <c r="M2150" s="11" t="s">
        <v>46</v>
      </c>
      <c r="N2150" s="11" t="s">
        <v>25</v>
      </c>
      <c r="O2150" s="16" t="s">
        <v>29</v>
      </c>
      <c r="P2150" s="15">
        <v>208</v>
      </c>
      <c r="Q2150" s="8"/>
      <c r="R2150">
        <v>13.06</v>
      </c>
      <c r="S2150">
        <v>2228.58</v>
      </c>
      <c r="T2150">
        <v>4.49</v>
      </c>
      <c r="U2150">
        <v>9.3800000000000008</v>
      </c>
      <c r="V2150">
        <v>131</v>
      </c>
      <c r="W2150" s="317">
        <v>3.9</v>
      </c>
      <c r="X2150" s="190">
        <f t="shared" si="91"/>
        <v>39</v>
      </c>
      <c r="Y2150" s="8"/>
      <c r="Z2150" s="8"/>
    </row>
    <row r="2151" spans="1:26" ht="12.75" customHeight="1" x14ac:dyDescent="0.2">
      <c r="A2151" s="15">
        <v>56</v>
      </c>
      <c r="B2151" s="15">
        <v>1999</v>
      </c>
      <c r="C2151" s="15">
        <v>27</v>
      </c>
      <c r="D2151" s="15">
        <v>7</v>
      </c>
      <c r="E2151" s="22" t="s">
        <v>17</v>
      </c>
      <c r="F2151" s="11" t="s">
        <v>51</v>
      </c>
      <c r="G2151" s="15">
        <v>134</v>
      </c>
      <c r="H2151" s="15" t="s">
        <v>29</v>
      </c>
      <c r="I2151" s="25">
        <v>9.5</v>
      </c>
      <c r="J2151" s="11" t="s">
        <v>19</v>
      </c>
      <c r="K2151" s="11" t="s">
        <v>20</v>
      </c>
      <c r="L2151" s="11" t="s">
        <v>21</v>
      </c>
      <c r="M2151" s="11" t="s">
        <v>46</v>
      </c>
      <c r="N2151" s="11" t="s">
        <v>24</v>
      </c>
      <c r="O2151" s="16" t="s">
        <v>29</v>
      </c>
      <c r="P2151" s="15">
        <v>208</v>
      </c>
      <c r="Q2151" s="8"/>
      <c r="R2151">
        <v>12.5</v>
      </c>
      <c r="S2151">
        <v>1954.16</v>
      </c>
      <c r="T2151">
        <v>4.8600000000000003</v>
      </c>
      <c r="U2151">
        <v>8.98</v>
      </c>
      <c r="V2151">
        <v>125</v>
      </c>
      <c r="W2151" s="317">
        <v>3.9</v>
      </c>
      <c r="X2151" s="190">
        <f t="shared" si="91"/>
        <v>37.049999999999997</v>
      </c>
      <c r="Y2151" s="8"/>
      <c r="Z2151" s="8"/>
    </row>
    <row r="2152" spans="1:26" ht="12.75" customHeight="1" x14ac:dyDescent="0.2">
      <c r="A2152" s="15">
        <v>57</v>
      </c>
      <c r="B2152" s="15">
        <v>1999</v>
      </c>
      <c r="C2152" s="15">
        <v>27</v>
      </c>
      <c r="D2152" s="15">
        <v>7</v>
      </c>
      <c r="E2152" s="22" t="s">
        <v>17</v>
      </c>
      <c r="F2152" s="11" t="s">
        <v>51</v>
      </c>
      <c r="G2152" s="15">
        <v>161</v>
      </c>
      <c r="H2152" s="15" t="s">
        <v>29</v>
      </c>
      <c r="I2152" s="25">
        <v>19.5</v>
      </c>
      <c r="J2152" s="11" t="s">
        <v>19</v>
      </c>
      <c r="K2152" s="11" t="s">
        <v>20</v>
      </c>
      <c r="L2152" s="11" t="s">
        <v>21</v>
      </c>
      <c r="M2152" s="11" t="s">
        <v>45</v>
      </c>
      <c r="N2152" s="11" t="s">
        <v>24</v>
      </c>
      <c r="O2152" s="16" t="s">
        <v>29</v>
      </c>
      <c r="P2152" s="15">
        <v>208</v>
      </c>
      <c r="Q2152" s="8"/>
      <c r="R2152">
        <v>15.02</v>
      </c>
      <c r="S2152">
        <v>3389.4</v>
      </c>
      <c r="T2152">
        <v>5.75</v>
      </c>
      <c r="U2152">
        <v>10.79</v>
      </c>
      <c r="V2152">
        <v>150</v>
      </c>
      <c r="W2152" s="317">
        <v>3.9</v>
      </c>
      <c r="X2152" s="190">
        <f t="shared" si="91"/>
        <v>76.05</v>
      </c>
      <c r="Y2152" s="8"/>
      <c r="Z2152" s="8"/>
    </row>
    <row r="2153" spans="1:26" ht="12.75" customHeight="1" x14ac:dyDescent="0.2">
      <c r="A2153" s="15">
        <v>58</v>
      </c>
      <c r="B2153" s="15">
        <v>1999</v>
      </c>
      <c r="C2153" s="15">
        <v>27</v>
      </c>
      <c r="D2153" s="15">
        <v>7</v>
      </c>
      <c r="E2153" s="22" t="s">
        <v>17</v>
      </c>
      <c r="F2153" s="11" t="s">
        <v>51</v>
      </c>
      <c r="G2153" s="15">
        <v>135</v>
      </c>
      <c r="H2153" s="15" t="s">
        <v>29</v>
      </c>
      <c r="I2153" s="25">
        <v>11</v>
      </c>
      <c r="J2153" s="11" t="s">
        <v>19</v>
      </c>
      <c r="K2153" s="11" t="s">
        <v>20</v>
      </c>
      <c r="L2153" s="11" t="s">
        <v>30</v>
      </c>
      <c r="M2153" s="11" t="s">
        <v>45</v>
      </c>
      <c r="N2153" s="11" t="s">
        <v>23</v>
      </c>
      <c r="O2153" s="16" t="s">
        <v>29</v>
      </c>
      <c r="P2153" s="15">
        <v>208</v>
      </c>
      <c r="Q2153" s="8"/>
      <c r="R2153">
        <v>12.6</v>
      </c>
      <c r="S2153">
        <v>1998.23</v>
      </c>
      <c r="T2153">
        <v>5.5</v>
      </c>
      <c r="U2153">
        <v>9.0500000000000007</v>
      </c>
      <c r="V2153">
        <v>126</v>
      </c>
      <c r="W2153" s="317">
        <v>4.5999999999999996</v>
      </c>
      <c r="X2153" s="190">
        <f t="shared" si="91"/>
        <v>50.599999999999994</v>
      </c>
      <c r="Y2153" s="8"/>
      <c r="Z2153" s="8"/>
    </row>
    <row r="2154" spans="1:26" ht="12.75" customHeight="1" x14ac:dyDescent="0.2">
      <c r="A2154" s="15">
        <v>59</v>
      </c>
      <c r="B2154" s="15">
        <v>1999</v>
      </c>
      <c r="C2154" s="15">
        <v>27</v>
      </c>
      <c r="D2154" s="15">
        <v>7</v>
      </c>
      <c r="E2154" s="22" t="s">
        <v>17</v>
      </c>
      <c r="F2154" s="11" t="s">
        <v>51</v>
      </c>
      <c r="G2154" s="11" t="s">
        <v>29</v>
      </c>
      <c r="H2154" s="15" t="s">
        <v>29</v>
      </c>
      <c r="I2154" s="25">
        <v>13</v>
      </c>
      <c r="J2154" s="11" t="s">
        <v>19</v>
      </c>
      <c r="K2154" s="11" t="s">
        <v>20</v>
      </c>
      <c r="L2154" s="11" t="s">
        <v>30</v>
      </c>
      <c r="M2154" s="11" t="s">
        <v>46</v>
      </c>
      <c r="N2154" s="11" t="s">
        <v>25</v>
      </c>
      <c r="O2154" s="16" t="s">
        <v>29</v>
      </c>
      <c r="P2154" s="15">
        <v>208</v>
      </c>
      <c r="Q2154" s="8"/>
      <c r="W2154" s="317">
        <v>4.5999999999999996</v>
      </c>
      <c r="X2154" s="190">
        <f t="shared" si="91"/>
        <v>59.8</v>
      </c>
      <c r="Y2154" s="8"/>
      <c r="Z2154" s="8"/>
    </row>
    <row r="2155" spans="1:26" ht="12.75" customHeight="1" x14ac:dyDescent="0.2">
      <c r="A2155" s="15">
        <v>60</v>
      </c>
      <c r="B2155" s="15">
        <v>1999</v>
      </c>
      <c r="C2155" s="15">
        <v>27</v>
      </c>
      <c r="D2155" s="15">
        <v>7</v>
      </c>
      <c r="E2155" s="22" t="s">
        <v>17</v>
      </c>
      <c r="F2155" s="11" t="s">
        <v>51</v>
      </c>
      <c r="G2155" s="11" t="s">
        <v>29</v>
      </c>
      <c r="H2155" s="15" t="s">
        <v>29</v>
      </c>
      <c r="I2155" s="25">
        <v>5.5</v>
      </c>
      <c r="J2155" s="11" t="s">
        <v>19</v>
      </c>
      <c r="K2155" s="11" t="s">
        <v>20</v>
      </c>
      <c r="L2155" s="11" t="s">
        <v>21</v>
      </c>
      <c r="M2155" s="11" t="s">
        <v>45</v>
      </c>
      <c r="N2155" s="11" t="s">
        <v>25</v>
      </c>
      <c r="O2155" s="16" t="s">
        <v>29</v>
      </c>
      <c r="P2155" s="15">
        <v>208</v>
      </c>
      <c r="Q2155" s="8"/>
      <c r="W2155" s="317">
        <v>3.9</v>
      </c>
      <c r="X2155" s="190">
        <f t="shared" si="91"/>
        <v>21.45</v>
      </c>
      <c r="Y2155" s="8"/>
      <c r="Z2155" s="8"/>
    </row>
    <row r="2156" spans="1:26" ht="12.75" customHeight="1" x14ac:dyDescent="0.2">
      <c r="A2156" s="15">
        <v>61</v>
      </c>
      <c r="B2156" s="15">
        <v>1999</v>
      </c>
      <c r="C2156" s="15">
        <v>27</v>
      </c>
      <c r="D2156" s="15">
        <v>7</v>
      </c>
      <c r="E2156" s="22" t="s">
        <v>17</v>
      </c>
      <c r="F2156" s="11" t="s">
        <v>51</v>
      </c>
      <c r="G2156" s="15">
        <v>157</v>
      </c>
      <c r="H2156" s="15" t="s">
        <v>29</v>
      </c>
      <c r="I2156" s="25">
        <v>14</v>
      </c>
      <c r="J2156" s="11" t="s">
        <v>19</v>
      </c>
      <c r="K2156" s="11" t="s">
        <v>20</v>
      </c>
      <c r="L2156" s="11" t="s">
        <v>21</v>
      </c>
      <c r="M2156" s="11" t="s">
        <v>46</v>
      </c>
      <c r="N2156" s="11" t="s">
        <v>23</v>
      </c>
      <c r="O2156" s="16" t="s">
        <v>29</v>
      </c>
      <c r="P2156" s="15">
        <v>208</v>
      </c>
      <c r="Q2156" s="8"/>
      <c r="R2156">
        <v>14.65</v>
      </c>
      <c r="S2156">
        <v>3143</v>
      </c>
      <c r="T2156">
        <v>4.45</v>
      </c>
      <c r="U2156">
        <v>10.52</v>
      </c>
      <c r="V2156">
        <v>146</v>
      </c>
      <c r="W2156" s="317">
        <v>3.9</v>
      </c>
      <c r="X2156" s="190">
        <f t="shared" si="91"/>
        <v>54.6</v>
      </c>
      <c r="Y2156" s="8"/>
      <c r="Z2156" s="8"/>
    </row>
    <row r="2157" spans="1:26" ht="12.75" customHeight="1" x14ac:dyDescent="0.2">
      <c r="A2157" s="15">
        <v>62</v>
      </c>
      <c r="B2157" s="15">
        <v>1999</v>
      </c>
      <c r="C2157" s="15">
        <v>27</v>
      </c>
      <c r="D2157" s="15">
        <v>7</v>
      </c>
      <c r="E2157" s="22" t="s">
        <v>17</v>
      </c>
      <c r="F2157" s="11" t="s">
        <v>51</v>
      </c>
      <c r="G2157" s="15">
        <v>146</v>
      </c>
      <c r="H2157" s="15" t="s">
        <v>29</v>
      </c>
      <c r="I2157" s="25">
        <v>11.5</v>
      </c>
      <c r="J2157" s="11" t="s">
        <v>19</v>
      </c>
      <c r="K2157" s="11" t="s">
        <v>20</v>
      </c>
      <c r="L2157" s="11" t="s">
        <v>21</v>
      </c>
      <c r="M2157" s="11" t="s">
        <v>27</v>
      </c>
      <c r="N2157" s="11" t="s">
        <v>24</v>
      </c>
      <c r="O2157" s="16" t="s">
        <v>29</v>
      </c>
      <c r="P2157" s="15">
        <v>208</v>
      </c>
      <c r="Q2157" s="8"/>
      <c r="R2157">
        <v>13.62</v>
      </c>
      <c r="S2157">
        <v>2527.5700000000002</v>
      </c>
      <c r="T2157">
        <v>4.55</v>
      </c>
      <c r="U2157">
        <v>9.7799999999999994</v>
      </c>
      <c r="V2157">
        <v>136</v>
      </c>
      <c r="W2157" s="317">
        <v>3.9</v>
      </c>
      <c r="X2157" s="190">
        <f t="shared" si="91"/>
        <v>44.85</v>
      </c>
      <c r="Y2157" s="8"/>
      <c r="Z2157" s="8"/>
    </row>
    <row r="2158" spans="1:26" ht="12.75" customHeight="1" x14ac:dyDescent="0.2">
      <c r="A2158" s="15">
        <v>1</v>
      </c>
      <c r="B2158" s="15">
        <v>1998</v>
      </c>
      <c r="C2158" s="15">
        <v>16</v>
      </c>
      <c r="D2158" s="15">
        <v>8</v>
      </c>
      <c r="E2158" s="14">
        <v>0.22916666666666666</v>
      </c>
      <c r="F2158" s="11" t="s">
        <v>51</v>
      </c>
      <c r="G2158" s="15">
        <v>133</v>
      </c>
      <c r="H2158" s="15" t="s">
        <v>29</v>
      </c>
      <c r="I2158" s="25">
        <v>7.5</v>
      </c>
      <c r="J2158" s="11" t="s">
        <v>19</v>
      </c>
      <c r="K2158" s="11" t="s">
        <v>20</v>
      </c>
      <c r="L2158" s="11" t="s">
        <v>21</v>
      </c>
      <c r="M2158" s="11" t="s">
        <v>46</v>
      </c>
      <c r="N2158" s="11" t="s">
        <v>25</v>
      </c>
      <c r="O2158" s="16" t="s">
        <v>29</v>
      </c>
      <c r="P2158" s="15">
        <v>228</v>
      </c>
      <c r="Q2158" s="8"/>
      <c r="R2158">
        <v>12.41</v>
      </c>
      <c r="S2158">
        <v>1910.73</v>
      </c>
      <c r="T2158">
        <v>3.93</v>
      </c>
      <c r="U2158">
        <v>8.91</v>
      </c>
      <c r="V2158">
        <v>124</v>
      </c>
      <c r="W2158" s="317">
        <v>3.9</v>
      </c>
      <c r="X2158" s="190">
        <f t="shared" si="91"/>
        <v>29.25</v>
      </c>
      <c r="Y2158" s="8"/>
      <c r="Z2158" s="8"/>
    </row>
    <row r="2159" spans="1:26" ht="12.75" customHeight="1" x14ac:dyDescent="0.2">
      <c r="A2159" s="15">
        <v>2</v>
      </c>
      <c r="B2159" s="15">
        <v>1998</v>
      </c>
      <c r="C2159" s="15">
        <v>16</v>
      </c>
      <c r="D2159" s="15">
        <v>8</v>
      </c>
      <c r="E2159" s="14">
        <v>0.22916666666666666</v>
      </c>
      <c r="F2159" s="11" t="s">
        <v>51</v>
      </c>
      <c r="G2159" s="11" t="s">
        <v>29</v>
      </c>
      <c r="H2159" s="15" t="s">
        <v>29</v>
      </c>
      <c r="I2159" s="25">
        <v>11.5</v>
      </c>
      <c r="J2159" s="11" t="s">
        <v>19</v>
      </c>
      <c r="K2159" s="11" t="s">
        <v>20</v>
      </c>
      <c r="L2159" s="11" t="s">
        <v>21</v>
      </c>
      <c r="M2159" s="11" t="s">
        <v>27</v>
      </c>
      <c r="N2159" s="11" t="s">
        <v>25</v>
      </c>
      <c r="O2159" s="16" t="s">
        <v>29</v>
      </c>
      <c r="P2159" s="15">
        <v>228</v>
      </c>
      <c r="Q2159" s="8"/>
      <c r="W2159" s="317">
        <v>3.9</v>
      </c>
      <c r="X2159" s="190">
        <f t="shared" si="91"/>
        <v>44.85</v>
      </c>
      <c r="Y2159" s="8"/>
      <c r="Z2159" s="8"/>
    </row>
    <row r="2160" spans="1:26" ht="12.75" customHeight="1" x14ac:dyDescent="0.2">
      <c r="A2160" s="15">
        <v>3</v>
      </c>
      <c r="B2160" s="15">
        <v>1998</v>
      </c>
      <c r="C2160" s="15">
        <v>16</v>
      </c>
      <c r="D2160" s="15">
        <v>8</v>
      </c>
      <c r="E2160" s="14">
        <v>0.22916666666666666</v>
      </c>
      <c r="F2160" s="11" t="s">
        <v>51</v>
      </c>
      <c r="G2160" s="15">
        <v>140</v>
      </c>
      <c r="H2160" s="15" t="s">
        <v>29</v>
      </c>
      <c r="I2160" s="25">
        <v>12</v>
      </c>
      <c r="J2160" s="11" t="s">
        <v>19</v>
      </c>
      <c r="K2160" s="11" t="s">
        <v>20</v>
      </c>
      <c r="L2160" s="11" t="s">
        <v>21</v>
      </c>
      <c r="M2160" s="11" t="s">
        <v>27</v>
      </c>
      <c r="N2160" s="11" t="s">
        <v>24</v>
      </c>
      <c r="O2160" s="16" t="s">
        <v>29</v>
      </c>
      <c r="P2160" s="15">
        <v>228</v>
      </c>
      <c r="Q2160" s="8"/>
      <c r="R2160">
        <v>13.06</v>
      </c>
      <c r="S2160">
        <v>2228.58</v>
      </c>
      <c r="T2160">
        <v>5.38</v>
      </c>
      <c r="U2160">
        <v>9.3800000000000008</v>
      </c>
      <c r="V2160">
        <v>131</v>
      </c>
      <c r="W2160" s="317">
        <v>3.9</v>
      </c>
      <c r="X2160" s="190">
        <f t="shared" si="91"/>
        <v>46.8</v>
      </c>
      <c r="Y2160" s="8"/>
      <c r="Z2160" s="8"/>
    </row>
    <row r="2161" spans="1:26" ht="12.75" customHeight="1" x14ac:dyDescent="0.2">
      <c r="A2161" s="15">
        <v>4</v>
      </c>
      <c r="B2161" s="15">
        <v>1998</v>
      </c>
      <c r="C2161" s="15">
        <v>16</v>
      </c>
      <c r="D2161" s="15">
        <v>8</v>
      </c>
      <c r="E2161" s="14">
        <v>0.22916666666666666</v>
      </c>
      <c r="F2161" s="11" t="s">
        <v>51</v>
      </c>
      <c r="G2161" s="15">
        <v>159</v>
      </c>
      <c r="H2161" s="15" t="s">
        <v>29</v>
      </c>
      <c r="I2161" s="25">
        <v>8</v>
      </c>
      <c r="J2161" s="11" t="s">
        <v>32</v>
      </c>
      <c r="K2161" s="11" t="s">
        <v>29</v>
      </c>
      <c r="L2161" s="11" t="s">
        <v>29</v>
      </c>
      <c r="M2161" s="11" t="s">
        <v>46</v>
      </c>
      <c r="N2161" s="11" t="s">
        <v>24</v>
      </c>
      <c r="O2161" s="16" t="s">
        <v>29</v>
      </c>
      <c r="P2161" s="15">
        <v>228</v>
      </c>
      <c r="Q2161" s="8"/>
      <c r="R2161">
        <v>14.83</v>
      </c>
      <c r="S2161">
        <v>3264.65</v>
      </c>
      <c r="T2161">
        <v>2.4500000000000002</v>
      </c>
      <c r="U2161">
        <v>10.65</v>
      </c>
      <c r="V2161">
        <v>148</v>
      </c>
      <c r="W2161" s="8"/>
      <c r="X2161" s="8"/>
      <c r="Y2161" s="8"/>
      <c r="Z2161" s="8"/>
    </row>
    <row r="2162" spans="1:26" ht="12.75" customHeight="1" x14ac:dyDescent="0.2">
      <c r="A2162" s="15">
        <v>5</v>
      </c>
      <c r="B2162" s="15">
        <v>1998</v>
      </c>
      <c r="C2162" s="15">
        <v>16</v>
      </c>
      <c r="D2162" s="15">
        <v>8</v>
      </c>
      <c r="E2162" s="14">
        <v>0.22916666666666666</v>
      </c>
      <c r="F2162" s="11" t="s">
        <v>51</v>
      </c>
      <c r="G2162" s="15">
        <v>155</v>
      </c>
      <c r="H2162" s="15" t="s">
        <v>29</v>
      </c>
      <c r="I2162" s="25">
        <v>21</v>
      </c>
      <c r="J2162" s="11" t="s">
        <v>19</v>
      </c>
      <c r="K2162" s="11" t="s">
        <v>20</v>
      </c>
      <c r="L2162" s="11" t="s">
        <v>21</v>
      </c>
      <c r="M2162" s="11" t="s">
        <v>27</v>
      </c>
      <c r="N2162" s="11" t="s">
        <v>24</v>
      </c>
      <c r="O2162" s="16" t="s">
        <v>29</v>
      </c>
      <c r="P2162" s="15">
        <v>228</v>
      </c>
      <c r="Q2162" s="8"/>
      <c r="R2162">
        <v>14.46</v>
      </c>
      <c r="S2162">
        <v>3024.41</v>
      </c>
      <c r="T2162">
        <v>6.94</v>
      </c>
      <c r="U2162">
        <v>10.39</v>
      </c>
      <c r="V2162">
        <v>145</v>
      </c>
      <c r="W2162" s="317">
        <v>3.9</v>
      </c>
      <c r="X2162" s="190">
        <f>I2162*W2162</f>
        <v>81.899999999999991</v>
      </c>
      <c r="Y2162" s="8"/>
      <c r="Z2162" s="8"/>
    </row>
    <row r="2163" spans="1:26" ht="12.75" customHeight="1" x14ac:dyDescent="0.2">
      <c r="A2163" s="15">
        <v>6</v>
      </c>
      <c r="B2163" s="15">
        <v>1998</v>
      </c>
      <c r="C2163" s="15">
        <v>16</v>
      </c>
      <c r="D2163" s="15">
        <v>8</v>
      </c>
      <c r="E2163" s="14">
        <v>0.22916666666666666</v>
      </c>
      <c r="F2163" s="11" t="s">
        <v>51</v>
      </c>
      <c r="G2163" s="15">
        <v>151</v>
      </c>
      <c r="H2163" s="15" t="s">
        <v>29</v>
      </c>
      <c r="I2163" s="25">
        <v>11.5</v>
      </c>
      <c r="J2163" s="11" t="s">
        <v>19</v>
      </c>
      <c r="K2163" s="11" t="s">
        <v>20</v>
      </c>
      <c r="L2163" s="11" t="s">
        <v>21</v>
      </c>
      <c r="M2163" s="11" t="s">
        <v>27</v>
      </c>
      <c r="N2163" s="11" t="s">
        <v>39</v>
      </c>
      <c r="O2163" s="16" t="s">
        <v>29</v>
      </c>
      <c r="P2163" s="15">
        <v>228</v>
      </c>
      <c r="Q2163" s="8"/>
      <c r="R2163">
        <v>14.09</v>
      </c>
      <c r="S2163">
        <v>2796.25</v>
      </c>
      <c r="T2163">
        <v>4.1100000000000003</v>
      </c>
      <c r="U2163">
        <v>10.119999999999999</v>
      </c>
      <c r="V2163">
        <v>141</v>
      </c>
      <c r="W2163" s="317">
        <v>3.9</v>
      </c>
      <c r="X2163" s="190">
        <f>I2163*W2163</f>
        <v>44.85</v>
      </c>
      <c r="Y2163" s="8"/>
      <c r="Z2163" s="8"/>
    </row>
    <row r="2164" spans="1:26" ht="12.75" customHeight="1" x14ac:dyDescent="0.2">
      <c r="A2164" s="15">
        <v>7</v>
      </c>
      <c r="B2164" s="15">
        <v>1998</v>
      </c>
      <c r="C2164" s="15">
        <v>16</v>
      </c>
      <c r="D2164" s="15">
        <v>8</v>
      </c>
      <c r="E2164" s="14">
        <v>0.22916666666666666</v>
      </c>
      <c r="F2164" s="11" t="s">
        <v>51</v>
      </c>
      <c r="G2164" s="11" t="s">
        <v>29</v>
      </c>
      <c r="H2164" s="15" t="s">
        <v>29</v>
      </c>
      <c r="I2164" s="25">
        <v>5.8</v>
      </c>
      <c r="J2164" s="11" t="s">
        <v>32</v>
      </c>
      <c r="K2164" s="11" t="s">
        <v>29</v>
      </c>
      <c r="L2164" s="11" t="s">
        <v>29</v>
      </c>
      <c r="M2164" s="11" t="s">
        <v>27</v>
      </c>
      <c r="N2164" s="11" t="s">
        <v>25</v>
      </c>
      <c r="O2164" s="16" t="s">
        <v>29</v>
      </c>
      <c r="P2164" s="15">
        <v>228</v>
      </c>
      <c r="Q2164" s="8"/>
      <c r="W2164" s="8"/>
      <c r="X2164" s="8"/>
      <c r="Y2164" s="8"/>
      <c r="Z2164" s="8"/>
    </row>
    <row r="2165" spans="1:26" ht="12.75" customHeight="1" x14ac:dyDescent="0.2">
      <c r="A2165" s="15">
        <v>8</v>
      </c>
      <c r="B2165" s="15">
        <v>1998</v>
      </c>
      <c r="C2165" s="15">
        <v>16</v>
      </c>
      <c r="D2165" s="15">
        <v>8</v>
      </c>
      <c r="E2165" s="14">
        <v>0.22916666666666666</v>
      </c>
      <c r="F2165" s="11" t="s">
        <v>51</v>
      </c>
      <c r="G2165" s="15">
        <v>130</v>
      </c>
      <c r="H2165" s="15" t="s">
        <v>29</v>
      </c>
      <c r="I2165" s="25">
        <v>8.5</v>
      </c>
      <c r="J2165" s="11" t="s">
        <v>19</v>
      </c>
      <c r="K2165" s="11" t="s">
        <v>20</v>
      </c>
      <c r="L2165" s="11" t="s">
        <v>21</v>
      </c>
      <c r="M2165" s="11" t="s">
        <v>45</v>
      </c>
      <c r="N2165" s="11" t="s">
        <v>33</v>
      </c>
      <c r="O2165" s="16" t="s">
        <v>29</v>
      </c>
      <c r="P2165" s="15">
        <v>228</v>
      </c>
      <c r="Q2165" s="8"/>
      <c r="R2165">
        <v>12.13</v>
      </c>
      <c r="S2165">
        <v>1784.33</v>
      </c>
      <c r="T2165">
        <v>4.76</v>
      </c>
      <c r="U2165">
        <v>8.7100000000000009</v>
      </c>
      <c r="V2165">
        <v>121</v>
      </c>
      <c r="W2165" s="317">
        <v>3.9</v>
      </c>
      <c r="X2165" s="190">
        <f t="shared" ref="X2165:X2170" si="92">I2165*W2165</f>
        <v>33.15</v>
      </c>
      <c r="Y2165" s="8"/>
      <c r="Z2165" s="8"/>
    </row>
    <row r="2166" spans="1:26" ht="12.75" customHeight="1" x14ac:dyDescent="0.2">
      <c r="A2166" s="15">
        <v>9</v>
      </c>
      <c r="B2166" s="15">
        <v>1998</v>
      </c>
      <c r="C2166" s="15">
        <v>16</v>
      </c>
      <c r="D2166" s="15">
        <v>8</v>
      </c>
      <c r="E2166" s="14">
        <v>0.22916666666666666</v>
      </c>
      <c r="F2166" s="11" t="s">
        <v>51</v>
      </c>
      <c r="G2166" s="11" t="s">
        <v>29</v>
      </c>
      <c r="H2166" s="15" t="s">
        <v>29</v>
      </c>
      <c r="I2166" s="25">
        <v>6</v>
      </c>
      <c r="J2166" s="11" t="s">
        <v>19</v>
      </c>
      <c r="K2166" s="11" t="s">
        <v>20</v>
      </c>
      <c r="L2166" s="11" t="s">
        <v>21</v>
      </c>
      <c r="M2166" s="11" t="s">
        <v>46</v>
      </c>
      <c r="N2166" s="11" t="s">
        <v>25</v>
      </c>
      <c r="O2166" s="16" t="s">
        <v>29</v>
      </c>
      <c r="P2166" s="15">
        <v>228</v>
      </c>
      <c r="Q2166" s="8"/>
      <c r="W2166" s="317">
        <v>3.9</v>
      </c>
      <c r="X2166" s="190">
        <f t="shared" si="92"/>
        <v>23.4</v>
      </c>
      <c r="Y2166" s="8"/>
      <c r="Z2166" s="8"/>
    </row>
    <row r="2167" spans="1:26" ht="12.75" customHeight="1" x14ac:dyDescent="0.2">
      <c r="A2167" s="15">
        <v>10</v>
      </c>
      <c r="B2167" s="15">
        <v>1998</v>
      </c>
      <c r="C2167" s="15">
        <v>16</v>
      </c>
      <c r="D2167" s="15">
        <v>8</v>
      </c>
      <c r="E2167" s="14">
        <v>0.22916666666666666</v>
      </c>
      <c r="F2167" s="11" t="s">
        <v>51</v>
      </c>
      <c r="G2167" s="15">
        <v>116</v>
      </c>
      <c r="H2167" s="15" t="s">
        <v>29</v>
      </c>
      <c r="I2167" s="25">
        <v>6</v>
      </c>
      <c r="J2167" s="11" t="s">
        <v>19</v>
      </c>
      <c r="K2167" s="11" t="s">
        <v>20</v>
      </c>
      <c r="L2167" s="11" t="s">
        <v>21</v>
      </c>
      <c r="M2167" s="11" t="s">
        <v>27</v>
      </c>
      <c r="N2167" s="11" t="s">
        <v>24</v>
      </c>
      <c r="O2167" s="16" t="s">
        <v>29</v>
      </c>
      <c r="P2167" s="15">
        <v>228</v>
      </c>
      <c r="Q2167" s="8"/>
      <c r="R2167">
        <v>10.82</v>
      </c>
      <c r="S2167">
        <v>1267.71</v>
      </c>
      <c r="T2167">
        <v>4.7300000000000004</v>
      </c>
      <c r="U2167">
        <v>7.77</v>
      </c>
      <c r="V2167">
        <v>108</v>
      </c>
      <c r="W2167" s="317">
        <v>3.9</v>
      </c>
      <c r="X2167" s="190">
        <f t="shared" si="92"/>
        <v>23.4</v>
      </c>
      <c r="Y2167" s="8"/>
      <c r="Z2167" s="8"/>
    </row>
    <row r="2168" spans="1:26" ht="12.75" customHeight="1" x14ac:dyDescent="0.2">
      <c r="A2168" s="15">
        <v>11</v>
      </c>
      <c r="B2168" s="15">
        <v>1998</v>
      </c>
      <c r="C2168" s="15">
        <v>16</v>
      </c>
      <c r="D2168" s="15">
        <v>8</v>
      </c>
      <c r="E2168" s="14">
        <v>0.22916666666666666</v>
      </c>
      <c r="F2168" s="11" t="s">
        <v>51</v>
      </c>
      <c r="G2168" s="15">
        <v>148</v>
      </c>
      <c r="H2168" s="15" t="s">
        <v>29</v>
      </c>
      <c r="I2168" s="25">
        <v>12</v>
      </c>
      <c r="J2168" s="11" t="s">
        <v>19</v>
      </c>
      <c r="K2168" s="11" t="s">
        <v>20</v>
      </c>
      <c r="L2168" s="11" t="s">
        <v>21</v>
      </c>
      <c r="M2168" s="11" t="s">
        <v>27</v>
      </c>
      <c r="N2168" s="11" t="s">
        <v>24</v>
      </c>
      <c r="O2168" s="16" t="s">
        <v>29</v>
      </c>
      <c r="P2168" s="15">
        <v>228</v>
      </c>
      <c r="Q2168" s="8"/>
      <c r="R2168">
        <v>13.81</v>
      </c>
      <c r="S2168">
        <v>2632.87</v>
      </c>
      <c r="T2168">
        <v>4.5599999999999996</v>
      </c>
      <c r="U2168">
        <v>9.92</v>
      </c>
      <c r="V2168">
        <v>138</v>
      </c>
      <c r="W2168" s="317">
        <v>3.9</v>
      </c>
      <c r="X2168" s="190">
        <f t="shared" si="92"/>
        <v>46.8</v>
      </c>
      <c r="Y2168" s="8"/>
      <c r="Z2168" s="8"/>
    </row>
    <row r="2169" spans="1:26" ht="12.75" customHeight="1" x14ac:dyDescent="0.2">
      <c r="A2169" s="15">
        <v>12</v>
      </c>
      <c r="B2169" s="15">
        <v>1998</v>
      </c>
      <c r="C2169" s="15">
        <v>16</v>
      </c>
      <c r="D2169" s="15">
        <v>8</v>
      </c>
      <c r="E2169" s="14">
        <v>0.22916666666666666</v>
      </c>
      <c r="F2169" s="11" t="s">
        <v>51</v>
      </c>
      <c r="G2169" s="15">
        <v>136</v>
      </c>
      <c r="H2169" s="15" t="s">
        <v>29</v>
      </c>
      <c r="I2169" s="25">
        <v>9.5</v>
      </c>
      <c r="J2169" s="11" t="s">
        <v>19</v>
      </c>
      <c r="K2169" s="11" t="s">
        <v>20</v>
      </c>
      <c r="L2169" s="11" t="s">
        <v>21</v>
      </c>
      <c r="M2169" s="11" t="s">
        <v>46</v>
      </c>
      <c r="N2169" s="11" t="s">
        <v>23</v>
      </c>
      <c r="O2169" s="16" t="s">
        <v>29</v>
      </c>
      <c r="P2169" s="15">
        <v>228</v>
      </c>
      <c r="Q2169" s="8"/>
      <c r="R2169">
        <v>12.69</v>
      </c>
      <c r="S2169">
        <v>2042.97</v>
      </c>
      <c r="T2169">
        <v>4.6500000000000004</v>
      </c>
      <c r="U2169">
        <v>9.11</v>
      </c>
      <c r="V2169">
        <v>127</v>
      </c>
      <c r="W2169" s="317">
        <v>3.9</v>
      </c>
      <c r="X2169" s="190">
        <f t="shared" si="92"/>
        <v>37.049999999999997</v>
      </c>
      <c r="Y2169" s="8"/>
      <c r="Z2169" s="8"/>
    </row>
    <row r="2170" spans="1:26" ht="12.75" customHeight="1" x14ac:dyDescent="0.2">
      <c r="A2170" s="15">
        <v>13</v>
      </c>
      <c r="B2170" s="15">
        <v>1998</v>
      </c>
      <c r="C2170" s="15">
        <v>16</v>
      </c>
      <c r="D2170" s="15">
        <v>8</v>
      </c>
      <c r="E2170" s="14">
        <v>0.22916666666666666</v>
      </c>
      <c r="F2170" s="11" t="s">
        <v>51</v>
      </c>
      <c r="G2170" s="15">
        <v>143</v>
      </c>
      <c r="H2170" s="15" t="s">
        <v>29</v>
      </c>
      <c r="I2170" s="25">
        <v>10.8</v>
      </c>
      <c r="J2170" s="11" t="s">
        <v>19</v>
      </c>
      <c r="K2170" s="11" t="s">
        <v>20</v>
      </c>
      <c r="L2170" s="11" t="s">
        <v>21</v>
      </c>
      <c r="M2170" s="11" t="s">
        <v>45</v>
      </c>
      <c r="N2170" s="11" t="s">
        <v>23</v>
      </c>
      <c r="O2170" s="16" t="s">
        <v>29</v>
      </c>
      <c r="P2170" s="15">
        <v>228</v>
      </c>
      <c r="Q2170" s="8"/>
      <c r="R2170">
        <v>13.34</v>
      </c>
      <c r="S2170">
        <v>2374.94</v>
      </c>
      <c r="T2170">
        <v>4.55</v>
      </c>
      <c r="U2170">
        <v>9.58</v>
      </c>
      <c r="V2170">
        <v>133</v>
      </c>
      <c r="W2170" s="317">
        <v>3.9</v>
      </c>
      <c r="X2170" s="190">
        <f t="shared" si="92"/>
        <v>42.120000000000005</v>
      </c>
      <c r="Y2170" s="8"/>
      <c r="Z2170" s="8"/>
    </row>
    <row r="2171" spans="1:26" ht="12.75" customHeight="1" x14ac:dyDescent="0.2">
      <c r="A2171" s="15">
        <v>14</v>
      </c>
      <c r="B2171" s="15">
        <v>1998</v>
      </c>
      <c r="C2171" s="15">
        <v>16</v>
      </c>
      <c r="D2171" s="15">
        <v>8</v>
      </c>
      <c r="E2171" s="14">
        <v>0.22916666666666666</v>
      </c>
      <c r="F2171" s="11" t="s">
        <v>51</v>
      </c>
      <c r="G2171" s="15">
        <v>160</v>
      </c>
      <c r="H2171" s="15" t="s">
        <v>29</v>
      </c>
      <c r="I2171" s="25">
        <v>8</v>
      </c>
      <c r="J2171" s="11" t="s">
        <v>32</v>
      </c>
      <c r="K2171" s="11" t="s">
        <v>29</v>
      </c>
      <c r="L2171" s="11" t="s">
        <v>29</v>
      </c>
      <c r="M2171" s="20" t="s">
        <v>217</v>
      </c>
      <c r="N2171" s="11" t="s">
        <v>33</v>
      </c>
      <c r="O2171" s="16" t="s">
        <v>29</v>
      </c>
      <c r="P2171" s="15">
        <v>228</v>
      </c>
      <c r="Q2171" s="8"/>
      <c r="R2171">
        <v>14.93</v>
      </c>
      <c r="S2171">
        <v>3326.63</v>
      </c>
      <c r="T2171">
        <v>2.4</v>
      </c>
      <c r="U2171">
        <v>10.72</v>
      </c>
      <c r="V2171">
        <v>149</v>
      </c>
      <c r="W2171" s="8"/>
      <c r="X2171" s="8"/>
      <c r="Y2171" s="8"/>
      <c r="Z2171" s="8"/>
    </row>
    <row r="2172" spans="1:26" ht="12.75" customHeight="1" x14ac:dyDescent="0.2">
      <c r="A2172" s="15">
        <v>15</v>
      </c>
      <c r="B2172" s="15">
        <v>1998</v>
      </c>
      <c r="C2172" s="15">
        <v>16</v>
      </c>
      <c r="D2172" s="15">
        <v>8</v>
      </c>
      <c r="E2172" s="14">
        <v>0.22916666666666666</v>
      </c>
      <c r="F2172" s="11" t="s">
        <v>51</v>
      </c>
      <c r="G2172" s="15">
        <v>136</v>
      </c>
      <c r="H2172" s="15" t="s">
        <v>29</v>
      </c>
      <c r="I2172" s="25">
        <v>11.5</v>
      </c>
      <c r="J2172" s="11" t="s">
        <v>19</v>
      </c>
      <c r="K2172" s="11" t="s">
        <v>20</v>
      </c>
      <c r="L2172" s="11" t="s">
        <v>21</v>
      </c>
      <c r="M2172" s="11" t="s">
        <v>46</v>
      </c>
      <c r="N2172" s="11" t="s">
        <v>24</v>
      </c>
      <c r="O2172" s="16" t="s">
        <v>29</v>
      </c>
      <c r="P2172" s="15">
        <v>228</v>
      </c>
      <c r="Q2172" s="8"/>
      <c r="R2172">
        <v>12.69</v>
      </c>
      <c r="S2172">
        <v>2042.97</v>
      </c>
      <c r="T2172">
        <v>5.63</v>
      </c>
      <c r="U2172">
        <v>9.11</v>
      </c>
      <c r="V2172">
        <v>127</v>
      </c>
      <c r="W2172" s="317">
        <v>3.9</v>
      </c>
      <c r="X2172" s="190">
        <f>I2172*W2172</f>
        <v>44.85</v>
      </c>
      <c r="Y2172" s="8"/>
      <c r="Z2172" s="8"/>
    </row>
    <row r="2173" spans="1:26" ht="12.75" customHeight="1" x14ac:dyDescent="0.2">
      <c r="A2173" s="15">
        <v>16</v>
      </c>
      <c r="B2173" s="15">
        <v>1998</v>
      </c>
      <c r="C2173" s="15">
        <v>16</v>
      </c>
      <c r="D2173" s="15">
        <v>8</v>
      </c>
      <c r="E2173" s="14">
        <v>0.22916666666666666</v>
      </c>
      <c r="F2173" s="11" t="s">
        <v>51</v>
      </c>
      <c r="G2173" s="15">
        <v>149</v>
      </c>
      <c r="H2173" s="15" t="s">
        <v>29</v>
      </c>
      <c r="I2173" s="25">
        <v>11</v>
      </c>
      <c r="J2173" s="11" t="s">
        <v>19</v>
      </c>
      <c r="K2173" s="11" t="s">
        <v>20</v>
      </c>
      <c r="L2173" s="11" t="s">
        <v>21</v>
      </c>
      <c r="M2173" s="11" t="s">
        <v>46</v>
      </c>
      <c r="N2173" s="11" t="s">
        <v>24</v>
      </c>
      <c r="O2173" s="16" t="s">
        <v>29</v>
      </c>
      <c r="P2173" s="15">
        <v>228</v>
      </c>
      <c r="Q2173" s="8"/>
      <c r="R2173">
        <v>13.9</v>
      </c>
      <c r="S2173">
        <v>2686.6</v>
      </c>
      <c r="T2173">
        <v>4.09</v>
      </c>
      <c r="U2173">
        <v>9.98</v>
      </c>
      <c r="V2173">
        <v>139</v>
      </c>
      <c r="W2173" s="317">
        <v>3.9</v>
      </c>
      <c r="X2173" s="190">
        <f>I2173*W2173</f>
        <v>42.9</v>
      </c>
      <c r="Y2173" s="8"/>
      <c r="Z2173" s="8"/>
    </row>
    <row r="2174" spans="1:26" ht="12.75" customHeight="1" x14ac:dyDescent="0.2">
      <c r="A2174" s="15">
        <v>17</v>
      </c>
      <c r="B2174" s="15">
        <v>1998</v>
      </c>
      <c r="C2174" s="15">
        <v>16</v>
      </c>
      <c r="D2174" s="15">
        <v>8</v>
      </c>
      <c r="E2174" s="14">
        <v>0.22916666666666666</v>
      </c>
      <c r="F2174" s="11" t="s">
        <v>51</v>
      </c>
      <c r="G2174" s="15">
        <v>167</v>
      </c>
      <c r="H2174" s="15" t="s">
        <v>29</v>
      </c>
      <c r="I2174" s="25">
        <v>14.5</v>
      </c>
      <c r="J2174" s="11" t="s">
        <v>19</v>
      </c>
      <c r="K2174" s="11" t="s">
        <v>20</v>
      </c>
      <c r="L2174" s="11" t="s">
        <v>21</v>
      </c>
      <c r="M2174" s="11" t="s">
        <v>27</v>
      </c>
      <c r="N2174" s="11" t="s">
        <v>24</v>
      </c>
      <c r="O2174" s="16" t="s">
        <v>29</v>
      </c>
      <c r="P2174" s="15">
        <v>228</v>
      </c>
      <c r="Q2174" s="8"/>
      <c r="R2174">
        <v>15.58</v>
      </c>
      <c r="S2174">
        <v>3782.63</v>
      </c>
      <c r="T2174">
        <v>3.83</v>
      </c>
      <c r="U2174">
        <v>11.19</v>
      </c>
      <c r="V2174">
        <v>156</v>
      </c>
      <c r="W2174" s="317">
        <v>3.9</v>
      </c>
      <c r="X2174" s="190">
        <f>I2174*W2174</f>
        <v>56.55</v>
      </c>
      <c r="Y2174" s="8"/>
      <c r="Z2174" s="8"/>
    </row>
    <row r="2175" spans="1:26" ht="12.75" customHeight="1" x14ac:dyDescent="0.2">
      <c r="A2175" s="15">
        <v>18</v>
      </c>
      <c r="B2175" s="15">
        <v>1998</v>
      </c>
      <c r="C2175" s="15">
        <v>16</v>
      </c>
      <c r="D2175" s="15">
        <v>8</v>
      </c>
      <c r="E2175" s="14">
        <v>0.22916666666666666</v>
      </c>
      <c r="F2175" s="11" t="s">
        <v>51</v>
      </c>
      <c r="G2175" s="15">
        <v>193</v>
      </c>
      <c r="H2175" s="15" t="s">
        <v>29</v>
      </c>
      <c r="I2175" s="25">
        <v>19.5</v>
      </c>
      <c r="J2175" s="11" t="s">
        <v>32</v>
      </c>
      <c r="K2175" s="11" t="s">
        <v>29</v>
      </c>
      <c r="L2175" s="11" t="s">
        <v>29</v>
      </c>
      <c r="M2175" s="11" t="s">
        <v>46</v>
      </c>
      <c r="N2175" s="11" t="s">
        <v>24</v>
      </c>
      <c r="O2175" s="16" t="s">
        <v>29</v>
      </c>
      <c r="P2175" s="15">
        <v>228</v>
      </c>
      <c r="Q2175" s="8"/>
      <c r="R2175">
        <v>18.010000000000002</v>
      </c>
      <c r="S2175">
        <v>5838.71</v>
      </c>
      <c r="T2175">
        <v>3.34</v>
      </c>
      <c r="U2175">
        <v>12.93</v>
      </c>
      <c r="V2175">
        <v>180</v>
      </c>
      <c r="W2175" s="8"/>
      <c r="X2175" s="8"/>
      <c r="Y2175" s="8"/>
      <c r="Z2175" s="8"/>
    </row>
    <row r="2176" spans="1:26" ht="12.75" customHeight="1" x14ac:dyDescent="0.2">
      <c r="A2176" s="15">
        <v>19</v>
      </c>
      <c r="B2176" s="15">
        <v>1998</v>
      </c>
      <c r="C2176" s="15">
        <v>16</v>
      </c>
      <c r="D2176" s="15">
        <v>8</v>
      </c>
      <c r="E2176" s="14">
        <v>0.22916666666666666</v>
      </c>
      <c r="F2176" s="11" t="s">
        <v>51</v>
      </c>
      <c r="G2176" s="15">
        <v>160</v>
      </c>
      <c r="H2176" s="15" t="s">
        <v>29</v>
      </c>
      <c r="I2176" s="25">
        <v>21.5</v>
      </c>
      <c r="J2176" s="11" t="s">
        <v>19</v>
      </c>
      <c r="K2176" s="11" t="s">
        <v>20</v>
      </c>
      <c r="L2176" s="11" t="s">
        <v>21</v>
      </c>
      <c r="M2176" s="11" t="s">
        <v>47</v>
      </c>
      <c r="N2176" s="11" t="s">
        <v>24</v>
      </c>
      <c r="O2176" s="16" t="s">
        <v>29</v>
      </c>
      <c r="P2176" s="15">
        <v>228</v>
      </c>
      <c r="Q2176" s="8"/>
      <c r="R2176">
        <v>14.93</v>
      </c>
      <c r="S2176">
        <v>3326.63</v>
      </c>
      <c r="T2176">
        <v>6.46</v>
      </c>
      <c r="U2176">
        <v>10.72</v>
      </c>
      <c r="V2176">
        <v>149</v>
      </c>
      <c r="W2176" s="317">
        <v>3.9</v>
      </c>
      <c r="X2176" s="190">
        <f>I2176*W2176</f>
        <v>83.85</v>
      </c>
      <c r="Y2176" s="8"/>
      <c r="Z2176" s="8"/>
    </row>
    <row r="2177" spans="1:26" ht="12.75" customHeight="1" x14ac:dyDescent="0.2">
      <c r="A2177" s="15">
        <v>20</v>
      </c>
      <c r="B2177" s="15">
        <v>1998</v>
      </c>
      <c r="C2177" s="15">
        <v>16</v>
      </c>
      <c r="D2177" s="15">
        <v>8</v>
      </c>
      <c r="E2177" s="14">
        <v>0.22916666666666666</v>
      </c>
      <c r="F2177" s="11" t="s">
        <v>51</v>
      </c>
      <c r="G2177" s="15">
        <v>164</v>
      </c>
      <c r="H2177" s="15" t="s">
        <v>29</v>
      </c>
      <c r="I2177" s="25">
        <v>18</v>
      </c>
      <c r="J2177" s="11" t="s">
        <v>19</v>
      </c>
      <c r="K2177" s="11" t="s">
        <v>34</v>
      </c>
      <c r="L2177" s="11" t="s">
        <v>41</v>
      </c>
      <c r="M2177" s="11" t="s">
        <v>46</v>
      </c>
      <c r="N2177" s="11" t="s">
        <v>23</v>
      </c>
      <c r="O2177" s="16" t="s">
        <v>29</v>
      </c>
      <c r="P2177" s="15">
        <v>228</v>
      </c>
      <c r="Q2177" s="8"/>
      <c r="R2177">
        <v>15.3</v>
      </c>
      <c r="S2177">
        <v>3582.42</v>
      </c>
      <c r="T2177">
        <v>5.0199999999999996</v>
      </c>
      <c r="U2177">
        <v>10.99</v>
      </c>
      <c r="V2177">
        <v>153</v>
      </c>
      <c r="W2177" s="317">
        <v>3.8</v>
      </c>
      <c r="X2177" s="190">
        <f>I2177*W2177</f>
        <v>68.399999999999991</v>
      </c>
      <c r="Y2177" s="8"/>
      <c r="Z2177" s="8"/>
    </row>
    <row r="2178" spans="1:26" ht="12.75" customHeight="1" x14ac:dyDescent="0.2">
      <c r="A2178" s="15">
        <v>21</v>
      </c>
      <c r="B2178" s="15">
        <v>1998</v>
      </c>
      <c r="C2178" s="15">
        <v>16</v>
      </c>
      <c r="D2178" s="15">
        <v>8</v>
      </c>
      <c r="E2178" s="14">
        <v>0.22916666666666666</v>
      </c>
      <c r="F2178" s="11" t="s">
        <v>51</v>
      </c>
      <c r="G2178" s="15">
        <v>129</v>
      </c>
      <c r="H2178" s="15" t="s">
        <v>29</v>
      </c>
      <c r="I2178" s="25">
        <v>10</v>
      </c>
      <c r="J2178" s="11" t="s">
        <v>19</v>
      </c>
      <c r="K2178" s="11" t="s">
        <v>20</v>
      </c>
      <c r="L2178" s="11" t="s">
        <v>21</v>
      </c>
      <c r="M2178" s="11" t="s">
        <v>27</v>
      </c>
      <c r="N2178" s="11" t="s">
        <v>24</v>
      </c>
      <c r="O2178" s="16" t="s">
        <v>29</v>
      </c>
      <c r="P2178" s="15">
        <v>228</v>
      </c>
      <c r="Q2178" s="8"/>
      <c r="R2178">
        <v>12.04</v>
      </c>
      <c r="S2178">
        <v>1743.47</v>
      </c>
      <c r="T2178">
        <v>5.74</v>
      </c>
      <c r="U2178">
        <v>8.64</v>
      </c>
      <c r="V2178">
        <v>120</v>
      </c>
      <c r="W2178" s="317">
        <v>3.9</v>
      </c>
      <c r="X2178" s="190">
        <f t="shared" ref="X2178:X2207" si="93">I2178*W2178</f>
        <v>39</v>
      </c>
      <c r="Y2178" s="8"/>
      <c r="Z2178" s="8"/>
    </row>
    <row r="2179" spans="1:26" ht="12.75" customHeight="1" x14ac:dyDescent="0.2">
      <c r="A2179" s="15">
        <v>22</v>
      </c>
      <c r="B2179" s="15">
        <v>1998</v>
      </c>
      <c r="C2179" s="15">
        <v>15</v>
      </c>
      <c r="D2179" s="15">
        <v>8</v>
      </c>
      <c r="E2179" s="22" t="s">
        <v>221</v>
      </c>
      <c r="F2179" s="11" t="s">
        <v>51</v>
      </c>
      <c r="G2179" s="15">
        <v>130</v>
      </c>
      <c r="H2179" s="15" t="s">
        <v>29</v>
      </c>
      <c r="I2179" s="25">
        <v>9.5</v>
      </c>
      <c r="J2179" s="11" t="s">
        <v>19</v>
      </c>
      <c r="K2179" s="11" t="s">
        <v>20</v>
      </c>
      <c r="L2179" s="11" t="s">
        <v>21</v>
      </c>
      <c r="M2179" s="11" t="s">
        <v>46</v>
      </c>
      <c r="N2179" s="11" t="s">
        <v>23</v>
      </c>
      <c r="O2179" s="16" t="s">
        <v>29</v>
      </c>
      <c r="P2179" s="15">
        <v>227</v>
      </c>
      <c r="Q2179" s="8"/>
      <c r="R2179">
        <v>12.13</v>
      </c>
      <c r="S2179">
        <v>1784.33</v>
      </c>
      <c r="T2179">
        <v>5.32</v>
      </c>
      <c r="U2179">
        <v>8.7100000000000009</v>
      </c>
      <c r="V2179">
        <v>121</v>
      </c>
      <c r="W2179" s="317">
        <v>3.9</v>
      </c>
      <c r="X2179" s="190">
        <f t="shared" si="93"/>
        <v>37.049999999999997</v>
      </c>
      <c r="Y2179" s="8"/>
      <c r="Z2179" s="8"/>
    </row>
    <row r="2180" spans="1:26" ht="12.75" customHeight="1" x14ac:dyDescent="0.2">
      <c r="A2180" s="15">
        <v>23</v>
      </c>
      <c r="B2180" s="15">
        <v>1998</v>
      </c>
      <c r="C2180" s="15">
        <v>15</v>
      </c>
      <c r="D2180" s="15">
        <v>8</v>
      </c>
      <c r="E2180" s="22" t="s">
        <v>221</v>
      </c>
      <c r="F2180" s="11" t="s">
        <v>51</v>
      </c>
      <c r="G2180" s="15">
        <v>131</v>
      </c>
      <c r="H2180" s="15" t="s">
        <v>29</v>
      </c>
      <c r="I2180" s="25">
        <v>11</v>
      </c>
      <c r="J2180" s="11" t="s">
        <v>19</v>
      </c>
      <c r="K2180" s="11" t="s">
        <v>20</v>
      </c>
      <c r="L2180" s="11" t="s">
        <v>21</v>
      </c>
      <c r="M2180" s="11" t="s">
        <v>27</v>
      </c>
      <c r="N2180" s="11" t="s">
        <v>25</v>
      </c>
      <c r="O2180" s="16" t="s">
        <v>29</v>
      </c>
      <c r="P2180" s="15">
        <v>227</v>
      </c>
      <c r="Q2180" s="8"/>
      <c r="R2180">
        <v>12.22</v>
      </c>
      <c r="S2180">
        <v>1825.82</v>
      </c>
      <c r="T2180">
        <v>6.02</v>
      </c>
      <c r="U2180">
        <v>8.7799999999999994</v>
      </c>
      <c r="V2180">
        <v>122</v>
      </c>
      <c r="W2180" s="317">
        <v>3.9</v>
      </c>
      <c r="X2180" s="190">
        <f t="shared" si="93"/>
        <v>42.9</v>
      </c>
      <c r="Y2180" s="8"/>
      <c r="Z2180" s="8"/>
    </row>
    <row r="2181" spans="1:26" ht="12.75" customHeight="1" x14ac:dyDescent="0.2">
      <c r="A2181" s="15">
        <v>24</v>
      </c>
      <c r="B2181" s="15">
        <v>1998</v>
      </c>
      <c r="C2181" s="15">
        <v>15</v>
      </c>
      <c r="D2181" s="15">
        <v>8</v>
      </c>
      <c r="E2181" s="22" t="s">
        <v>221</v>
      </c>
      <c r="F2181" s="11" t="s">
        <v>51</v>
      </c>
      <c r="G2181" s="15">
        <v>141</v>
      </c>
      <c r="H2181" s="15" t="s">
        <v>29</v>
      </c>
      <c r="I2181" s="25">
        <v>14</v>
      </c>
      <c r="J2181" s="11" t="s">
        <v>19</v>
      </c>
      <c r="K2181" s="11" t="s">
        <v>20</v>
      </c>
      <c r="L2181" s="11" t="s">
        <v>21</v>
      </c>
      <c r="M2181" s="11" t="s">
        <v>45</v>
      </c>
      <c r="N2181" s="11" t="s">
        <v>24</v>
      </c>
      <c r="O2181" s="16" t="s">
        <v>29</v>
      </c>
      <c r="P2181" s="15">
        <v>227</v>
      </c>
      <c r="Q2181" s="8"/>
      <c r="R2181">
        <v>13.16</v>
      </c>
      <c r="S2181">
        <v>2276.6799999999998</v>
      </c>
      <c r="T2181">
        <v>6.15</v>
      </c>
      <c r="U2181">
        <v>9.4499999999999993</v>
      </c>
      <c r="V2181">
        <v>132</v>
      </c>
      <c r="W2181" s="317">
        <v>3.9</v>
      </c>
      <c r="X2181" s="190">
        <f t="shared" si="93"/>
        <v>54.6</v>
      </c>
      <c r="Y2181" s="8"/>
      <c r="Z2181" s="8"/>
    </row>
    <row r="2182" spans="1:26" ht="12.75" customHeight="1" x14ac:dyDescent="0.2">
      <c r="A2182" s="15">
        <v>25</v>
      </c>
      <c r="B2182" s="15">
        <v>1998</v>
      </c>
      <c r="C2182" s="15">
        <v>15</v>
      </c>
      <c r="D2182" s="15">
        <v>8</v>
      </c>
      <c r="E2182" s="22" t="s">
        <v>221</v>
      </c>
      <c r="F2182" s="11" t="s">
        <v>51</v>
      </c>
      <c r="G2182" s="15">
        <v>140</v>
      </c>
      <c r="H2182" s="15" t="s">
        <v>29</v>
      </c>
      <c r="I2182" s="25">
        <v>16</v>
      </c>
      <c r="J2182" s="11" t="s">
        <v>19</v>
      </c>
      <c r="K2182" s="11" t="s">
        <v>20</v>
      </c>
      <c r="L2182" s="11" t="s">
        <v>21</v>
      </c>
      <c r="M2182" s="11" t="s">
        <v>45</v>
      </c>
      <c r="N2182" s="11" t="s">
        <v>24</v>
      </c>
      <c r="O2182" s="16" t="s">
        <v>29</v>
      </c>
      <c r="P2182" s="15">
        <v>227</v>
      </c>
      <c r="Q2182" s="8"/>
      <c r="R2182">
        <v>13.06</v>
      </c>
      <c r="S2182">
        <v>2228.58</v>
      </c>
      <c r="T2182">
        <v>7.18</v>
      </c>
      <c r="U2182">
        <v>9.3800000000000008</v>
      </c>
      <c r="V2182">
        <v>131</v>
      </c>
      <c r="W2182" s="317">
        <v>3.9</v>
      </c>
      <c r="X2182" s="190">
        <f t="shared" si="93"/>
        <v>62.4</v>
      </c>
      <c r="Y2182" s="8"/>
      <c r="Z2182" s="8"/>
    </row>
    <row r="2183" spans="1:26" ht="12.75" customHeight="1" x14ac:dyDescent="0.2">
      <c r="A2183" s="15">
        <v>26</v>
      </c>
      <c r="B2183" s="15">
        <v>1998</v>
      </c>
      <c r="C2183" s="15">
        <v>15</v>
      </c>
      <c r="D2183" s="15">
        <v>8</v>
      </c>
      <c r="E2183" s="22" t="s">
        <v>221</v>
      </c>
      <c r="F2183" s="11" t="s">
        <v>51</v>
      </c>
      <c r="G2183" s="15">
        <v>127</v>
      </c>
      <c r="H2183" s="15" t="s">
        <v>29</v>
      </c>
      <c r="I2183" s="25">
        <v>11</v>
      </c>
      <c r="J2183" s="11" t="s">
        <v>19</v>
      </c>
      <c r="K2183" s="11" t="s">
        <v>20</v>
      </c>
      <c r="L2183" s="11" t="s">
        <v>35</v>
      </c>
      <c r="M2183" s="11" t="s">
        <v>27</v>
      </c>
      <c r="N2183" s="11" t="s">
        <v>24</v>
      </c>
      <c r="O2183" s="16" t="s">
        <v>29</v>
      </c>
      <c r="P2183" s="15">
        <v>227</v>
      </c>
      <c r="Q2183" s="8"/>
      <c r="R2183">
        <v>11.85</v>
      </c>
      <c r="S2183">
        <v>1663.63</v>
      </c>
      <c r="T2183">
        <v>6.61</v>
      </c>
      <c r="U2183">
        <v>8.51</v>
      </c>
      <c r="V2183">
        <v>118</v>
      </c>
      <c r="W2183" s="317">
        <v>3.9</v>
      </c>
      <c r="X2183" s="190">
        <f t="shared" si="93"/>
        <v>42.9</v>
      </c>
      <c r="Y2183" s="8"/>
      <c r="Z2183" s="8"/>
    </row>
    <row r="2184" spans="1:26" ht="12.75" customHeight="1" x14ac:dyDescent="0.2">
      <c r="A2184" s="15">
        <v>27</v>
      </c>
      <c r="B2184" s="15">
        <v>1998</v>
      </c>
      <c r="C2184" s="15">
        <v>14</v>
      </c>
      <c r="D2184" s="15">
        <v>8</v>
      </c>
      <c r="E2184" s="22" t="s">
        <v>222</v>
      </c>
      <c r="F2184" s="11" t="s">
        <v>51</v>
      </c>
      <c r="G2184" s="15">
        <v>117</v>
      </c>
      <c r="H2184" s="15" t="s">
        <v>29</v>
      </c>
      <c r="I2184" s="25">
        <v>3.2</v>
      </c>
      <c r="J2184" s="11" t="s">
        <v>19</v>
      </c>
      <c r="K2184" s="11" t="s">
        <v>20</v>
      </c>
      <c r="L2184" s="11" t="s">
        <v>21</v>
      </c>
      <c r="M2184" s="11" t="s">
        <v>27</v>
      </c>
      <c r="N2184" s="11" t="s">
        <v>25</v>
      </c>
      <c r="O2184" s="16" t="s">
        <v>29</v>
      </c>
      <c r="P2184" s="15">
        <v>226</v>
      </c>
      <c r="Q2184" s="8"/>
      <c r="R2184">
        <v>10.92</v>
      </c>
      <c r="S2184">
        <v>1300.78</v>
      </c>
      <c r="T2184">
        <v>2.46</v>
      </c>
      <c r="U2184">
        <v>7.84</v>
      </c>
      <c r="V2184">
        <v>109</v>
      </c>
      <c r="W2184" s="317">
        <v>3.9</v>
      </c>
      <c r="X2184" s="190">
        <f t="shared" si="93"/>
        <v>12.48</v>
      </c>
      <c r="Y2184" s="8"/>
      <c r="Z2184" s="8"/>
    </row>
    <row r="2185" spans="1:26" ht="12.75" customHeight="1" x14ac:dyDescent="0.2">
      <c r="A2185" s="15">
        <v>28</v>
      </c>
      <c r="B2185" s="15">
        <v>1998</v>
      </c>
      <c r="C2185" s="15">
        <v>14</v>
      </c>
      <c r="D2185" s="15">
        <v>8</v>
      </c>
      <c r="E2185" s="22" t="s">
        <v>222</v>
      </c>
      <c r="F2185" s="11" t="s">
        <v>51</v>
      </c>
      <c r="G2185" s="15">
        <v>136</v>
      </c>
      <c r="H2185" s="15" t="s">
        <v>29</v>
      </c>
      <c r="I2185" s="25">
        <v>9.3000000000000007</v>
      </c>
      <c r="J2185" s="11" t="s">
        <v>19</v>
      </c>
      <c r="K2185" s="11" t="s">
        <v>20</v>
      </c>
      <c r="L2185" s="11" t="s">
        <v>21</v>
      </c>
      <c r="M2185" s="11" t="s">
        <v>45</v>
      </c>
      <c r="N2185" s="11" t="s">
        <v>25</v>
      </c>
      <c r="O2185" s="16" t="s">
        <v>29</v>
      </c>
      <c r="P2185" s="15">
        <v>226</v>
      </c>
      <c r="Q2185" s="8"/>
      <c r="R2185">
        <v>12.69</v>
      </c>
      <c r="S2185">
        <v>2042.97</v>
      </c>
      <c r="T2185">
        <v>4.55</v>
      </c>
      <c r="U2185">
        <v>9.11</v>
      </c>
      <c r="V2185">
        <v>127</v>
      </c>
      <c r="W2185" s="317">
        <v>3.9</v>
      </c>
      <c r="X2185" s="190">
        <f t="shared" si="93"/>
        <v>36.270000000000003</v>
      </c>
      <c r="Y2185" s="8"/>
      <c r="Z2185" s="8"/>
    </row>
    <row r="2186" spans="1:26" ht="12.75" customHeight="1" x14ac:dyDescent="0.2">
      <c r="A2186" s="15">
        <v>29</v>
      </c>
      <c r="B2186" s="15">
        <v>1998</v>
      </c>
      <c r="C2186" s="15">
        <v>14</v>
      </c>
      <c r="D2186" s="15">
        <v>8</v>
      </c>
      <c r="E2186" s="22" t="s">
        <v>222</v>
      </c>
      <c r="F2186" s="11" t="s">
        <v>51</v>
      </c>
      <c r="G2186" s="15">
        <v>113</v>
      </c>
      <c r="H2186" s="15" t="s">
        <v>29</v>
      </c>
      <c r="I2186" s="25">
        <v>5.3</v>
      </c>
      <c r="J2186" s="11" t="s">
        <v>19</v>
      </c>
      <c r="K2186" s="11" t="s">
        <v>20</v>
      </c>
      <c r="L2186" s="11" t="s">
        <v>35</v>
      </c>
      <c r="M2186" s="11" t="s">
        <v>27</v>
      </c>
      <c r="N2186" s="11" t="s">
        <v>24</v>
      </c>
      <c r="O2186" s="16" t="s">
        <v>29</v>
      </c>
      <c r="P2186" s="15">
        <v>226</v>
      </c>
      <c r="Q2186" s="8"/>
      <c r="R2186">
        <v>10.54</v>
      </c>
      <c r="S2186">
        <v>1171.8699999999999</v>
      </c>
      <c r="T2186">
        <v>4.5199999999999996</v>
      </c>
      <c r="U2186">
        <v>7.57</v>
      </c>
      <c r="V2186">
        <v>105</v>
      </c>
      <c r="W2186" s="317">
        <v>3.9</v>
      </c>
      <c r="X2186" s="190">
        <f t="shared" si="93"/>
        <v>20.669999999999998</v>
      </c>
      <c r="Y2186" s="8"/>
      <c r="Z2186" s="8"/>
    </row>
    <row r="2187" spans="1:26" ht="12.75" customHeight="1" x14ac:dyDescent="0.2">
      <c r="A2187" s="15">
        <v>30</v>
      </c>
      <c r="B2187" s="15">
        <v>1998</v>
      </c>
      <c r="C2187" s="15">
        <v>14</v>
      </c>
      <c r="D2187" s="15">
        <v>8</v>
      </c>
      <c r="E2187" s="22" t="s">
        <v>222</v>
      </c>
      <c r="F2187" s="11" t="s">
        <v>51</v>
      </c>
      <c r="G2187" s="15">
        <v>143</v>
      </c>
      <c r="H2187" s="15" t="s">
        <v>29</v>
      </c>
      <c r="I2187" s="25">
        <v>10.5</v>
      </c>
      <c r="J2187" s="11" t="s">
        <v>19</v>
      </c>
      <c r="K2187" s="11" t="s">
        <v>20</v>
      </c>
      <c r="L2187" s="11" t="s">
        <v>21</v>
      </c>
      <c r="M2187" s="11" t="s">
        <v>27</v>
      </c>
      <c r="N2187" s="11" t="s">
        <v>24</v>
      </c>
      <c r="O2187" s="16" t="s">
        <v>29</v>
      </c>
      <c r="P2187" s="15">
        <v>226</v>
      </c>
      <c r="Q2187" s="8"/>
      <c r="R2187">
        <v>13.34</v>
      </c>
      <c r="S2187">
        <v>2374.94</v>
      </c>
      <c r="T2187">
        <v>4.42</v>
      </c>
      <c r="U2187">
        <v>9.58</v>
      </c>
      <c r="V2187">
        <v>133</v>
      </c>
      <c r="W2187" s="317">
        <v>3.9</v>
      </c>
      <c r="X2187" s="190">
        <f t="shared" si="93"/>
        <v>40.949999999999996</v>
      </c>
      <c r="Y2187" s="8"/>
      <c r="Z2187" s="8"/>
    </row>
    <row r="2188" spans="1:26" ht="12.75" customHeight="1" x14ac:dyDescent="0.2">
      <c r="A2188" s="15">
        <v>31</v>
      </c>
      <c r="B2188" s="15">
        <v>1998</v>
      </c>
      <c r="C2188" s="15">
        <v>14</v>
      </c>
      <c r="D2188" s="15">
        <v>8</v>
      </c>
      <c r="E2188" s="22" t="s">
        <v>222</v>
      </c>
      <c r="F2188" s="11" t="s">
        <v>51</v>
      </c>
      <c r="G2188" s="15">
        <v>125</v>
      </c>
      <c r="H2188" s="15" t="s">
        <v>29</v>
      </c>
      <c r="I2188" s="25">
        <v>7.5</v>
      </c>
      <c r="J2188" s="11" t="s">
        <v>19</v>
      </c>
      <c r="K2188" s="11" t="s">
        <v>20</v>
      </c>
      <c r="L2188" s="11" t="s">
        <v>35</v>
      </c>
      <c r="M2188" s="11" t="s">
        <v>27</v>
      </c>
      <c r="N2188" s="11" t="s">
        <v>23</v>
      </c>
      <c r="O2188" s="16" t="s">
        <v>29</v>
      </c>
      <c r="P2188" s="15">
        <v>226</v>
      </c>
      <c r="Q2188" s="8"/>
      <c r="R2188">
        <v>11.66</v>
      </c>
      <c r="S2188">
        <v>1586.26</v>
      </c>
      <c r="T2188">
        <v>4.7300000000000004</v>
      </c>
      <c r="U2188">
        <v>8.3800000000000008</v>
      </c>
      <c r="V2188">
        <v>117</v>
      </c>
      <c r="W2188" s="317">
        <v>3.9</v>
      </c>
      <c r="X2188" s="190">
        <f t="shared" si="93"/>
        <v>29.25</v>
      </c>
      <c r="Y2188" s="8"/>
      <c r="Z2188" s="8"/>
    </row>
    <row r="2189" spans="1:26" ht="12.75" customHeight="1" x14ac:dyDescent="0.2">
      <c r="A2189" s="15">
        <v>32</v>
      </c>
      <c r="B2189" s="15">
        <v>1998</v>
      </c>
      <c r="C2189" s="15">
        <v>14</v>
      </c>
      <c r="D2189" s="15">
        <v>8</v>
      </c>
      <c r="E2189" s="22" t="s">
        <v>222</v>
      </c>
      <c r="F2189" s="11" t="s">
        <v>51</v>
      </c>
      <c r="G2189" s="15">
        <v>150</v>
      </c>
      <c r="H2189" s="15" t="s">
        <v>29</v>
      </c>
      <c r="I2189" s="25">
        <v>12.5</v>
      </c>
      <c r="J2189" s="11" t="s">
        <v>19</v>
      </c>
      <c r="K2189" s="11" t="s">
        <v>20</v>
      </c>
      <c r="L2189" s="11" t="s">
        <v>21</v>
      </c>
      <c r="M2189" s="11" t="s">
        <v>47</v>
      </c>
      <c r="N2189" s="11" t="s">
        <v>24</v>
      </c>
      <c r="O2189" s="16" t="s">
        <v>29</v>
      </c>
      <c r="P2189" s="15">
        <v>226</v>
      </c>
      <c r="Q2189" s="8"/>
      <c r="R2189">
        <v>14</v>
      </c>
      <c r="S2189">
        <v>2741.06</v>
      </c>
      <c r="T2189">
        <v>4.5599999999999996</v>
      </c>
      <c r="U2189">
        <v>10.050000000000001</v>
      </c>
      <c r="V2189">
        <v>140</v>
      </c>
      <c r="W2189" s="317">
        <v>3.9</v>
      </c>
      <c r="X2189" s="190">
        <f t="shared" si="93"/>
        <v>48.75</v>
      </c>
      <c r="Y2189" s="8"/>
      <c r="Z2189" s="8"/>
    </row>
    <row r="2190" spans="1:26" ht="12.75" customHeight="1" x14ac:dyDescent="0.2">
      <c r="A2190" s="15">
        <v>33</v>
      </c>
      <c r="B2190" s="15">
        <v>1998</v>
      </c>
      <c r="C2190" s="15">
        <v>14</v>
      </c>
      <c r="D2190" s="15">
        <v>8</v>
      </c>
      <c r="E2190" s="22" t="s">
        <v>222</v>
      </c>
      <c r="F2190" s="11" t="s">
        <v>51</v>
      </c>
      <c r="G2190" s="15">
        <v>136</v>
      </c>
      <c r="H2190" s="15" t="s">
        <v>29</v>
      </c>
      <c r="I2190" s="25">
        <v>13.2</v>
      </c>
      <c r="J2190" s="11" t="s">
        <v>19</v>
      </c>
      <c r="K2190" s="11" t="s">
        <v>20</v>
      </c>
      <c r="L2190" s="11" t="s">
        <v>30</v>
      </c>
      <c r="M2190" s="11" t="s">
        <v>27</v>
      </c>
      <c r="N2190" s="11" t="s">
        <v>23</v>
      </c>
      <c r="O2190" s="16" t="s">
        <v>29</v>
      </c>
      <c r="P2190" s="15">
        <v>226</v>
      </c>
      <c r="Q2190" s="8"/>
      <c r="R2190">
        <v>12.69</v>
      </c>
      <c r="S2190">
        <v>2042.97</v>
      </c>
      <c r="T2190">
        <v>6.46</v>
      </c>
      <c r="U2190">
        <v>9.11</v>
      </c>
      <c r="V2190">
        <v>127</v>
      </c>
      <c r="W2190" s="317">
        <v>4.5999999999999996</v>
      </c>
      <c r="X2190" s="190">
        <f t="shared" si="93"/>
        <v>60.719999999999992</v>
      </c>
      <c r="Y2190" s="8"/>
      <c r="Z2190" s="8"/>
    </row>
    <row r="2191" spans="1:26" ht="12.75" customHeight="1" x14ac:dyDescent="0.2">
      <c r="A2191" s="15">
        <v>34</v>
      </c>
      <c r="B2191" s="15">
        <v>1998</v>
      </c>
      <c r="C2191" s="15">
        <v>14</v>
      </c>
      <c r="D2191" s="15">
        <v>8</v>
      </c>
      <c r="E2191" s="22" t="s">
        <v>222</v>
      </c>
      <c r="F2191" s="11" t="s">
        <v>51</v>
      </c>
      <c r="G2191" s="15">
        <v>113</v>
      </c>
      <c r="H2191" s="15" t="s">
        <v>29</v>
      </c>
      <c r="I2191" s="25">
        <v>5.5</v>
      </c>
      <c r="J2191" s="11" t="s">
        <v>19</v>
      </c>
      <c r="K2191" s="11" t="s">
        <v>20</v>
      </c>
      <c r="L2191" s="11" t="s">
        <v>35</v>
      </c>
      <c r="M2191" s="11" t="s">
        <v>45</v>
      </c>
      <c r="N2191" s="11" t="s">
        <v>25</v>
      </c>
      <c r="O2191" s="16" t="s">
        <v>29</v>
      </c>
      <c r="P2191" s="15">
        <v>226</v>
      </c>
      <c r="Q2191" s="8"/>
      <c r="R2191">
        <v>10.54</v>
      </c>
      <c r="S2191">
        <v>1171.8699999999999</v>
      </c>
      <c r="T2191">
        <v>4.6900000000000004</v>
      </c>
      <c r="U2191">
        <v>7.57</v>
      </c>
      <c r="V2191">
        <v>105</v>
      </c>
      <c r="W2191" s="317">
        <v>3.9</v>
      </c>
      <c r="X2191" s="190">
        <f t="shared" si="93"/>
        <v>21.45</v>
      </c>
      <c r="Y2191" s="8"/>
      <c r="Z2191" s="8"/>
    </row>
    <row r="2192" spans="1:26" ht="12.75" customHeight="1" x14ac:dyDescent="0.2">
      <c r="A2192" s="15">
        <v>35</v>
      </c>
      <c r="B2192" s="15">
        <v>1998</v>
      </c>
      <c r="C2192" s="15">
        <v>14</v>
      </c>
      <c r="D2192" s="15">
        <v>8</v>
      </c>
      <c r="E2192" s="22" t="s">
        <v>222</v>
      </c>
      <c r="F2192" s="11" t="s">
        <v>51</v>
      </c>
      <c r="G2192" s="15">
        <v>136</v>
      </c>
      <c r="H2192" s="15" t="s">
        <v>29</v>
      </c>
      <c r="I2192" s="25">
        <v>12</v>
      </c>
      <c r="J2192" s="11" t="s">
        <v>19</v>
      </c>
      <c r="K2192" s="11" t="s">
        <v>20</v>
      </c>
      <c r="L2192" s="11" t="s">
        <v>21</v>
      </c>
      <c r="M2192" s="11" t="s">
        <v>27</v>
      </c>
      <c r="N2192" s="11" t="s">
        <v>24</v>
      </c>
      <c r="O2192" s="16" t="s">
        <v>29</v>
      </c>
      <c r="P2192" s="15">
        <v>226</v>
      </c>
      <c r="Q2192" s="8"/>
      <c r="R2192">
        <v>12.69</v>
      </c>
      <c r="S2192">
        <v>2042.97</v>
      </c>
      <c r="T2192">
        <v>5.87</v>
      </c>
      <c r="U2192">
        <v>9.11</v>
      </c>
      <c r="V2192">
        <v>127</v>
      </c>
      <c r="W2192" s="317">
        <v>3.9</v>
      </c>
      <c r="X2192" s="190">
        <f t="shared" si="93"/>
        <v>46.8</v>
      </c>
      <c r="Y2192" s="8"/>
      <c r="Z2192" s="8"/>
    </row>
    <row r="2193" spans="1:26" ht="12.75" customHeight="1" x14ac:dyDescent="0.2">
      <c r="A2193" s="15">
        <v>36</v>
      </c>
      <c r="B2193" s="15">
        <v>1998</v>
      </c>
      <c r="C2193" s="15">
        <v>14</v>
      </c>
      <c r="D2193" s="15">
        <v>8</v>
      </c>
      <c r="E2193" s="22" t="s">
        <v>222</v>
      </c>
      <c r="F2193" s="11" t="s">
        <v>51</v>
      </c>
      <c r="G2193" s="15">
        <v>123</v>
      </c>
      <c r="H2193" s="15" t="s">
        <v>29</v>
      </c>
      <c r="I2193" s="25">
        <v>9.5</v>
      </c>
      <c r="J2193" s="11" t="s">
        <v>19</v>
      </c>
      <c r="K2193" s="11" t="s">
        <v>20</v>
      </c>
      <c r="L2193" s="11" t="s">
        <v>21</v>
      </c>
      <c r="M2193" s="11" t="s">
        <v>27</v>
      </c>
      <c r="N2193" s="11" t="s">
        <v>25</v>
      </c>
      <c r="O2193" s="16" t="s">
        <v>29</v>
      </c>
      <c r="P2193" s="15">
        <v>226</v>
      </c>
      <c r="Q2193" s="8"/>
      <c r="R2193">
        <v>11.48</v>
      </c>
      <c r="S2193">
        <v>1511.33</v>
      </c>
      <c r="T2193">
        <v>6.29</v>
      </c>
      <c r="U2193">
        <v>8.24</v>
      </c>
      <c r="V2193">
        <v>115</v>
      </c>
      <c r="W2193" s="317">
        <v>3.9</v>
      </c>
      <c r="X2193" s="190">
        <f t="shared" si="93"/>
        <v>37.049999999999997</v>
      </c>
      <c r="Y2193" s="8"/>
      <c r="Z2193" s="8"/>
    </row>
    <row r="2194" spans="1:26" ht="12.75" customHeight="1" x14ac:dyDescent="0.2">
      <c r="A2194" s="15">
        <v>37</v>
      </c>
      <c r="B2194" s="15">
        <v>1998</v>
      </c>
      <c r="C2194" s="15">
        <v>14</v>
      </c>
      <c r="D2194" s="15">
        <v>8</v>
      </c>
      <c r="E2194" s="22" t="s">
        <v>222</v>
      </c>
      <c r="F2194" s="11" t="s">
        <v>51</v>
      </c>
      <c r="G2194" s="15">
        <v>142</v>
      </c>
      <c r="H2194" s="15" t="s">
        <v>29</v>
      </c>
      <c r="I2194" s="25">
        <v>16</v>
      </c>
      <c r="J2194" s="11" t="s">
        <v>19</v>
      </c>
      <c r="K2194" s="11" t="s">
        <v>20</v>
      </c>
      <c r="L2194" s="11" t="s">
        <v>21</v>
      </c>
      <c r="M2194" s="11" t="s">
        <v>27</v>
      </c>
      <c r="N2194" s="11" t="s">
        <v>23</v>
      </c>
      <c r="O2194" s="16" t="s">
        <v>29</v>
      </c>
      <c r="P2194" s="15">
        <v>226</v>
      </c>
      <c r="Q2194" s="8"/>
      <c r="R2194">
        <v>13.25</v>
      </c>
      <c r="S2194">
        <v>2325.4699999999998</v>
      </c>
      <c r="T2194">
        <v>6.88</v>
      </c>
      <c r="U2194">
        <v>9.51</v>
      </c>
      <c r="V2194">
        <v>132</v>
      </c>
      <c r="W2194" s="317">
        <v>3.9</v>
      </c>
      <c r="X2194" s="190">
        <f t="shared" si="93"/>
        <v>62.4</v>
      </c>
      <c r="Y2194" s="8"/>
      <c r="Z2194" s="8"/>
    </row>
    <row r="2195" spans="1:26" ht="12.75" customHeight="1" x14ac:dyDescent="0.2">
      <c r="A2195" s="15">
        <v>38</v>
      </c>
      <c r="B2195" s="15">
        <v>1998</v>
      </c>
      <c r="C2195" s="15">
        <v>14</v>
      </c>
      <c r="D2195" s="15">
        <v>8</v>
      </c>
      <c r="E2195" s="22" t="s">
        <v>223</v>
      </c>
      <c r="F2195" s="11" t="s">
        <v>51</v>
      </c>
      <c r="G2195" s="15">
        <v>120</v>
      </c>
      <c r="H2195" s="15" t="s">
        <v>29</v>
      </c>
      <c r="I2195" s="25">
        <v>7.5</v>
      </c>
      <c r="J2195" s="11" t="s">
        <v>19</v>
      </c>
      <c r="K2195" s="11" t="s">
        <v>20</v>
      </c>
      <c r="L2195" s="11" t="s">
        <v>35</v>
      </c>
      <c r="M2195" s="11" t="s">
        <v>27</v>
      </c>
      <c r="N2195" s="11" t="s">
        <v>25</v>
      </c>
      <c r="O2195" s="16" t="s">
        <v>29</v>
      </c>
      <c r="P2195" s="15">
        <v>226</v>
      </c>
      <c r="Q2195" s="8"/>
      <c r="R2195">
        <v>11.2</v>
      </c>
      <c r="S2195">
        <v>1403.42</v>
      </c>
      <c r="T2195">
        <v>5.34</v>
      </c>
      <c r="U2195">
        <v>8.0399999999999991</v>
      </c>
      <c r="V2195">
        <v>112</v>
      </c>
      <c r="W2195" s="317">
        <v>3.9</v>
      </c>
      <c r="X2195" s="190">
        <f t="shared" si="93"/>
        <v>29.25</v>
      </c>
      <c r="Y2195" s="8"/>
      <c r="Z2195" s="8"/>
    </row>
    <row r="2196" spans="1:26" ht="12.75" customHeight="1" x14ac:dyDescent="0.2">
      <c r="A2196" s="15">
        <v>39</v>
      </c>
      <c r="B2196" s="15">
        <v>1998</v>
      </c>
      <c r="C2196" s="15">
        <v>14</v>
      </c>
      <c r="D2196" s="15">
        <v>8</v>
      </c>
      <c r="E2196" s="22" t="s">
        <v>223</v>
      </c>
      <c r="F2196" s="11" t="s">
        <v>51</v>
      </c>
      <c r="G2196" s="11" t="s">
        <v>29</v>
      </c>
      <c r="H2196" s="15" t="s">
        <v>29</v>
      </c>
      <c r="I2196" s="25">
        <v>16.2</v>
      </c>
      <c r="J2196" s="11" t="s">
        <v>19</v>
      </c>
      <c r="K2196" s="11" t="s">
        <v>20</v>
      </c>
      <c r="L2196" s="11" t="s">
        <v>21</v>
      </c>
      <c r="M2196" s="11" t="s">
        <v>27</v>
      </c>
      <c r="N2196" s="11" t="s">
        <v>25</v>
      </c>
      <c r="O2196" s="16" t="s">
        <v>29</v>
      </c>
      <c r="P2196" s="15">
        <v>226</v>
      </c>
      <c r="Q2196" s="8"/>
      <c r="W2196" s="317">
        <v>3.9</v>
      </c>
      <c r="X2196" s="190">
        <f t="shared" si="93"/>
        <v>63.179999999999993</v>
      </c>
      <c r="Y2196" s="8"/>
      <c r="Z2196" s="8"/>
    </row>
    <row r="2197" spans="1:26" ht="12.75" customHeight="1" x14ac:dyDescent="0.2">
      <c r="A2197" s="15">
        <v>40</v>
      </c>
      <c r="B2197" s="15">
        <v>1998</v>
      </c>
      <c r="C2197" s="15">
        <v>14</v>
      </c>
      <c r="D2197" s="15">
        <v>8</v>
      </c>
      <c r="E2197" s="22" t="s">
        <v>223</v>
      </c>
      <c r="F2197" s="11" t="s">
        <v>51</v>
      </c>
      <c r="G2197" s="15">
        <v>140</v>
      </c>
      <c r="H2197" s="15" t="s">
        <v>29</v>
      </c>
      <c r="I2197" s="25">
        <v>11</v>
      </c>
      <c r="J2197" s="11" t="s">
        <v>19</v>
      </c>
      <c r="K2197" s="11" t="s">
        <v>20</v>
      </c>
      <c r="L2197" s="11" t="s">
        <v>35</v>
      </c>
      <c r="M2197" s="11" t="s">
        <v>46</v>
      </c>
      <c r="N2197" s="11" t="s">
        <v>24</v>
      </c>
      <c r="O2197" s="16" t="s">
        <v>29</v>
      </c>
      <c r="P2197" s="15">
        <v>226</v>
      </c>
      <c r="Q2197" s="8"/>
      <c r="R2197">
        <v>13.06</v>
      </c>
      <c r="S2197">
        <v>2228.58</v>
      </c>
      <c r="T2197">
        <v>4.9400000000000004</v>
      </c>
      <c r="U2197">
        <v>9.3800000000000008</v>
      </c>
      <c r="V2197">
        <v>131</v>
      </c>
      <c r="W2197" s="317">
        <v>3.9</v>
      </c>
      <c r="X2197" s="190">
        <f t="shared" si="93"/>
        <v>42.9</v>
      </c>
      <c r="Y2197" s="8"/>
      <c r="Z2197" s="8"/>
    </row>
    <row r="2198" spans="1:26" ht="12.75" customHeight="1" x14ac:dyDescent="0.2">
      <c r="A2198" s="15">
        <v>41</v>
      </c>
      <c r="B2198" s="15">
        <v>1998</v>
      </c>
      <c r="C2198" s="15">
        <v>14</v>
      </c>
      <c r="D2198" s="15">
        <v>8</v>
      </c>
      <c r="E2198" s="22" t="s">
        <v>223</v>
      </c>
      <c r="F2198" s="11" t="s">
        <v>51</v>
      </c>
      <c r="G2198" s="15">
        <v>161</v>
      </c>
      <c r="H2198" s="15" t="s">
        <v>29</v>
      </c>
      <c r="I2198" s="25">
        <v>15.5</v>
      </c>
      <c r="J2198" s="11" t="s">
        <v>19</v>
      </c>
      <c r="K2198" s="11" t="s">
        <v>20</v>
      </c>
      <c r="L2198" s="11" t="s">
        <v>21</v>
      </c>
      <c r="M2198" s="11" t="s">
        <v>47</v>
      </c>
      <c r="N2198" s="11" t="s">
        <v>25</v>
      </c>
      <c r="O2198" s="16" t="s">
        <v>29</v>
      </c>
      <c r="P2198" s="15">
        <v>226</v>
      </c>
      <c r="Q2198" s="8"/>
      <c r="R2198">
        <v>15.02</v>
      </c>
      <c r="S2198">
        <v>3389.4</v>
      </c>
      <c r="T2198">
        <v>4.57</v>
      </c>
      <c r="U2198">
        <v>10.79</v>
      </c>
      <c r="V2198">
        <v>150</v>
      </c>
      <c r="W2198" s="317">
        <v>3.9</v>
      </c>
      <c r="X2198" s="190">
        <f t="shared" si="93"/>
        <v>60.449999999999996</v>
      </c>
      <c r="Y2198" s="8"/>
      <c r="Z2198" s="8"/>
    </row>
    <row r="2199" spans="1:26" ht="12.75" customHeight="1" x14ac:dyDescent="0.2">
      <c r="A2199" s="15">
        <v>42</v>
      </c>
      <c r="B2199" s="15">
        <v>1998</v>
      </c>
      <c r="C2199" s="15">
        <v>14</v>
      </c>
      <c r="D2199" s="15">
        <v>8</v>
      </c>
      <c r="E2199" s="22" t="s">
        <v>223</v>
      </c>
      <c r="F2199" s="11" t="s">
        <v>51</v>
      </c>
      <c r="G2199" s="15">
        <v>131</v>
      </c>
      <c r="H2199" s="15" t="s">
        <v>29</v>
      </c>
      <c r="I2199" s="25">
        <v>11.7</v>
      </c>
      <c r="J2199" s="11" t="s">
        <v>19</v>
      </c>
      <c r="K2199" s="11" t="s">
        <v>20</v>
      </c>
      <c r="L2199" s="11" t="s">
        <v>21</v>
      </c>
      <c r="M2199" s="11" t="s">
        <v>46</v>
      </c>
      <c r="N2199" s="11" t="s">
        <v>23</v>
      </c>
      <c r="O2199" s="16" t="s">
        <v>29</v>
      </c>
      <c r="P2199" s="15">
        <v>226</v>
      </c>
      <c r="Q2199" s="8"/>
      <c r="R2199">
        <v>12.22</v>
      </c>
      <c r="S2199">
        <v>1825.82</v>
      </c>
      <c r="T2199">
        <v>6.41</v>
      </c>
      <c r="U2199">
        <v>8.7799999999999994</v>
      </c>
      <c r="V2199">
        <v>122</v>
      </c>
      <c r="W2199" s="317">
        <v>3.9</v>
      </c>
      <c r="X2199" s="190">
        <f t="shared" si="93"/>
        <v>45.629999999999995</v>
      </c>
      <c r="Y2199" s="8"/>
      <c r="Z2199" s="8"/>
    </row>
    <row r="2200" spans="1:26" ht="12.75" customHeight="1" x14ac:dyDescent="0.2">
      <c r="A2200" s="15">
        <v>43</v>
      </c>
      <c r="B2200" s="15">
        <v>1998</v>
      </c>
      <c r="C2200" s="15">
        <v>14</v>
      </c>
      <c r="D2200" s="15">
        <v>8</v>
      </c>
      <c r="E2200" s="22" t="s">
        <v>223</v>
      </c>
      <c r="F2200" s="11" t="s">
        <v>51</v>
      </c>
      <c r="G2200" s="15">
        <v>140</v>
      </c>
      <c r="H2200" s="15" t="s">
        <v>29</v>
      </c>
      <c r="I2200" s="25">
        <v>14</v>
      </c>
      <c r="J2200" s="11" t="s">
        <v>19</v>
      </c>
      <c r="K2200" s="11" t="s">
        <v>20</v>
      </c>
      <c r="L2200" s="11" t="s">
        <v>21</v>
      </c>
      <c r="M2200" s="11" t="s">
        <v>46</v>
      </c>
      <c r="N2200" s="11" t="s">
        <v>25</v>
      </c>
      <c r="O2200" s="16" t="s">
        <v>29</v>
      </c>
      <c r="P2200" s="15">
        <v>226</v>
      </c>
      <c r="Q2200" s="8"/>
      <c r="R2200">
        <v>13.06</v>
      </c>
      <c r="S2200">
        <v>2228.58</v>
      </c>
      <c r="T2200">
        <v>6.28</v>
      </c>
      <c r="U2200">
        <v>9.3800000000000008</v>
      </c>
      <c r="V2200">
        <v>131</v>
      </c>
      <c r="W2200" s="317">
        <v>3.9</v>
      </c>
      <c r="X2200" s="190">
        <f t="shared" si="93"/>
        <v>54.6</v>
      </c>
      <c r="Y2200" s="8"/>
      <c r="Z2200" s="8"/>
    </row>
    <row r="2201" spans="1:26" ht="12.75" customHeight="1" x14ac:dyDescent="0.2">
      <c r="A2201" s="15">
        <v>44</v>
      </c>
      <c r="B2201" s="15">
        <v>1998</v>
      </c>
      <c r="C2201" s="15">
        <v>14</v>
      </c>
      <c r="D2201" s="15">
        <v>8</v>
      </c>
      <c r="E2201" s="22" t="s">
        <v>223</v>
      </c>
      <c r="F2201" s="11" t="s">
        <v>51</v>
      </c>
      <c r="G2201" s="15">
        <v>141</v>
      </c>
      <c r="H2201" s="15" t="s">
        <v>29</v>
      </c>
      <c r="I2201" s="25">
        <v>14</v>
      </c>
      <c r="J2201" s="11" t="s">
        <v>19</v>
      </c>
      <c r="K2201" s="11" t="s">
        <v>20</v>
      </c>
      <c r="L2201" s="11" t="s">
        <v>21</v>
      </c>
      <c r="M2201" s="11" t="s">
        <v>46</v>
      </c>
      <c r="N2201" s="11" t="s">
        <v>24</v>
      </c>
      <c r="O2201" s="16" t="s">
        <v>29</v>
      </c>
      <c r="P2201" s="15">
        <v>226</v>
      </c>
      <c r="Q2201" s="8"/>
      <c r="R2201">
        <v>13.16</v>
      </c>
      <c r="S2201">
        <v>2276.6799999999998</v>
      </c>
      <c r="T2201">
        <v>6.15</v>
      </c>
      <c r="U2201">
        <v>9.4499999999999993</v>
      </c>
      <c r="V2201">
        <v>132</v>
      </c>
      <c r="W2201" s="317">
        <v>3.9</v>
      </c>
      <c r="X2201" s="190">
        <f t="shared" si="93"/>
        <v>54.6</v>
      </c>
      <c r="Y2201" s="8"/>
      <c r="Z2201" s="8"/>
    </row>
    <row r="2202" spans="1:26" ht="12.75" customHeight="1" x14ac:dyDescent="0.2">
      <c r="A2202" s="15">
        <v>45</v>
      </c>
      <c r="B2202" s="15">
        <v>1998</v>
      </c>
      <c r="C2202" s="15">
        <v>14</v>
      </c>
      <c r="D2202" s="15">
        <v>8</v>
      </c>
      <c r="E2202" s="22" t="s">
        <v>223</v>
      </c>
      <c r="F2202" s="11" t="s">
        <v>51</v>
      </c>
      <c r="G2202" s="15">
        <v>115</v>
      </c>
      <c r="H2202" s="15" t="s">
        <v>29</v>
      </c>
      <c r="I2202" s="25">
        <v>6.7</v>
      </c>
      <c r="J2202" s="11" t="s">
        <v>19</v>
      </c>
      <c r="K2202" s="11" t="s">
        <v>20</v>
      </c>
      <c r="L2202" s="11" t="s">
        <v>35</v>
      </c>
      <c r="M2202" s="11" t="s">
        <v>27</v>
      </c>
      <c r="N2202" s="11" t="s">
        <v>25</v>
      </c>
      <c r="O2202" s="16" t="s">
        <v>29</v>
      </c>
      <c r="P2202" s="15">
        <v>226</v>
      </c>
      <c r="Q2202" s="8"/>
      <c r="R2202">
        <v>10.73</v>
      </c>
      <c r="S2202">
        <v>1235.2</v>
      </c>
      <c r="T2202">
        <v>5.42</v>
      </c>
      <c r="U2202">
        <v>7.71</v>
      </c>
      <c r="V2202">
        <v>107</v>
      </c>
      <c r="W2202" s="317">
        <v>3.9</v>
      </c>
      <c r="X2202" s="190">
        <f t="shared" si="93"/>
        <v>26.13</v>
      </c>
      <c r="Y2202" s="8"/>
      <c r="Z2202" s="8"/>
    </row>
    <row r="2203" spans="1:26" ht="12.75" customHeight="1" x14ac:dyDescent="0.2">
      <c r="A2203" s="15">
        <v>46</v>
      </c>
      <c r="B2203" s="15">
        <v>1998</v>
      </c>
      <c r="C2203" s="15">
        <v>14</v>
      </c>
      <c r="D2203" s="15">
        <v>8</v>
      </c>
      <c r="E2203" s="22" t="s">
        <v>223</v>
      </c>
      <c r="F2203" s="11" t="s">
        <v>51</v>
      </c>
      <c r="G2203" s="15">
        <v>126</v>
      </c>
      <c r="H2203" s="15" t="s">
        <v>29</v>
      </c>
      <c r="I2203" s="25">
        <v>10.5</v>
      </c>
      <c r="J2203" s="11" t="s">
        <v>19</v>
      </c>
      <c r="K2203" s="11" t="s">
        <v>20</v>
      </c>
      <c r="L2203" s="11" t="s">
        <v>35</v>
      </c>
      <c r="M2203" s="11" t="s">
        <v>27</v>
      </c>
      <c r="N2203" s="11" t="s">
        <v>24</v>
      </c>
      <c r="O2203" s="16" t="s">
        <v>29</v>
      </c>
      <c r="P2203" s="15">
        <v>226</v>
      </c>
      <c r="Q2203" s="8"/>
      <c r="R2203">
        <v>11.76</v>
      </c>
      <c r="S2203">
        <v>1624.64</v>
      </c>
      <c r="T2203">
        <v>6.46</v>
      </c>
      <c r="U2203">
        <v>8.44</v>
      </c>
      <c r="V2203">
        <v>118</v>
      </c>
      <c r="W2203" s="317">
        <v>3.9</v>
      </c>
      <c r="X2203" s="190">
        <f t="shared" si="93"/>
        <v>40.949999999999996</v>
      </c>
      <c r="Y2203" s="8"/>
      <c r="Z2203" s="8"/>
    </row>
    <row r="2204" spans="1:26" ht="12.75" customHeight="1" x14ac:dyDescent="0.2">
      <c r="A2204" s="15">
        <v>47</v>
      </c>
      <c r="B2204" s="15">
        <v>1998</v>
      </c>
      <c r="C2204" s="15">
        <v>14</v>
      </c>
      <c r="D2204" s="15">
        <v>8</v>
      </c>
      <c r="E2204" s="22" t="s">
        <v>223</v>
      </c>
      <c r="F2204" s="11" t="s">
        <v>51</v>
      </c>
      <c r="G2204" s="15">
        <v>126</v>
      </c>
      <c r="H2204" s="15" t="s">
        <v>29</v>
      </c>
      <c r="I2204" s="25">
        <v>10.5</v>
      </c>
      <c r="J2204" s="11" t="s">
        <v>19</v>
      </c>
      <c r="K2204" s="11" t="s">
        <v>20</v>
      </c>
      <c r="L2204" s="11" t="s">
        <v>35</v>
      </c>
      <c r="M2204" s="11" t="s">
        <v>29</v>
      </c>
      <c r="N2204" s="11" t="s">
        <v>24</v>
      </c>
      <c r="O2204" s="16" t="s">
        <v>29</v>
      </c>
      <c r="P2204" s="15">
        <v>226</v>
      </c>
      <c r="Q2204" s="8"/>
      <c r="R2204">
        <v>11.76</v>
      </c>
      <c r="S2204">
        <v>1624.64</v>
      </c>
      <c r="T2204">
        <v>6.46</v>
      </c>
      <c r="U2204">
        <v>8.44</v>
      </c>
      <c r="V2204">
        <v>118</v>
      </c>
      <c r="W2204" s="317">
        <v>3.9</v>
      </c>
      <c r="X2204" s="190">
        <f t="shared" si="93"/>
        <v>40.949999999999996</v>
      </c>
      <c r="Y2204" s="8"/>
      <c r="Z2204" s="8"/>
    </row>
    <row r="2205" spans="1:26" ht="12.75" customHeight="1" x14ac:dyDescent="0.2">
      <c r="A2205" s="15">
        <v>48</v>
      </c>
      <c r="B2205" s="15">
        <v>1998</v>
      </c>
      <c r="C2205" s="15">
        <v>8</v>
      </c>
      <c r="D2205" s="15">
        <v>8</v>
      </c>
      <c r="E2205" s="22" t="s">
        <v>17</v>
      </c>
      <c r="F2205" s="11" t="s">
        <v>51</v>
      </c>
      <c r="G2205" s="15">
        <v>164</v>
      </c>
      <c r="H2205" s="15" t="s">
        <v>29</v>
      </c>
      <c r="I2205" s="25">
        <v>14.5</v>
      </c>
      <c r="J2205" s="11" t="s">
        <v>19</v>
      </c>
      <c r="K2205" s="11" t="s">
        <v>20</v>
      </c>
      <c r="L2205" s="11" t="s">
        <v>21</v>
      </c>
      <c r="M2205" s="11" t="s">
        <v>46</v>
      </c>
      <c r="N2205" s="11" t="s">
        <v>24</v>
      </c>
      <c r="O2205" s="16" t="s">
        <v>29</v>
      </c>
      <c r="P2205" s="15">
        <v>220</v>
      </c>
      <c r="Q2205" s="8"/>
      <c r="R2205">
        <v>15.3</v>
      </c>
      <c r="S2205">
        <v>3582.42</v>
      </c>
      <c r="T2205">
        <v>4.05</v>
      </c>
      <c r="U2205">
        <v>10.99</v>
      </c>
      <c r="V2205">
        <v>153</v>
      </c>
      <c r="W2205" s="317">
        <v>3.9</v>
      </c>
      <c r="X2205" s="190">
        <f t="shared" si="93"/>
        <v>56.55</v>
      </c>
      <c r="Y2205" s="8"/>
      <c r="Z2205" s="8"/>
    </row>
    <row r="2206" spans="1:26" ht="12.75" customHeight="1" x14ac:dyDescent="0.2">
      <c r="A2206" s="15">
        <v>49</v>
      </c>
      <c r="B2206" s="15">
        <v>1998</v>
      </c>
      <c r="C2206" s="15">
        <v>8</v>
      </c>
      <c r="D2206" s="15">
        <v>8</v>
      </c>
      <c r="E2206" s="22" t="s">
        <v>17</v>
      </c>
      <c r="F2206" s="11" t="s">
        <v>51</v>
      </c>
      <c r="G2206" s="15">
        <v>150</v>
      </c>
      <c r="H2206" s="15" t="s">
        <v>29</v>
      </c>
      <c r="I2206" s="25">
        <v>12</v>
      </c>
      <c r="J2206" s="11" t="s">
        <v>19</v>
      </c>
      <c r="K2206" s="11" t="s">
        <v>20</v>
      </c>
      <c r="L2206" s="11" t="s">
        <v>21</v>
      </c>
      <c r="M2206" s="11" t="s">
        <v>224</v>
      </c>
      <c r="N2206" s="11" t="s">
        <v>25</v>
      </c>
      <c r="O2206" s="16" t="s">
        <v>29</v>
      </c>
      <c r="P2206" s="15">
        <v>220</v>
      </c>
      <c r="Q2206" s="8"/>
      <c r="R2206">
        <v>14</v>
      </c>
      <c r="S2206">
        <v>2741.06</v>
      </c>
      <c r="T2206">
        <v>4.38</v>
      </c>
      <c r="U2206">
        <v>10.050000000000001</v>
      </c>
      <c r="V2206">
        <v>140</v>
      </c>
      <c r="W2206" s="317">
        <v>3.9</v>
      </c>
      <c r="X2206" s="190">
        <f t="shared" si="93"/>
        <v>46.8</v>
      </c>
      <c r="Y2206" s="8"/>
      <c r="Z2206" s="8"/>
    </row>
    <row r="2207" spans="1:26" ht="12.75" customHeight="1" x14ac:dyDescent="0.2">
      <c r="A2207" s="15">
        <v>50</v>
      </c>
      <c r="B2207" s="15">
        <v>1998</v>
      </c>
      <c r="C2207" s="15">
        <v>8</v>
      </c>
      <c r="D2207" s="15">
        <v>8</v>
      </c>
      <c r="E2207" s="22" t="s">
        <v>17</v>
      </c>
      <c r="F2207" s="11" t="s">
        <v>51</v>
      </c>
      <c r="G2207" s="15">
        <v>146</v>
      </c>
      <c r="H2207" s="15" t="s">
        <v>29</v>
      </c>
      <c r="I2207" s="25">
        <v>13</v>
      </c>
      <c r="J2207" s="11" t="s">
        <v>19</v>
      </c>
      <c r="K2207" s="11" t="s">
        <v>34</v>
      </c>
      <c r="L2207" s="11" t="s">
        <v>41</v>
      </c>
      <c r="M2207" s="11" t="s">
        <v>46</v>
      </c>
      <c r="N2207" s="11" t="s">
        <v>24</v>
      </c>
      <c r="O2207" s="16" t="s">
        <v>29</v>
      </c>
      <c r="P2207" s="15">
        <v>220</v>
      </c>
      <c r="Q2207" s="8"/>
      <c r="R2207">
        <v>13.62</v>
      </c>
      <c r="S2207">
        <v>2527.5700000000002</v>
      </c>
      <c r="T2207">
        <v>5.14</v>
      </c>
      <c r="U2207">
        <v>9.7799999999999994</v>
      </c>
      <c r="V2207">
        <v>136</v>
      </c>
      <c r="W2207" s="317">
        <v>3.8</v>
      </c>
      <c r="X2207" s="190">
        <f t="shared" si="93"/>
        <v>49.4</v>
      </c>
      <c r="Y2207" s="8"/>
      <c r="Z2207" s="8"/>
    </row>
    <row r="2208" spans="1:26" ht="12.75" customHeight="1" x14ac:dyDescent="0.2">
      <c r="A2208" s="15">
        <v>51</v>
      </c>
      <c r="B2208" s="15">
        <v>1998</v>
      </c>
      <c r="C2208" s="15">
        <v>8</v>
      </c>
      <c r="D2208" s="15">
        <v>8</v>
      </c>
      <c r="E2208" s="22" t="s">
        <v>17</v>
      </c>
      <c r="F2208" s="11" t="s">
        <v>51</v>
      </c>
      <c r="G2208" s="15">
        <v>137</v>
      </c>
      <c r="H2208" s="15" t="s">
        <v>29</v>
      </c>
      <c r="I2208" s="25">
        <v>12.5</v>
      </c>
      <c r="J2208" s="11" t="s">
        <v>19</v>
      </c>
      <c r="K2208" s="11" t="s">
        <v>20</v>
      </c>
      <c r="L2208" s="11" t="s">
        <v>30</v>
      </c>
      <c r="M2208" s="11" t="s">
        <v>45</v>
      </c>
      <c r="N2208" s="11" t="s">
        <v>25</v>
      </c>
      <c r="O2208" s="16" t="s">
        <v>29</v>
      </c>
      <c r="P2208" s="15">
        <v>220</v>
      </c>
      <c r="Q2208" s="8"/>
      <c r="R2208">
        <v>12.78</v>
      </c>
      <c r="S2208">
        <v>2088.37</v>
      </c>
      <c r="T2208">
        <v>5.99</v>
      </c>
      <c r="U2208">
        <v>9.18</v>
      </c>
      <c r="V2208">
        <v>128</v>
      </c>
      <c r="W2208" s="317">
        <v>4.5999999999999996</v>
      </c>
      <c r="X2208" s="190">
        <f t="shared" ref="X2208:X2218" si="94">I2208*W2208</f>
        <v>57.499999999999993</v>
      </c>
      <c r="Y2208" s="8"/>
      <c r="Z2208" s="8"/>
    </row>
    <row r="2209" spans="1:26" ht="12.75" customHeight="1" x14ac:dyDescent="0.2">
      <c r="A2209" s="15">
        <v>52</v>
      </c>
      <c r="B2209" s="15">
        <v>1998</v>
      </c>
      <c r="C2209" s="15">
        <v>8</v>
      </c>
      <c r="D2209" s="15">
        <v>8</v>
      </c>
      <c r="E2209" s="22" t="s">
        <v>17</v>
      </c>
      <c r="F2209" s="11" t="s">
        <v>51</v>
      </c>
      <c r="G2209" s="15">
        <v>137</v>
      </c>
      <c r="H2209" s="15" t="s">
        <v>29</v>
      </c>
      <c r="I2209" s="25">
        <v>8.5</v>
      </c>
      <c r="J2209" s="11" t="s">
        <v>19</v>
      </c>
      <c r="K2209" s="11" t="s">
        <v>20</v>
      </c>
      <c r="L2209" s="11" t="s">
        <v>21</v>
      </c>
      <c r="M2209" s="11" t="s">
        <v>46</v>
      </c>
      <c r="N2209" s="11" t="s">
        <v>25</v>
      </c>
      <c r="O2209" s="16" t="s">
        <v>29</v>
      </c>
      <c r="P2209" s="15">
        <v>220</v>
      </c>
      <c r="Q2209" s="8"/>
      <c r="R2209">
        <v>12.78</v>
      </c>
      <c r="S2209">
        <v>2088.37</v>
      </c>
      <c r="T2209">
        <v>4.07</v>
      </c>
      <c r="U2209">
        <v>9.18</v>
      </c>
      <c r="V2209">
        <v>128</v>
      </c>
      <c r="W2209" s="317">
        <v>3.9</v>
      </c>
      <c r="X2209" s="190">
        <f t="shared" si="94"/>
        <v>33.15</v>
      </c>
      <c r="Y2209" s="8"/>
      <c r="Z2209" s="8"/>
    </row>
    <row r="2210" spans="1:26" ht="12.75" customHeight="1" x14ac:dyDescent="0.2">
      <c r="A2210" s="15">
        <v>53</v>
      </c>
      <c r="B2210" s="15">
        <v>1998</v>
      </c>
      <c r="C2210" s="15">
        <v>8</v>
      </c>
      <c r="D2210" s="15">
        <v>8</v>
      </c>
      <c r="E2210" s="22" t="s">
        <v>17</v>
      </c>
      <c r="F2210" s="11" t="s">
        <v>51</v>
      </c>
      <c r="G2210" s="15">
        <v>135</v>
      </c>
      <c r="H2210" s="15" t="s">
        <v>29</v>
      </c>
      <c r="I2210" s="25">
        <v>12</v>
      </c>
      <c r="J2210" s="11" t="s">
        <v>19</v>
      </c>
      <c r="K2210" s="11" t="s">
        <v>20</v>
      </c>
      <c r="L2210" s="11" t="s">
        <v>30</v>
      </c>
      <c r="M2210" s="11" t="s">
        <v>29</v>
      </c>
      <c r="N2210" s="11" t="s">
        <v>33</v>
      </c>
      <c r="O2210" s="16" t="s">
        <v>29</v>
      </c>
      <c r="P2210" s="15">
        <v>220</v>
      </c>
      <c r="Q2210" s="8"/>
      <c r="R2210">
        <v>12.6</v>
      </c>
      <c r="S2210">
        <v>1998.23</v>
      </c>
      <c r="T2210">
        <v>6.01</v>
      </c>
      <c r="U2210">
        <v>9.0500000000000007</v>
      </c>
      <c r="V2210">
        <v>126</v>
      </c>
      <c r="W2210" s="317">
        <v>4.5999999999999996</v>
      </c>
      <c r="X2210" s="190">
        <f t="shared" si="94"/>
        <v>55.199999999999996</v>
      </c>
      <c r="Y2210" s="8"/>
      <c r="Z2210" s="8"/>
    </row>
    <row r="2211" spans="1:26" ht="12.75" customHeight="1" x14ac:dyDescent="0.2">
      <c r="A2211" s="15">
        <v>54</v>
      </c>
      <c r="B2211" s="15">
        <v>1998</v>
      </c>
      <c r="C2211" s="15">
        <v>6</v>
      </c>
      <c r="D2211" s="15">
        <v>8</v>
      </c>
      <c r="E2211" s="22" t="s">
        <v>225</v>
      </c>
      <c r="F2211" s="11" t="s">
        <v>51</v>
      </c>
      <c r="G2211" s="15">
        <v>138</v>
      </c>
      <c r="H2211" s="15" t="s">
        <v>29</v>
      </c>
      <c r="I2211" s="25">
        <v>7.5</v>
      </c>
      <c r="J2211" s="11" t="s">
        <v>19</v>
      </c>
      <c r="K2211" s="11" t="s">
        <v>20</v>
      </c>
      <c r="L2211" s="11" t="s">
        <v>21</v>
      </c>
      <c r="M2211" s="11" t="s">
        <v>224</v>
      </c>
      <c r="N2211" s="11" t="s">
        <v>25</v>
      </c>
      <c r="O2211" s="16" t="s">
        <v>29</v>
      </c>
      <c r="P2211" s="15">
        <v>218</v>
      </c>
      <c r="Q2211" s="8"/>
      <c r="R2211">
        <v>12.88</v>
      </c>
      <c r="S2211">
        <v>2134.4299999999998</v>
      </c>
      <c r="T2211">
        <v>3.51</v>
      </c>
      <c r="U2211">
        <v>9.25</v>
      </c>
      <c r="V2211">
        <v>129</v>
      </c>
      <c r="W2211" s="317">
        <v>3.9</v>
      </c>
      <c r="X2211" s="190">
        <f t="shared" si="94"/>
        <v>29.25</v>
      </c>
      <c r="Y2211" s="8"/>
      <c r="Z2211" s="8"/>
    </row>
    <row r="2212" spans="1:26" ht="12.75" customHeight="1" x14ac:dyDescent="0.2">
      <c r="A2212" s="15">
        <v>55</v>
      </c>
      <c r="B2212" s="15">
        <v>1998</v>
      </c>
      <c r="C2212" s="15">
        <v>6</v>
      </c>
      <c r="D2212" s="15">
        <v>8</v>
      </c>
      <c r="E2212" s="22" t="s">
        <v>225</v>
      </c>
      <c r="F2212" s="11" t="s">
        <v>51</v>
      </c>
      <c r="G2212" s="15">
        <v>146</v>
      </c>
      <c r="H2212" s="15" t="s">
        <v>29</v>
      </c>
      <c r="I2212" s="25">
        <v>13</v>
      </c>
      <c r="J2212" s="11" t="s">
        <v>19</v>
      </c>
      <c r="K2212" s="11" t="s">
        <v>20</v>
      </c>
      <c r="L2212" s="11" t="s">
        <v>21</v>
      </c>
      <c r="M2212" s="11" t="s">
        <v>47</v>
      </c>
      <c r="N2212" s="11" t="s">
        <v>39</v>
      </c>
      <c r="O2212" s="16" t="s">
        <v>29</v>
      </c>
      <c r="P2212" s="15">
        <v>218</v>
      </c>
      <c r="Q2212" s="8"/>
      <c r="R2212">
        <v>13.62</v>
      </c>
      <c r="S2212">
        <v>2527.5700000000002</v>
      </c>
      <c r="T2212">
        <v>5.14</v>
      </c>
      <c r="U2212">
        <v>9.7799999999999994</v>
      </c>
      <c r="V2212">
        <v>136</v>
      </c>
      <c r="W2212" s="317">
        <v>3.9</v>
      </c>
      <c r="X2212" s="190">
        <f t="shared" si="94"/>
        <v>50.699999999999996</v>
      </c>
      <c r="Y2212" s="8"/>
      <c r="Z2212" s="8"/>
    </row>
    <row r="2213" spans="1:26" ht="12.75" customHeight="1" x14ac:dyDescent="0.2">
      <c r="A2213" s="15">
        <v>56</v>
      </c>
      <c r="B2213" s="15">
        <v>1998</v>
      </c>
      <c r="C2213" s="15">
        <v>6</v>
      </c>
      <c r="D2213" s="15">
        <v>8</v>
      </c>
      <c r="E2213" s="22" t="s">
        <v>225</v>
      </c>
      <c r="F2213" s="11" t="s">
        <v>51</v>
      </c>
      <c r="G2213" s="15">
        <v>153</v>
      </c>
      <c r="H2213" s="15" t="s">
        <v>29</v>
      </c>
      <c r="I2213" s="25">
        <v>17</v>
      </c>
      <c r="J2213" s="11" t="s">
        <v>19</v>
      </c>
      <c r="K2213" s="11" t="s">
        <v>20</v>
      </c>
      <c r="L2213" s="11" t="s">
        <v>21</v>
      </c>
      <c r="M2213" s="11" t="s">
        <v>45</v>
      </c>
      <c r="N2213" s="11" t="s">
        <v>33</v>
      </c>
      <c r="O2213" s="16" t="s">
        <v>29</v>
      </c>
      <c r="P2213" s="15">
        <v>218</v>
      </c>
      <c r="Q2213" s="8"/>
      <c r="R2213">
        <v>14.27</v>
      </c>
      <c r="S2213">
        <v>2908.84</v>
      </c>
      <c r="T2213">
        <v>5.84</v>
      </c>
      <c r="U2213">
        <v>10.25</v>
      </c>
      <c r="V2213">
        <v>143</v>
      </c>
      <c r="W2213" s="317">
        <v>3.9</v>
      </c>
      <c r="X2213" s="190">
        <f t="shared" si="94"/>
        <v>66.3</v>
      </c>
      <c r="Y2213" s="8"/>
      <c r="Z2213" s="8"/>
    </row>
    <row r="2214" spans="1:26" ht="12.75" customHeight="1" x14ac:dyDescent="0.2">
      <c r="A2214" s="15">
        <v>57</v>
      </c>
      <c r="B2214" s="15">
        <v>1998</v>
      </c>
      <c r="C2214" s="15">
        <v>6</v>
      </c>
      <c r="D2214" s="15">
        <v>8</v>
      </c>
      <c r="E2214" s="22" t="s">
        <v>225</v>
      </c>
      <c r="F2214" s="11" t="s">
        <v>28</v>
      </c>
      <c r="G2214" s="11" t="s">
        <v>29</v>
      </c>
      <c r="H2214" s="15" t="s">
        <v>29</v>
      </c>
      <c r="I2214" s="25">
        <v>9.5</v>
      </c>
      <c r="J2214" s="11" t="s">
        <v>19</v>
      </c>
      <c r="K2214" s="11" t="s">
        <v>20</v>
      </c>
      <c r="L2214" s="11" t="s">
        <v>21</v>
      </c>
      <c r="M2214" s="11" t="s">
        <v>29</v>
      </c>
      <c r="N2214" s="11" t="s">
        <v>29</v>
      </c>
      <c r="O2214" s="16" t="s">
        <v>29</v>
      </c>
      <c r="P2214" s="15">
        <v>218</v>
      </c>
      <c r="Q2214" s="8"/>
      <c r="W2214" s="317">
        <v>3.9</v>
      </c>
      <c r="X2214" s="190">
        <f t="shared" si="94"/>
        <v>37.049999999999997</v>
      </c>
      <c r="Y2214" s="8"/>
      <c r="Z2214" s="8"/>
    </row>
    <row r="2215" spans="1:26" ht="12.75" customHeight="1" x14ac:dyDescent="0.2">
      <c r="A2215" s="15">
        <v>58</v>
      </c>
      <c r="B2215" s="15">
        <v>1998</v>
      </c>
      <c r="C2215" s="15">
        <v>6</v>
      </c>
      <c r="D2215" s="15">
        <v>8</v>
      </c>
      <c r="E2215" s="22" t="s">
        <v>225</v>
      </c>
      <c r="F2215" s="11" t="s">
        <v>51</v>
      </c>
      <c r="G2215" s="15">
        <v>137</v>
      </c>
      <c r="H2215" s="15" t="s">
        <v>29</v>
      </c>
      <c r="I2215" s="25">
        <v>12</v>
      </c>
      <c r="J2215" s="11" t="s">
        <v>19</v>
      </c>
      <c r="K2215" s="11" t="s">
        <v>20</v>
      </c>
      <c r="L2215" s="11" t="s">
        <v>30</v>
      </c>
      <c r="M2215" s="11" t="s">
        <v>46</v>
      </c>
      <c r="N2215" s="11" t="s">
        <v>24</v>
      </c>
      <c r="O2215" s="16" t="s">
        <v>29</v>
      </c>
      <c r="P2215" s="15">
        <v>218</v>
      </c>
      <c r="Q2215" s="8"/>
      <c r="R2215">
        <v>12.78</v>
      </c>
      <c r="S2215">
        <v>2088.37</v>
      </c>
      <c r="T2215">
        <v>5.75</v>
      </c>
      <c r="U2215">
        <v>9.18</v>
      </c>
      <c r="V2215">
        <v>128</v>
      </c>
      <c r="W2215" s="317">
        <v>4.5999999999999996</v>
      </c>
      <c r="X2215" s="190">
        <f t="shared" si="94"/>
        <v>55.199999999999996</v>
      </c>
      <c r="Y2215" s="8"/>
      <c r="Z2215" s="8"/>
    </row>
    <row r="2216" spans="1:26" ht="12.75" customHeight="1" x14ac:dyDescent="0.2">
      <c r="A2216" s="15">
        <v>59</v>
      </c>
      <c r="B2216" s="15">
        <v>1998</v>
      </c>
      <c r="C2216" s="15">
        <v>6</v>
      </c>
      <c r="D2216" s="15">
        <v>8</v>
      </c>
      <c r="E2216" s="22" t="s">
        <v>225</v>
      </c>
      <c r="F2216" s="11" t="s">
        <v>51</v>
      </c>
      <c r="G2216" s="15">
        <v>142</v>
      </c>
      <c r="H2216" s="15" t="s">
        <v>29</v>
      </c>
      <c r="I2216" s="25">
        <v>11</v>
      </c>
      <c r="J2216" s="11" t="s">
        <v>19</v>
      </c>
      <c r="K2216" s="11" t="s">
        <v>20</v>
      </c>
      <c r="L2216" s="11" t="s">
        <v>30</v>
      </c>
      <c r="M2216" s="11" t="s">
        <v>29</v>
      </c>
      <c r="N2216" s="11" t="s">
        <v>24</v>
      </c>
      <c r="O2216" s="16" t="s">
        <v>29</v>
      </c>
      <c r="P2216" s="15">
        <v>218</v>
      </c>
      <c r="Q2216" s="8"/>
      <c r="R2216">
        <v>13.25</v>
      </c>
      <c r="S2216">
        <v>2325.4699999999998</v>
      </c>
      <c r="T2216">
        <v>4.7300000000000004</v>
      </c>
      <c r="U2216">
        <v>9.51</v>
      </c>
      <c r="V2216">
        <v>132</v>
      </c>
      <c r="W2216" s="317">
        <v>4.5999999999999996</v>
      </c>
      <c r="X2216" s="190">
        <f t="shared" si="94"/>
        <v>50.599999999999994</v>
      </c>
      <c r="Y2216" s="8"/>
      <c r="Z2216" s="8"/>
    </row>
    <row r="2217" spans="1:26" ht="12.75" customHeight="1" x14ac:dyDescent="0.2">
      <c r="A2217" s="15">
        <v>60</v>
      </c>
      <c r="B2217" s="15">
        <v>1998</v>
      </c>
      <c r="C2217" s="15">
        <v>6</v>
      </c>
      <c r="D2217" s="15">
        <v>8</v>
      </c>
      <c r="E2217" s="22" t="s">
        <v>225</v>
      </c>
      <c r="F2217" s="11" t="s">
        <v>51</v>
      </c>
      <c r="G2217" s="15">
        <v>115</v>
      </c>
      <c r="H2217" s="15" t="s">
        <v>29</v>
      </c>
      <c r="I2217" s="25">
        <v>5</v>
      </c>
      <c r="J2217" s="11" t="s">
        <v>19</v>
      </c>
      <c r="K2217" s="11" t="s">
        <v>20</v>
      </c>
      <c r="L2217" s="11" t="s">
        <v>35</v>
      </c>
      <c r="M2217" s="11" t="s">
        <v>29</v>
      </c>
      <c r="N2217" s="11" t="s">
        <v>24</v>
      </c>
      <c r="O2217" s="16" t="s">
        <v>29</v>
      </c>
      <c r="P2217" s="15">
        <v>218</v>
      </c>
      <c r="Q2217" s="8"/>
      <c r="R2217">
        <v>10.73</v>
      </c>
      <c r="S2217">
        <v>1235.2</v>
      </c>
      <c r="T2217">
        <v>4.05</v>
      </c>
      <c r="U2217">
        <v>7.71</v>
      </c>
      <c r="V2217">
        <v>107</v>
      </c>
      <c r="W2217" s="317">
        <v>3.9</v>
      </c>
      <c r="X2217" s="190">
        <f t="shared" si="94"/>
        <v>19.5</v>
      </c>
      <c r="Y2217" s="8"/>
      <c r="Z2217" s="8"/>
    </row>
    <row r="2218" spans="1:26" ht="12.75" customHeight="1" x14ac:dyDescent="0.2">
      <c r="A2218" s="15">
        <v>61</v>
      </c>
      <c r="B2218" s="15">
        <v>1998</v>
      </c>
      <c r="C2218" s="15">
        <v>6</v>
      </c>
      <c r="D2218" s="15">
        <v>8</v>
      </c>
      <c r="E2218" s="22" t="s">
        <v>225</v>
      </c>
      <c r="F2218" s="11" t="s">
        <v>51</v>
      </c>
      <c r="G2218" s="15">
        <v>160</v>
      </c>
      <c r="H2218" s="15" t="s">
        <v>29</v>
      </c>
      <c r="I2218" s="25">
        <v>22.5</v>
      </c>
      <c r="J2218" s="11" t="s">
        <v>19</v>
      </c>
      <c r="K2218" s="11" t="s">
        <v>34</v>
      </c>
      <c r="L2218" s="11" t="s">
        <v>41</v>
      </c>
      <c r="M2218" s="11" t="s">
        <v>27</v>
      </c>
      <c r="N2218" s="11" t="s">
        <v>25</v>
      </c>
      <c r="O2218" s="16" t="s">
        <v>29</v>
      </c>
      <c r="P2218" s="15">
        <v>218</v>
      </c>
      <c r="Q2218" s="8"/>
      <c r="R2218">
        <v>14.93</v>
      </c>
      <c r="S2218">
        <v>3326.63</v>
      </c>
      <c r="T2218">
        <v>6.76</v>
      </c>
      <c r="U2218">
        <v>10.72</v>
      </c>
      <c r="V2218">
        <v>149</v>
      </c>
      <c r="W2218" s="317">
        <v>3.8</v>
      </c>
      <c r="X2218" s="190">
        <f t="shared" si="94"/>
        <v>85.5</v>
      </c>
      <c r="Y2218" s="8"/>
      <c r="Z2218" s="8"/>
    </row>
    <row r="2219" spans="1:26" ht="12.75" customHeight="1" x14ac:dyDescent="0.2">
      <c r="A2219" s="15">
        <v>62</v>
      </c>
      <c r="B2219" s="15">
        <v>1998</v>
      </c>
      <c r="C2219" s="15">
        <v>6</v>
      </c>
      <c r="D2219" s="15">
        <v>8</v>
      </c>
      <c r="E2219" s="22" t="s">
        <v>225</v>
      </c>
      <c r="F2219" s="11" t="s">
        <v>51</v>
      </c>
      <c r="G2219" s="15">
        <v>135</v>
      </c>
      <c r="H2219" s="15" t="s">
        <v>29</v>
      </c>
      <c r="I2219" s="25">
        <v>12.5</v>
      </c>
      <c r="J2219" s="11" t="s">
        <v>19</v>
      </c>
      <c r="K2219" s="11" t="s">
        <v>20</v>
      </c>
      <c r="L2219" s="11" t="s">
        <v>30</v>
      </c>
      <c r="M2219" s="11" t="s">
        <v>46</v>
      </c>
      <c r="N2219" s="11" t="s">
        <v>23</v>
      </c>
      <c r="O2219" s="16" t="s">
        <v>29</v>
      </c>
      <c r="P2219" s="15">
        <v>218</v>
      </c>
      <c r="Q2219" s="8"/>
      <c r="R2219">
        <v>12.6</v>
      </c>
      <c r="S2219">
        <v>1998.23</v>
      </c>
      <c r="T2219">
        <v>6.26</v>
      </c>
      <c r="U2219">
        <v>9.0500000000000007</v>
      </c>
      <c r="V2219">
        <v>126</v>
      </c>
      <c r="W2219" s="317">
        <v>4.5999999999999996</v>
      </c>
      <c r="X2219" s="190">
        <f>I2219*W2219</f>
        <v>57.499999999999993</v>
      </c>
      <c r="Y2219" s="8"/>
      <c r="Z2219" s="8"/>
    </row>
    <row r="2220" spans="1:26" ht="12.75" customHeight="1" x14ac:dyDescent="0.2">
      <c r="A2220" s="15">
        <v>63</v>
      </c>
      <c r="B2220" s="15">
        <v>1998</v>
      </c>
      <c r="C2220" s="15">
        <v>5</v>
      </c>
      <c r="D2220" s="15">
        <v>8</v>
      </c>
      <c r="E2220" s="22" t="s">
        <v>17</v>
      </c>
      <c r="F2220" s="11" t="s">
        <v>51</v>
      </c>
      <c r="G2220" s="15">
        <v>143</v>
      </c>
      <c r="H2220" s="15" t="s">
        <v>29</v>
      </c>
      <c r="I2220" s="25">
        <v>8.5</v>
      </c>
      <c r="J2220" s="11" t="s">
        <v>19</v>
      </c>
      <c r="K2220" s="11" t="s">
        <v>20</v>
      </c>
      <c r="L2220" s="11" t="s">
        <v>41</v>
      </c>
      <c r="M2220" s="11" t="s">
        <v>47</v>
      </c>
      <c r="N2220" s="11" t="s">
        <v>29</v>
      </c>
      <c r="O2220" s="16" t="s">
        <v>29</v>
      </c>
      <c r="P2220" s="15">
        <v>217</v>
      </c>
      <c r="Q2220" s="8"/>
      <c r="R2220">
        <v>13.34</v>
      </c>
      <c r="S2220">
        <v>2374.94</v>
      </c>
      <c r="T2220">
        <v>3.58</v>
      </c>
      <c r="U2220">
        <v>9.58</v>
      </c>
      <c r="V2220">
        <v>133</v>
      </c>
      <c r="W2220" s="8"/>
      <c r="X2220" s="8"/>
      <c r="Y2220" s="8"/>
      <c r="Z2220" s="8"/>
    </row>
    <row r="2221" spans="1:26" ht="12.75" customHeight="1" x14ac:dyDescent="0.2">
      <c r="A2221" s="15">
        <v>64</v>
      </c>
      <c r="B2221" s="15">
        <v>1998</v>
      </c>
      <c r="C2221" s="15">
        <v>5</v>
      </c>
      <c r="D2221" s="15">
        <v>8</v>
      </c>
      <c r="E2221" s="22" t="s">
        <v>17</v>
      </c>
      <c r="F2221" s="11" t="s">
        <v>51</v>
      </c>
      <c r="G2221" s="15">
        <v>144</v>
      </c>
      <c r="H2221" s="15" t="s">
        <v>29</v>
      </c>
      <c r="I2221" s="25">
        <v>10.7</v>
      </c>
      <c r="J2221" s="11" t="s">
        <v>19</v>
      </c>
      <c r="K2221" s="11" t="s">
        <v>20</v>
      </c>
      <c r="L2221" s="11" t="s">
        <v>41</v>
      </c>
      <c r="M2221" s="11" t="s">
        <v>27</v>
      </c>
      <c r="N2221" s="11" t="s">
        <v>23</v>
      </c>
      <c r="O2221" s="16" t="s">
        <v>29</v>
      </c>
      <c r="P2221" s="15">
        <v>217</v>
      </c>
      <c r="Q2221" s="8"/>
      <c r="R2221">
        <v>13.44</v>
      </c>
      <c r="S2221">
        <v>2425.12</v>
      </c>
      <c r="T2221">
        <v>4.41</v>
      </c>
      <c r="U2221">
        <v>9.65</v>
      </c>
      <c r="V2221">
        <v>134</v>
      </c>
      <c r="W2221" s="8"/>
      <c r="X2221" s="8"/>
      <c r="Y2221" s="8"/>
      <c r="Z2221" s="8"/>
    </row>
    <row r="2222" spans="1:26" ht="12.75" customHeight="1" x14ac:dyDescent="0.2">
      <c r="A2222" s="15">
        <v>65</v>
      </c>
      <c r="B2222" s="15">
        <v>1998</v>
      </c>
      <c r="C2222" s="15">
        <v>5</v>
      </c>
      <c r="D2222" s="15">
        <v>8</v>
      </c>
      <c r="E2222" s="22" t="s">
        <v>17</v>
      </c>
      <c r="F2222" s="11" t="s">
        <v>51</v>
      </c>
      <c r="G2222" s="15">
        <v>142</v>
      </c>
      <c r="H2222" s="15" t="s">
        <v>29</v>
      </c>
      <c r="I2222" s="25">
        <v>15</v>
      </c>
      <c r="J2222" s="11" t="s">
        <v>19</v>
      </c>
      <c r="K2222" s="11" t="s">
        <v>20</v>
      </c>
      <c r="L2222" s="11" t="s">
        <v>30</v>
      </c>
      <c r="M2222" s="11" t="s">
        <v>45</v>
      </c>
      <c r="N2222" s="11" t="s">
        <v>24</v>
      </c>
      <c r="O2222" s="16" t="s">
        <v>29</v>
      </c>
      <c r="P2222" s="15">
        <v>217</v>
      </c>
      <c r="Q2222" s="8"/>
      <c r="R2222">
        <v>13.25</v>
      </c>
      <c r="S2222">
        <v>2325.4699999999998</v>
      </c>
      <c r="T2222">
        <v>6.45</v>
      </c>
      <c r="U2222">
        <v>9.51</v>
      </c>
      <c r="V2222">
        <v>132</v>
      </c>
      <c r="W2222" s="317">
        <v>4.5999999999999996</v>
      </c>
      <c r="X2222" s="190">
        <f t="shared" ref="X2222:X2229" si="95">I2222*W2222</f>
        <v>69</v>
      </c>
      <c r="Y2222" s="8"/>
      <c r="Z2222" s="8"/>
    </row>
    <row r="2223" spans="1:26" ht="12.75" customHeight="1" x14ac:dyDescent="0.2">
      <c r="A2223" s="15">
        <v>66</v>
      </c>
      <c r="B2223" s="15">
        <v>1998</v>
      </c>
      <c r="C2223" s="15">
        <v>5</v>
      </c>
      <c r="D2223" s="15">
        <v>8</v>
      </c>
      <c r="E2223" s="22" t="s">
        <v>17</v>
      </c>
      <c r="F2223" s="11" t="s">
        <v>51</v>
      </c>
      <c r="G2223" s="15">
        <v>165</v>
      </c>
      <c r="H2223" s="15" t="s">
        <v>29</v>
      </c>
      <c r="I2223" s="25">
        <v>16</v>
      </c>
      <c r="J2223" s="11" t="s">
        <v>19</v>
      </c>
      <c r="K2223" s="11" t="s">
        <v>20</v>
      </c>
      <c r="L2223" s="11" t="s">
        <v>21</v>
      </c>
      <c r="M2223" s="11" t="s">
        <v>46</v>
      </c>
      <c r="N2223" s="11" t="s">
        <v>33</v>
      </c>
      <c r="O2223" s="16" t="s">
        <v>29</v>
      </c>
      <c r="P2223" s="15">
        <v>217</v>
      </c>
      <c r="Q2223" s="8"/>
      <c r="R2223">
        <v>15.39</v>
      </c>
      <c r="S2223">
        <v>3648.35</v>
      </c>
      <c r="T2223">
        <v>4.3899999999999997</v>
      </c>
      <c r="U2223">
        <v>11.06</v>
      </c>
      <c r="V2223">
        <v>154</v>
      </c>
      <c r="W2223" s="317">
        <v>3.9</v>
      </c>
      <c r="X2223" s="190">
        <f t="shared" si="95"/>
        <v>62.4</v>
      </c>
      <c r="Y2223" s="8"/>
      <c r="Z2223" s="8"/>
    </row>
    <row r="2224" spans="1:26" ht="12.75" customHeight="1" x14ac:dyDescent="0.2">
      <c r="A2224" s="15">
        <v>67</v>
      </c>
      <c r="B2224" s="15">
        <v>1998</v>
      </c>
      <c r="C2224" s="15">
        <v>5</v>
      </c>
      <c r="D2224" s="15">
        <v>8</v>
      </c>
      <c r="E2224" s="22" t="s">
        <v>17</v>
      </c>
      <c r="F2224" s="11" t="s">
        <v>51</v>
      </c>
      <c r="G2224" s="11" t="s">
        <v>29</v>
      </c>
      <c r="H2224" s="15" t="s">
        <v>29</v>
      </c>
      <c r="I2224" s="25">
        <v>5.5</v>
      </c>
      <c r="J2224" s="11" t="s">
        <v>19</v>
      </c>
      <c r="K2224" s="11" t="s">
        <v>20</v>
      </c>
      <c r="L2224" s="11" t="s">
        <v>21</v>
      </c>
      <c r="M2224" s="11" t="s">
        <v>29</v>
      </c>
      <c r="N2224" s="11" t="s">
        <v>25</v>
      </c>
      <c r="O2224" s="16" t="s">
        <v>29</v>
      </c>
      <c r="P2224" s="15">
        <v>217</v>
      </c>
      <c r="Q2224" s="8"/>
      <c r="W2224" s="317">
        <v>3.9</v>
      </c>
      <c r="X2224" s="190">
        <f t="shared" si="95"/>
        <v>21.45</v>
      </c>
      <c r="Y2224" s="8"/>
      <c r="Z2224" s="8"/>
    </row>
    <row r="2225" spans="1:26" ht="12.75" customHeight="1" x14ac:dyDescent="0.2">
      <c r="A2225" s="15">
        <v>68</v>
      </c>
      <c r="B2225" s="15">
        <v>1998</v>
      </c>
      <c r="C2225" s="15">
        <v>5</v>
      </c>
      <c r="D2225" s="15">
        <v>8</v>
      </c>
      <c r="E2225" s="22" t="s">
        <v>17</v>
      </c>
      <c r="F2225" s="11" t="s">
        <v>51</v>
      </c>
      <c r="G2225" s="15">
        <v>128</v>
      </c>
      <c r="H2225" s="15" t="s">
        <v>29</v>
      </c>
      <c r="I2225" s="25">
        <v>6</v>
      </c>
      <c r="J2225" s="11" t="s">
        <v>19</v>
      </c>
      <c r="K2225" s="11" t="s">
        <v>20</v>
      </c>
      <c r="L2225" s="11" t="s">
        <v>21</v>
      </c>
      <c r="M2225" s="11" t="s">
        <v>29</v>
      </c>
      <c r="N2225" s="11" t="s">
        <v>25</v>
      </c>
      <c r="O2225" s="16" t="s">
        <v>29</v>
      </c>
      <c r="P2225" s="15">
        <v>217</v>
      </c>
      <c r="Q2225" s="8"/>
      <c r="R2225">
        <v>11.94</v>
      </c>
      <c r="S2225">
        <v>1703.24</v>
      </c>
      <c r="T2225">
        <v>3.52</v>
      </c>
      <c r="U2225">
        <v>8.58</v>
      </c>
      <c r="V2225">
        <v>119</v>
      </c>
      <c r="W2225" s="317">
        <v>3.9</v>
      </c>
      <c r="X2225" s="190">
        <f t="shared" si="95"/>
        <v>23.4</v>
      </c>
      <c r="Y2225" s="8"/>
      <c r="Z2225" s="8"/>
    </row>
    <row r="2226" spans="1:26" ht="12.75" customHeight="1" x14ac:dyDescent="0.2">
      <c r="A2226" s="15">
        <v>69</v>
      </c>
      <c r="B2226" s="15">
        <v>1998</v>
      </c>
      <c r="C2226" s="15">
        <v>5</v>
      </c>
      <c r="D2226" s="15">
        <v>8</v>
      </c>
      <c r="E2226" s="22" t="s">
        <v>17</v>
      </c>
      <c r="F2226" s="11" t="s">
        <v>51</v>
      </c>
      <c r="G2226" s="11" t="s">
        <v>29</v>
      </c>
      <c r="H2226" s="15" t="s">
        <v>29</v>
      </c>
      <c r="I2226" s="25">
        <v>6.2</v>
      </c>
      <c r="J2226" s="11" t="s">
        <v>19</v>
      </c>
      <c r="K2226" s="11" t="s">
        <v>20</v>
      </c>
      <c r="L2226" s="11" t="s">
        <v>21</v>
      </c>
      <c r="M2226" s="11" t="s">
        <v>29</v>
      </c>
      <c r="N2226" s="11" t="s">
        <v>25</v>
      </c>
      <c r="O2226" s="16" t="s">
        <v>29</v>
      </c>
      <c r="P2226" s="15">
        <v>217</v>
      </c>
      <c r="Q2226" s="8"/>
      <c r="W2226" s="317">
        <v>3.9</v>
      </c>
      <c r="X2226" s="190">
        <f t="shared" si="95"/>
        <v>24.18</v>
      </c>
      <c r="Y2226" s="8"/>
      <c r="Z2226" s="8"/>
    </row>
    <row r="2227" spans="1:26" ht="12.75" customHeight="1" x14ac:dyDescent="0.2">
      <c r="A2227" s="15">
        <v>70</v>
      </c>
      <c r="B2227" s="15">
        <v>1998</v>
      </c>
      <c r="C2227" s="15">
        <v>5</v>
      </c>
      <c r="D2227" s="15">
        <v>8</v>
      </c>
      <c r="E2227" s="22" t="s">
        <v>17</v>
      </c>
      <c r="F2227" s="11" t="s">
        <v>51</v>
      </c>
      <c r="G2227" s="15">
        <v>145</v>
      </c>
      <c r="H2227" s="15" t="s">
        <v>29</v>
      </c>
      <c r="I2227" s="25">
        <v>8.5</v>
      </c>
      <c r="J2227" s="11" t="s">
        <v>19</v>
      </c>
      <c r="K2227" s="11" t="s">
        <v>20</v>
      </c>
      <c r="L2227" s="11" t="s">
        <v>21</v>
      </c>
      <c r="M2227" s="11" t="s">
        <v>46</v>
      </c>
      <c r="N2227" s="11" t="s">
        <v>23</v>
      </c>
      <c r="O2227" s="16" t="s">
        <v>29</v>
      </c>
      <c r="P2227" s="15">
        <v>217</v>
      </c>
      <c r="Q2227" s="8"/>
      <c r="R2227">
        <v>13.53</v>
      </c>
      <c r="S2227">
        <v>2475.9899999999998</v>
      </c>
      <c r="T2227">
        <v>3.43</v>
      </c>
      <c r="U2227">
        <v>9.7200000000000006</v>
      </c>
      <c r="V2227">
        <v>135</v>
      </c>
      <c r="W2227" s="317">
        <v>3.9</v>
      </c>
      <c r="X2227" s="190">
        <f t="shared" si="95"/>
        <v>33.15</v>
      </c>
      <c r="Y2227" s="8"/>
      <c r="Z2227" s="8"/>
    </row>
    <row r="2228" spans="1:26" ht="12.75" customHeight="1" x14ac:dyDescent="0.2">
      <c r="A2228" s="15">
        <v>71</v>
      </c>
      <c r="B2228" s="15">
        <v>1998</v>
      </c>
      <c r="C2228" s="15">
        <v>5</v>
      </c>
      <c r="D2228" s="15">
        <v>8</v>
      </c>
      <c r="E2228" s="22" t="s">
        <v>17</v>
      </c>
      <c r="F2228" s="11" t="s">
        <v>51</v>
      </c>
      <c r="G2228" s="15">
        <v>124</v>
      </c>
      <c r="H2228" s="15" t="s">
        <v>29</v>
      </c>
      <c r="I2228" s="25">
        <v>7</v>
      </c>
      <c r="J2228" s="11" t="s">
        <v>19</v>
      </c>
      <c r="K2228" s="11" t="s">
        <v>20</v>
      </c>
      <c r="L2228" s="11" t="s">
        <v>30</v>
      </c>
      <c r="M2228" s="11" t="s">
        <v>29</v>
      </c>
      <c r="N2228" s="11" t="s">
        <v>25</v>
      </c>
      <c r="O2228" s="16" t="s">
        <v>29</v>
      </c>
      <c r="P2228" s="15">
        <v>217</v>
      </c>
      <c r="Q2228" s="8"/>
      <c r="R2228">
        <v>11.57</v>
      </c>
      <c r="S2228">
        <v>1548.5</v>
      </c>
      <c r="T2228">
        <v>4.5199999999999996</v>
      </c>
      <c r="U2228">
        <v>8.31</v>
      </c>
      <c r="V2228">
        <v>116</v>
      </c>
      <c r="W2228" s="317">
        <v>4.5999999999999996</v>
      </c>
      <c r="X2228" s="190">
        <f t="shared" si="95"/>
        <v>32.199999999999996</v>
      </c>
      <c r="Y2228" s="8"/>
      <c r="Z2228" s="8"/>
    </row>
    <row r="2229" spans="1:26" ht="12.75" customHeight="1" x14ac:dyDescent="0.2">
      <c r="A2229" s="15">
        <v>72</v>
      </c>
      <c r="B2229" s="15">
        <v>1998</v>
      </c>
      <c r="C2229" s="15">
        <v>5</v>
      </c>
      <c r="D2229" s="15">
        <v>8</v>
      </c>
      <c r="E2229" s="22" t="s">
        <v>17</v>
      </c>
      <c r="F2229" s="11" t="s">
        <v>28</v>
      </c>
      <c r="G2229" s="11" t="s">
        <v>29</v>
      </c>
      <c r="H2229" s="15" t="s">
        <v>29</v>
      </c>
      <c r="I2229" s="25">
        <v>8</v>
      </c>
      <c r="J2229" s="11" t="s">
        <v>19</v>
      </c>
      <c r="K2229" s="11" t="s">
        <v>20</v>
      </c>
      <c r="L2229" s="11" t="s">
        <v>30</v>
      </c>
      <c r="M2229" s="11" t="s">
        <v>27</v>
      </c>
      <c r="N2229" s="11" t="s">
        <v>29</v>
      </c>
      <c r="O2229" s="16" t="s">
        <v>29</v>
      </c>
      <c r="P2229" s="15">
        <v>217</v>
      </c>
      <c r="Q2229" s="8"/>
      <c r="W2229" s="317">
        <v>4.5999999999999996</v>
      </c>
      <c r="X2229" s="190">
        <f t="shared" si="95"/>
        <v>36.799999999999997</v>
      </c>
      <c r="Y2229" s="8"/>
      <c r="Z2229" s="8"/>
    </row>
    <row r="2230" spans="1:26" ht="12.75" customHeight="1" x14ac:dyDescent="0.2">
      <c r="A2230" s="15">
        <v>73</v>
      </c>
      <c r="B2230" s="15">
        <v>1998</v>
      </c>
      <c r="C2230" s="15">
        <v>5</v>
      </c>
      <c r="D2230" s="15">
        <v>8</v>
      </c>
      <c r="E2230" s="22" t="s">
        <v>17</v>
      </c>
      <c r="F2230" s="11" t="s">
        <v>51</v>
      </c>
      <c r="G2230" s="15">
        <v>117</v>
      </c>
      <c r="H2230" s="15" t="s">
        <v>29</v>
      </c>
      <c r="I2230" s="25">
        <v>8</v>
      </c>
      <c r="J2230" s="11" t="s">
        <v>36</v>
      </c>
      <c r="K2230" s="11" t="s">
        <v>29</v>
      </c>
      <c r="L2230" s="11" t="s">
        <v>29</v>
      </c>
      <c r="M2230" s="11" t="s">
        <v>29</v>
      </c>
      <c r="N2230" s="11" t="s">
        <v>29</v>
      </c>
      <c r="O2230" s="16" t="s">
        <v>29</v>
      </c>
      <c r="P2230" s="15">
        <v>217</v>
      </c>
      <c r="Q2230" s="8"/>
      <c r="R2230">
        <v>10.92</v>
      </c>
      <c r="S2230">
        <v>1300.78</v>
      </c>
      <c r="T2230">
        <v>6.15</v>
      </c>
      <c r="U2230">
        <v>7.84</v>
      </c>
      <c r="V2230">
        <v>109</v>
      </c>
      <c r="W2230" s="8"/>
      <c r="X2230" s="8"/>
      <c r="Y2230" s="8"/>
      <c r="Z2230" s="8"/>
    </row>
    <row r="2231" spans="1:26" ht="12.75" customHeight="1" x14ac:dyDescent="0.2">
      <c r="A2231" s="15">
        <v>74</v>
      </c>
      <c r="B2231" s="15">
        <v>1998</v>
      </c>
      <c r="C2231" s="15">
        <v>5</v>
      </c>
      <c r="D2231" s="15">
        <v>8</v>
      </c>
      <c r="E2231" s="22" t="s">
        <v>17</v>
      </c>
      <c r="F2231" s="11" t="s">
        <v>51</v>
      </c>
      <c r="G2231" s="15">
        <v>148</v>
      </c>
      <c r="H2231" s="15" t="s">
        <v>29</v>
      </c>
      <c r="I2231" s="25">
        <v>11.1</v>
      </c>
      <c r="J2231" s="11" t="s">
        <v>19</v>
      </c>
      <c r="K2231" s="11" t="s">
        <v>20</v>
      </c>
      <c r="L2231" s="11" t="s">
        <v>21</v>
      </c>
      <c r="M2231" s="11" t="s">
        <v>46</v>
      </c>
      <c r="N2231" s="11" t="s">
        <v>33</v>
      </c>
      <c r="O2231" s="16" t="s">
        <v>29</v>
      </c>
      <c r="P2231" s="15">
        <v>217</v>
      </c>
      <c r="Q2231" s="8"/>
      <c r="R2231">
        <v>13.81</v>
      </c>
      <c r="S2231">
        <v>2632.87</v>
      </c>
      <c r="T2231">
        <v>4.22</v>
      </c>
      <c r="U2231">
        <v>9.92</v>
      </c>
      <c r="V2231">
        <v>138</v>
      </c>
      <c r="W2231" s="317">
        <v>3.9</v>
      </c>
      <c r="X2231" s="190">
        <f>I2231*W2231</f>
        <v>43.29</v>
      </c>
      <c r="Y2231" s="8"/>
      <c r="Z2231" s="8"/>
    </row>
    <row r="2232" spans="1:26" ht="12.75" customHeight="1" x14ac:dyDescent="0.2">
      <c r="A2232" s="15">
        <v>75</v>
      </c>
      <c r="B2232" s="15">
        <v>1998</v>
      </c>
      <c r="C2232" s="15">
        <v>5</v>
      </c>
      <c r="D2232" s="15">
        <v>8</v>
      </c>
      <c r="E2232" s="22" t="s">
        <v>17</v>
      </c>
      <c r="F2232" s="11" t="s">
        <v>51</v>
      </c>
      <c r="G2232" s="15">
        <v>128</v>
      </c>
      <c r="H2232" s="15" t="s">
        <v>29</v>
      </c>
      <c r="I2232" s="25">
        <v>11</v>
      </c>
      <c r="J2232" s="11" t="s">
        <v>19</v>
      </c>
      <c r="K2232" s="11" t="s">
        <v>20</v>
      </c>
      <c r="L2232" s="11" t="s">
        <v>30</v>
      </c>
      <c r="M2232" s="11" t="s">
        <v>45</v>
      </c>
      <c r="N2232" s="11" t="s">
        <v>33</v>
      </c>
      <c r="O2232" s="16" t="s">
        <v>29</v>
      </c>
      <c r="P2232" s="15">
        <v>217</v>
      </c>
      <c r="Q2232" s="8"/>
      <c r="R2232">
        <v>11.94</v>
      </c>
      <c r="S2232">
        <v>1703.24</v>
      </c>
      <c r="T2232">
        <v>6.46</v>
      </c>
      <c r="U2232">
        <v>8.58</v>
      </c>
      <c r="V2232">
        <v>119</v>
      </c>
      <c r="W2232" s="317">
        <v>4.5999999999999996</v>
      </c>
      <c r="X2232" s="190">
        <f>I2232*W2232</f>
        <v>50.599999999999994</v>
      </c>
      <c r="Y2232" s="8"/>
      <c r="Z2232" s="8"/>
    </row>
    <row r="2233" spans="1:26" ht="12.75" customHeight="1" x14ac:dyDescent="0.2">
      <c r="A2233" s="15">
        <v>76</v>
      </c>
      <c r="B2233" s="15">
        <v>1998</v>
      </c>
      <c r="C2233" s="15">
        <v>5</v>
      </c>
      <c r="D2233" s="15">
        <v>8</v>
      </c>
      <c r="E2233" s="22" t="s">
        <v>17</v>
      </c>
      <c r="F2233" s="11" t="s">
        <v>51</v>
      </c>
      <c r="G2233" s="15">
        <v>137</v>
      </c>
      <c r="H2233" s="15" t="s">
        <v>29</v>
      </c>
      <c r="I2233" s="25">
        <v>10.8</v>
      </c>
      <c r="J2233" s="11" t="s">
        <v>19</v>
      </c>
      <c r="K2233" s="11" t="s">
        <v>20</v>
      </c>
      <c r="L2233" s="11" t="s">
        <v>21</v>
      </c>
      <c r="M2233" s="11" t="s">
        <v>47</v>
      </c>
      <c r="N2233" s="11" t="s">
        <v>23</v>
      </c>
      <c r="O2233" s="16" t="s">
        <v>29</v>
      </c>
      <c r="P2233" s="15">
        <v>217</v>
      </c>
      <c r="Q2233" s="8"/>
      <c r="R2233">
        <v>12.78</v>
      </c>
      <c r="S2233">
        <v>2088.37</v>
      </c>
      <c r="T2233">
        <v>5.17</v>
      </c>
      <c r="U2233">
        <v>9.18</v>
      </c>
      <c r="V2233">
        <v>128</v>
      </c>
      <c r="W2233" s="317">
        <v>3.9</v>
      </c>
      <c r="X2233" s="190">
        <f>I2233*W2233</f>
        <v>42.120000000000005</v>
      </c>
      <c r="Y2233" s="8"/>
      <c r="Z2233" s="8"/>
    </row>
    <row r="2234" spans="1:26" ht="12.75" customHeight="1" x14ac:dyDescent="0.2">
      <c r="A2234" s="15">
        <v>77</v>
      </c>
      <c r="B2234" s="15">
        <v>1998</v>
      </c>
      <c r="C2234" s="15">
        <v>5</v>
      </c>
      <c r="D2234" s="15">
        <v>8</v>
      </c>
      <c r="E2234" s="22" t="s">
        <v>17</v>
      </c>
      <c r="F2234" s="11" t="s">
        <v>51</v>
      </c>
      <c r="G2234" s="15">
        <v>156</v>
      </c>
      <c r="H2234" s="15" t="s">
        <v>29</v>
      </c>
      <c r="I2234" s="25">
        <v>10.7</v>
      </c>
      <c r="J2234" s="11" t="s">
        <v>19</v>
      </c>
      <c r="K2234" s="11" t="s">
        <v>34</v>
      </c>
      <c r="L2234" s="11" t="s">
        <v>41</v>
      </c>
      <c r="M2234" s="11" t="s">
        <v>45</v>
      </c>
      <c r="N2234" s="11" t="s">
        <v>24</v>
      </c>
      <c r="O2234" s="16" t="s">
        <v>29</v>
      </c>
      <c r="P2234" s="15">
        <v>217</v>
      </c>
      <c r="Q2234" s="8"/>
      <c r="R2234">
        <v>14.55</v>
      </c>
      <c r="S2234">
        <v>3083.32</v>
      </c>
      <c r="T2234">
        <v>3.47</v>
      </c>
      <c r="U2234">
        <v>10.45</v>
      </c>
      <c r="V2234">
        <v>146</v>
      </c>
      <c r="W2234" s="317">
        <v>3.8</v>
      </c>
      <c r="X2234" s="190">
        <f>I2234*W2234</f>
        <v>40.659999999999997</v>
      </c>
      <c r="Y2234" s="8"/>
      <c r="Z2234" s="8"/>
    </row>
    <row r="2235" spans="1:26" ht="12.75" customHeight="1" x14ac:dyDescent="0.2">
      <c r="A2235" s="15">
        <v>78</v>
      </c>
      <c r="B2235" s="15">
        <v>1998</v>
      </c>
      <c r="C2235" s="15">
        <v>5</v>
      </c>
      <c r="D2235" s="15">
        <v>8</v>
      </c>
      <c r="E2235" s="22" t="s">
        <v>17</v>
      </c>
      <c r="F2235" s="11" t="s">
        <v>51</v>
      </c>
      <c r="G2235" s="15">
        <v>143</v>
      </c>
      <c r="H2235" s="15" t="s">
        <v>29</v>
      </c>
      <c r="I2235" s="25">
        <v>14</v>
      </c>
      <c r="J2235" s="11" t="s">
        <v>19</v>
      </c>
      <c r="K2235" s="11" t="s">
        <v>20</v>
      </c>
      <c r="L2235" s="11" t="s">
        <v>30</v>
      </c>
      <c r="M2235" s="11" t="s">
        <v>47</v>
      </c>
      <c r="N2235" s="11" t="s">
        <v>29</v>
      </c>
      <c r="O2235" s="16" t="s">
        <v>29</v>
      </c>
      <c r="P2235" s="15">
        <v>217</v>
      </c>
      <c r="Q2235" s="8"/>
      <c r="R2235">
        <v>13.34</v>
      </c>
      <c r="S2235">
        <v>2374.94</v>
      </c>
      <c r="T2235">
        <v>5.89</v>
      </c>
      <c r="U2235">
        <v>9.58</v>
      </c>
      <c r="V2235">
        <v>133</v>
      </c>
      <c r="W2235" s="317">
        <v>4.5999999999999996</v>
      </c>
      <c r="X2235" s="190">
        <f t="shared" ref="X2235:X2243" si="96">I2235*W2235</f>
        <v>64.399999999999991</v>
      </c>
      <c r="Y2235" s="8"/>
      <c r="Z2235" s="8"/>
    </row>
    <row r="2236" spans="1:26" ht="12.75" customHeight="1" x14ac:dyDescent="0.2">
      <c r="A2236" s="15">
        <v>79</v>
      </c>
      <c r="B2236" s="15">
        <v>1998</v>
      </c>
      <c r="C2236" s="15">
        <v>5</v>
      </c>
      <c r="D2236" s="15">
        <v>8</v>
      </c>
      <c r="E2236" s="22" t="s">
        <v>17</v>
      </c>
      <c r="F2236" s="11" t="s">
        <v>28</v>
      </c>
      <c r="G2236" s="11" t="s">
        <v>29</v>
      </c>
      <c r="H2236" s="15" t="s">
        <v>29</v>
      </c>
      <c r="I2236" s="15" t="s">
        <v>29</v>
      </c>
      <c r="J2236" s="11" t="s">
        <v>19</v>
      </c>
      <c r="K2236" s="11" t="s">
        <v>20</v>
      </c>
      <c r="L2236" s="11" t="s">
        <v>35</v>
      </c>
      <c r="M2236" s="11" t="s">
        <v>45</v>
      </c>
      <c r="N2236" s="11" t="s">
        <v>29</v>
      </c>
      <c r="O2236" s="16" t="s">
        <v>29</v>
      </c>
      <c r="P2236" s="15">
        <v>217</v>
      </c>
      <c r="Q2236" s="8"/>
      <c r="W2236" s="317">
        <v>3.9</v>
      </c>
      <c r="X2236" s="190"/>
      <c r="Y2236" s="8"/>
      <c r="Z2236" s="8"/>
    </row>
    <row r="2237" spans="1:26" ht="12.75" customHeight="1" x14ac:dyDescent="0.2">
      <c r="A2237" s="15">
        <v>80</v>
      </c>
      <c r="B2237" s="15">
        <v>1998</v>
      </c>
      <c r="C2237" s="15">
        <v>5</v>
      </c>
      <c r="D2237" s="15">
        <v>8</v>
      </c>
      <c r="E2237" s="22" t="s">
        <v>17</v>
      </c>
      <c r="F2237" s="11" t="s">
        <v>51</v>
      </c>
      <c r="G2237" s="15">
        <v>130</v>
      </c>
      <c r="H2237" s="15" t="s">
        <v>29</v>
      </c>
      <c r="I2237" s="25">
        <v>6.5</v>
      </c>
      <c r="J2237" s="11" t="s">
        <v>19</v>
      </c>
      <c r="K2237" s="11" t="s">
        <v>20</v>
      </c>
      <c r="L2237" s="11" t="s">
        <v>35</v>
      </c>
      <c r="M2237" s="11" t="s">
        <v>46</v>
      </c>
      <c r="N2237" s="11" t="s">
        <v>25</v>
      </c>
      <c r="O2237" s="16" t="s">
        <v>29</v>
      </c>
      <c r="P2237" s="15">
        <v>217</v>
      </c>
      <c r="Q2237" s="8"/>
      <c r="R2237">
        <v>12.13</v>
      </c>
      <c r="S2237">
        <v>1784.33</v>
      </c>
      <c r="T2237">
        <v>3.64</v>
      </c>
      <c r="U2237">
        <v>8.7100000000000009</v>
      </c>
      <c r="V2237">
        <v>121</v>
      </c>
      <c r="W2237" s="317">
        <v>3.9</v>
      </c>
      <c r="X2237" s="190">
        <f t="shared" si="96"/>
        <v>25.349999999999998</v>
      </c>
      <c r="Y2237" s="8"/>
      <c r="Z2237" s="8"/>
    </row>
    <row r="2238" spans="1:26" ht="12.75" customHeight="1" x14ac:dyDescent="0.2">
      <c r="A2238" s="15">
        <v>81</v>
      </c>
      <c r="B2238" s="15">
        <v>1998</v>
      </c>
      <c r="C2238" s="15">
        <v>5</v>
      </c>
      <c r="D2238" s="15">
        <v>8</v>
      </c>
      <c r="E2238" s="22" t="s">
        <v>17</v>
      </c>
      <c r="F2238" s="11" t="s">
        <v>51</v>
      </c>
      <c r="G2238" s="15">
        <v>139</v>
      </c>
      <c r="H2238" s="15" t="s">
        <v>29</v>
      </c>
      <c r="I2238" s="25">
        <v>9.5</v>
      </c>
      <c r="J2238" s="11" t="s">
        <v>19</v>
      </c>
      <c r="K2238" s="11" t="s">
        <v>20</v>
      </c>
      <c r="L2238" s="11" t="s">
        <v>21</v>
      </c>
      <c r="M2238" s="20" t="s">
        <v>217</v>
      </c>
      <c r="N2238" s="11" t="s">
        <v>25</v>
      </c>
      <c r="O2238" s="16" t="s">
        <v>29</v>
      </c>
      <c r="P2238" s="15">
        <v>217</v>
      </c>
      <c r="Q2238" s="8"/>
      <c r="R2238">
        <v>12.97</v>
      </c>
      <c r="S2238">
        <v>2181.17</v>
      </c>
      <c r="T2238">
        <v>4.3600000000000003</v>
      </c>
      <c r="U2238">
        <v>9.31</v>
      </c>
      <c r="V2238">
        <v>130</v>
      </c>
      <c r="W2238" s="317">
        <v>3.9</v>
      </c>
      <c r="X2238" s="190">
        <f t="shared" si="96"/>
        <v>37.049999999999997</v>
      </c>
      <c r="Y2238" s="8"/>
      <c r="Z2238" s="8"/>
    </row>
    <row r="2239" spans="1:26" ht="12.75" customHeight="1" x14ac:dyDescent="0.2">
      <c r="A2239" s="15">
        <v>82</v>
      </c>
      <c r="B2239" s="15">
        <v>1998</v>
      </c>
      <c r="C2239" s="15">
        <v>5</v>
      </c>
      <c r="D2239" s="15">
        <v>8</v>
      </c>
      <c r="E2239" s="22" t="s">
        <v>17</v>
      </c>
      <c r="F2239" s="11" t="s">
        <v>51</v>
      </c>
      <c r="G2239" s="15">
        <v>120</v>
      </c>
      <c r="H2239" s="15" t="s">
        <v>29</v>
      </c>
      <c r="I2239" s="25">
        <v>7</v>
      </c>
      <c r="J2239" s="11" t="s">
        <v>19</v>
      </c>
      <c r="K2239" s="11" t="s">
        <v>20</v>
      </c>
      <c r="L2239" s="11" t="s">
        <v>35</v>
      </c>
      <c r="M2239" s="11" t="s">
        <v>27</v>
      </c>
      <c r="N2239" s="11" t="s">
        <v>25</v>
      </c>
      <c r="O2239" s="16" t="s">
        <v>29</v>
      </c>
      <c r="P2239" s="15">
        <v>217</v>
      </c>
      <c r="Q2239" s="8"/>
      <c r="R2239">
        <v>11.2</v>
      </c>
      <c r="S2239">
        <v>1403.42</v>
      </c>
      <c r="T2239">
        <v>4.99</v>
      </c>
      <c r="U2239">
        <v>8.0399999999999991</v>
      </c>
      <c r="V2239">
        <v>112</v>
      </c>
      <c r="W2239" s="317">
        <v>3.9</v>
      </c>
      <c r="X2239" s="190">
        <f t="shared" si="96"/>
        <v>27.3</v>
      </c>
      <c r="Y2239" s="8"/>
      <c r="Z2239" s="8"/>
    </row>
    <row r="2240" spans="1:26" ht="12.75" customHeight="1" x14ac:dyDescent="0.2">
      <c r="A2240" s="15">
        <v>83</v>
      </c>
      <c r="B2240" s="15">
        <v>1998</v>
      </c>
      <c r="C2240" s="15">
        <v>5</v>
      </c>
      <c r="D2240" s="15">
        <v>8</v>
      </c>
      <c r="E2240" s="22" t="s">
        <v>17</v>
      </c>
      <c r="F2240" s="11" t="s">
        <v>51</v>
      </c>
      <c r="G2240" s="15">
        <v>134</v>
      </c>
      <c r="H2240" s="15" t="s">
        <v>29</v>
      </c>
      <c r="I2240" s="25">
        <v>11.5</v>
      </c>
      <c r="J2240" s="11" t="s">
        <v>19</v>
      </c>
      <c r="K2240" s="11" t="s">
        <v>20</v>
      </c>
      <c r="L2240" s="11" t="s">
        <v>21</v>
      </c>
      <c r="M2240" s="11" t="s">
        <v>27</v>
      </c>
      <c r="N2240" s="11" t="s">
        <v>25</v>
      </c>
      <c r="O2240" s="16" t="s">
        <v>29</v>
      </c>
      <c r="P2240" s="15">
        <v>217</v>
      </c>
      <c r="Q2240" s="8"/>
      <c r="R2240">
        <v>12.5</v>
      </c>
      <c r="S2240">
        <v>1954.16</v>
      </c>
      <c r="T2240">
        <v>5.88</v>
      </c>
      <c r="U2240">
        <v>8.98</v>
      </c>
      <c r="V2240">
        <v>125</v>
      </c>
      <c r="W2240" s="317">
        <v>3.9</v>
      </c>
      <c r="X2240" s="190">
        <f t="shared" si="96"/>
        <v>44.85</v>
      </c>
      <c r="Y2240" s="8"/>
      <c r="Z2240" s="8"/>
    </row>
    <row r="2241" spans="1:26" ht="12.75" customHeight="1" x14ac:dyDescent="0.2">
      <c r="A2241" s="15">
        <v>84</v>
      </c>
      <c r="B2241" s="15">
        <v>1998</v>
      </c>
      <c r="C2241" s="15">
        <v>5</v>
      </c>
      <c r="D2241" s="15">
        <v>8</v>
      </c>
      <c r="E2241" s="22" t="s">
        <v>17</v>
      </c>
      <c r="F2241" s="11" t="s">
        <v>51</v>
      </c>
      <c r="G2241" s="15">
        <v>138</v>
      </c>
      <c r="H2241" s="15" t="s">
        <v>29</v>
      </c>
      <c r="I2241" s="25">
        <v>12</v>
      </c>
      <c r="J2241" s="11" t="s">
        <v>19</v>
      </c>
      <c r="K2241" s="11" t="s">
        <v>20</v>
      </c>
      <c r="L2241" s="11" t="s">
        <v>30</v>
      </c>
      <c r="M2241" s="11" t="s">
        <v>47</v>
      </c>
      <c r="N2241" s="11" t="s">
        <v>33</v>
      </c>
      <c r="O2241" s="16" t="s">
        <v>29</v>
      </c>
      <c r="P2241" s="15">
        <v>217</v>
      </c>
      <c r="Q2241" s="8"/>
      <c r="R2241">
        <v>12.88</v>
      </c>
      <c r="S2241">
        <v>2134.4299999999998</v>
      </c>
      <c r="T2241">
        <v>5.62</v>
      </c>
      <c r="U2241">
        <v>9.25</v>
      </c>
      <c r="V2241">
        <v>129</v>
      </c>
      <c r="W2241" s="317">
        <v>4.5999999999999996</v>
      </c>
      <c r="X2241" s="190">
        <f t="shared" si="96"/>
        <v>55.199999999999996</v>
      </c>
      <c r="Y2241" s="8"/>
      <c r="Z2241" s="8"/>
    </row>
    <row r="2242" spans="1:26" ht="12.75" customHeight="1" x14ac:dyDescent="0.2">
      <c r="A2242" s="15">
        <v>85</v>
      </c>
      <c r="B2242" s="15">
        <v>1998</v>
      </c>
      <c r="C2242" s="15">
        <v>5</v>
      </c>
      <c r="D2242" s="15">
        <v>8</v>
      </c>
      <c r="E2242" s="22" t="s">
        <v>17</v>
      </c>
      <c r="F2242" s="11" t="s">
        <v>28</v>
      </c>
      <c r="G2242" s="11" t="s">
        <v>29</v>
      </c>
      <c r="H2242" s="15" t="s">
        <v>29</v>
      </c>
      <c r="I2242" s="25" t="s">
        <v>29</v>
      </c>
      <c r="J2242" s="11" t="s">
        <v>19</v>
      </c>
      <c r="K2242" s="11" t="s">
        <v>20</v>
      </c>
      <c r="L2242" s="11" t="s">
        <v>21</v>
      </c>
      <c r="M2242" s="11" t="s">
        <v>29</v>
      </c>
      <c r="N2242" s="11" t="s">
        <v>23</v>
      </c>
      <c r="O2242" s="16" t="s">
        <v>29</v>
      </c>
      <c r="P2242" s="15">
        <v>217</v>
      </c>
      <c r="Q2242" s="8"/>
      <c r="W2242" s="317">
        <v>3.9</v>
      </c>
      <c r="X2242" s="190"/>
      <c r="Y2242" s="8"/>
      <c r="Z2242" s="8"/>
    </row>
    <row r="2243" spans="1:26" ht="12.75" customHeight="1" x14ac:dyDescent="0.2">
      <c r="A2243" s="15">
        <v>86</v>
      </c>
      <c r="B2243" s="15">
        <v>1998</v>
      </c>
      <c r="C2243" s="15">
        <v>5</v>
      </c>
      <c r="D2243" s="15">
        <v>8</v>
      </c>
      <c r="E2243" s="22" t="s">
        <v>17</v>
      </c>
      <c r="F2243" s="11" t="s">
        <v>51</v>
      </c>
      <c r="G2243" s="15">
        <v>133</v>
      </c>
      <c r="H2243" s="15" t="s">
        <v>29</v>
      </c>
      <c r="I2243" s="25">
        <v>11.8</v>
      </c>
      <c r="J2243" s="11" t="s">
        <v>19</v>
      </c>
      <c r="K2243" s="11" t="s">
        <v>20</v>
      </c>
      <c r="L2243" s="11" t="s">
        <v>30</v>
      </c>
      <c r="M2243" s="11" t="s">
        <v>46</v>
      </c>
      <c r="N2243" s="11" t="s">
        <v>25</v>
      </c>
      <c r="O2243" s="16" t="s">
        <v>29</v>
      </c>
      <c r="P2243" s="15">
        <v>217</v>
      </c>
      <c r="Q2243" s="8"/>
      <c r="R2243">
        <v>12.41</v>
      </c>
      <c r="S2243">
        <v>1910.73</v>
      </c>
      <c r="T2243">
        <v>6.18</v>
      </c>
      <c r="U2243">
        <v>8.91</v>
      </c>
      <c r="V2243">
        <v>124</v>
      </c>
      <c r="W2243" s="317">
        <v>4.5999999999999996</v>
      </c>
      <c r="X2243" s="190">
        <f t="shared" si="96"/>
        <v>54.28</v>
      </c>
      <c r="Y2243" s="8"/>
      <c r="Z2243" s="8"/>
    </row>
    <row r="2244" spans="1:26" ht="12.75" customHeight="1" x14ac:dyDescent="0.2">
      <c r="A2244" s="15">
        <v>87</v>
      </c>
      <c r="B2244" s="15">
        <v>1998</v>
      </c>
      <c r="C2244" s="15">
        <v>4</v>
      </c>
      <c r="D2244" s="15">
        <v>8</v>
      </c>
      <c r="E2244" s="22" t="s">
        <v>226</v>
      </c>
      <c r="F2244" s="11" t="s">
        <v>51</v>
      </c>
      <c r="G2244" s="15">
        <v>149</v>
      </c>
      <c r="H2244" s="15" t="s">
        <v>29</v>
      </c>
      <c r="I2244" s="25">
        <v>10.6</v>
      </c>
      <c r="J2244" s="11" t="s">
        <v>19</v>
      </c>
      <c r="K2244" s="11" t="s">
        <v>41</v>
      </c>
      <c r="L2244" s="11" t="s">
        <v>35</v>
      </c>
      <c r="M2244" s="11" t="s">
        <v>46</v>
      </c>
      <c r="N2244" s="11" t="s">
        <v>25</v>
      </c>
      <c r="O2244" s="16" t="s">
        <v>29</v>
      </c>
      <c r="P2244" s="15">
        <v>216</v>
      </c>
      <c r="Q2244" s="8"/>
      <c r="R2244">
        <v>13.9</v>
      </c>
      <c r="S2244">
        <v>2686.6</v>
      </c>
      <c r="T2244">
        <v>3.95</v>
      </c>
      <c r="U2244">
        <v>9.98</v>
      </c>
      <c r="V2244">
        <v>139</v>
      </c>
      <c r="W2244" s="8"/>
      <c r="X2244" s="8"/>
      <c r="Y2244" s="8"/>
      <c r="Z2244" s="8"/>
    </row>
    <row r="2245" spans="1:26" ht="12.75" customHeight="1" x14ac:dyDescent="0.2">
      <c r="A2245" s="15">
        <v>88</v>
      </c>
      <c r="B2245" s="15">
        <v>1998</v>
      </c>
      <c r="C2245" s="15">
        <v>4</v>
      </c>
      <c r="D2245" s="15">
        <v>8</v>
      </c>
      <c r="E2245" s="22" t="s">
        <v>226</v>
      </c>
      <c r="F2245" s="11" t="s">
        <v>51</v>
      </c>
      <c r="G2245" s="15">
        <v>136</v>
      </c>
      <c r="H2245" s="15" t="s">
        <v>29</v>
      </c>
      <c r="I2245" s="25">
        <v>11</v>
      </c>
      <c r="J2245" s="11" t="s">
        <v>19</v>
      </c>
      <c r="K2245" s="11" t="s">
        <v>41</v>
      </c>
      <c r="L2245" s="11" t="s">
        <v>35</v>
      </c>
      <c r="M2245" s="11" t="s">
        <v>27</v>
      </c>
      <c r="N2245" s="11" t="s">
        <v>23</v>
      </c>
      <c r="O2245" s="16" t="s">
        <v>29</v>
      </c>
      <c r="P2245" s="15">
        <v>216</v>
      </c>
      <c r="Q2245" s="8"/>
      <c r="R2245">
        <v>12.69</v>
      </c>
      <c r="S2245">
        <v>2042.97</v>
      </c>
      <c r="T2245">
        <v>5.38</v>
      </c>
      <c r="U2245">
        <v>9.11</v>
      </c>
      <c r="V2245">
        <v>127</v>
      </c>
      <c r="W2245" s="8"/>
      <c r="X2245" s="8"/>
      <c r="Y2245" s="8"/>
      <c r="Z2245" s="8"/>
    </row>
    <row r="2246" spans="1:26" ht="12.75" customHeight="1" x14ac:dyDescent="0.2">
      <c r="A2246" s="15">
        <v>89</v>
      </c>
      <c r="B2246" s="15">
        <v>1998</v>
      </c>
      <c r="C2246" s="15">
        <v>4</v>
      </c>
      <c r="D2246" s="15">
        <v>8</v>
      </c>
      <c r="E2246" s="22" t="s">
        <v>226</v>
      </c>
      <c r="F2246" s="11" t="s">
        <v>51</v>
      </c>
      <c r="G2246" s="15">
        <v>149</v>
      </c>
      <c r="H2246" s="15" t="s">
        <v>29</v>
      </c>
      <c r="I2246" s="25">
        <v>15.4</v>
      </c>
      <c r="J2246" s="11" t="s">
        <v>19</v>
      </c>
      <c r="K2246" s="11" t="s">
        <v>20</v>
      </c>
      <c r="L2246" s="11" t="s">
        <v>30</v>
      </c>
      <c r="M2246" s="11" t="s">
        <v>45</v>
      </c>
      <c r="N2246" s="11" t="s">
        <v>25</v>
      </c>
      <c r="O2246" s="16" t="s">
        <v>29</v>
      </c>
      <c r="P2246" s="15">
        <v>216</v>
      </c>
      <c r="Q2246" s="8"/>
      <c r="R2246">
        <v>13.9</v>
      </c>
      <c r="S2246">
        <v>2686.6</v>
      </c>
      <c r="T2246">
        <v>5.73</v>
      </c>
      <c r="U2246">
        <v>9.98</v>
      </c>
      <c r="V2246">
        <v>139</v>
      </c>
      <c r="W2246" s="317">
        <v>4.5999999999999996</v>
      </c>
      <c r="X2246" s="190">
        <f>I2246*W2246</f>
        <v>70.839999999999989</v>
      </c>
      <c r="Y2246" s="8"/>
      <c r="Z2246" s="8"/>
    </row>
    <row r="2247" spans="1:26" ht="12.75" customHeight="1" x14ac:dyDescent="0.2">
      <c r="A2247" s="15">
        <v>90</v>
      </c>
      <c r="B2247" s="15">
        <v>1998</v>
      </c>
      <c r="C2247" s="15">
        <v>4</v>
      </c>
      <c r="D2247" s="15">
        <v>8</v>
      </c>
      <c r="E2247" s="22" t="s">
        <v>226</v>
      </c>
      <c r="F2247" s="11" t="s">
        <v>51</v>
      </c>
      <c r="G2247" s="15">
        <v>141</v>
      </c>
      <c r="H2247" s="15" t="s">
        <v>29</v>
      </c>
      <c r="I2247" s="25">
        <v>6.5</v>
      </c>
      <c r="J2247" s="11" t="s">
        <v>19</v>
      </c>
      <c r="K2247" s="11" t="s">
        <v>41</v>
      </c>
      <c r="L2247" s="11" t="s">
        <v>35</v>
      </c>
      <c r="M2247" s="11" t="s">
        <v>45</v>
      </c>
      <c r="N2247" s="11" t="s">
        <v>29</v>
      </c>
      <c r="O2247" s="16" t="s">
        <v>29</v>
      </c>
      <c r="P2247" s="15">
        <v>216</v>
      </c>
      <c r="Q2247" s="8"/>
      <c r="R2247">
        <v>13.16</v>
      </c>
      <c r="S2247">
        <v>2276.6799999999998</v>
      </c>
      <c r="T2247">
        <v>2.86</v>
      </c>
      <c r="U2247">
        <v>9.4499999999999993</v>
      </c>
      <c r="V2247">
        <v>132</v>
      </c>
      <c r="W2247" s="8"/>
      <c r="X2247" s="8"/>
      <c r="Y2247" s="8"/>
      <c r="Z2247" s="8"/>
    </row>
    <row r="2248" spans="1:26" ht="12.75" customHeight="1" x14ac:dyDescent="0.2">
      <c r="A2248" s="15">
        <v>91</v>
      </c>
      <c r="B2248" s="15">
        <v>1998</v>
      </c>
      <c r="C2248" s="15">
        <v>4</v>
      </c>
      <c r="D2248" s="15">
        <v>8</v>
      </c>
      <c r="E2248" s="22" t="s">
        <v>226</v>
      </c>
      <c r="F2248" s="11" t="s">
        <v>51</v>
      </c>
      <c r="G2248" s="15">
        <v>133</v>
      </c>
      <c r="H2248" s="15" t="s">
        <v>29</v>
      </c>
      <c r="I2248" s="25">
        <v>12</v>
      </c>
      <c r="J2248" s="11" t="s">
        <v>19</v>
      </c>
      <c r="K2248" s="11" t="s">
        <v>20</v>
      </c>
      <c r="L2248" s="11" t="s">
        <v>30</v>
      </c>
      <c r="M2248" s="11" t="s">
        <v>46</v>
      </c>
      <c r="N2248" s="11" t="s">
        <v>33</v>
      </c>
      <c r="O2248" s="16" t="s">
        <v>29</v>
      </c>
      <c r="P2248" s="15">
        <v>216</v>
      </c>
      <c r="Q2248" s="8"/>
      <c r="R2248">
        <v>12.41</v>
      </c>
      <c r="S2248">
        <v>1910.73</v>
      </c>
      <c r="T2248">
        <v>6.28</v>
      </c>
      <c r="U2248">
        <v>8.91</v>
      </c>
      <c r="V2248">
        <v>124</v>
      </c>
      <c r="W2248" s="317">
        <v>4.5999999999999996</v>
      </c>
      <c r="X2248" s="190">
        <f>I2248*W2248</f>
        <v>55.199999999999996</v>
      </c>
      <c r="Y2248" s="8"/>
      <c r="Z2248" s="8"/>
    </row>
    <row r="2249" spans="1:26" ht="12.75" customHeight="1" x14ac:dyDescent="0.2">
      <c r="A2249" s="15">
        <v>92</v>
      </c>
      <c r="B2249" s="15">
        <v>1998</v>
      </c>
      <c r="C2249" s="15">
        <v>4</v>
      </c>
      <c r="D2249" s="15">
        <v>8</v>
      </c>
      <c r="E2249" s="22" t="s">
        <v>226</v>
      </c>
      <c r="F2249" s="11" t="s">
        <v>51</v>
      </c>
      <c r="G2249" s="15">
        <v>134</v>
      </c>
      <c r="H2249" s="15" t="s">
        <v>29</v>
      </c>
      <c r="I2249" s="25">
        <v>10</v>
      </c>
      <c r="J2249" s="11" t="s">
        <v>19</v>
      </c>
      <c r="K2249" s="11" t="s">
        <v>41</v>
      </c>
      <c r="L2249" s="11" t="s">
        <v>35</v>
      </c>
      <c r="M2249" s="11" t="s">
        <v>46</v>
      </c>
      <c r="N2249" s="11" t="s">
        <v>24</v>
      </c>
      <c r="O2249" s="16" t="s">
        <v>29</v>
      </c>
      <c r="P2249" s="15">
        <v>216</v>
      </c>
      <c r="Q2249" s="8"/>
      <c r="R2249">
        <v>12.5</v>
      </c>
      <c r="S2249">
        <v>1954.16</v>
      </c>
      <c r="T2249">
        <v>5.12</v>
      </c>
      <c r="U2249">
        <v>8.98</v>
      </c>
      <c r="V2249">
        <v>125</v>
      </c>
      <c r="W2249" s="8"/>
      <c r="X2249" s="8"/>
      <c r="Y2249" s="8"/>
      <c r="Z2249" s="8"/>
    </row>
    <row r="2250" spans="1:26" ht="12.75" customHeight="1" x14ac:dyDescent="0.2">
      <c r="A2250" s="15">
        <v>93</v>
      </c>
      <c r="B2250" s="15">
        <v>1998</v>
      </c>
      <c r="C2250" s="15">
        <v>4</v>
      </c>
      <c r="D2250" s="15">
        <v>8</v>
      </c>
      <c r="E2250" s="22" t="s">
        <v>226</v>
      </c>
      <c r="F2250" s="11" t="s">
        <v>51</v>
      </c>
      <c r="G2250" s="15">
        <v>139</v>
      </c>
      <c r="H2250" s="15" t="s">
        <v>29</v>
      </c>
      <c r="I2250" s="25">
        <v>12</v>
      </c>
      <c r="J2250" s="11" t="s">
        <v>19</v>
      </c>
      <c r="K2250" s="11" t="s">
        <v>20</v>
      </c>
      <c r="L2250" s="11" t="s">
        <v>30</v>
      </c>
      <c r="M2250" s="11" t="s">
        <v>27</v>
      </c>
      <c r="N2250" s="11" t="s">
        <v>25</v>
      </c>
      <c r="O2250" s="16" t="s">
        <v>29</v>
      </c>
      <c r="P2250" s="15">
        <v>216</v>
      </c>
      <c r="Q2250" s="8"/>
      <c r="R2250">
        <v>12.97</v>
      </c>
      <c r="S2250">
        <v>2181.17</v>
      </c>
      <c r="T2250">
        <v>5.5</v>
      </c>
      <c r="U2250">
        <v>9.31</v>
      </c>
      <c r="V2250">
        <v>130</v>
      </c>
      <c r="W2250" s="317">
        <v>4.5999999999999996</v>
      </c>
      <c r="X2250" s="190">
        <f>I2250*W2250</f>
        <v>55.199999999999996</v>
      </c>
      <c r="Y2250" s="8"/>
      <c r="Z2250" s="8"/>
    </row>
    <row r="2251" spans="1:26" ht="12.75" customHeight="1" x14ac:dyDescent="0.2">
      <c r="A2251" s="15">
        <v>94</v>
      </c>
      <c r="B2251" s="15">
        <v>1998</v>
      </c>
      <c r="C2251" s="15">
        <v>4</v>
      </c>
      <c r="D2251" s="15">
        <v>8</v>
      </c>
      <c r="E2251" s="22" t="s">
        <v>226</v>
      </c>
      <c r="F2251" s="11" t="s">
        <v>51</v>
      </c>
      <c r="G2251" s="15">
        <v>147</v>
      </c>
      <c r="H2251" s="15" t="s">
        <v>29</v>
      </c>
      <c r="I2251" s="25">
        <v>13.5</v>
      </c>
      <c r="J2251" s="11" t="s">
        <v>19</v>
      </c>
      <c r="K2251" s="11" t="s">
        <v>20</v>
      </c>
      <c r="L2251" s="11" t="s">
        <v>21</v>
      </c>
      <c r="M2251" s="11" t="s">
        <v>45</v>
      </c>
      <c r="N2251" s="11" t="s">
        <v>23</v>
      </c>
      <c r="O2251" s="16" t="s">
        <v>29</v>
      </c>
      <c r="P2251" s="15">
        <v>216</v>
      </c>
      <c r="Q2251" s="8"/>
      <c r="R2251">
        <v>13.72</v>
      </c>
      <c r="S2251">
        <v>2579.86</v>
      </c>
      <c r="T2251">
        <v>5.23</v>
      </c>
      <c r="U2251">
        <v>9.85</v>
      </c>
      <c r="V2251">
        <v>137</v>
      </c>
      <c r="W2251" s="317">
        <v>3.9</v>
      </c>
      <c r="X2251" s="190">
        <f>I2251*W2251</f>
        <v>52.65</v>
      </c>
      <c r="Y2251" s="8"/>
      <c r="Z2251" s="8"/>
    </row>
    <row r="2252" spans="1:26" ht="12.75" customHeight="1" x14ac:dyDescent="0.2">
      <c r="A2252" s="15">
        <v>95</v>
      </c>
      <c r="B2252" s="15">
        <v>1998</v>
      </c>
      <c r="C2252" s="15">
        <v>4</v>
      </c>
      <c r="D2252" s="15">
        <v>8</v>
      </c>
      <c r="E2252" s="22" t="s">
        <v>226</v>
      </c>
      <c r="F2252" s="11" t="s">
        <v>51</v>
      </c>
      <c r="G2252" s="15">
        <v>131</v>
      </c>
      <c r="H2252" s="15" t="s">
        <v>29</v>
      </c>
      <c r="I2252" s="25">
        <v>8</v>
      </c>
      <c r="J2252" s="11" t="s">
        <v>19</v>
      </c>
      <c r="K2252" s="11" t="s">
        <v>41</v>
      </c>
      <c r="L2252" s="11" t="s">
        <v>35</v>
      </c>
      <c r="M2252" s="11" t="s">
        <v>46</v>
      </c>
      <c r="N2252" s="11" t="s">
        <v>24</v>
      </c>
      <c r="O2252" s="16" t="s">
        <v>29</v>
      </c>
      <c r="P2252" s="15">
        <v>216</v>
      </c>
      <c r="Q2252" s="8"/>
      <c r="R2252">
        <v>12.22</v>
      </c>
      <c r="S2252">
        <v>1825.82</v>
      </c>
      <c r="T2252">
        <v>4.38</v>
      </c>
      <c r="U2252">
        <v>8.7799999999999994</v>
      </c>
      <c r="V2252">
        <v>122</v>
      </c>
      <c r="W2252" s="8"/>
      <c r="X2252" s="8"/>
      <c r="Y2252" s="8"/>
      <c r="Z2252" s="8"/>
    </row>
    <row r="2253" spans="1:26" ht="12.75" customHeight="1" x14ac:dyDescent="0.2">
      <c r="A2253" s="15">
        <v>96</v>
      </c>
      <c r="B2253" s="15">
        <v>1998</v>
      </c>
      <c r="C2253" s="15">
        <v>4</v>
      </c>
      <c r="D2253" s="15">
        <v>8</v>
      </c>
      <c r="E2253" s="22" t="s">
        <v>226</v>
      </c>
      <c r="F2253" s="11" t="s">
        <v>51</v>
      </c>
      <c r="G2253" s="15">
        <v>126</v>
      </c>
      <c r="H2253" s="15" t="s">
        <v>29</v>
      </c>
      <c r="I2253" s="25">
        <v>7.5</v>
      </c>
      <c r="J2253" s="11" t="s">
        <v>19</v>
      </c>
      <c r="K2253" s="11" t="s">
        <v>20</v>
      </c>
      <c r="L2253" s="11" t="s">
        <v>30</v>
      </c>
      <c r="M2253" s="11" t="s">
        <v>27</v>
      </c>
      <c r="N2253" s="11" t="s">
        <v>23</v>
      </c>
      <c r="O2253" s="16" t="s">
        <v>29</v>
      </c>
      <c r="P2253" s="15">
        <v>216</v>
      </c>
      <c r="Q2253" s="8"/>
      <c r="R2253">
        <v>11.76</v>
      </c>
      <c r="S2253">
        <v>1624.64</v>
      </c>
      <c r="T2253">
        <v>4.62</v>
      </c>
      <c r="U2253">
        <v>8.44</v>
      </c>
      <c r="V2253">
        <v>118</v>
      </c>
      <c r="W2253" s="317">
        <v>4.5999999999999996</v>
      </c>
      <c r="X2253" s="190">
        <f t="shared" ref="X2253:X2262" si="97">I2253*W2253</f>
        <v>34.5</v>
      </c>
      <c r="Y2253" s="8"/>
      <c r="Z2253" s="8"/>
    </row>
    <row r="2254" spans="1:26" ht="12.75" customHeight="1" x14ac:dyDescent="0.2">
      <c r="A2254" s="15">
        <v>97</v>
      </c>
      <c r="B2254" s="15">
        <v>1998</v>
      </c>
      <c r="C2254" s="15">
        <v>4</v>
      </c>
      <c r="D2254" s="15">
        <v>8</v>
      </c>
      <c r="E2254" s="22" t="s">
        <v>226</v>
      </c>
      <c r="F2254" s="11" t="s">
        <v>51</v>
      </c>
      <c r="G2254" s="15">
        <v>149</v>
      </c>
      <c r="H2254" s="15" t="s">
        <v>29</v>
      </c>
      <c r="I2254" s="25">
        <v>13.7</v>
      </c>
      <c r="J2254" s="11" t="s">
        <v>19</v>
      </c>
      <c r="K2254" s="11" t="s">
        <v>20</v>
      </c>
      <c r="L2254" s="11" t="s">
        <v>30</v>
      </c>
      <c r="M2254" s="11" t="s">
        <v>45</v>
      </c>
      <c r="N2254" s="11" t="s">
        <v>25</v>
      </c>
      <c r="O2254" s="16" t="s">
        <v>29</v>
      </c>
      <c r="P2254" s="15">
        <v>216</v>
      </c>
      <c r="Q2254" s="8"/>
      <c r="R2254">
        <v>13.9</v>
      </c>
      <c r="S2254">
        <v>2686.6</v>
      </c>
      <c r="T2254">
        <v>5.0999999999999996</v>
      </c>
      <c r="U2254">
        <v>9.98</v>
      </c>
      <c r="V2254">
        <v>139</v>
      </c>
      <c r="W2254" s="317">
        <v>4.5999999999999996</v>
      </c>
      <c r="X2254" s="190">
        <f t="shared" si="97"/>
        <v>63.019999999999989</v>
      </c>
      <c r="Y2254" s="8"/>
      <c r="Z2254" s="8"/>
    </row>
    <row r="2255" spans="1:26" ht="12.75" customHeight="1" x14ac:dyDescent="0.2">
      <c r="A2255" s="15">
        <v>98</v>
      </c>
      <c r="B2255" s="15">
        <v>1998</v>
      </c>
      <c r="C2255" s="15">
        <v>4</v>
      </c>
      <c r="D2255" s="15">
        <v>8</v>
      </c>
      <c r="E2255" s="22" t="s">
        <v>226</v>
      </c>
      <c r="F2255" s="11" t="s">
        <v>51</v>
      </c>
      <c r="G2255" s="15">
        <v>147</v>
      </c>
      <c r="H2255" s="15" t="s">
        <v>29</v>
      </c>
      <c r="I2255" s="25">
        <v>12.5</v>
      </c>
      <c r="J2255" s="11" t="s">
        <v>19</v>
      </c>
      <c r="K2255" s="11" t="s">
        <v>20</v>
      </c>
      <c r="L2255" s="11" t="s">
        <v>30</v>
      </c>
      <c r="M2255" s="11" t="s">
        <v>45</v>
      </c>
      <c r="N2255" s="11" t="s">
        <v>33</v>
      </c>
      <c r="O2255" s="16" t="s">
        <v>29</v>
      </c>
      <c r="P2255" s="15">
        <v>216</v>
      </c>
      <c r="Q2255" s="8"/>
      <c r="R2255">
        <v>13.72</v>
      </c>
      <c r="S2255">
        <v>2579.86</v>
      </c>
      <c r="T2255">
        <v>4.8499999999999996</v>
      </c>
      <c r="U2255">
        <v>9.85</v>
      </c>
      <c r="V2255">
        <v>137</v>
      </c>
      <c r="W2255" s="317">
        <v>4.5999999999999996</v>
      </c>
      <c r="X2255" s="190">
        <f t="shared" si="97"/>
        <v>57.499999999999993</v>
      </c>
      <c r="Y2255" s="8"/>
      <c r="Z2255" s="8"/>
    </row>
    <row r="2256" spans="1:26" ht="12.75" customHeight="1" x14ac:dyDescent="0.2">
      <c r="A2256" s="15">
        <v>99</v>
      </c>
      <c r="B2256" s="15">
        <v>1998</v>
      </c>
      <c r="C2256" s="15">
        <v>4</v>
      </c>
      <c r="D2256" s="15">
        <v>8</v>
      </c>
      <c r="E2256" s="22" t="s">
        <v>226</v>
      </c>
      <c r="F2256" s="11" t="s">
        <v>51</v>
      </c>
      <c r="G2256" s="15">
        <v>129</v>
      </c>
      <c r="H2256" s="15" t="s">
        <v>29</v>
      </c>
      <c r="I2256" s="25">
        <v>9.8000000000000007</v>
      </c>
      <c r="J2256" s="11" t="s">
        <v>19</v>
      </c>
      <c r="K2256" s="11" t="s">
        <v>20</v>
      </c>
      <c r="L2256" s="11" t="s">
        <v>30</v>
      </c>
      <c r="M2256" s="11" t="s">
        <v>27</v>
      </c>
      <c r="N2256" s="11" t="s">
        <v>29</v>
      </c>
      <c r="O2256" s="16" t="s">
        <v>29</v>
      </c>
      <c r="P2256" s="15">
        <v>216</v>
      </c>
      <c r="Q2256" s="8"/>
      <c r="R2256">
        <v>12.04</v>
      </c>
      <c r="S2256">
        <v>1743.47</v>
      </c>
      <c r="T2256">
        <v>5.62</v>
      </c>
      <c r="U2256">
        <v>8.64</v>
      </c>
      <c r="V2256">
        <v>120</v>
      </c>
      <c r="W2256" s="317">
        <v>4.5999999999999996</v>
      </c>
      <c r="X2256" s="190">
        <f t="shared" si="97"/>
        <v>45.08</v>
      </c>
      <c r="Y2256" s="8"/>
      <c r="Z2256" s="8"/>
    </row>
    <row r="2257" spans="1:26" ht="12.75" customHeight="1" x14ac:dyDescent="0.2">
      <c r="A2257" s="15">
        <v>100</v>
      </c>
      <c r="B2257" s="15">
        <v>1998</v>
      </c>
      <c r="C2257" s="15">
        <v>4</v>
      </c>
      <c r="D2257" s="15">
        <v>8</v>
      </c>
      <c r="E2257" s="22" t="s">
        <v>226</v>
      </c>
      <c r="F2257" s="11" t="s">
        <v>51</v>
      </c>
      <c r="G2257" s="15">
        <v>142</v>
      </c>
      <c r="H2257" s="15" t="s">
        <v>29</v>
      </c>
      <c r="I2257" s="25">
        <v>13</v>
      </c>
      <c r="J2257" s="11" t="s">
        <v>19</v>
      </c>
      <c r="K2257" s="11" t="s">
        <v>20</v>
      </c>
      <c r="L2257" s="11" t="s">
        <v>30</v>
      </c>
      <c r="M2257" s="11" t="s">
        <v>29</v>
      </c>
      <c r="N2257" s="11" t="s">
        <v>25</v>
      </c>
      <c r="O2257" s="16" t="s">
        <v>29</v>
      </c>
      <c r="P2257" s="15">
        <v>216</v>
      </c>
      <c r="Q2257" s="8"/>
      <c r="R2257">
        <v>13.25</v>
      </c>
      <c r="S2257">
        <v>2325.4699999999998</v>
      </c>
      <c r="T2257">
        <v>5.59</v>
      </c>
      <c r="U2257">
        <v>9.51</v>
      </c>
      <c r="V2257">
        <v>132</v>
      </c>
      <c r="W2257" s="317">
        <v>4.5999999999999996</v>
      </c>
      <c r="X2257" s="190">
        <f t="shared" si="97"/>
        <v>59.8</v>
      </c>
      <c r="Y2257" s="8"/>
      <c r="Z2257" s="8"/>
    </row>
    <row r="2258" spans="1:26" ht="12.75" customHeight="1" x14ac:dyDescent="0.2">
      <c r="A2258" s="15">
        <v>101</v>
      </c>
      <c r="B2258" s="15">
        <v>1998</v>
      </c>
      <c r="C2258" s="15">
        <v>4</v>
      </c>
      <c r="D2258" s="15">
        <v>8</v>
      </c>
      <c r="E2258" s="22" t="s">
        <v>226</v>
      </c>
      <c r="F2258" s="11" t="s">
        <v>51</v>
      </c>
      <c r="G2258" s="15">
        <v>150</v>
      </c>
      <c r="H2258" s="15" t="s">
        <v>29</v>
      </c>
      <c r="I2258" s="25">
        <v>12</v>
      </c>
      <c r="J2258" s="11" t="s">
        <v>19</v>
      </c>
      <c r="K2258" s="11" t="s">
        <v>20</v>
      </c>
      <c r="L2258" s="11" t="s">
        <v>21</v>
      </c>
      <c r="M2258" s="11" t="s">
        <v>47</v>
      </c>
      <c r="N2258" s="11" t="s">
        <v>23</v>
      </c>
      <c r="O2258" s="16" t="s">
        <v>29</v>
      </c>
      <c r="P2258" s="15">
        <v>216</v>
      </c>
      <c r="Q2258" s="8"/>
      <c r="R2258">
        <v>14</v>
      </c>
      <c r="S2258">
        <v>2741.06</v>
      </c>
      <c r="T2258">
        <v>4.38</v>
      </c>
      <c r="U2258">
        <v>10.050000000000001</v>
      </c>
      <c r="V2258">
        <v>140</v>
      </c>
      <c r="W2258" s="317">
        <v>3.9</v>
      </c>
      <c r="X2258" s="190">
        <f t="shared" si="97"/>
        <v>46.8</v>
      </c>
      <c r="Y2258" s="8"/>
      <c r="Z2258" s="8"/>
    </row>
    <row r="2259" spans="1:26" ht="12.75" customHeight="1" x14ac:dyDescent="0.2">
      <c r="A2259" s="15">
        <v>1</v>
      </c>
      <c r="B2259" s="15">
        <v>1997</v>
      </c>
      <c r="C2259" s="15">
        <v>9</v>
      </c>
      <c r="D2259" s="15">
        <v>8</v>
      </c>
      <c r="E2259" s="14">
        <v>0.375</v>
      </c>
      <c r="F2259" s="11" t="s">
        <v>51</v>
      </c>
      <c r="G2259" s="15">
        <v>130</v>
      </c>
      <c r="H2259" s="15" t="s">
        <v>29</v>
      </c>
      <c r="I2259" s="25">
        <v>10</v>
      </c>
      <c r="J2259" s="11" t="s">
        <v>19</v>
      </c>
      <c r="K2259" s="11" t="s">
        <v>20</v>
      </c>
      <c r="L2259" s="11" t="s">
        <v>30</v>
      </c>
      <c r="M2259" s="11" t="s">
        <v>46</v>
      </c>
      <c r="N2259" s="11" t="s">
        <v>33</v>
      </c>
      <c r="O2259" s="16" t="s">
        <v>29</v>
      </c>
      <c r="P2259" s="15">
        <v>221</v>
      </c>
      <c r="Q2259" s="8"/>
      <c r="R2259">
        <v>12.13</v>
      </c>
      <c r="S2259">
        <v>1784.33</v>
      </c>
      <c r="T2259">
        <v>5.6</v>
      </c>
      <c r="U2259">
        <v>8.7100000000000009</v>
      </c>
      <c r="V2259">
        <v>121</v>
      </c>
      <c r="W2259" s="317">
        <v>4.5999999999999996</v>
      </c>
      <c r="X2259" s="190">
        <f t="shared" si="97"/>
        <v>46</v>
      </c>
      <c r="Y2259" s="8"/>
      <c r="Z2259" s="8"/>
    </row>
    <row r="2260" spans="1:26" ht="12.75" customHeight="1" x14ac:dyDescent="0.2">
      <c r="A2260" s="15">
        <v>2</v>
      </c>
      <c r="B2260" s="15">
        <v>1997</v>
      </c>
      <c r="C2260" s="15">
        <v>9</v>
      </c>
      <c r="D2260" s="15">
        <v>8</v>
      </c>
      <c r="E2260" s="14">
        <v>0.375</v>
      </c>
      <c r="F2260" s="11" t="s">
        <v>51</v>
      </c>
      <c r="G2260" s="15">
        <v>124</v>
      </c>
      <c r="H2260" s="15" t="s">
        <v>29</v>
      </c>
      <c r="I2260" s="25">
        <v>7.5</v>
      </c>
      <c r="J2260" s="11" t="s">
        <v>19</v>
      </c>
      <c r="K2260" s="11" t="s">
        <v>20</v>
      </c>
      <c r="L2260" s="11" t="s">
        <v>30</v>
      </c>
      <c r="M2260" s="11" t="s">
        <v>45</v>
      </c>
      <c r="N2260" s="11" t="s">
        <v>24</v>
      </c>
      <c r="O2260" s="16" t="s">
        <v>29</v>
      </c>
      <c r="P2260" s="15">
        <v>221</v>
      </c>
      <c r="Q2260" s="8"/>
      <c r="R2260">
        <v>11.57</v>
      </c>
      <c r="S2260">
        <v>1548.5</v>
      </c>
      <c r="T2260">
        <v>4.84</v>
      </c>
      <c r="U2260">
        <v>8.31</v>
      </c>
      <c r="V2260">
        <v>116</v>
      </c>
      <c r="W2260" s="317">
        <v>4.5999999999999996</v>
      </c>
      <c r="X2260" s="190">
        <f t="shared" si="97"/>
        <v>34.5</v>
      </c>
      <c r="Y2260" s="8"/>
      <c r="Z2260" s="8"/>
    </row>
    <row r="2261" spans="1:26" ht="12.75" customHeight="1" x14ac:dyDescent="0.2">
      <c r="A2261" s="15">
        <v>3</v>
      </c>
      <c r="B2261" s="15">
        <v>1997</v>
      </c>
      <c r="C2261" s="15">
        <v>9</v>
      </c>
      <c r="D2261" s="15">
        <v>8</v>
      </c>
      <c r="E2261" s="14">
        <v>0.375</v>
      </c>
      <c r="F2261" s="11" t="s">
        <v>51</v>
      </c>
      <c r="G2261" s="15">
        <v>136</v>
      </c>
      <c r="H2261" s="15" t="s">
        <v>29</v>
      </c>
      <c r="I2261" s="25">
        <v>12</v>
      </c>
      <c r="J2261" s="11" t="s">
        <v>19</v>
      </c>
      <c r="K2261" s="11" t="s">
        <v>20</v>
      </c>
      <c r="L2261" s="11" t="s">
        <v>30</v>
      </c>
      <c r="M2261" s="11" t="s">
        <v>46</v>
      </c>
      <c r="N2261" s="11" t="s">
        <v>23</v>
      </c>
      <c r="O2261" s="16" t="s">
        <v>29</v>
      </c>
      <c r="P2261" s="15">
        <v>221</v>
      </c>
      <c r="Q2261" s="8"/>
      <c r="R2261">
        <v>12.69</v>
      </c>
      <c r="S2261">
        <v>2042.97</v>
      </c>
      <c r="T2261">
        <v>5.87</v>
      </c>
      <c r="U2261">
        <v>9.11</v>
      </c>
      <c r="V2261">
        <v>127</v>
      </c>
      <c r="W2261" s="317">
        <v>4.5999999999999996</v>
      </c>
      <c r="X2261" s="190">
        <f t="shared" si="97"/>
        <v>55.199999999999996</v>
      </c>
      <c r="Y2261" s="8"/>
      <c r="Z2261" s="8"/>
    </row>
    <row r="2262" spans="1:26" ht="12.75" customHeight="1" x14ac:dyDescent="0.2">
      <c r="A2262" s="15">
        <v>4</v>
      </c>
      <c r="B2262" s="15">
        <v>1997</v>
      </c>
      <c r="C2262" s="15">
        <v>9</v>
      </c>
      <c r="D2262" s="15">
        <v>8</v>
      </c>
      <c r="E2262" s="14">
        <v>0.375</v>
      </c>
      <c r="F2262" s="11" t="s">
        <v>51</v>
      </c>
      <c r="G2262" s="15">
        <v>146</v>
      </c>
      <c r="H2262" s="15" t="s">
        <v>29</v>
      </c>
      <c r="I2262" s="25">
        <v>15</v>
      </c>
      <c r="J2262" s="11" t="s">
        <v>19</v>
      </c>
      <c r="K2262" s="11" t="s">
        <v>34</v>
      </c>
      <c r="L2262" s="11" t="s">
        <v>41</v>
      </c>
      <c r="M2262" s="11" t="s">
        <v>46</v>
      </c>
      <c r="N2262" s="11" t="s">
        <v>23</v>
      </c>
      <c r="O2262" s="16" t="s">
        <v>29</v>
      </c>
      <c r="P2262" s="15">
        <v>221</v>
      </c>
      <c r="Q2262" s="8"/>
      <c r="R2262">
        <v>13.62</v>
      </c>
      <c r="S2262">
        <v>2527.5700000000002</v>
      </c>
      <c r="T2262">
        <v>5.93</v>
      </c>
      <c r="U2262">
        <v>9.7799999999999994</v>
      </c>
      <c r="V2262">
        <v>136</v>
      </c>
      <c r="W2262" s="317">
        <v>3.8</v>
      </c>
      <c r="X2262" s="190">
        <f t="shared" si="97"/>
        <v>57</v>
      </c>
      <c r="Y2262" s="8"/>
      <c r="Z2262" s="8"/>
    </row>
    <row r="2263" spans="1:26" ht="12.75" customHeight="1" x14ac:dyDescent="0.2">
      <c r="A2263" s="15">
        <v>5</v>
      </c>
      <c r="B2263" s="15">
        <v>1997</v>
      </c>
      <c r="C2263" s="15">
        <v>9</v>
      </c>
      <c r="D2263" s="15">
        <v>8</v>
      </c>
      <c r="E2263" s="14">
        <v>0.375</v>
      </c>
      <c r="F2263" s="11" t="s">
        <v>51</v>
      </c>
      <c r="G2263" s="15">
        <v>126</v>
      </c>
      <c r="H2263" s="15" t="s">
        <v>29</v>
      </c>
      <c r="I2263" s="25">
        <v>9</v>
      </c>
      <c r="J2263" s="11" t="s">
        <v>19</v>
      </c>
      <c r="K2263" s="11" t="s">
        <v>20</v>
      </c>
      <c r="L2263" s="11" t="s">
        <v>30</v>
      </c>
      <c r="M2263" s="11" t="s">
        <v>27</v>
      </c>
      <c r="N2263" s="11" t="s">
        <v>25</v>
      </c>
      <c r="O2263" s="16" t="s">
        <v>29</v>
      </c>
      <c r="P2263" s="15">
        <v>221</v>
      </c>
      <c r="Q2263" s="8"/>
      <c r="R2263">
        <v>11.76</v>
      </c>
      <c r="S2263">
        <v>1624.64</v>
      </c>
      <c r="T2263">
        <v>5.54</v>
      </c>
      <c r="U2263">
        <v>8.44</v>
      </c>
      <c r="V2263">
        <v>118</v>
      </c>
      <c r="W2263" s="317">
        <v>4.5999999999999996</v>
      </c>
      <c r="X2263" s="190">
        <f t="shared" ref="X2263:X2271" si="98">I2263*W2263</f>
        <v>41.4</v>
      </c>
      <c r="Y2263" s="8"/>
      <c r="Z2263" s="8"/>
    </row>
    <row r="2264" spans="1:26" ht="12.75" customHeight="1" x14ac:dyDescent="0.2">
      <c r="A2264" s="15">
        <v>6</v>
      </c>
      <c r="B2264" s="15">
        <v>1997</v>
      </c>
      <c r="C2264" s="15">
        <v>9</v>
      </c>
      <c r="D2264" s="15">
        <v>8</v>
      </c>
      <c r="E2264" s="14">
        <v>0.375</v>
      </c>
      <c r="F2264" s="11" t="s">
        <v>51</v>
      </c>
      <c r="G2264" s="15">
        <v>138</v>
      </c>
      <c r="H2264" s="15" t="s">
        <v>29</v>
      </c>
      <c r="I2264" s="25">
        <v>10.5</v>
      </c>
      <c r="J2264" s="11" t="s">
        <v>19</v>
      </c>
      <c r="K2264" s="11" t="s">
        <v>20</v>
      </c>
      <c r="L2264" s="11" t="s">
        <v>30</v>
      </c>
      <c r="M2264" s="11" t="s">
        <v>46</v>
      </c>
      <c r="N2264" s="11" t="s">
        <v>33</v>
      </c>
      <c r="O2264" s="16" t="s">
        <v>29</v>
      </c>
      <c r="P2264" s="15">
        <v>221</v>
      </c>
      <c r="Q2264" s="8"/>
      <c r="R2264">
        <v>12.88</v>
      </c>
      <c r="S2264">
        <v>2134.4299999999998</v>
      </c>
      <c r="T2264">
        <v>4.92</v>
      </c>
      <c r="U2264">
        <v>9.25</v>
      </c>
      <c r="V2264">
        <v>129</v>
      </c>
      <c r="W2264" s="317">
        <v>4.5999999999999996</v>
      </c>
      <c r="X2264" s="190">
        <f t="shared" si="98"/>
        <v>48.3</v>
      </c>
      <c r="Y2264" s="8"/>
      <c r="Z2264" s="8"/>
    </row>
    <row r="2265" spans="1:26" ht="12.75" customHeight="1" x14ac:dyDescent="0.2">
      <c r="A2265" s="15">
        <v>7</v>
      </c>
      <c r="B2265" s="15">
        <v>1997</v>
      </c>
      <c r="C2265" s="15">
        <v>9</v>
      </c>
      <c r="D2265" s="15">
        <v>8</v>
      </c>
      <c r="E2265" s="14">
        <v>0.375</v>
      </c>
      <c r="F2265" s="11" t="s">
        <v>51</v>
      </c>
      <c r="G2265" s="15">
        <v>134</v>
      </c>
      <c r="H2265" s="15" t="s">
        <v>29</v>
      </c>
      <c r="I2265" s="25">
        <v>10.5</v>
      </c>
      <c r="J2265" s="11" t="s">
        <v>19</v>
      </c>
      <c r="K2265" s="11" t="s">
        <v>20</v>
      </c>
      <c r="L2265" s="11" t="s">
        <v>30</v>
      </c>
      <c r="M2265" s="11" t="s">
        <v>46</v>
      </c>
      <c r="N2265" s="11" t="s">
        <v>23</v>
      </c>
      <c r="O2265" s="16" t="s">
        <v>29</v>
      </c>
      <c r="P2265" s="15">
        <v>221</v>
      </c>
      <c r="Q2265" s="8"/>
      <c r="R2265">
        <v>12.5</v>
      </c>
      <c r="S2265">
        <v>1954.16</v>
      </c>
      <c r="T2265">
        <v>5.37</v>
      </c>
      <c r="U2265">
        <v>8.98</v>
      </c>
      <c r="V2265">
        <v>125</v>
      </c>
      <c r="W2265" s="317">
        <v>4.5999999999999996</v>
      </c>
      <c r="X2265" s="190">
        <f t="shared" si="98"/>
        <v>48.3</v>
      </c>
      <c r="Y2265" s="8"/>
      <c r="Z2265" s="8"/>
    </row>
    <row r="2266" spans="1:26" ht="12.75" customHeight="1" x14ac:dyDescent="0.2">
      <c r="A2266" s="15">
        <v>8</v>
      </c>
      <c r="B2266" s="15">
        <v>1997</v>
      </c>
      <c r="C2266" s="15">
        <v>9</v>
      </c>
      <c r="D2266" s="15">
        <v>8</v>
      </c>
      <c r="E2266" s="14">
        <v>0.375</v>
      </c>
      <c r="F2266" s="11" t="s">
        <v>51</v>
      </c>
      <c r="G2266" s="15">
        <v>151</v>
      </c>
      <c r="H2266" s="15" t="s">
        <v>29</v>
      </c>
      <c r="I2266" s="25">
        <v>16</v>
      </c>
      <c r="J2266" s="11" t="s">
        <v>19</v>
      </c>
      <c r="K2266" s="11" t="s">
        <v>20</v>
      </c>
      <c r="L2266" s="11" t="s">
        <v>30</v>
      </c>
      <c r="M2266" s="11" t="s">
        <v>46</v>
      </c>
      <c r="N2266" s="11" t="s">
        <v>23</v>
      </c>
      <c r="O2266" s="16" t="s">
        <v>29</v>
      </c>
      <c r="P2266" s="15">
        <v>221</v>
      </c>
      <c r="Q2266" s="8"/>
      <c r="R2266">
        <v>14.09</v>
      </c>
      <c r="S2266">
        <v>2796.25</v>
      </c>
      <c r="T2266">
        <v>5.72</v>
      </c>
      <c r="U2266">
        <v>10.119999999999999</v>
      </c>
      <c r="V2266">
        <v>141</v>
      </c>
      <c r="W2266" s="317">
        <v>4.5999999999999996</v>
      </c>
      <c r="X2266" s="190">
        <f t="shared" si="98"/>
        <v>73.599999999999994</v>
      </c>
      <c r="Y2266" s="8"/>
      <c r="Z2266" s="8"/>
    </row>
    <row r="2267" spans="1:26" ht="12.75" customHeight="1" x14ac:dyDescent="0.2">
      <c r="A2267" s="15">
        <v>9</v>
      </c>
      <c r="B2267" s="15">
        <v>1997</v>
      </c>
      <c r="C2267" s="15">
        <v>9</v>
      </c>
      <c r="D2267" s="15">
        <v>8</v>
      </c>
      <c r="E2267" s="14">
        <v>0.375</v>
      </c>
      <c r="F2267" s="11" t="s">
        <v>51</v>
      </c>
      <c r="G2267" s="15">
        <v>137</v>
      </c>
      <c r="H2267" s="15" t="s">
        <v>29</v>
      </c>
      <c r="I2267" s="25">
        <v>11</v>
      </c>
      <c r="J2267" s="11" t="s">
        <v>19</v>
      </c>
      <c r="K2267" s="11" t="s">
        <v>20</v>
      </c>
      <c r="L2267" s="11" t="s">
        <v>30</v>
      </c>
      <c r="M2267" s="11" t="s">
        <v>46</v>
      </c>
      <c r="N2267" s="11" t="s">
        <v>24</v>
      </c>
      <c r="O2267" s="16" t="s">
        <v>29</v>
      </c>
      <c r="P2267" s="15">
        <v>221</v>
      </c>
      <c r="Q2267" s="8"/>
      <c r="R2267">
        <v>12.78</v>
      </c>
      <c r="S2267">
        <v>2088.37</v>
      </c>
      <c r="T2267">
        <v>5.27</v>
      </c>
      <c r="U2267">
        <v>9.18</v>
      </c>
      <c r="V2267">
        <v>128</v>
      </c>
      <c r="W2267" s="317">
        <v>4.5999999999999996</v>
      </c>
      <c r="X2267" s="190">
        <f t="shared" si="98"/>
        <v>50.599999999999994</v>
      </c>
      <c r="Y2267" s="8"/>
      <c r="Z2267" s="8"/>
    </row>
    <row r="2268" spans="1:26" ht="12.75" customHeight="1" x14ac:dyDescent="0.2">
      <c r="A2268" s="15">
        <v>10</v>
      </c>
      <c r="B2268" s="15">
        <v>1997</v>
      </c>
      <c r="C2268" s="15">
        <v>9</v>
      </c>
      <c r="D2268" s="15">
        <v>8</v>
      </c>
      <c r="E2268" s="14">
        <v>0.375</v>
      </c>
      <c r="F2268" s="11" t="s">
        <v>51</v>
      </c>
      <c r="G2268" s="15">
        <v>137</v>
      </c>
      <c r="H2268" s="15" t="s">
        <v>29</v>
      </c>
      <c r="I2268" s="25">
        <v>10</v>
      </c>
      <c r="J2268" s="11" t="s">
        <v>19</v>
      </c>
      <c r="K2268" s="11" t="s">
        <v>20</v>
      </c>
      <c r="L2268" s="11" t="s">
        <v>30</v>
      </c>
      <c r="M2268" s="11" t="s">
        <v>45</v>
      </c>
      <c r="N2268" s="11" t="s">
        <v>33</v>
      </c>
      <c r="O2268" s="16" t="s">
        <v>29</v>
      </c>
      <c r="P2268" s="15">
        <v>221</v>
      </c>
      <c r="Q2268" s="8"/>
      <c r="R2268">
        <v>12.78</v>
      </c>
      <c r="S2268">
        <v>2088.37</v>
      </c>
      <c r="T2268">
        <v>4.79</v>
      </c>
      <c r="U2268">
        <v>9.18</v>
      </c>
      <c r="V2268">
        <v>128</v>
      </c>
      <c r="W2268" s="317">
        <v>4.5999999999999996</v>
      </c>
      <c r="X2268" s="190">
        <f t="shared" si="98"/>
        <v>46</v>
      </c>
      <c r="Y2268" s="8"/>
      <c r="Z2268" s="8"/>
    </row>
    <row r="2269" spans="1:26" ht="12.75" customHeight="1" x14ac:dyDescent="0.2">
      <c r="A2269" s="15">
        <v>11</v>
      </c>
      <c r="B2269" s="15">
        <v>1997</v>
      </c>
      <c r="C2269" s="15">
        <v>9</v>
      </c>
      <c r="D2269" s="15">
        <v>8</v>
      </c>
      <c r="E2269" s="14">
        <v>0.375</v>
      </c>
      <c r="F2269" s="11" t="s">
        <v>51</v>
      </c>
      <c r="G2269" s="15">
        <v>135</v>
      </c>
      <c r="H2269" s="15" t="s">
        <v>29</v>
      </c>
      <c r="I2269" s="25">
        <v>11</v>
      </c>
      <c r="J2269" s="11" t="s">
        <v>19</v>
      </c>
      <c r="K2269" s="11" t="s">
        <v>20</v>
      </c>
      <c r="L2269" s="11" t="s">
        <v>30</v>
      </c>
      <c r="M2269" s="11" t="s">
        <v>46</v>
      </c>
      <c r="N2269" s="11" t="s">
        <v>24</v>
      </c>
      <c r="O2269" s="16" t="s">
        <v>29</v>
      </c>
      <c r="P2269" s="15">
        <v>221</v>
      </c>
      <c r="Q2269" s="8"/>
      <c r="R2269">
        <v>12.6</v>
      </c>
      <c r="S2269">
        <v>1998.23</v>
      </c>
      <c r="T2269">
        <v>5.5</v>
      </c>
      <c r="U2269">
        <v>9.0500000000000007</v>
      </c>
      <c r="V2269">
        <v>126</v>
      </c>
      <c r="W2269" s="317">
        <v>4.5999999999999996</v>
      </c>
      <c r="X2269" s="190">
        <f t="shared" si="98"/>
        <v>50.599999999999994</v>
      </c>
      <c r="Y2269" s="8"/>
      <c r="Z2269" s="8"/>
    </row>
    <row r="2270" spans="1:26" ht="12.75" customHeight="1" x14ac:dyDescent="0.2">
      <c r="A2270" s="15">
        <v>12</v>
      </c>
      <c r="B2270" s="15">
        <v>1997</v>
      </c>
      <c r="C2270" s="15">
        <v>9</v>
      </c>
      <c r="D2270" s="15">
        <v>8</v>
      </c>
      <c r="E2270" s="14">
        <v>0.375</v>
      </c>
      <c r="F2270" s="11" t="s">
        <v>51</v>
      </c>
      <c r="G2270" s="15">
        <v>166</v>
      </c>
      <c r="H2270" s="15" t="s">
        <v>29</v>
      </c>
      <c r="I2270" s="25">
        <v>17</v>
      </c>
      <c r="J2270" s="11" t="s">
        <v>19</v>
      </c>
      <c r="K2270" s="11" t="s">
        <v>34</v>
      </c>
      <c r="L2270" s="11" t="s">
        <v>41</v>
      </c>
      <c r="M2270" s="11" t="s">
        <v>27</v>
      </c>
      <c r="N2270" s="11" t="s">
        <v>25</v>
      </c>
      <c r="O2270" s="16" t="s">
        <v>29</v>
      </c>
      <c r="P2270" s="15">
        <v>221</v>
      </c>
      <c r="Q2270" s="8"/>
      <c r="R2270">
        <v>15.49</v>
      </c>
      <c r="S2270">
        <v>3715.09</v>
      </c>
      <c r="T2270">
        <v>4.58</v>
      </c>
      <c r="U2270">
        <v>11.12</v>
      </c>
      <c r="V2270">
        <v>155</v>
      </c>
      <c r="W2270" s="317">
        <v>3.8</v>
      </c>
      <c r="X2270" s="190">
        <f t="shared" si="98"/>
        <v>64.599999999999994</v>
      </c>
      <c r="Y2270" s="8"/>
      <c r="Z2270" s="8"/>
    </row>
    <row r="2271" spans="1:26" ht="12.75" customHeight="1" x14ac:dyDescent="0.2">
      <c r="A2271" s="15">
        <v>13</v>
      </c>
      <c r="B2271" s="15">
        <v>1997</v>
      </c>
      <c r="C2271" s="15">
        <v>9</v>
      </c>
      <c r="D2271" s="15">
        <v>8</v>
      </c>
      <c r="E2271" s="14">
        <v>0.375</v>
      </c>
      <c r="F2271" s="11" t="s">
        <v>51</v>
      </c>
      <c r="G2271" s="15">
        <v>151</v>
      </c>
      <c r="H2271" s="15" t="s">
        <v>29</v>
      </c>
      <c r="I2271" s="25">
        <v>15</v>
      </c>
      <c r="J2271" s="11" t="s">
        <v>19</v>
      </c>
      <c r="K2271" s="11" t="s">
        <v>34</v>
      </c>
      <c r="L2271" s="11" t="s">
        <v>41</v>
      </c>
      <c r="M2271" s="11" t="s">
        <v>45</v>
      </c>
      <c r="N2271" s="11" t="s">
        <v>25</v>
      </c>
      <c r="O2271" s="16" t="s">
        <v>29</v>
      </c>
      <c r="P2271" s="15">
        <v>221</v>
      </c>
      <c r="Q2271" s="8"/>
      <c r="R2271">
        <v>14.09</v>
      </c>
      <c r="S2271">
        <v>2796.25</v>
      </c>
      <c r="T2271">
        <v>5.36</v>
      </c>
      <c r="U2271">
        <v>10.119999999999999</v>
      </c>
      <c r="V2271">
        <v>141</v>
      </c>
      <c r="W2271" s="317">
        <v>3.8</v>
      </c>
      <c r="X2271" s="190">
        <f t="shared" si="98"/>
        <v>57</v>
      </c>
      <c r="Y2271" s="8"/>
      <c r="Z2271" s="8"/>
    </row>
    <row r="2272" spans="1:26" ht="12.75" customHeight="1" x14ac:dyDescent="0.2">
      <c r="A2272" s="15">
        <v>14</v>
      </c>
      <c r="B2272" s="15">
        <v>1997</v>
      </c>
      <c r="C2272" s="15">
        <v>9</v>
      </c>
      <c r="D2272" s="15">
        <v>8</v>
      </c>
      <c r="E2272" s="14">
        <v>0.375</v>
      </c>
      <c r="F2272" s="11" t="s">
        <v>51</v>
      </c>
      <c r="G2272" s="15">
        <v>125</v>
      </c>
      <c r="H2272" s="15" t="s">
        <v>29</v>
      </c>
      <c r="I2272" s="25">
        <v>8.5</v>
      </c>
      <c r="J2272" s="11" t="s">
        <v>19</v>
      </c>
      <c r="K2272" s="11" t="s">
        <v>20</v>
      </c>
      <c r="L2272" s="11" t="s">
        <v>30</v>
      </c>
      <c r="M2272" s="11" t="s">
        <v>47</v>
      </c>
      <c r="N2272" s="11" t="s">
        <v>23</v>
      </c>
      <c r="O2272" s="16" t="s">
        <v>29</v>
      </c>
      <c r="P2272" s="15">
        <v>221</v>
      </c>
      <c r="Q2272" s="8"/>
      <c r="R2272">
        <v>11.66</v>
      </c>
      <c r="S2272">
        <v>1586.26</v>
      </c>
      <c r="T2272">
        <v>5.36</v>
      </c>
      <c r="U2272">
        <v>8.3800000000000008</v>
      </c>
      <c r="V2272">
        <v>117</v>
      </c>
      <c r="W2272" s="317">
        <v>4.5999999999999996</v>
      </c>
      <c r="X2272" s="190">
        <f>I2272*W2272</f>
        <v>39.099999999999994</v>
      </c>
      <c r="Y2272" s="8"/>
      <c r="Z2272" s="8"/>
    </row>
    <row r="2273" spans="1:26" ht="12.75" customHeight="1" x14ac:dyDescent="0.2">
      <c r="A2273" s="15">
        <v>15</v>
      </c>
      <c r="B2273" s="15">
        <v>1997</v>
      </c>
      <c r="C2273" s="15">
        <v>9</v>
      </c>
      <c r="D2273" s="15">
        <v>8</v>
      </c>
      <c r="E2273" s="14">
        <v>0.375</v>
      </c>
      <c r="F2273" s="11" t="s">
        <v>51</v>
      </c>
      <c r="G2273" s="15">
        <v>123</v>
      </c>
      <c r="H2273" s="15" t="s">
        <v>29</v>
      </c>
      <c r="I2273" s="25">
        <v>6</v>
      </c>
      <c r="J2273" s="11" t="s">
        <v>19</v>
      </c>
      <c r="K2273" s="11" t="s">
        <v>20</v>
      </c>
      <c r="L2273" s="11" t="s">
        <v>30</v>
      </c>
      <c r="M2273" s="11" t="s">
        <v>45</v>
      </c>
      <c r="N2273" s="11" t="s">
        <v>23</v>
      </c>
      <c r="O2273" s="16" t="s">
        <v>29</v>
      </c>
      <c r="P2273" s="15">
        <v>221</v>
      </c>
      <c r="Q2273" s="8"/>
      <c r="R2273">
        <v>11.48</v>
      </c>
      <c r="S2273">
        <v>1511.33</v>
      </c>
      <c r="T2273">
        <v>3.97</v>
      </c>
      <c r="U2273">
        <v>8.24</v>
      </c>
      <c r="V2273">
        <v>115</v>
      </c>
      <c r="W2273" s="317">
        <v>4.5999999999999996</v>
      </c>
      <c r="X2273" s="190">
        <f>I2273*W2273</f>
        <v>27.599999999999998</v>
      </c>
      <c r="Y2273" s="8"/>
      <c r="Z2273" s="8"/>
    </row>
    <row r="2274" spans="1:26" ht="12.75" customHeight="1" x14ac:dyDescent="0.2">
      <c r="A2274" s="15">
        <v>16</v>
      </c>
      <c r="B2274" s="15">
        <v>1997</v>
      </c>
      <c r="C2274" s="15">
        <v>9</v>
      </c>
      <c r="D2274" s="15">
        <v>8</v>
      </c>
      <c r="E2274" s="14">
        <v>0.375</v>
      </c>
      <c r="F2274" s="11" t="s">
        <v>51</v>
      </c>
      <c r="G2274" s="15">
        <v>159</v>
      </c>
      <c r="H2274" s="15" t="s">
        <v>29</v>
      </c>
      <c r="I2274" s="25">
        <v>19</v>
      </c>
      <c r="J2274" s="11" t="s">
        <v>19</v>
      </c>
      <c r="K2274" s="11" t="s">
        <v>34</v>
      </c>
      <c r="L2274" s="11" t="s">
        <v>41</v>
      </c>
      <c r="M2274" s="11" t="s">
        <v>27</v>
      </c>
      <c r="N2274" s="11" t="s">
        <v>23</v>
      </c>
      <c r="O2274" s="16" t="s">
        <v>29</v>
      </c>
      <c r="P2274" s="15">
        <v>221</v>
      </c>
      <c r="Q2274" s="8"/>
      <c r="R2274">
        <v>14.83</v>
      </c>
      <c r="S2274">
        <v>3264.65</v>
      </c>
      <c r="T2274">
        <v>5.82</v>
      </c>
      <c r="U2274">
        <v>10.65</v>
      </c>
      <c r="V2274">
        <v>148</v>
      </c>
      <c r="W2274" s="317">
        <v>3.8</v>
      </c>
      <c r="X2274" s="190">
        <f>I2274*W2274</f>
        <v>72.2</v>
      </c>
      <c r="Y2274" s="8"/>
      <c r="Z2274" s="8"/>
    </row>
    <row r="2275" spans="1:26" ht="12.75" customHeight="1" x14ac:dyDescent="0.2">
      <c r="A2275" s="15">
        <v>17</v>
      </c>
      <c r="B2275" s="15">
        <v>1997</v>
      </c>
      <c r="C2275" s="15">
        <v>9</v>
      </c>
      <c r="D2275" s="15">
        <v>8</v>
      </c>
      <c r="E2275" s="14">
        <v>0.375</v>
      </c>
      <c r="F2275" s="11" t="s">
        <v>51</v>
      </c>
      <c r="G2275" s="15">
        <v>133</v>
      </c>
      <c r="H2275" s="15" t="s">
        <v>29</v>
      </c>
      <c r="I2275" s="25">
        <v>12</v>
      </c>
      <c r="J2275" s="11" t="s">
        <v>19</v>
      </c>
      <c r="K2275" s="11" t="s">
        <v>20</v>
      </c>
      <c r="L2275" s="11" t="s">
        <v>30</v>
      </c>
      <c r="M2275" s="11" t="s">
        <v>45</v>
      </c>
      <c r="N2275" s="11" t="s">
        <v>24</v>
      </c>
      <c r="O2275" s="16" t="s">
        <v>29</v>
      </c>
      <c r="P2275" s="15">
        <v>221</v>
      </c>
      <c r="Q2275" s="8"/>
      <c r="R2275">
        <v>12.41</v>
      </c>
      <c r="S2275">
        <v>1910.73</v>
      </c>
      <c r="T2275">
        <v>6.28</v>
      </c>
      <c r="U2275">
        <v>8.91</v>
      </c>
      <c r="V2275">
        <v>124</v>
      </c>
      <c r="W2275" s="317">
        <v>4.5999999999999996</v>
      </c>
      <c r="X2275" s="190">
        <f t="shared" ref="X2275:X2299" si="99">I2275*W2275</f>
        <v>55.199999999999996</v>
      </c>
      <c r="Y2275" s="8"/>
      <c r="Z2275" s="8"/>
    </row>
    <row r="2276" spans="1:26" ht="12.75" customHeight="1" x14ac:dyDescent="0.2">
      <c r="A2276" s="15">
        <v>18</v>
      </c>
      <c r="B2276" s="15">
        <v>1997</v>
      </c>
      <c r="C2276" s="15">
        <v>8</v>
      </c>
      <c r="D2276" s="15">
        <v>8</v>
      </c>
      <c r="E2276" s="22" t="s">
        <v>227</v>
      </c>
      <c r="F2276" s="11" t="s">
        <v>51</v>
      </c>
      <c r="G2276" s="15">
        <v>150</v>
      </c>
      <c r="H2276" s="15" t="s">
        <v>29</v>
      </c>
      <c r="I2276" s="25">
        <v>18</v>
      </c>
      <c r="J2276" s="11" t="s">
        <v>19</v>
      </c>
      <c r="K2276" s="11" t="s">
        <v>20</v>
      </c>
      <c r="L2276" s="11" t="s">
        <v>30</v>
      </c>
      <c r="M2276" s="11" t="s">
        <v>29</v>
      </c>
      <c r="N2276" s="11" t="s">
        <v>23</v>
      </c>
      <c r="O2276" s="16" t="s">
        <v>29</v>
      </c>
      <c r="P2276" s="15">
        <v>220</v>
      </c>
      <c r="Q2276" s="8"/>
      <c r="R2276">
        <v>14</v>
      </c>
      <c r="S2276">
        <v>2741.06</v>
      </c>
      <c r="T2276">
        <v>6.57</v>
      </c>
      <c r="U2276">
        <v>10.050000000000001</v>
      </c>
      <c r="V2276">
        <v>140</v>
      </c>
      <c r="W2276" s="317">
        <v>4.5999999999999996</v>
      </c>
      <c r="X2276" s="190">
        <f t="shared" si="99"/>
        <v>82.8</v>
      </c>
      <c r="Y2276" s="8"/>
      <c r="Z2276" s="8"/>
    </row>
    <row r="2277" spans="1:26" ht="12.75" customHeight="1" x14ac:dyDescent="0.2">
      <c r="A2277" s="15">
        <v>19</v>
      </c>
      <c r="B2277" s="15">
        <v>1997</v>
      </c>
      <c r="C2277" s="15">
        <v>8</v>
      </c>
      <c r="D2277" s="15">
        <v>8</v>
      </c>
      <c r="E2277" s="22" t="s">
        <v>227</v>
      </c>
      <c r="F2277" s="11" t="s">
        <v>51</v>
      </c>
      <c r="G2277" s="15">
        <v>122</v>
      </c>
      <c r="H2277" s="15" t="s">
        <v>29</v>
      </c>
      <c r="I2277" s="25">
        <v>10</v>
      </c>
      <c r="J2277" s="11" t="s">
        <v>19</v>
      </c>
      <c r="K2277" s="11" t="s">
        <v>20</v>
      </c>
      <c r="L2277" s="11" t="s">
        <v>30</v>
      </c>
      <c r="M2277" s="11" t="s">
        <v>27</v>
      </c>
      <c r="N2277" s="11" t="s">
        <v>24</v>
      </c>
      <c r="O2277" s="16" t="s">
        <v>29</v>
      </c>
      <c r="P2277" s="15">
        <v>220</v>
      </c>
      <c r="Q2277" s="8"/>
      <c r="R2277">
        <v>11.38</v>
      </c>
      <c r="S2277">
        <v>1474.77</v>
      </c>
      <c r="T2277">
        <v>6.78</v>
      </c>
      <c r="U2277">
        <v>8.17</v>
      </c>
      <c r="V2277">
        <v>114</v>
      </c>
      <c r="W2277" s="317">
        <v>4.5999999999999996</v>
      </c>
      <c r="X2277" s="190">
        <f t="shared" si="99"/>
        <v>46</v>
      </c>
      <c r="Y2277" s="8"/>
      <c r="Z2277" s="8"/>
    </row>
    <row r="2278" spans="1:26" ht="12.75" customHeight="1" x14ac:dyDescent="0.2">
      <c r="A2278" s="15">
        <v>20</v>
      </c>
      <c r="B2278" s="15">
        <v>1997</v>
      </c>
      <c r="C2278" s="15">
        <v>8</v>
      </c>
      <c r="D2278" s="15">
        <v>8</v>
      </c>
      <c r="E2278" s="22" t="s">
        <v>227</v>
      </c>
      <c r="F2278" s="11" t="s">
        <v>51</v>
      </c>
      <c r="G2278" s="15">
        <v>137</v>
      </c>
      <c r="H2278" s="15" t="s">
        <v>29</v>
      </c>
      <c r="I2278" s="25">
        <v>14</v>
      </c>
      <c r="J2278" s="11" t="s">
        <v>19</v>
      </c>
      <c r="K2278" s="11" t="s">
        <v>20</v>
      </c>
      <c r="L2278" s="11" t="s">
        <v>30</v>
      </c>
      <c r="M2278" s="11" t="s">
        <v>27</v>
      </c>
      <c r="N2278" s="11" t="s">
        <v>23</v>
      </c>
      <c r="O2278" s="16" t="s">
        <v>29</v>
      </c>
      <c r="P2278" s="15">
        <v>220</v>
      </c>
      <c r="Q2278" s="8"/>
      <c r="R2278">
        <v>12.78</v>
      </c>
      <c r="S2278">
        <v>2088.37</v>
      </c>
      <c r="T2278">
        <v>6.7</v>
      </c>
      <c r="U2278">
        <v>9.18</v>
      </c>
      <c r="V2278">
        <v>128</v>
      </c>
      <c r="W2278" s="317">
        <v>4.5999999999999996</v>
      </c>
      <c r="X2278" s="190">
        <f t="shared" si="99"/>
        <v>64.399999999999991</v>
      </c>
      <c r="Y2278" s="8"/>
      <c r="Z2278" s="8"/>
    </row>
    <row r="2279" spans="1:26" ht="12.75" customHeight="1" x14ac:dyDescent="0.2">
      <c r="A2279" s="15">
        <v>21</v>
      </c>
      <c r="B2279" s="15">
        <v>1997</v>
      </c>
      <c r="C2279" s="15">
        <v>8</v>
      </c>
      <c r="D2279" s="15">
        <v>8</v>
      </c>
      <c r="E2279" s="22" t="s">
        <v>227</v>
      </c>
      <c r="F2279" s="11" t="s">
        <v>51</v>
      </c>
      <c r="G2279" s="15">
        <v>144</v>
      </c>
      <c r="H2279" s="15" t="s">
        <v>29</v>
      </c>
      <c r="I2279" s="25">
        <v>10</v>
      </c>
      <c r="J2279" s="11" t="s">
        <v>19</v>
      </c>
      <c r="K2279" s="11" t="s">
        <v>20</v>
      </c>
      <c r="L2279" s="11" t="s">
        <v>21</v>
      </c>
      <c r="M2279" s="11" t="s">
        <v>46</v>
      </c>
      <c r="N2279" s="11" t="s">
        <v>33</v>
      </c>
      <c r="O2279" s="16" t="s">
        <v>29</v>
      </c>
      <c r="P2279" s="15">
        <v>220</v>
      </c>
      <c r="Q2279" s="8"/>
      <c r="R2279">
        <v>13.44</v>
      </c>
      <c r="S2279">
        <v>2425.12</v>
      </c>
      <c r="T2279">
        <v>4.12</v>
      </c>
      <c r="U2279">
        <v>9.65</v>
      </c>
      <c r="V2279">
        <v>134</v>
      </c>
      <c r="W2279" s="317">
        <v>3.9</v>
      </c>
      <c r="X2279" s="190">
        <f t="shared" si="99"/>
        <v>39</v>
      </c>
      <c r="Y2279" s="8"/>
      <c r="Z2279" s="8"/>
    </row>
    <row r="2280" spans="1:26" ht="12.75" customHeight="1" x14ac:dyDescent="0.2">
      <c r="A2280" s="15">
        <v>22</v>
      </c>
      <c r="B2280" s="15">
        <v>1997</v>
      </c>
      <c r="C2280" s="15">
        <v>8</v>
      </c>
      <c r="D2280" s="15">
        <v>8</v>
      </c>
      <c r="E2280" s="22" t="s">
        <v>227</v>
      </c>
      <c r="F2280" s="11" t="s">
        <v>51</v>
      </c>
      <c r="G2280" s="15">
        <v>135</v>
      </c>
      <c r="H2280" s="15" t="s">
        <v>29</v>
      </c>
      <c r="I2280" s="25">
        <v>7.5</v>
      </c>
      <c r="J2280" s="11" t="s">
        <v>19</v>
      </c>
      <c r="K2280" s="11" t="s">
        <v>20</v>
      </c>
      <c r="L2280" s="11" t="s">
        <v>21</v>
      </c>
      <c r="M2280" s="11" t="s">
        <v>46</v>
      </c>
      <c r="N2280" s="11" t="s">
        <v>24</v>
      </c>
      <c r="O2280" s="16" t="s">
        <v>29</v>
      </c>
      <c r="P2280" s="15">
        <v>220</v>
      </c>
      <c r="Q2280" s="8"/>
      <c r="R2280">
        <v>12.6</v>
      </c>
      <c r="S2280">
        <v>1998.23</v>
      </c>
      <c r="T2280">
        <v>3.75</v>
      </c>
      <c r="U2280">
        <v>9.0500000000000007</v>
      </c>
      <c r="V2280">
        <v>126</v>
      </c>
      <c r="W2280" s="317">
        <v>3.9</v>
      </c>
      <c r="X2280" s="190">
        <f t="shared" si="99"/>
        <v>29.25</v>
      </c>
      <c r="Y2280" s="8"/>
      <c r="Z2280" s="8"/>
    </row>
    <row r="2281" spans="1:26" ht="12.75" customHeight="1" x14ac:dyDescent="0.2">
      <c r="A2281" s="15">
        <v>23</v>
      </c>
      <c r="B2281" s="15">
        <v>1997</v>
      </c>
      <c r="C2281" s="15">
        <v>8</v>
      </c>
      <c r="D2281" s="15">
        <v>8</v>
      </c>
      <c r="E2281" s="22" t="s">
        <v>227</v>
      </c>
      <c r="F2281" s="11" t="s">
        <v>51</v>
      </c>
      <c r="G2281" s="15">
        <v>130</v>
      </c>
      <c r="H2281" s="15" t="s">
        <v>29</v>
      </c>
      <c r="I2281" s="25">
        <v>7</v>
      </c>
      <c r="J2281" s="11" t="s">
        <v>19</v>
      </c>
      <c r="K2281" s="11" t="s">
        <v>20</v>
      </c>
      <c r="L2281" s="11" t="s">
        <v>21</v>
      </c>
      <c r="M2281" s="11" t="s">
        <v>46</v>
      </c>
      <c r="N2281" s="11" t="s">
        <v>33</v>
      </c>
      <c r="O2281" s="16" t="s">
        <v>29</v>
      </c>
      <c r="P2281" s="15">
        <v>220</v>
      </c>
      <c r="Q2281" s="8"/>
      <c r="R2281">
        <v>12.13</v>
      </c>
      <c r="S2281">
        <v>1784.33</v>
      </c>
      <c r="T2281">
        <v>3.92</v>
      </c>
      <c r="U2281">
        <v>8.7100000000000009</v>
      </c>
      <c r="V2281">
        <v>121</v>
      </c>
      <c r="W2281" s="317">
        <v>3.9</v>
      </c>
      <c r="X2281" s="190">
        <f t="shared" si="99"/>
        <v>27.3</v>
      </c>
      <c r="Y2281" s="8"/>
      <c r="Z2281" s="8"/>
    </row>
    <row r="2282" spans="1:26" ht="12.75" customHeight="1" x14ac:dyDescent="0.2">
      <c r="A2282" s="15">
        <v>24</v>
      </c>
      <c r="B2282" s="15">
        <v>1997</v>
      </c>
      <c r="C2282" s="15">
        <v>8</v>
      </c>
      <c r="D2282" s="15">
        <v>8</v>
      </c>
      <c r="E2282" s="22" t="s">
        <v>227</v>
      </c>
      <c r="F2282" s="11" t="s">
        <v>51</v>
      </c>
      <c r="G2282" s="15">
        <v>129</v>
      </c>
      <c r="H2282" s="15" t="s">
        <v>29</v>
      </c>
      <c r="I2282" s="25">
        <v>8.5</v>
      </c>
      <c r="J2282" s="11" t="s">
        <v>19</v>
      </c>
      <c r="K2282" s="11" t="s">
        <v>20</v>
      </c>
      <c r="L2282" s="11" t="s">
        <v>21</v>
      </c>
      <c r="M2282" s="11" t="s">
        <v>45</v>
      </c>
      <c r="N2282" s="11" t="s">
        <v>24</v>
      </c>
      <c r="O2282" s="16" t="s">
        <v>29</v>
      </c>
      <c r="P2282" s="15">
        <v>220</v>
      </c>
      <c r="Q2282" s="8"/>
      <c r="R2282">
        <v>12.04</v>
      </c>
      <c r="S2282">
        <v>1743.47</v>
      </c>
      <c r="T2282">
        <v>4.88</v>
      </c>
      <c r="U2282">
        <v>8.64</v>
      </c>
      <c r="V2282">
        <v>120</v>
      </c>
      <c r="W2282" s="317">
        <v>3.9</v>
      </c>
      <c r="X2282" s="190">
        <f t="shared" si="99"/>
        <v>33.15</v>
      </c>
      <c r="Y2282" s="8"/>
      <c r="Z2282" s="8"/>
    </row>
    <row r="2283" spans="1:26" ht="12.75" customHeight="1" x14ac:dyDescent="0.2">
      <c r="A2283" s="15">
        <v>25</v>
      </c>
      <c r="B2283" s="15">
        <v>1997</v>
      </c>
      <c r="C2283" s="15">
        <v>8</v>
      </c>
      <c r="D2283" s="15">
        <v>8</v>
      </c>
      <c r="E2283" s="22" t="s">
        <v>227</v>
      </c>
      <c r="F2283" s="11" t="s">
        <v>51</v>
      </c>
      <c r="G2283" s="15">
        <v>162</v>
      </c>
      <c r="H2283" s="15" t="s">
        <v>29</v>
      </c>
      <c r="I2283" s="25">
        <v>17</v>
      </c>
      <c r="J2283" s="11" t="s">
        <v>19</v>
      </c>
      <c r="K2283" s="11" t="s">
        <v>20</v>
      </c>
      <c r="L2283" s="11" t="s">
        <v>30</v>
      </c>
      <c r="M2283" s="11" t="s">
        <v>46</v>
      </c>
      <c r="N2283" s="11" t="s">
        <v>24</v>
      </c>
      <c r="O2283" s="16" t="s">
        <v>29</v>
      </c>
      <c r="P2283" s="15">
        <v>220</v>
      </c>
      <c r="Q2283" s="8"/>
      <c r="R2283">
        <v>15.11</v>
      </c>
      <c r="S2283">
        <v>3452.95</v>
      </c>
      <c r="T2283">
        <v>4.92</v>
      </c>
      <c r="U2283">
        <v>10.85</v>
      </c>
      <c r="V2283">
        <v>151</v>
      </c>
      <c r="W2283" s="317">
        <v>4.5999999999999996</v>
      </c>
      <c r="X2283" s="190">
        <f t="shared" si="99"/>
        <v>78.199999999999989</v>
      </c>
      <c r="Y2283" s="8"/>
      <c r="Z2283" s="8"/>
    </row>
    <row r="2284" spans="1:26" ht="12.75" customHeight="1" x14ac:dyDescent="0.2">
      <c r="A2284" s="15">
        <v>26</v>
      </c>
      <c r="B2284" s="15">
        <v>1997</v>
      </c>
      <c r="C2284" s="15">
        <v>8</v>
      </c>
      <c r="D2284" s="15">
        <v>8</v>
      </c>
      <c r="E2284" s="22" t="s">
        <v>227</v>
      </c>
      <c r="F2284" s="11" t="s">
        <v>51</v>
      </c>
      <c r="G2284" s="15">
        <v>165</v>
      </c>
      <c r="H2284" s="15" t="s">
        <v>29</v>
      </c>
      <c r="I2284" s="25">
        <v>18</v>
      </c>
      <c r="J2284" s="11" t="s">
        <v>19</v>
      </c>
      <c r="K2284" s="11" t="s">
        <v>20</v>
      </c>
      <c r="L2284" s="11" t="s">
        <v>30</v>
      </c>
      <c r="M2284" s="11" t="s">
        <v>46</v>
      </c>
      <c r="N2284" s="11" t="s">
        <v>33</v>
      </c>
      <c r="O2284" s="16" t="s">
        <v>29</v>
      </c>
      <c r="P2284" s="15">
        <v>220</v>
      </c>
      <c r="Q2284" s="8"/>
      <c r="R2284">
        <v>15.39</v>
      </c>
      <c r="S2284">
        <v>3648.35</v>
      </c>
      <c r="T2284">
        <v>4.93</v>
      </c>
      <c r="U2284">
        <v>11.06</v>
      </c>
      <c r="V2284">
        <v>154</v>
      </c>
      <c r="W2284" s="317">
        <v>4.5999999999999996</v>
      </c>
      <c r="X2284" s="190">
        <f t="shared" si="99"/>
        <v>82.8</v>
      </c>
      <c r="Y2284" s="8"/>
      <c r="Z2284" s="8"/>
    </row>
    <row r="2285" spans="1:26" ht="12.75" customHeight="1" x14ac:dyDescent="0.2">
      <c r="A2285" s="15">
        <v>27</v>
      </c>
      <c r="B2285" s="15">
        <v>1997</v>
      </c>
      <c r="C2285" s="15">
        <v>8</v>
      </c>
      <c r="D2285" s="15">
        <v>8</v>
      </c>
      <c r="E2285" s="22" t="s">
        <v>227</v>
      </c>
      <c r="F2285" s="11" t="s">
        <v>51</v>
      </c>
      <c r="G2285" s="15">
        <v>118</v>
      </c>
      <c r="H2285" s="15" t="s">
        <v>29</v>
      </c>
      <c r="I2285" s="25">
        <v>7</v>
      </c>
      <c r="J2285" s="11" t="s">
        <v>19</v>
      </c>
      <c r="K2285" s="11" t="s">
        <v>20</v>
      </c>
      <c r="L2285" s="11" t="s">
        <v>30</v>
      </c>
      <c r="M2285" s="11" t="s">
        <v>46</v>
      </c>
      <c r="N2285" s="11" t="s">
        <v>23</v>
      </c>
      <c r="O2285" s="16" t="s">
        <v>29</v>
      </c>
      <c r="P2285" s="15">
        <v>220</v>
      </c>
      <c r="Q2285" s="8"/>
      <c r="R2285">
        <v>11.01</v>
      </c>
      <c r="S2285">
        <v>1334.42</v>
      </c>
      <c r="T2285">
        <v>5.25</v>
      </c>
      <c r="U2285">
        <v>7.91</v>
      </c>
      <c r="V2285">
        <v>110</v>
      </c>
      <c r="W2285" s="317">
        <v>4.5999999999999996</v>
      </c>
      <c r="X2285" s="190">
        <f t="shared" si="99"/>
        <v>32.199999999999996</v>
      </c>
      <c r="Y2285" s="8"/>
      <c r="Z2285" s="8"/>
    </row>
    <row r="2286" spans="1:26" ht="12.75" customHeight="1" x14ac:dyDescent="0.2">
      <c r="A2286" s="15">
        <v>28</v>
      </c>
      <c r="B2286" s="15">
        <v>1997</v>
      </c>
      <c r="C2286" s="15">
        <v>8</v>
      </c>
      <c r="D2286" s="15">
        <v>8</v>
      </c>
      <c r="E2286" s="22" t="s">
        <v>227</v>
      </c>
      <c r="F2286" s="11" t="s">
        <v>51</v>
      </c>
      <c r="G2286" s="15">
        <v>145</v>
      </c>
      <c r="H2286" s="15" t="s">
        <v>29</v>
      </c>
      <c r="I2286" s="25">
        <v>9.5</v>
      </c>
      <c r="J2286" s="11" t="s">
        <v>19</v>
      </c>
      <c r="K2286" s="11" t="s">
        <v>20</v>
      </c>
      <c r="L2286" s="11" t="s">
        <v>30</v>
      </c>
      <c r="M2286" s="11" t="s">
        <v>46</v>
      </c>
      <c r="N2286" s="11" t="s">
        <v>33</v>
      </c>
      <c r="O2286" s="16" t="s">
        <v>29</v>
      </c>
      <c r="P2286" s="15">
        <v>220</v>
      </c>
      <c r="Q2286" s="8"/>
      <c r="R2286">
        <v>13.53</v>
      </c>
      <c r="S2286">
        <v>2475.9899999999998</v>
      </c>
      <c r="T2286">
        <v>3.84</v>
      </c>
      <c r="U2286">
        <v>9.7200000000000006</v>
      </c>
      <c r="V2286">
        <v>135</v>
      </c>
      <c r="W2286" s="317">
        <v>4.5999999999999996</v>
      </c>
      <c r="X2286" s="190">
        <f t="shared" si="99"/>
        <v>43.699999999999996</v>
      </c>
      <c r="Y2286" s="8"/>
      <c r="Z2286" s="8"/>
    </row>
    <row r="2287" spans="1:26" ht="12.75" customHeight="1" x14ac:dyDescent="0.2">
      <c r="A2287" s="15">
        <v>29</v>
      </c>
      <c r="B2287" s="15">
        <v>1997</v>
      </c>
      <c r="C2287" s="15">
        <v>8</v>
      </c>
      <c r="D2287" s="15">
        <v>8</v>
      </c>
      <c r="E2287" s="22" t="s">
        <v>227</v>
      </c>
      <c r="F2287" s="11" t="s">
        <v>51</v>
      </c>
      <c r="G2287" s="15">
        <v>131</v>
      </c>
      <c r="H2287" s="15" t="s">
        <v>29</v>
      </c>
      <c r="I2287" s="25">
        <v>9</v>
      </c>
      <c r="J2287" s="11" t="s">
        <v>19</v>
      </c>
      <c r="K2287" s="11" t="s">
        <v>20</v>
      </c>
      <c r="L2287" s="11" t="s">
        <v>30</v>
      </c>
      <c r="M2287" s="11" t="s">
        <v>45</v>
      </c>
      <c r="N2287" s="11" t="s">
        <v>33</v>
      </c>
      <c r="O2287" s="16" t="s">
        <v>29</v>
      </c>
      <c r="P2287" s="15">
        <v>220</v>
      </c>
      <c r="Q2287" s="8"/>
      <c r="R2287">
        <v>12.22</v>
      </c>
      <c r="S2287">
        <v>1825.82</v>
      </c>
      <c r="T2287">
        <v>4.93</v>
      </c>
      <c r="U2287">
        <v>8.7799999999999994</v>
      </c>
      <c r="V2287">
        <v>122</v>
      </c>
      <c r="W2287" s="317">
        <v>4.5999999999999996</v>
      </c>
      <c r="X2287" s="190">
        <f t="shared" si="99"/>
        <v>41.4</v>
      </c>
      <c r="Y2287" s="8"/>
      <c r="Z2287" s="8"/>
    </row>
    <row r="2288" spans="1:26" ht="12.75" customHeight="1" x14ac:dyDescent="0.2">
      <c r="A2288" s="15">
        <v>30</v>
      </c>
      <c r="B2288" s="15">
        <v>1997</v>
      </c>
      <c r="C2288" s="15">
        <v>8</v>
      </c>
      <c r="D2288" s="15">
        <v>8</v>
      </c>
      <c r="E2288" s="22" t="s">
        <v>227</v>
      </c>
      <c r="F2288" s="11" t="s">
        <v>51</v>
      </c>
      <c r="G2288" s="15">
        <v>145</v>
      </c>
      <c r="H2288" s="15" t="s">
        <v>29</v>
      </c>
      <c r="I2288" s="25">
        <v>16</v>
      </c>
      <c r="J2288" s="11" t="s">
        <v>19</v>
      </c>
      <c r="K2288" s="11" t="s">
        <v>20</v>
      </c>
      <c r="L2288" s="11" t="s">
        <v>30</v>
      </c>
      <c r="M2288" s="11" t="s">
        <v>45</v>
      </c>
      <c r="N2288" s="11" t="s">
        <v>39</v>
      </c>
      <c r="O2288" s="16" t="s">
        <v>29</v>
      </c>
      <c r="P2288" s="15">
        <v>220</v>
      </c>
      <c r="Q2288" s="8"/>
      <c r="R2288">
        <v>13.53</v>
      </c>
      <c r="S2288">
        <v>2475.9899999999998</v>
      </c>
      <c r="T2288">
        <v>6.46</v>
      </c>
      <c r="U2288">
        <v>9.7200000000000006</v>
      </c>
      <c r="V2288">
        <v>135</v>
      </c>
      <c r="W2288" s="317">
        <v>4.5999999999999996</v>
      </c>
      <c r="X2288" s="190">
        <f t="shared" si="99"/>
        <v>73.599999999999994</v>
      </c>
      <c r="Y2288" s="8"/>
      <c r="Z2288" s="8"/>
    </row>
    <row r="2289" spans="1:26" ht="12.75" customHeight="1" x14ac:dyDescent="0.2">
      <c r="A2289" s="15">
        <v>31</v>
      </c>
      <c r="B2289" s="15">
        <v>1997</v>
      </c>
      <c r="C2289" s="15">
        <v>8</v>
      </c>
      <c r="D2289" s="15">
        <v>8</v>
      </c>
      <c r="E2289" s="22" t="s">
        <v>227</v>
      </c>
      <c r="F2289" s="11" t="s">
        <v>51</v>
      </c>
      <c r="G2289" s="15">
        <v>138</v>
      </c>
      <c r="H2289" s="15" t="s">
        <v>29</v>
      </c>
      <c r="I2289" s="25">
        <v>9.5</v>
      </c>
      <c r="J2289" s="11" t="s">
        <v>19</v>
      </c>
      <c r="K2289" s="11" t="s">
        <v>20</v>
      </c>
      <c r="L2289" s="11" t="s">
        <v>30</v>
      </c>
      <c r="M2289" s="11" t="s">
        <v>27</v>
      </c>
      <c r="N2289" s="11" t="s">
        <v>33</v>
      </c>
      <c r="O2289" s="16" t="s">
        <v>29</v>
      </c>
      <c r="P2289" s="15">
        <v>220</v>
      </c>
      <c r="Q2289" s="8"/>
      <c r="R2289">
        <v>12.88</v>
      </c>
      <c r="S2289">
        <v>2134.4299999999998</v>
      </c>
      <c r="T2289">
        <v>4.45</v>
      </c>
      <c r="U2289">
        <v>9.25</v>
      </c>
      <c r="V2289">
        <v>129</v>
      </c>
      <c r="W2289" s="317">
        <v>4.5999999999999996</v>
      </c>
      <c r="X2289" s="190">
        <f t="shared" si="99"/>
        <v>43.699999999999996</v>
      </c>
      <c r="Y2289" s="8"/>
      <c r="Z2289" s="8"/>
    </row>
    <row r="2290" spans="1:26" ht="12.75" customHeight="1" x14ac:dyDescent="0.2">
      <c r="A2290" s="15">
        <v>32</v>
      </c>
      <c r="B2290" s="15">
        <v>1997</v>
      </c>
      <c r="C2290" s="15">
        <v>8</v>
      </c>
      <c r="D2290" s="15">
        <v>8</v>
      </c>
      <c r="E2290" s="22" t="s">
        <v>227</v>
      </c>
      <c r="F2290" s="11" t="s">
        <v>51</v>
      </c>
      <c r="G2290" s="15">
        <v>123</v>
      </c>
      <c r="H2290" s="15" t="s">
        <v>29</v>
      </c>
      <c r="I2290" s="25">
        <v>11</v>
      </c>
      <c r="J2290" s="11" t="s">
        <v>19</v>
      </c>
      <c r="K2290" s="11" t="s">
        <v>20</v>
      </c>
      <c r="L2290" s="11" t="s">
        <v>30</v>
      </c>
      <c r="M2290" s="11" t="s">
        <v>27</v>
      </c>
      <c r="N2290" s="11" t="s">
        <v>23</v>
      </c>
      <c r="O2290" s="16" t="s">
        <v>29</v>
      </c>
      <c r="P2290" s="15">
        <v>220</v>
      </c>
      <c r="Q2290" s="8"/>
      <c r="R2290">
        <v>11.48</v>
      </c>
      <c r="S2290">
        <v>1511.33</v>
      </c>
      <c r="T2290">
        <v>7.28</v>
      </c>
      <c r="U2290">
        <v>8.24</v>
      </c>
      <c r="V2290">
        <v>115</v>
      </c>
      <c r="W2290" s="317">
        <v>4.5999999999999996</v>
      </c>
      <c r="X2290" s="190">
        <f t="shared" si="99"/>
        <v>50.599999999999994</v>
      </c>
      <c r="Y2290" s="8"/>
      <c r="Z2290" s="8"/>
    </row>
    <row r="2291" spans="1:26" ht="12.75" customHeight="1" x14ac:dyDescent="0.2">
      <c r="A2291" s="15">
        <v>33</v>
      </c>
      <c r="B2291" s="15">
        <v>1997</v>
      </c>
      <c r="C2291" s="15">
        <v>8</v>
      </c>
      <c r="D2291" s="15">
        <v>8</v>
      </c>
      <c r="E2291" s="22" t="s">
        <v>227</v>
      </c>
      <c r="F2291" s="11" t="s">
        <v>51</v>
      </c>
      <c r="G2291" s="15">
        <v>126</v>
      </c>
      <c r="H2291" s="15" t="s">
        <v>29</v>
      </c>
      <c r="I2291" s="25">
        <v>9.5</v>
      </c>
      <c r="J2291" s="11" t="s">
        <v>19</v>
      </c>
      <c r="K2291" s="11" t="s">
        <v>20</v>
      </c>
      <c r="L2291" s="11" t="s">
        <v>30</v>
      </c>
      <c r="M2291" s="11" t="s">
        <v>46</v>
      </c>
      <c r="N2291" s="11" t="s">
        <v>39</v>
      </c>
      <c r="O2291" s="16" t="s">
        <v>29</v>
      </c>
      <c r="P2291" s="15">
        <v>220</v>
      </c>
      <c r="Q2291" s="8"/>
      <c r="R2291">
        <v>11.76</v>
      </c>
      <c r="S2291">
        <v>1624.64</v>
      </c>
      <c r="T2291">
        <v>5.85</v>
      </c>
      <c r="U2291">
        <v>8.44</v>
      </c>
      <c r="V2291">
        <v>118</v>
      </c>
      <c r="W2291" s="317">
        <v>4.5999999999999996</v>
      </c>
      <c r="X2291" s="190">
        <f t="shared" si="99"/>
        <v>43.699999999999996</v>
      </c>
      <c r="Y2291" s="8"/>
      <c r="Z2291" s="8"/>
    </row>
    <row r="2292" spans="1:26" ht="12.75" customHeight="1" x14ac:dyDescent="0.2">
      <c r="A2292" s="15">
        <v>34</v>
      </c>
      <c r="B2292" s="15">
        <v>1997</v>
      </c>
      <c r="C2292" s="15">
        <v>8</v>
      </c>
      <c r="D2292" s="15">
        <v>8</v>
      </c>
      <c r="E2292" s="22" t="s">
        <v>227</v>
      </c>
      <c r="F2292" s="11" t="s">
        <v>51</v>
      </c>
      <c r="G2292" s="15">
        <v>109</v>
      </c>
      <c r="H2292" s="15" t="s">
        <v>29</v>
      </c>
      <c r="I2292" s="25">
        <v>5.5</v>
      </c>
      <c r="J2292" s="11" t="s">
        <v>19</v>
      </c>
      <c r="K2292" s="11" t="s">
        <v>20</v>
      </c>
      <c r="L2292" s="11" t="s">
        <v>21</v>
      </c>
      <c r="M2292" s="11" t="s">
        <v>27</v>
      </c>
      <c r="N2292" s="11" t="s">
        <v>23</v>
      </c>
      <c r="O2292" s="16" t="s">
        <v>29</v>
      </c>
      <c r="P2292" s="15">
        <v>220</v>
      </c>
      <c r="Q2292" s="8"/>
      <c r="R2292">
        <v>10.17</v>
      </c>
      <c r="S2292">
        <v>1051.78</v>
      </c>
      <c r="T2292">
        <v>5.23</v>
      </c>
      <c r="U2292">
        <v>7.3</v>
      </c>
      <c r="V2292">
        <v>102</v>
      </c>
      <c r="W2292" s="317">
        <v>3.9</v>
      </c>
      <c r="X2292" s="190">
        <f t="shared" si="99"/>
        <v>21.45</v>
      </c>
      <c r="Y2292" s="8"/>
      <c r="Z2292" s="8"/>
    </row>
    <row r="2293" spans="1:26" ht="12.75" customHeight="1" x14ac:dyDescent="0.2">
      <c r="A2293" s="15">
        <v>35</v>
      </c>
      <c r="B2293" s="15">
        <v>1997</v>
      </c>
      <c r="C2293" s="15">
        <v>8</v>
      </c>
      <c r="D2293" s="15">
        <v>8</v>
      </c>
      <c r="E2293" s="22" t="s">
        <v>227</v>
      </c>
      <c r="F2293" s="11" t="s">
        <v>51</v>
      </c>
      <c r="G2293" s="15">
        <v>126</v>
      </c>
      <c r="H2293" s="15" t="s">
        <v>29</v>
      </c>
      <c r="I2293" s="25">
        <v>11</v>
      </c>
      <c r="J2293" s="11" t="s">
        <v>19</v>
      </c>
      <c r="K2293" s="11" t="s">
        <v>20</v>
      </c>
      <c r="L2293" s="11" t="s">
        <v>30</v>
      </c>
      <c r="M2293" s="11" t="s">
        <v>46</v>
      </c>
      <c r="N2293" s="11" t="s">
        <v>39</v>
      </c>
      <c r="O2293" s="16" t="s">
        <v>29</v>
      </c>
      <c r="P2293" s="15">
        <v>220</v>
      </c>
      <c r="Q2293" s="8"/>
      <c r="R2293">
        <v>11.76</v>
      </c>
      <c r="S2293">
        <v>1624.64</v>
      </c>
      <c r="T2293">
        <v>6.77</v>
      </c>
      <c r="U2293">
        <v>8.44</v>
      </c>
      <c r="V2293">
        <v>118</v>
      </c>
      <c r="W2293" s="317">
        <v>4.5999999999999996</v>
      </c>
      <c r="X2293" s="190">
        <f t="shared" si="99"/>
        <v>50.599999999999994</v>
      </c>
      <c r="Y2293" s="8"/>
      <c r="Z2293" s="8"/>
    </row>
    <row r="2294" spans="1:26" ht="12.75" customHeight="1" x14ac:dyDescent="0.2">
      <c r="A2294" s="15">
        <v>36</v>
      </c>
      <c r="B2294" s="15">
        <v>1997</v>
      </c>
      <c r="C2294" s="15">
        <v>8</v>
      </c>
      <c r="D2294" s="15">
        <v>8</v>
      </c>
      <c r="E2294" s="22" t="s">
        <v>227</v>
      </c>
      <c r="F2294" s="11" t="s">
        <v>51</v>
      </c>
      <c r="G2294" s="15">
        <v>131</v>
      </c>
      <c r="H2294" s="15" t="s">
        <v>29</v>
      </c>
      <c r="I2294" s="25">
        <v>7</v>
      </c>
      <c r="J2294" s="11" t="s">
        <v>19</v>
      </c>
      <c r="K2294" s="11" t="s">
        <v>20</v>
      </c>
      <c r="L2294" s="11" t="s">
        <v>30</v>
      </c>
      <c r="M2294" s="11" t="s">
        <v>46</v>
      </c>
      <c r="N2294" s="11" t="s">
        <v>33</v>
      </c>
      <c r="O2294" s="16" t="s">
        <v>29</v>
      </c>
      <c r="P2294" s="15">
        <v>220</v>
      </c>
      <c r="Q2294" s="8"/>
      <c r="R2294">
        <v>12.22</v>
      </c>
      <c r="S2294">
        <v>1825.82</v>
      </c>
      <c r="T2294">
        <v>3.83</v>
      </c>
      <c r="U2294">
        <v>8.7799999999999994</v>
      </c>
      <c r="V2294">
        <v>122</v>
      </c>
      <c r="W2294" s="317">
        <v>4.5999999999999996</v>
      </c>
      <c r="X2294" s="190">
        <f t="shared" si="99"/>
        <v>32.199999999999996</v>
      </c>
      <c r="Y2294" s="8"/>
      <c r="Z2294" s="8"/>
    </row>
    <row r="2295" spans="1:26" ht="12.75" customHeight="1" x14ac:dyDescent="0.2">
      <c r="A2295" s="15">
        <v>37</v>
      </c>
      <c r="B2295" s="15">
        <v>1997</v>
      </c>
      <c r="C2295" s="15">
        <v>7</v>
      </c>
      <c r="D2295" s="15">
        <v>8</v>
      </c>
      <c r="E2295" s="14">
        <v>0.5625</v>
      </c>
      <c r="F2295" s="11" t="s">
        <v>51</v>
      </c>
      <c r="G2295" s="15">
        <v>145</v>
      </c>
      <c r="H2295" s="15" t="s">
        <v>29</v>
      </c>
      <c r="I2295" s="25">
        <v>11</v>
      </c>
      <c r="J2295" s="11" t="s">
        <v>19</v>
      </c>
      <c r="K2295" s="11" t="s">
        <v>20</v>
      </c>
      <c r="L2295" s="11" t="s">
        <v>30</v>
      </c>
      <c r="M2295" s="11" t="s">
        <v>46</v>
      </c>
      <c r="N2295" s="11" t="s">
        <v>23</v>
      </c>
      <c r="O2295" s="16" t="s">
        <v>29</v>
      </c>
      <c r="P2295" s="15">
        <v>219</v>
      </c>
      <c r="Q2295" s="8"/>
      <c r="R2295">
        <v>13.53</v>
      </c>
      <c r="S2295">
        <v>2475.9899999999998</v>
      </c>
      <c r="T2295">
        <v>4.4400000000000004</v>
      </c>
      <c r="U2295">
        <v>9.7200000000000006</v>
      </c>
      <c r="V2295">
        <v>135</v>
      </c>
      <c r="W2295" s="317">
        <v>4.5999999999999996</v>
      </c>
      <c r="X2295" s="190">
        <f t="shared" si="99"/>
        <v>50.599999999999994</v>
      </c>
      <c r="Y2295" s="8"/>
      <c r="Z2295" s="8"/>
    </row>
    <row r="2296" spans="1:26" ht="12.75" customHeight="1" x14ac:dyDescent="0.2">
      <c r="A2296" s="15">
        <v>38</v>
      </c>
      <c r="B2296" s="15">
        <v>1997</v>
      </c>
      <c r="C2296" s="15">
        <v>7</v>
      </c>
      <c r="D2296" s="15">
        <v>8</v>
      </c>
      <c r="E2296" s="14">
        <v>0.5625</v>
      </c>
      <c r="F2296" s="11" t="s">
        <v>51</v>
      </c>
      <c r="G2296" s="15">
        <v>110</v>
      </c>
      <c r="H2296" s="15" t="s">
        <v>29</v>
      </c>
      <c r="I2296" s="25">
        <v>4.2</v>
      </c>
      <c r="J2296" s="11" t="s">
        <v>19</v>
      </c>
      <c r="K2296" s="11" t="s">
        <v>20</v>
      </c>
      <c r="L2296" s="11" t="s">
        <v>35</v>
      </c>
      <c r="M2296" s="11" t="s">
        <v>46</v>
      </c>
      <c r="N2296" s="11" t="s">
        <v>23</v>
      </c>
      <c r="O2296" s="16" t="s">
        <v>29</v>
      </c>
      <c r="P2296" s="15">
        <v>219</v>
      </c>
      <c r="Q2296" s="8"/>
      <c r="R2296">
        <v>10.26</v>
      </c>
      <c r="S2296">
        <v>1080.99</v>
      </c>
      <c r="T2296">
        <v>3.89</v>
      </c>
      <c r="U2296">
        <v>7.37</v>
      </c>
      <c r="V2296">
        <v>103</v>
      </c>
      <c r="W2296" s="317">
        <v>3.9</v>
      </c>
      <c r="X2296" s="190">
        <f t="shared" si="99"/>
        <v>16.38</v>
      </c>
      <c r="Y2296" s="8"/>
      <c r="Z2296" s="8"/>
    </row>
    <row r="2297" spans="1:26" ht="12.75" customHeight="1" x14ac:dyDescent="0.2">
      <c r="A2297" s="15">
        <v>39</v>
      </c>
      <c r="B2297" s="15">
        <v>1997</v>
      </c>
      <c r="C2297" s="15">
        <v>7</v>
      </c>
      <c r="D2297" s="15">
        <v>8</v>
      </c>
      <c r="E2297" s="14">
        <v>0.5625</v>
      </c>
      <c r="F2297" s="11" t="s">
        <v>28</v>
      </c>
      <c r="G2297" s="11" t="s">
        <v>29</v>
      </c>
      <c r="H2297" s="15" t="s">
        <v>29</v>
      </c>
      <c r="I2297" s="25">
        <v>11.5</v>
      </c>
      <c r="J2297" s="11" t="s">
        <v>19</v>
      </c>
      <c r="K2297" s="11" t="s">
        <v>20</v>
      </c>
      <c r="L2297" s="11" t="s">
        <v>30</v>
      </c>
      <c r="M2297" s="11" t="s">
        <v>29</v>
      </c>
      <c r="N2297" s="11" t="s">
        <v>24</v>
      </c>
      <c r="O2297" s="16" t="s">
        <v>29</v>
      </c>
      <c r="P2297" s="15">
        <v>219</v>
      </c>
      <c r="Q2297" s="8"/>
      <c r="W2297" s="317">
        <v>4.5999999999999996</v>
      </c>
      <c r="X2297" s="190">
        <f t="shared" si="99"/>
        <v>52.9</v>
      </c>
      <c r="Y2297" s="8"/>
      <c r="Z2297" s="8"/>
    </row>
    <row r="2298" spans="1:26" ht="12.75" customHeight="1" x14ac:dyDescent="0.2">
      <c r="A2298" s="15">
        <v>40</v>
      </c>
      <c r="B2298" s="15">
        <v>1997</v>
      </c>
      <c r="C2298" s="15">
        <v>7</v>
      </c>
      <c r="D2298" s="15">
        <v>8</v>
      </c>
      <c r="E2298" s="14">
        <v>0.5625</v>
      </c>
      <c r="F2298" s="11" t="s">
        <v>51</v>
      </c>
      <c r="G2298" s="15">
        <v>160</v>
      </c>
      <c r="H2298" s="15" t="s">
        <v>29</v>
      </c>
      <c r="I2298" s="25">
        <v>21</v>
      </c>
      <c r="J2298" s="11" t="s">
        <v>19</v>
      </c>
      <c r="K2298" s="11" t="s">
        <v>20</v>
      </c>
      <c r="L2298" s="11" t="s">
        <v>30</v>
      </c>
      <c r="M2298" s="11" t="s">
        <v>46</v>
      </c>
      <c r="N2298" s="11" t="s">
        <v>24</v>
      </c>
      <c r="O2298" s="16" t="s">
        <v>29</v>
      </c>
      <c r="P2298" s="15">
        <v>219</v>
      </c>
      <c r="Q2298" s="8"/>
      <c r="R2298">
        <v>14.93</v>
      </c>
      <c r="S2298">
        <v>3326.63</v>
      </c>
      <c r="T2298">
        <v>6.31</v>
      </c>
      <c r="U2298">
        <v>10.72</v>
      </c>
      <c r="V2298">
        <v>149</v>
      </c>
      <c r="W2298" s="317">
        <v>4.5999999999999996</v>
      </c>
      <c r="X2298" s="190">
        <f t="shared" si="99"/>
        <v>96.6</v>
      </c>
      <c r="Y2298" s="8"/>
      <c r="Z2298" s="8"/>
    </row>
    <row r="2299" spans="1:26" ht="12.75" customHeight="1" x14ac:dyDescent="0.2">
      <c r="A2299" s="15">
        <v>41</v>
      </c>
      <c r="B2299" s="15">
        <v>1997</v>
      </c>
      <c r="C2299" s="15">
        <v>7</v>
      </c>
      <c r="D2299" s="15">
        <v>8</v>
      </c>
      <c r="E2299" s="14">
        <v>0.5625</v>
      </c>
      <c r="F2299" s="11" t="s">
        <v>51</v>
      </c>
      <c r="G2299" s="15">
        <v>133</v>
      </c>
      <c r="H2299" s="15" t="s">
        <v>29</v>
      </c>
      <c r="I2299" s="25">
        <v>10</v>
      </c>
      <c r="J2299" s="11" t="s">
        <v>19</v>
      </c>
      <c r="K2299" s="11" t="s">
        <v>20</v>
      </c>
      <c r="L2299" s="11" t="s">
        <v>21</v>
      </c>
      <c r="M2299" s="11" t="s">
        <v>27</v>
      </c>
      <c r="N2299" s="11" t="s">
        <v>24</v>
      </c>
      <c r="O2299" s="16" t="s">
        <v>29</v>
      </c>
      <c r="P2299" s="15">
        <v>219</v>
      </c>
      <c r="Q2299" s="8"/>
      <c r="R2299">
        <v>12.41</v>
      </c>
      <c r="S2299">
        <v>1910.73</v>
      </c>
      <c r="T2299">
        <v>5.23</v>
      </c>
      <c r="U2299">
        <v>8.91</v>
      </c>
      <c r="V2299">
        <v>124</v>
      </c>
      <c r="W2299" s="317">
        <v>3.9</v>
      </c>
      <c r="X2299" s="190">
        <f t="shared" si="99"/>
        <v>39</v>
      </c>
      <c r="Y2299" s="8"/>
      <c r="Z2299" s="8"/>
    </row>
    <row r="2300" spans="1:26" ht="12.75" customHeight="1" x14ac:dyDescent="0.2">
      <c r="A2300" s="15">
        <v>42</v>
      </c>
      <c r="B2300" s="15">
        <v>1997</v>
      </c>
      <c r="C2300" s="15">
        <v>7</v>
      </c>
      <c r="D2300" s="15">
        <v>8</v>
      </c>
      <c r="E2300" s="14">
        <v>0.58333333333333337</v>
      </c>
      <c r="F2300" s="11" t="s">
        <v>51</v>
      </c>
      <c r="G2300" s="15">
        <v>95</v>
      </c>
      <c r="H2300" s="15" t="s">
        <v>29</v>
      </c>
      <c r="I2300" s="25">
        <v>6.5</v>
      </c>
      <c r="J2300" s="11" t="s">
        <v>36</v>
      </c>
      <c r="K2300" s="11" t="s">
        <v>29</v>
      </c>
      <c r="L2300" s="11" t="s">
        <v>29</v>
      </c>
      <c r="M2300" s="11" t="s">
        <v>45</v>
      </c>
      <c r="N2300" s="11" t="s">
        <v>24</v>
      </c>
      <c r="O2300" s="16" t="s">
        <v>29</v>
      </c>
      <c r="P2300" s="15">
        <v>219</v>
      </c>
      <c r="Q2300" s="8"/>
      <c r="R2300">
        <v>8.86</v>
      </c>
      <c r="S2300">
        <v>696.33</v>
      </c>
      <c r="T2300">
        <v>9.33</v>
      </c>
      <c r="U2300">
        <v>6.37</v>
      </c>
      <c r="V2300">
        <v>89</v>
      </c>
      <c r="W2300" s="8"/>
      <c r="X2300" s="8"/>
      <c r="Y2300" s="8"/>
      <c r="Z2300" s="8"/>
    </row>
    <row r="2301" spans="1:26" ht="12.75" customHeight="1" x14ac:dyDescent="0.2">
      <c r="A2301" s="15">
        <v>43</v>
      </c>
      <c r="B2301" s="15">
        <v>1997</v>
      </c>
      <c r="C2301" s="15">
        <v>7</v>
      </c>
      <c r="D2301" s="15">
        <v>8</v>
      </c>
      <c r="E2301" s="14">
        <v>0.58333333333333337</v>
      </c>
      <c r="F2301" s="11" t="s">
        <v>51</v>
      </c>
      <c r="G2301" s="15">
        <v>153</v>
      </c>
      <c r="H2301" s="15" t="s">
        <v>29</v>
      </c>
      <c r="I2301" s="25">
        <v>13.5</v>
      </c>
      <c r="J2301" s="11" t="s">
        <v>19</v>
      </c>
      <c r="K2301" s="11" t="s">
        <v>20</v>
      </c>
      <c r="L2301" s="11" t="s">
        <v>21</v>
      </c>
      <c r="M2301" s="11" t="s">
        <v>46</v>
      </c>
      <c r="N2301" s="11" t="s">
        <v>24</v>
      </c>
      <c r="O2301" s="16" t="s">
        <v>29</v>
      </c>
      <c r="P2301" s="15">
        <v>219</v>
      </c>
      <c r="Q2301" s="8"/>
      <c r="R2301">
        <v>14.27</v>
      </c>
      <c r="S2301">
        <v>2908.84</v>
      </c>
      <c r="T2301">
        <v>4.6399999999999997</v>
      </c>
      <c r="U2301">
        <v>10.25</v>
      </c>
      <c r="V2301">
        <v>143</v>
      </c>
      <c r="W2301" s="317">
        <v>3.9</v>
      </c>
      <c r="X2301" s="190">
        <f t="shared" ref="X2301:X2316" si="100">I2301*W2301</f>
        <v>52.65</v>
      </c>
      <c r="Y2301" s="8"/>
      <c r="Z2301" s="8"/>
    </row>
    <row r="2302" spans="1:26" ht="12.75" customHeight="1" x14ac:dyDescent="0.2">
      <c r="A2302" s="15">
        <v>44</v>
      </c>
      <c r="B2302" s="15">
        <v>1997</v>
      </c>
      <c r="C2302" s="15">
        <v>7</v>
      </c>
      <c r="D2302" s="15">
        <v>8</v>
      </c>
      <c r="E2302" s="14">
        <v>0.58333333333333337</v>
      </c>
      <c r="F2302" s="11" t="s">
        <v>51</v>
      </c>
      <c r="G2302" s="15">
        <v>121</v>
      </c>
      <c r="H2302" s="15" t="s">
        <v>29</v>
      </c>
      <c r="I2302" s="25">
        <v>9.5</v>
      </c>
      <c r="J2302" s="11" t="s">
        <v>19</v>
      </c>
      <c r="K2302" s="11" t="s">
        <v>20</v>
      </c>
      <c r="L2302" s="11" t="s">
        <v>30</v>
      </c>
      <c r="M2302" s="11" t="s">
        <v>46</v>
      </c>
      <c r="N2302" s="11" t="s">
        <v>23</v>
      </c>
      <c r="O2302" s="16" t="s">
        <v>29</v>
      </c>
      <c r="P2302" s="15">
        <v>219</v>
      </c>
      <c r="Q2302" s="8"/>
      <c r="R2302">
        <v>11.29</v>
      </c>
      <c r="S2302">
        <v>1438.8</v>
      </c>
      <c r="T2302">
        <v>6.6</v>
      </c>
      <c r="U2302">
        <v>8.11</v>
      </c>
      <c r="V2302">
        <v>113</v>
      </c>
      <c r="W2302" s="317">
        <v>4.5999999999999996</v>
      </c>
      <c r="X2302" s="190">
        <f t="shared" si="100"/>
        <v>43.699999999999996</v>
      </c>
      <c r="Y2302" s="8"/>
      <c r="Z2302" s="8"/>
    </row>
    <row r="2303" spans="1:26" ht="12.75" customHeight="1" x14ac:dyDescent="0.2">
      <c r="A2303" s="15">
        <v>45</v>
      </c>
      <c r="B2303" s="15">
        <v>1997</v>
      </c>
      <c r="C2303" s="15">
        <v>7</v>
      </c>
      <c r="D2303" s="15">
        <v>8</v>
      </c>
      <c r="E2303" s="14">
        <v>0.58333333333333337</v>
      </c>
      <c r="F2303" s="11" t="s">
        <v>28</v>
      </c>
      <c r="G2303" s="11" t="s">
        <v>29</v>
      </c>
      <c r="H2303" s="15" t="s">
        <v>29</v>
      </c>
      <c r="I2303" s="25">
        <v>12</v>
      </c>
      <c r="J2303" s="11" t="s">
        <v>19</v>
      </c>
      <c r="K2303" s="11" t="s">
        <v>20</v>
      </c>
      <c r="L2303" s="11" t="s">
        <v>30</v>
      </c>
      <c r="M2303" s="11" t="s">
        <v>46</v>
      </c>
      <c r="N2303" s="11" t="s">
        <v>23</v>
      </c>
      <c r="O2303" s="16" t="s">
        <v>29</v>
      </c>
      <c r="P2303" s="15">
        <v>219</v>
      </c>
      <c r="Q2303" s="8"/>
      <c r="W2303" s="317">
        <v>4.5999999999999996</v>
      </c>
      <c r="X2303" s="190">
        <f t="shared" si="100"/>
        <v>55.199999999999996</v>
      </c>
      <c r="Y2303" s="8"/>
      <c r="Z2303" s="8"/>
    </row>
    <row r="2304" spans="1:26" ht="12.75" customHeight="1" x14ac:dyDescent="0.2">
      <c r="A2304" s="15">
        <v>46</v>
      </c>
      <c r="B2304" s="15">
        <v>1997</v>
      </c>
      <c r="C2304" s="15">
        <v>7</v>
      </c>
      <c r="D2304" s="15">
        <v>8</v>
      </c>
      <c r="E2304" s="14">
        <v>0.58333333333333337</v>
      </c>
      <c r="F2304" s="11" t="s">
        <v>51</v>
      </c>
      <c r="G2304" s="15">
        <v>135</v>
      </c>
      <c r="H2304" s="15" t="s">
        <v>29</v>
      </c>
      <c r="I2304" s="25">
        <v>11</v>
      </c>
      <c r="J2304" s="11" t="s">
        <v>19</v>
      </c>
      <c r="K2304" s="11" t="s">
        <v>20</v>
      </c>
      <c r="L2304" s="11" t="s">
        <v>21</v>
      </c>
      <c r="M2304" s="11" t="s">
        <v>46</v>
      </c>
      <c r="N2304" s="11" t="s">
        <v>24</v>
      </c>
      <c r="O2304" s="16" t="s">
        <v>29</v>
      </c>
      <c r="P2304" s="15">
        <v>219</v>
      </c>
      <c r="Q2304" s="8"/>
      <c r="R2304">
        <v>12.6</v>
      </c>
      <c r="S2304">
        <v>1998.23</v>
      </c>
      <c r="T2304">
        <v>5.5</v>
      </c>
      <c r="U2304">
        <v>9.0500000000000007</v>
      </c>
      <c r="V2304">
        <v>126</v>
      </c>
      <c r="W2304" s="317">
        <v>3.9</v>
      </c>
      <c r="X2304" s="190">
        <f t="shared" si="100"/>
        <v>42.9</v>
      </c>
      <c r="Y2304" s="8"/>
      <c r="Z2304" s="8"/>
    </row>
    <row r="2305" spans="1:26" ht="12.75" customHeight="1" x14ac:dyDescent="0.2">
      <c r="A2305" s="15">
        <v>47</v>
      </c>
      <c r="B2305" s="15">
        <v>1997</v>
      </c>
      <c r="C2305" s="15">
        <v>7</v>
      </c>
      <c r="D2305" s="15">
        <v>8</v>
      </c>
      <c r="E2305" s="14">
        <v>0.58333333333333337</v>
      </c>
      <c r="F2305" s="11" t="s">
        <v>51</v>
      </c>
      <c r="G2305" s="15">
        <v>140</v>
      </c>
      <c r="H2305" s="15" t="s">
        <v>29</v>
      </c>
      <c r="I2305" s="25">
        <v>13</v>
      </c>
      <c r="J2305" s="11" t="s">
        <v>19</v>
      </c>
      <c r="K2305" s="11" t="s">
        <v>20</v>
      </c>
      <c r="L2305" s="11" t="s">
        <v>30</v>
      </c>
      <c r="M2305" s="11" t="s">
        <v>27</v>
      </c>
      <c r="N2305" s="11" t="s">
        <v>24</v>
      </c>
      <c r="O2305" s="16" t="s">
        <v>29</v>
      </c>
      <c r="P2305" s="15">
        <v>219</v>
      </c>
      <c r="Q2305" s="8"/>
      <c r="R2305">
        <v>13.06</v>
      </c>
      <c r="S2305">
        <v>2228.58</v>
      </c>
      <c r="T2305">
        <v>5.83</v>
      </c>
      <c r="U2305">
        <v>9.3800000000000008</v>
      </c>
      <c r="V2305">
        <v>131</v>
      </c>
      <c r="W2305" s="317">
        <v>4.5999999999999996</v>
      </c>
      <c r="X2305" s="190">
        <f t="shared" si="100"/>
        <v>59.8</v>
      </c>
      <c r="Y2305" s="8"/>
      <c r="Z2305" s="8"/>
    </row>
    <row r="2306" spans="1:26" ht="12.75" customHeight="1" x14ac:dyDescent="0.2">
      <c r="A2306" s="15">
        <v>48</v>
      </c>
      <c r="B2306" s="15">
        <v>1997</v>
      </c>
      <c r="C2306" s="15">
        <v>7</v>
      </c>
      <c r="D2306" s="15">
        <v>8</v>
      </c>
      <c r="E2306" s="14">
        <v>0.58333333333333337</v>
      </c>
      <c r="F2306" s="11" t="s">
        <v>51</v>
      </c>
      <c r="G2306" s="15">
        <v>127</v>
      </c>
      <c r="H2306" s="15" t="s">
        <v>29</v>
      </c>
      <c r="I2306" s="25">
        <v>10.5</v>
      </c>
      <c r="J2306" s="11" t="s">
        <v>19</v>
      </c>
      <c r="K2306" s="11" t="s">
        <v>20</v>
      </c>
      <c r="L2306" s="11" t="s">
        <v>30</v>
      </c>
      <c r="M2306" s="11" t="s">
        <v>47</v>
      </c>
      <c r="N2306" s="11" t="s">
        <v>33</v>
      </c>
      <c r="O2306" s="16" t="s">
        <v>29</v>
      </c>
      <c r="P2306" s="15">
        <v>219</v>
      </c>
      <c r="Q2306" s="8"/>
      <c r="R2306">
        <v>11.85</v>
      </c>
      <c r="S2306">
        <v>1663.63</v>
      </c>
      <c r="T2306">
        <v>6.31</v>
      </c>
      <c r="U2306">
        <v>8.51</v>
      </c>
      <c r="V2306">
        <v>118</v>
      </c>
      <c r="W2306" s="317">
        <v>4.5999999999999996</v>
      </c>
      <c r="X2306" s="190">
        <f t="shared" si="100"/>
        <v>48.3</v>
      </c>
      <c r="Y2306" s="8"/>
      <c r="Z2306" s="8"/>
    </row>
    <row r="2307" spans="1:26" ht="12.75" customHeight="1" x14ac:dyDescent="0.2">
      <c r="A2307" s="15">
        <v>49</v>
      </c>
      <c r="B2307" s="15">
        <v>1997</v>
      </c>
      <c r="C2307" s="15">
        <v>7</v>
      </c>
      <c r="D2307" s="15">
        <v>8</v>
      </c>
      <c r="E2307" s="14">
        <v>0.58333333333333337</v>
      </c>
      <c r="F2307" s="11" t="s">
        <v>51</v>
      </c>
      <c r="G2307" s="15">
        <v>133</v>
      </c>
      <c r="H2307" s="15" t="s">
        <v>29</v>
      </c>
      <c r="I2307" s="25">
        <v>11</v>
      </c>
      <c r="J2307" s="11" t="s">
        <v>19</v>
      </c>
      <c r="K2307" s="11" t="s">
        <v>20</v>
      </c>
      <c r="L2307" s="11" t="s">
        <v>30</v>
      </c>
      <c r="M2307" s="11" t="s">
        <v>46</v>
      </c>
      <c r="N2307" s="11" t="s">
        <v>24</v>
      </c>
      <c r="O2307" s="16" t="s">
        <v>29</v>
      </c>
      <c r="P2307" s="15">
        <v>219</v>
      </c>
      <c r="Q2307" s="8"/>
      <c r="R2307">
        <v>12.41</v>
      </c>
      <c r="S2307">
        <v>1910.73</v>
      </c>
      <c r="T2307">
        <v>5.76</v>
      </c>
      <c r="U2307">
        <v>8.91</v>
      </c>
      <c r="V2307">
        <v>124</v>
      </c>
      <c r="W2307" s="317">
        <v>4.5999999999999996</v>
      </c>
      <c r="X2307" s="190">
        <f t="shared" si="100"/>
        <v>50.599999999999994</v>
      </c>
      <c r="Y2307" s="8"/>
      <c r="Z2307" s="8"/>
    </row>
    <row r="2308" spans="1:26" ht="12.75" customHeight="1" x14ac:dyDescent="0.2">
      <c r="A2308" s="15">
        <v>50</v>
      </c>
      <c r="B2308" s="15">
        <v>1997</v>
      </c>
      <c r="C2308" s="15">
        <v>7</v>
      </c>
      <c r="D2308" s="15">
        <v>8</v>
      </c>
      <c r="E2308" s="14">
        <v>0.58333333333333337</v>
      </c>
      <c r="F2308" s="11" t="s">
        <v>28</v>
      </c>
      <c r="G2308" s="11" t="s">
        <v>29</v>
      </c>
      <c r="H2308" s="15" t="s">
        <v>29</v>
      </c>
      <c r="I2308" s="25">
        <v>2.4</v>
      </c>
      <c r="J2308" s="11" t="s">
        <v>19</v>
      </c>
      <c r="K2308" s="11" t="s">
        <v>20</v>
      </c>
      <c r="L2308" s="11" t="s">
        <v>21</v>
      </c>
      <c r="M2308" s="11" t="s">
        <v>29</v>
      </c>
      <c r="N2308" s="11" t="s">
        <v>29</v>
      </c>
      <c r="O2308" s="16" t="s">
        <v>29</v>
      </c>
      <c r="P2308" s="15">
        <v>219</v>
      </c>
      <c r="Q2308" s="8"/>
      <c r="W2308" s="317">
        <v>3.9</v>
      </c>
      <c r="X2308" s="190">
        <f t="shared" si="100"/>
        <v>9.36</v>
      </c>
      <c r="Y2308" s="8"/>
      <c r="Z2308" s="8"/>
    </row>
    <row r="2309" spans="1:26" ht="12.75" customHeight="1" x14ac:dyDescent="0.2">
      <c r="A2309" s="15">
        <v>51</v>
      </c>
      <c r="B2309" s="15">
        <v>1997</v>
      </c>
      <c r="C2309" s="15">
        <v>7</v>
      </c>
      <c r="D2309" s="15">
        <v>8</v>
      </c>
      <c r="E2309" s="14">
        <v>0.58333333333333337</v>
      </c>
      <c r="F2309" s="11" t="s">
        <v>51</v>
      </c>
      <c r="G2309" s="11" t="s">
        <v>29</v>
      </c>
      <c r="H2309" s="15" t="s">
        <v>29</v>
      </c>
      <c r="I2309" s="25">
        <v>8</v>
      </c>
      <c r="J2309" s="11" t="s">
        <v>19</v>
      </c>
      <c r="K2309" s="11" t="s">
        <v>20</v>
      </c>
      <c r="L2309" s="11" t="s">
        <v>30</v>
      </c>
      <c r="M2309" s="11" t="s">
        <v>45</v>
      </c>
      <c r="N2309" s="11" t="s">
        <v>25</v>
      </c>
      <c r="O2309" s="16" t="s">
        <v>29</v>
      </c>
      <c r="P2309" s="15">
        <v>219</v>
      </c>
      <c r="Q2309" s="8"/>
      <c r="W2309" s="317">
        <v>4.5999999999999996</v>
      </c>
      <c r="X2309" s="190">
        <f t="shared" si="100"/>
        <v>36.799999999999997</v>
      </c>
      <c r="Y2309" s="8"/>
      <c r="Z2309" s="8"/>
    </row>
    <row r="2310" spans="1:26" ht="12.75" customHeight="1" x14ac:dyDescent="0.2">
      <c r="A2310" s="15">
        <v>52</v>
      </c>
      <c r="B2310" s="15">
        <v>1997</v>
      </c>
      <c r="C2310" s="15">
        <v>7</v>
      </c>
      <c r="D2310" s="15">
        <v>8</v>
      </c>
      <c r="E2310" s="14">
        <v>0.58333333333333337</v>
      </c>
      <c r="F2310" s="11" t="s">
        <v>51</v>
      </c>
      <c r="G2310" s="15">
        <v>134</v>
      </c>
      <c r="H2310" s="15" t="s">
        <v>29</v>
      </c>
      <c r="I2310" s="25">
        <v>11</v>
      </c>
      <c r="J2310" s="11" t="s">
        <v>19</v>
      </c>
      <c r="K2310" s="11" t="s">
        <v>20</v>
      </c>
      <c r="L2310" s="11" t="s">
        <v>30</v>
      </c>
      <c r="M2310" s="11" t="s">
        <v>45</v>
      </c>
      <c r="N2310" s="11" t="s">
        <v>23</v>
      </c>
      <c r="O2310" s="16" t="s">
        <v>29</v>
      </c>
      <c r="P2310" s="15">
        <v>219</v>
      </c>
      <c r="Q2310" s="8"/>
      <c r="R2310">
        <v>12.5</v>
      </c>
      <c r="S2310">
        <v>1954.16</v>
      </c>
      <c r="T2310">
        <v>5.63</v>
      </c>
      <c r="U2310">
        <v>8.98</v>
      </c>
      <c r="V2310">
        <v>125</v>
      </c>
      <c r="W2310" s="317">
        <v>4.5999999999999996</v>
      </c>
      <c r="X2310" s="190">
        <f t="shared" si="100"/>
        <v>50.599999999999994</v>
      </c>
      <c r="Y2310" s="8"/>
      <c r="Z2310" s="8"/>
    </row>
    <row r="2311" spans="1:26" ht="12.75" customHeight="1" x14ac:dyDescent="0.2">
      <c r="A2311" s="15">
        <v>53</v>
      </c>
      <c r="B2311" s="15">
        <v>1997</v>
      </c>
      <c r="C2311" s="15">
        <v>7</v>
      </c>
      <c r="D2311" s="15">
        <v>8</v>
      </c>
      <c r="E2311" s="14">
        <v>0.58333333333333337</v>
      </c>
      <c r="F2311" s="11" t="s">
        <v>51</v>
      </c>
      <c r="G2311" s="15">
        <v>144</v>
      </c>
      <c r="H2311" s="15" t="s">
        <v>29</v>
      </c>
      <c r="I2311" s="25">
        <v>13</v>
      </c>
      <c r="J2311" s="11" t="s">
        <v>19</v>
      </c>
      <c r="K2311" s="11" t="s">
        <v>20</v>
      </c>
      <c r="L2311" s="11" t="s">
        <v>30</v>
      </c>
      <c r="M2311" s="11" t="s">
        <v>27</v>
      </c>
      <c r="N2311" s="11" t="s">
        <v>23</v>
      </c>
      <c r="O2311" s="16" t="s">
        <v>29</v>
      </c>
      <c r="P2311" s="15">
        <v>219</v>
      </c>
      <c r="Q2311" s="8"/>
      <c r="R2311">
        <v>13.44</v>
      </c>
      <c r="S2311">
        <v>2425.12</v>
      </c>
      <c r="T2311">
        <v>5.36</v>
      </c>
      <c r="U2311">
        <v>9.65</v>
      </c>
      <c r="V2311">
        <v>134</v>
      </c>
      <c r="W2311" s="317">
        <v>4.5999999999999996</v>
      </c>
      <c r="X2311" s="190">
        <f t="shared" si="100"/>
        <v>59.8</v>
      </c>
      <c r="Y2311" s="8"/>
      <c r="Z2311" s="8"/>
    </row>
    <row r="2312" spans="1:26" ht="12.75" customHeight="1" x14ac:dyDescent="0.2">
      <c r="A2312" s="15">
        <v>54</v>
      </c>
      <c r="B2312" s="15">
        <v>1997</v>
      </c>
      <c r="C2312" s="15">
        <v>7</v>
      </c>
      <c r="D2312" s="15">
        <v>8</v>
      </c>
      <c r="E2312" s="14">
        <v>0.58333333333333337</v>
      </c>
      <c r="F2312" s="11" t="s">
        <v>51</v>
      </c>
      <c r="G2312" s="15">
        <v>113</v>
      </c>
      <c r="H2312" s="15" t="s">
        <v>29</v>
      </c>
      <c r="I2312" s="25">
        <v>9</v>
      </c>
      <c r="J2312" s="11" t="s">
        <v>19</v>
      </c>
      <c r="K2312" s="11" t="s">
        <v>20</v>
      </c>
      <c r="L2312" s="11" t="s">
        <v>30</v>
      </c>
      <c r="M2312" s="11" t="s">
        <v>27</v>
      </c>
      <c r="N2312" s="11" t="s">
        <v>23</v>
      </c>
      <c r="O2312" s="16" t="s">
        <v>29</v>
      </c>
      <c r="P2312" s="15">
        <v>219</v>
      </c>
      <c r="Q2312" s="8"/>
      <c r="R2312">
        <v>10.54</v>
      </c>
      <c r="S2312">
        <v>1171.8699999999999</v>
      </c>
      <c r="T2312">
        <v>7.68</v>
      </c>
      <c r="U2312">
        <v>7.57</v>
      </c>
      <c r="V2312">
        <v>105</v>
      </c>
      <c r="W2312" s="317">
        <v>4.5999999999999996</v>
      </c>
      <c r="X2312" s="190">
        <f t="shared" si="100"/>
        <v>41.4</v>
      </c>
      <c r="Y2312" s="8"/>
      <c r="Z2312" s="8"/>
    </row>
    <row r="2313" spans="1:26" ht="12.75" customHeight="1" x14ac:dyDescent="0.2">
      <c r="A2313" s="15">
        <v>55</v>
      </c>
      <c r="B2313" s="15">
        <v>1997</v>
      </c>
      <c r="C2313" s="15">
        <v>7</v>
      </c>
      <c r="D2313" s="15">
        <v>8</v>
      </c>
      <c r="E2313" s="14">
        <v>0.58333333333333337</v>
      </c>
      <c r="F2313" s="11" t="s">
        <v>51</v>
      </c>
      <c r="G2313" s="15">
        <v>127</v>
      </c>
      <c r="H2313" s="15" t="s">
        <v>29</v>
      </c>
      <c r="I2313" s="25">
        <v>9.5</v>
      </c>
      <c r="J2313" s="11" t="s">
        <v>19</v>
      </c>
      <c r="K2313" s="11" t="s">
        <v>20</v>
      </c>
      <c r="L2313" s="11" t="s">
        <v>30</v>
      </c>
      <c r="M2313" s="11" t="s">
        <v>27</v>
      </c>
      <c r="N2313" s="11" t="s">
        <v>25</v>
      </c>
      <c r="O2313" s="16" t="s">
        <v>29</v>
      </c>
      <c r="P2313" s="15">
        <v>219</v>
      </c>
      <c r="Q2313" s="8"/>
      <c r="R2313">
        <v>11.85</v>
      </c>
      <c r="S2313">
        <v>1663.63</v>
      </c>
      <c r="T2313">
        <v>5.71</v>
      </c>
      <c r="U2313">
        <v>8.51</v>
      </c>
      <c r="V2313">
        <v>118</v>
      </c>
      <c r="W2313" s="317">
        <v>4.5999999999999996</v>
      </c>
      <c r="X2313" s="190">
        <f t="shared" si="100"/>
        <v>43.699999999999996</v>
      </c>
      <c r="Y2313" s="8"/>
      <c r="Z2313" s="8"/>
    </row>
    <row r="2314" spans="1:26" ht="12.75" customHeight="1" x14ac:dyDescent="0.2">
      <c r="A2314" s="15">
        <v>56</v>
      </c>
      <c r="B2314" s="15">
        <v>1997</v>
      </c>
      <c r="C2314" s="15">
        <v>7</v>
      </c>
      <c r="D2314" s="15">
        <v>8</v>
      </c>
      <c r="E2314" s="14">
        <v>0.58333333333333337</v>
      </c>
      <c r="F2314" s="11" t="s">
        <v>51</v>
      </c>
      <c r="G2314" s="15">
        <v>136</v>
      </c>
      <c r="H2314" s="15" t="s">
        <v>29</v>
      </c>
      <c r="I2314" s="25">
        <v>12</v>
      </c>
      <c r="J2314" s="11" t="s">
        <v>19</v>
      </c>
      <c r="K2314" s="11" t="s">
        <v>20</v>
      </c>
      <c r="L2314" s="11" t="s">
        <v>30</v>
      </c>
      <c r="M2314" s="11" t="s">
        <v>27</v>
      </c>
      <c r="N2314" s="11" t="s">
        <v>24</v>
      </c>
      <c r="O2314" s="16" t="s">
        <v>29</v>
      </c>
      <c r="P2314" s="15">
        <v>219</v>
      </c>
      <c r="Q2314" s="8"/>
      <c r="R2314">
        <v>12.69</v>
      </c>
      <c r="S2314">
        <v>2042.97</v>
      </c>
      <c r="T2314">
        <v>5.87</v>
      </c>
      <c r="U2314">
        <v>9.11</v>
      </c>
      <c r="V2314">
        <v>127</v>
      </c>
      <c r="W2314" s="317">
        <v>4.5999999999999996</v>
      </c>
      <c r="X2314" s="190">
        <f t="shared" si="100"/>
        <v>55.199999999999996</v>
      </c>
      <c r="Y2314" s="8"/>
      <c r="Z2314" s="8"/>
    </row>
    <row r="2315" spans="1:26" ht="12.75" customHeight="1" x14ac:dyDescent="0.2">
      <c r="A2315" s="15">
        <v>57</v>
      </c>
      <c r="B2315" s="15">
        <v>1997</v>
      </c>
      <c r="C2315" s="15">
        <v>7</v>
      </c>
      <c r="D2315" s="15">
        <v>8</v>
      </c>
      <c r="E2315" s="14">
        <v>0.58333333333333337</v>
      </c>
      <c r="F2315" s="11" t="s">
        <v>51</v>
      </c>
      <c r="G2315" s="15">
        <v>136</v>
      </c>
      <c r="H2315" s="15" t="s">
        <v>29</v>
      </c>
      <c r="I2315" s="25">
        <v>8</v>
      </c>
      <c r="J2315" s="11" t="s">
        <v>19</v>
      </c>
      <c r="K2315" s="11" t="s">
        <v>20</v>
      </c>
      <c r="L2315" s="11" t="s">
        <v>30</v>
      </c>
      <c r="M2315" s="11" t="s">
        <v>46</v>
      </c>
      <c r="N2315" s="11" t="s">
        <v>24</v>
      </c>
      <c r="O2315" s="16" t="s">
        <v>29</v>
      </c>
      <c r="P2315" s="15">
        <v>219</v>
      </c>
      <c r="Q2315" s="8"/>
      <c r="R2315">
        <v>12.69</v>
      </c>
      <c r="S2315">
        <v>2042.97</v>
      </c>
      <c r="T2315">
        <v>3.92</v>
      </c>
      <c r="U2315">
        <v>9.11</v>
      </c>
      <c r="V2315">
        <v>127</v>
      </c>
      <c r="W2315" s="317">
        <v>4.5999999999999996</v>
      </c>
      <c r="X2315" s="190">
        <f t="shared" si="100"/>
        <v>36.799999999999997</v>
      </c>
      <c r="Y2315" s="8"/>
      <c r="Z2315" s="8"/>
    </row>
    <row r="2316" spans="1:26" ht="12.75" customHeight="1" x14ac:dyDescent="0.2">
      <c r="A2316" s="15">
        <v>58</v>
      </c>
      <c r="B2316" s="15">
        <v>1997</v>
      </c>
      <c r="C2316" s="15">
        <v>7</v>
      </c>
      <c r="D2316" s="15">
        <v>8</v>
      </c>
      <c r="E2316" s="14">
        <v>0.58333333333333337</v>
      </c>
      <c r="F2316" s="11" t="s">
        <v>51</v>
      </c>
      <c r="G2316" s="15">
        <v>161</v>
      </c>
      <c r="H2316" s="15" t="s">
        <v>29</v>
      </c>
      <c r="I2316" s="25">
        <v>24</v>
      </c>
      <c r="J2316" s="11" t="s">
        <v>19</v>
      </c>
      <c r="K2316" s="11" t="s">
        <v>34</v>
      </c>
      <c r="L2316" s="11" t="s">
        <v>41</v>
      </c>
      <c r="M2316" s="11" t="s">
        <v>46</v>
      </c>
      <c r="N2316" s="11" t="s">
        <v>24</v>
      </c>
      <c r="O2316" s="16" t="s">
        <v>29</v>
      </c>
      <c r="P2316" s="15">
        <v>219</v>
      </c>
      <c r="Q2316" s="8"/>
      <c r="R2316">
        <v>15.02</v>
      </c>
      <c r="S2316">
        <v>3389.4</v>
      </c>
      <c r="T2316">
        <v>7.08</v>
      </c>
      <c r="U2316">
        <v>10.79</v>
      </c>
      <c r="V2316">
        <v>150</v>
      </c>
      <c r="W2316" s="317">
        <v>3.8</v>
      </c>
      <c r="X2316" s="190">
        <f t="shared" si="100"/>
        <v>91.199999999999989</v>
      </c>
      <c r="Y2316" s="8"/>
      <c r="Z2316" s="8"/>
    </row>
    <row r="2317" spans="1:26" ht="12.75" customHeight="1" x14ac:dyDescent="0.2">
      <c r="A2317" s="15">
        <v>59</v>
      </c>
      <c r="B2317" s="15">
        <v>1997</v>
      </c>
      <c r="C2317" s="15">
        <v>7</v>
      </c>
      <c r="D2317" s="15">
        <v>8</v>
      </c>
      <c r="E2317" s="14">
        <v>0.58333333333333337</v>
      </c>
      <c r="F2317" s="11" t="s">
        <v>51</v>
      </c>
      <c r="G2317" s="15">
        <v>156</v>
      </c>
      <c r="H2317" s="15" t="s">
        <v>29</v>
      </c>
      <c r="I2317" s="25">
        <v>13</v>
      </c>
      <c r="J2317" s="11" t="s">
        <v>19</v>
      </c>
      <c r="K2317" s="11" t="s">
        <v>20</v>
      </c>
      <c r="L2317" s="11" t="s">
        <v>30</v>
      </c>
      <c r="M2317" s="11" t="s">
        <v>47</v>
      </c>
      <c r="N2317" s="11" t="s">
        <v>23</v>
      </c>
      <c r="O2317" s="16" t="s">
        <v>29</v>
      </c>
      <c r="P2317" s="15">
        <v>219</v>
      </c>
      <c r="Q2317" s="8"/>
      <c r="R2317">
        <v>14.55</v>
      </c>
      <c r="S2317">
        <v>3083.32</v>
      </c>
      <c r="T2317">
        <v>4.22</v>
      </c>
      <c r="U2317">
        <v>10.45</v>
      </c>
      <c r="V2317">
        <v>146</v>
      </c>
      <c r="W2317" s="317">
        <v>4.5999999999999996</v>
      </c>
      <c r="X2317" s="190">
        <f>I2317*W2317</f>
        <v>59.8</v>
      </c>
      <c r="Y2317" s="8"/>
      <c r="Z2317" s="8"/>
    </row>
    <row r="2318" spans="1:26" ht="12.75" customHeight="1" x14ac:dyDescent="0.2">
      <c r="A2318" s="15">
        <v>60</v>
      </c>
      <c r="B2318" s="15">
        <v>1997</v>
      </c>
      <c r="C2318" s="15">
        <v>7</v>
      </c>
      <c r="D2318" s="15">
        <v>8</v>
      </c>
      <c r="E2318" s="14">
        <v>0.58333333333333337</v>
      </c>
      <c r="F2318" s="11" t="s">
        <v>51</v>
      </c>
      <c r="G2318" s="15">
        <v>157</v>
      </c>
      <c r="H2318" s="15" t="s">
        <v>29</v>
      </c>
      <c r="I2318" s="25">
        <v>12</v>
      </c>
      <c r="J2318" s="11" t="s">
        <v>19</v>
      </c>
      <c r="K2318" s="11" t="s">
        <v>20</v>
      </c>
      <c r="L2318" s="11" t="s">
        <v>30</v>
      </c>
      <c r="M2318" s="11" t="s">
        <v>27</v>
      </c>
      <c r="N2318" s="11" t="s">
        <v>23</v>
      </c>
      <c r="O2318" s="16" t="s">
        <v>29</v>
      </c>
      <c r="P2318" s="15">
        <v>219</v>
      </c>
      <c r="Q2318" s="8"/>
      <c r="R2318">
        <v>14.65</v>
      </c>
      <c r="S2318">
        <v>3143</v>
      </c>
      <c r="T2318">
        <v>3.82</v>
      </c>
      <c r="U2318">
        <v>10.52</v>
      </c>
      <c r="V2318">
        <v>146</v>
      </c>
      <c r="W2318" s="317">
        <v>4.5999999999999996</v>
      </c>
      <c r="X2318" s="190">
        <f>I2318*W2318</f>
        <v>55.199999999999996</v>
      </c>
      <c r="Y2318" s="8"/>
      <c r="Z2318" s="8"/>
    </row>
    <row r="2319" spans="1:26" ht="12.75" customHeight="1" x14ac:dyDescent="0.2">
      <c r="A2319" s="15">
        <v>61</v>
      </c>
      <c r="B2319" s="15">
        <v>1997</v>
      </c>
      <c r="C2319" s="15">
        <v>7</v>
      </c>
      <c r="D2319" s="15">
        <v>8</v>
      </c>
      <c r="E2319" s="14">
        <v>0.58333333333333337</v>
      </c>
      <c r="F2319" s="11" t="s">
        <v>51</v>
      </c>
      <c r="G2319" s="15">
        <v>149</v>
      </c>
      <c r="H2319" s="15" t="s">
        <v>29</v>
      </c>
      <c r="I2319" s="25">
        <v>17</v>
      </c>
      <c r="J2319" s="11" t="s">
        <v>19</v>
      </c>
      <c r="K2319" s="11" t="s">
        <v>34</v>
      </c>
      <c r="L2319" s="11" t="s">
        <v>41</v>
      </c>
      <c r="M2319" s="11" t="s">
        <v>45</v>
      </c>
      <c r="N2319" s="11" t="s">
        <v>24</v>
      </c>
      <c r="O2319" s="16" t="s">
        <v>29</v>
      </c>
      <c r="P2319" s="15">
        <v>219</v>
      </c>
      <c r="Q2319" s="8"/>
      <c r="R2319">
        <v>13.9</v>
      </c>
      <c r="S2319">
        <v>2686.6</v>
      </c>
      <c r="T2319">
        <v>6.33</v>
      </c>
      <c r="U2319">
        <v>9.98</v>
      </c>
      <c r="V2319">
        <v>139</v>
      </c>
      <c r="W2319" s="317">
        <v>3.8</v>
      </c>
      <c r="X2319" s="190">
        <f>I2319*W2319</f>
        <v>64.599999999999994</v>
      </c>
      <c r="Y2319" s="8"/>
      <c r="Z2319" s="8"/>
    </row>
    <row r="2320" spans="1:26" ht="12.75" customHeight="1" x14ac:dyDescent="0.2">
      <c r="A2320" s="15">
        <v>62</v>
      </c>
      <c r="B2320" s="15">
        <v>1997</v>
      </c>
      <c r="C2320" s="15">
        <v>7</v>
      </c>
      <c r="D2320" s="15">
        <v>8</v>
      </c>
      <c r="E2320" s="14">
        <v>0.58333333333333337</v>
      </c>
      <c r="F2320" s="11" t="s">
        <v>51</v>
      </c>
      <c r="G2320" s="15">
        <v>168</v>
      </c>
      <c r="H2320" s="15" t="s">
        <v>29</v>
      </c>
      <c r="I2320" s="25">
        <v>24</v>
      </c>
      <c r="J2320" s="11" t="s">
        <v>19</v>
      </c>
      <c r="K2320" s="11" t="s">
        <v>34</v>
      </c>
      <c r="L2320" s="11" t="s">
        <v>41</v>
      </c>
      <c r="M2320" s="11" t="s">
        <v>45</v>
      </c>
      <c r="N2320" s="11" t="s">
        <v>23</v>
      </c>
      <c r="O2320" s="16" t="s">
        <v>29</v>
      </c>
      <c r="P2320" s="15">
        <v>219</v>
      </c>
      <c r="Q2320" s="8"/>
      <c r="R2320">
        <v>15.67</v>
      </c>
      <c r="S2320">
        <v>3850.99</v>
      </c>
      <c r="T2320">
        <v>6.23</v>
      </c>
      <c r="U2320">
        <v>11.26</v>
      </c>
      <c r="V2320">
        <v>157</v>
      </c>
      <c r="W2320" s="317">
        <v>3.8</v>
      </c>
      <c r="X2320" s="190">
        <f>I2320*W2320</f>
        <v>91.199999999999989</v>
      </c>
      <c r="Y2320" s="8"/>
      <c r="Z2320" s="8"/>
    </row>
    <row r="2321" spans="1:26" ht="12.75" customHeight="1" x14ac:dyDescent="0.2">
      <c r="A2321" s="15">
        <v>63</v>
      </c>
      <c r="B2321" s="15">
        <v>1997</v>
      </c>
      <c r="C2321" s="15">
        <v>7</v>
      </c>
      <c r="D2321" s="15">
        <v>8</v>
      </c>
      <c r="E2321" s="14">
        <v>0.58333333333333337</v>
      </c>
      <c r="F2321" s="11" t="s">
        <v>51</v>
      </c>
      <c r="G2321" s="15">
        <v>123</v>
      </c>
      <c r="H2321" s="15" t="s">
        <v>29</v>
      </c>
      <c r="I2321" s="25">
        <v>10</v>
      </c>
      <c r="J2321" s="11" t="s">
        <v>19</v>
      </c>
      <c r="K2321" s="11" t="s">
        <v>20</v>
      </c>
      <c r="L2321" s="11" t="s">
        <v>30</v>
      </c>
      <c r="M2321" s="11" t="s">
        <v>45</v>
      </c>
      <c r="N2321" s="11" t="s">
        <v>24</v>
      </c>
      <c r="O2321" s="16" t="s">
        <v>29</v>
      </c>
      <c r="P2321" s="15">
        <v>219</v>
      </c>
      <c r="Q2321" s="8"/>
      <c r="R2321">
        <v>11.48</v>
      </c>
      <c r="S2321">
        <v>1511.33</v>
      </c>
      <c r="T2321">
        <v>6.62</v>
      </c>
      <c r="U2321">
        <v>8.24</v>
      </c>
      <c r="V2321">
        <v>115</v>
      </c>
      <c r="W2321" s="317">
        <v>4.5999999999999996</v>
      </c>
      <c r="X2321" s="190">
        <f t="shared" ref="X2321:X2339" si="101">I2321*W2321</f>
        <v>46</v>
      </c>
      <c r="Y2321" s="8"/>
      <c r="Z2321" s="8"/>
    </row>
    <row r="2322" spans="1:26" ht="12.75" customHeight="1" x14ac:dyDescent="0.2">
      <c r="A2322" s="15">
        <v>64</v>
      </c>
      <c r="B2322" s="15">
        <v>1997</v>
      </c>
      <c r="C2322" s="15">
        <v>7</v>
      </c>
      <c r="D2322" s="15">
        <v>8</v>
      </c>
      <c r="E2322" s="14">
        <v>0.58333333333333337</v>
      </c>
      <c r="F2322" s="11" t="s">
        <v>51</v>
      </c>
      <c r="G2322" s="15">
        <v>130</v>
      </c>
      <c r="H2322" s="15" t="s">
        <v>29</v>
      </c>
      <c r="I2322" s="25">
        <v>10</v>
      </c>
      <c r="J2322" s="11" t="s">
        <v>19</v>
      </c>
      <c r="K2322" s="11" t="s">
        <v>20</v>
      </c>
      <c r="L2322" s="11" t="s">
        <v>30</v>
      </c>
      <c r="M2322" s="11" t="s">
        <v>45</v>
      </c>
      <c r="N2322" s="11" t="s">
        <v>39</v>
      </c>
      <c r="O2322" s="16" t="s">
        <v>29</v>
      </c>
      <c r="P2322" s="15">
        <v>219</v>
      </c>
      <c r="Q2322" s="8"/>
      <c r="R2322">
        <v>12.13</v>
      </c>
      <c r="S2322">
        <v>1784.33</v>
      </c>
      <c r="T2322">
        <v>5.6</v>
      </c>
      <c r="U2322">
        <v>8.7100000000000009</v>
      </c>
      <c r="V2322">
        <v>121</v>
      </c>
      <c r="W2322" s="317">
        <v>4.5999999999999996</v>
      </c>
      <c r="X2322" s="190">
        <f t="shared" si="101"/>
        <v>46</v>
      </c>
      <c r="Y2322" s="8"/>
      <c r="Z2322" s="8"/>
    </row>
    <row r="2323" spans="1:26" ht="12.75" customHeight="1" x14ac:dyDescent="0.2">
      <c r="A2323" s="15">
        <v>65</v>
      </c>
      <c r="B2323" s="15">
        <v>1997</v>
      </c>
      <c r="C2323" s="15">
        <v>7</v>
      </c>
      <c r="D2323" s="15">
        <v>8</v>
      </c>
      <c r="E2323" s="14">
        <v>0.60416666666666663</v>
      </c>
      <c r="F2323" s="11" t="s">
        <v>51</v>
      </c>
      <c r="G2323" s="15">
        <v>126</v>
      </c>
      <c r="H2323" s="15" t="s">
        <v>29</v>
      </c>
      <c r="I2323" s="25">
        <v>9</v>
      </c>
      <c r="J2323" s="11" t="s">
        <v>19</v>
      </c>
      <c r="K2323" s="11" t="s">
        <v>20</v>
      </c>
      <c r="L2323" s="11" t="s">
        <v>30</v>
      </c>
      <c r="M2323" s="11" t="s">
        <v>45</v>
      </c>
      <c r="N2323" s="11" t="s">
        <v>23</v>
      </c>
      <c r="O2323" s="16" t="s">
        <v>29</v>
      </c>
      <c r="P2323" s="15">
        <v>219</v>
      </c>
      <c r="Q2323" s="8"/>
      <c r="R2323">
        <v>11.76</v>
      </c>
      <c r="S2323">
        <v>1624.64</v>
      </c>
      <c r="T2323">
        <v>5.54</v>
      </c>
      <c r="U2323">
        <v>8.44</v>
      </c>
      <c r="V2323">
        <v>118</v>
      </c>
      <c r="W2323" s="317">
        <v>4.5999999999999996</v>
      </c>
      <c r="X2323" s="190">
        <f t="shared" si="101"/>
        <v>41.4</v>
      </c>
      <c r="Y2323" s="8"/>
      <c r="Z2323" s="8"/>
    </row>
    <row r="2324" spans="1:26" ht="12.75" customHeight="1" x14ac:dyDescent="0.2">
      <c r="A2324" s="15">
        <v>66</v>
      </c>
      <c r="B2324" s="15">
        <v>1997</v>
      </c>
      <c r="C2324" s="15">
        <v>7</v>
      </c>
      <c r="D2324" s="15">
        <v>8</v>
      </c>
      <c r="E2324" s="14">
        <v>0.60416666666666663</v>
      </c>
      <c r="F2324" s="11" t="s">
        <v>51</v>
      </c>
      <c r="G2324" s="15">
        <v>125</v>
      </c>
      <c r="H2324" s="15" t="s">
        <v>29</v>
      </c>
      <c r="I2324" s="25">
        <v>10</v>
      </c>
      <c r="J2324" s="11" t="s">
        <v>19</v>
      </c>
      <c r="K2324" s="11" t="s">
        <v>20</v>
      </c>
      <c r="L2324" s="11" t="s">
        <v>30</v>
      </c>
      <c r="M2324" s="11" t="s">
        <v>46</v>
      </c>
      <c r="N2324" s="11" t="s">
        <v>24</v>
      </c>
      <c r="O2324" s="16" t="s">
        <v>29</v>
      </c>
      <c r="P2324" s="15">
        <v>219</v>
      </c>
      <c r="Q2324" s="8"/>
      <c r="R2324">
        <v>11.66</v>
      </c>
      <c r="S2324">
        <v>1586.26</v>
      </c>
      <c r="T2324">
        <v>6.3</v>
      </c>
      <c r="U2324">
        <v>8.3800000000000008</v>
      </c>
      <c r="V2324">
        <v>117</v>
      </c>
      <c r="W2324" s="317">
        <v>4.5999999999999996</v>
      </c>
      <c r="X2324" s="190">
        <f t="shared" si="101"/>
        <v>46</v>
      </c>
      <c r="Y2324" s="8"/>
      <c r="Z2324" s="8"/>
    </row>
    <row r="2325" spans="1:26" ht="12.75" customHeight="1" x14ac:dyDescent="0.2">
      <c r="A2325" s="15">
        <v>67</v>
      </c>
      <c r="B2325" s="15">
        <v>1997</v>
      </c>
      <c r="C2325" s="15">
        <v>7</v>
      </c>
      <c r="D2325" s="15">
        <v>8</v>
      </c>
      <c r="E2325" s="14">
        <v>0.60416666666666663</v>
      </c>
      <c r="F2325" s="11" t="s">
        <v>51</v>
      </c>
      <c r="G2325" s="15">
        <v>133</v>
      </c>
      <c r="H2325" s="15" t="s">
        <v>29</v>
      </c>
      <c r="I2325" s="25">
        <v>11</v>
      </c>
      <c r="J2325" s="11" t="s">
        <v>19</v>
      </c>
      <c r="K2325" s="11" t="s">
        <v>20</v>
      </c>
      <c r="L2325" s="11" t="s">
        <v>30</v>
      </c>
      <c r="M2325" s="11" t="s">
        <v>46</v>
      </c>
      <c r="N2325" s="11" t="s">
        <v>23</v>
      </c>
      <c r="O2325" s="16" t="s">
        <v>29</v>
      </c>
      <c r="P2325" s="15">
        <v>219</v>
      </c>
      <c r="Q2325" s="8"/>
      <c r="R2325">
        <v>12.41</v>
      </c>
      <c r="S2325">
        <v>1910.73</v>
      </c>
      <c r="T2325">
        <v>5.76</v>
      </c>
      <c r="U2325">
        <v>8.91</v>
      </c>
      <c r="V2325">
        <v>124</v>
      </c>
      <c r="W2325" s="317">
        <v>4.5999999999999996</v>
      </c>
      <c r="X2325" s="190">
        <f t="shared" si="101"/>
        <v>50.599999999999994</v>
      </c>
      <c r="Y2325" s="8"/>
      <c r="Z2325" s="8"/>
    </row>
    <row r="2326" spans="1:26" ht="12.75" customHeight="1" x14ac:dyDescent="0.2">
      <c r="A2326" s="15">
        <v>68</v>
      </c>
      <c r="B2326" s="15">
        <v>1997</v>
      </c>
      <c r="C2326" s="15">
        <v>7</v>
      </c>
      <c r="D2326" s="15">
        <v>8</v>
      </c>
      <c r="E2326" s="14">
        <v>0.60416666666666663</v>
      </c>
      <c r="F2326" s="11" t="s">
        <v>51</v>
      </c>
      <c r="G2326" s="15">
        <v>137</v>
      </c>
      <c r="H2326" s="15" t="s">
        <v>29</v>
      </c>
      <c r="I2326" s="25">
        <v>12.5</v>
      </c>
      <c r="J2326" s="11" t="s">
        <v>19</v>
      </c>
      <c r="K2326" s="11" t="s">
        <v>20</v>
      </c>
      <c r="L2326" s="11" t="s">
        <v>30</v>
      </c>
      <c r="M2326" s="11" t="s">
        <v>27</v>
      </c>
      <c r="N2326" s="11" t="s">
        <v>24</v>
      </c>
      <c r="O2326" s="16" t="s">
        <v>29</v>
      </c>
      <c r="P2326" s="15">
        <v>219</v>
      </c>
      <c r="Q2326" s="8"/>
      <c r="R2326">
        <v>12.78</v>
      </c>
      <c r="S2326">
        <v>2088.37</v>
      </c>
      <c r="T2326">
        <v>5.99</v>
      </c>
      <c r="U2326">
        <v>9.18</v>
      </c>
      <c r="V2326">
        <v>128</v>
      </c>
      <c r="W2326" s="317">
        <v>4.5999999999999996</v>
      </c>
      <c r="X2326" s="190">
        <f t="shared" si="101"/>
        <v>57.499999999999993</v>
      </c>
      <c r="Y2326" s="8"/>
      <c r="Z2326" s="8"/>
    </row>
    <row r="2327" spans="1:26" ht="12.75" customHeight="1" x14ac:dyDescent="0.2">
      <c r="A2327" s="15">
        <v>69</v>
      </c>
      <c r="B2327" s="15">
        <v>1997</v>
      </c>
      <c r="C2327" s="15">
        <v>7</v>
      </c>
      <c r="D2327" s="15">
        <v>8</v>
      </c>
      <c r="E2327" s="14">
        <v>0.60416666666666663</v>
      </c>
      <c r="F2327" s="11" t="s">
        <v>28</v>
      </c>
      <c r="G2327" s="11" t="s">
        <v>29</v>
      </c>
      <c r="H2327" s="15" t="s">
        <v>29</v>
      </c>
      <c r="I2327" s="25">
        <v>6.5</v>
      </c>
      <c r="J2327" s="11" t="s">
        <v>19</v>
      </c>
      <c r="K2327" s="11" t="s">
        <v>20</v>
      </c>
      <c r="L2327" s="11" t="s">
        <v>30</v>
      </c>
      <c r="M2327" s="11" t="s">
        <v>29</v>
      </c>
      <c r="N2327" s="11" t="s">
        <v>24</v>
      </c>
      <c r="O2327" s="16" t="s">
        <v>29</v>
      </c>
      <c r="P2327" s="15">
        <v>219</v>
      </c>
      <c r="Q2327" s="8"/>
      <c r="W2327" s="317">
        <v>4.5999999999999996</v>
      </c>
      <c r="X2327" s="190">
        <f t="shared" si="101"/>
        <v>29.9</v>
      </c>
      <c r="Y2327" s="8"/>
      <c r="Z2327" s="8"/>
    </row>
    <row r="2328" spans="1:26" ht="12.75" customHeight="1" x14ac:dyDescent="0.2">
      <c r="A2328" s="15">
        <v>70</v>
      </c>
      <c r="B2328" s="15">
        <v>1997</v>
      </c>
      <c r="C2328" s="15">
        <v>7</v>
      </c>
      <c r="D2328" s="15">
        <v>8</v>
      </c>
      <c r="E2328" s="14">
        <v>0.60416666666666663</v>
      </c>
      <c r="F2328" s="11" t="s">
        <v>51</v>
      </c>
      <c r="G2328" s="15">
        <v>124</v>
      </c>
      <c r="H2328" s="15" t="s">
        <v>29</v>
      </c>
      <c r="I2328" s="25">
        <v>6</v>
      </c>
      <c r="J2328" s="11" t="s">
        <v>19</v>
      </c>
      <c r="K2328" s="11" t="s">
        <v>20</v>
      </c>
      <c r="L2328" s="11" t="s">
        <v>30</v>
      </c>
      <c r="M2328" s="11" t="s">
        <v>47</v>
      </c>
      <c r="N2328" s="11" t="s">
        <v>25</v>
      </c>
      <c r="O2328" s="16" t="s">
        <v>29</v>
      </c>
      <c r="P2328" s="15">
        <v>219</v>
      </c>
      <c r="Q2328" s="8"/>
      <c r="R2328">
        <v>11.57</v>
      </c>
      <c r="S2328">
        <v>1548.5</v>
      </c>
      <c r="T2328">
        <v>3.87</v>
      </c>
      <c r="U2328">
        <v>8.31</v>
      </c>
      <c r="V2328">
        <v>116</v>
      </c>
      <c r="W2328" s="317">
        <v>4.5999999999999996</v>
      </c>
      <c r="X2328" s="190">
        <f t="shared" si="101"/>
        <v>27.599999999999998</v>
      </c>
      <c r="Y2328" s="8"/>
      <c r="Z2328" s="8"/>
    </row>
    <row r="2329" spans="1:26" ht="12.75" customHeight="1" x14ac:dyDescent="0.2">
      <c r="A2329" s="15">
        <v>71</v>
      </c>
      <c r="B2329" s="15">
        <v>1997</v>
      </c>
      <c r="C2329" s="15">
        <v>7</v>
      </c>
      <c r="D2329" s="15">
        <v>8</v>
      </c>
      <c r="E2329" s="14">
        <v>0.60416666666666663</v>
      </c>
      <c r="F2329" s="11" t="s">
        <v>51</v>
      </c>
      <c r="G2329" s="15">
        <v>117</v>
      </c>
      <c r="H2329" s="15" t="s">
        <v>29</v>
      </c>
      <c r="I2329" s="25">
        <v>7</v>
      </c>
      <c r="J2329" s="11" t="s">
        <v>19</v>
      </c>
      <c r="K2329" s="11" t="s">
        <v>20</v>
      </c>
      <c r="L2329" s="11" t="s">
        <v>30</v>
      </c>
      <c r="M2329" s="11" t="s">
        <v>27</v>
      </c>
      <c r="N2329" s="11" t="s">
        <v>24</v>
      </c>
      <c r="O2329" s="16" t="s">
        <v>29</v>
      </c>
      <c r="P2329" s="15">
        <v>219</v>
      </c>
      <c r="Q2329" s="8"/>
      <c r="R2329">
        <v>10.92</v>
      </c>
      <c r="S2329">
        <v>1300.78</v>
      </c>
      <c r="T2329">
        <v>5.38</v>
      </c>
      <c r="U2329">
        <v>7.84</v>
      </c>
      <c r="V2329">
        <v>109</v>
      </c>
      <c r="W2329" s="317">
        <v>4.5999999999999996</v>
      </c>
      <c r="X2329" s="190">
        <f t="shared" si="101"/>
        <v>32.199999999999996</v>
      </c>
      <c r="Y2329" s="8"/>
      <c r="Z2329" s="8"/>
    </row>
    <row r="2330" spans="1:26" ht="12.75" customHeight="1" x14ac:dyDescent="0.2">
      <c r="A2330" s="15">
        <v>72</v>
      </c>
      <c r="B2330" s="15">
        <v>1997</v>
      </c>
      <c r="C2330" s="15">
        <v>7</v>
      </c>
      <c r="D2330" s="15">
        <v>8</v>
      </c>
      <c r="E2330" s="14">
        <v>0.60416666666666663</v>
      </c>
      <c r="F2330" s="11" t="s">
        <v>51</v>
      </c>
      <c r="G2330" s="15">
        <v>136</v>
      </c>
      <c r="H2330" s="15" t="s">
        <v>29</v>
      </c>
      <c r="I2330" s="25">
        <v>10</v>
      </c>
      <c r="J2330" s="11" t="s">
        <v>19</v>
      </c>
      <c r="K2330" s="11" t="s">
        <v>20</v>
      </c>
      <c r="L2330" s="11" t="s">
        <v>30</v>
      </c>
      <c r="M2330" s="11" t="s">
        <v>46</v>
      </c>
      <c r="N2330" s="11" t="s">
        <v>23</v>
      </c>
      <c r="O2330" s="16" t="s">
        <v>29</v>
      </c>
      <c r="P2330" s="15">
        <v>219</v>
      </c>
      <c r="Q2330" s="8"/>
      <c r="R2330">
        <v>12.69</v>
      </c>
      <c r="S2330">
        <v>2042.97</v>
      </c>
      <c r="T2330">
        <v>4.8899999999999997</v>
      </c>
      <c r="U2330">
        <v>9.11</v>
      </c>
      <c r="V2330">
        <v>127</v>
      </c>
      <c r="W2330" s="317">
        <v>4.5999999999999996</v>
      </c>
      <c r="X2330" s="190">
        <f t="shared" si="101"/>
        <v>46</v>
      </c>
      <c r="Y2330" s="8"/>
      <c r="Z2330" s="8"/>
    </row>
    <row r="2331" spans="1:26" ht="12.75" customHeight="1" x14ac:dyDescent="0.2">
      <c r="A2331" s="15">
        <v>73</v>
      </c>
      <c r="B2331" s="15">
        <v>1997</v>
      </c>
      <c r="C2331" s="15">
        <v>7</v>
      </c>
      <c r="D2331" s="15">
        <v>8</v>
      </c>
      <c r="E2331" s="14">
        <v>0.60416666666666663</v>
      </c>
      <c r="F2331" s="11" t="s">
        <v>51</v>
      </c>
      <c r="G2331" s="15">
        <v>146</v>
      </c>
      <c r="H2331" s="15" t="s">
        <v>29</v>
      </c>
      <c r="I2331" s="25">
        <v>14</v>
      </c>
      <c r="J2331" s="11" t="s">
        <v>19</v>
      </c>
      <c r="K2331" s="11" t="s">
        <v>20</v>
      </c>
      <c r="L2331" s="11" t="s">
        <v>30</v>
      </c>
      <c r="M2331" s="11" t="s">
        <v>47</v>
      </c>
      <c r="N2331" s="11" t="s">
        <v>23</v>
      </c>
      <c r="O2331" s="16" t="s">
        <v>29</v>
      </c>
      <c r="P2331" s="15">
        <v>219</v>
      </c>
      <c r="Q2331" s="8"/>
      <c r="R2331">
        <v>13.62</v>
      </c>
      <c r="S2331">
        <v>2527.5700000000002</v>
      </c>
      <c r="T2331">
        <v>5.54</v>
      </c>
      <c r="U2331">
        <v>9.7799999999999994</v>
      </c>
      <c r="V2331">
        <v>136</v>
      </c>
      <c r="W2331" s="317">
        <v>4.5999999999999996</v>
      </c>
      <c r="X2331" s="190">
        <f t="shared" si="101"/>
        <v>64.399999999999991</v>
      </c>
      <c r="Y2331" s="8"/>
      <c r="Z2331" s="8"/>
    </row>
    <row r="2332" spans="1:26" ht="12.75" customHeight="1" x14ac:dyDescent="0.2">
      <c r="A2332" s="15">
        <v>74</v>
      </c>
      <c r="B2332" s="15">
        <v>1997</v>
      </c>
      <c r="C2332" s="15">
        <v>7</v>
      </c>
      <c r="D2332" s="15">
        <v>8</v>
      </c>
      <c r="E2332" s="14">
        <v>0.60416666666666663</v>
      </c>
      <c r="F2332" s="11" t="s">
        <v>51</v>
      </c>
      <c r="G2332" s="15">
        <v>122</v>
      </c>
      <c r="H2332" s="15" t="s">
        <v>29</v>
      </c>
      <c r="I2332" s="25">
        <v>11.5</v>
      </c>
      <c r="J2332" s="11" t="s">
        <v>19</v>
      </c>
      <c r="K2332" s="11" t="s">
        <v>20</v>
      </c>
      <c r="L2332" s="11" t="s">
        <v>30</v>
      </c>
      <c r="M2332" s="11" t="s">
        <v>27</v>
      </c>
      <c r="N2332" s="11" t="s">
        <v>23</v>
      </c>
      <c r="O2332" s="16" t="s">
        <v>29</v>
      </c>
      <c r="P2332" s="15">
        <v>219</v>
      </c>
      <c r="Q2332" s="8"/>
      <c r="R2332">
        <v>11.38</v>
      </c>
      <c r="S2332">
        <v>1474.77</v>
      </c>
      <c r="T2332">
        <v>7.8</v>
      </c>
      <c r="U2332">
        <v>8.17</v>
      </c>
      <c r="V2332">
        <v>114</v>
      </c>
      <c r="W2332" s="317">
        <v>4.5999999999999996</v>
      </c>
      <c r="X2332" s="190">
        <f t="shared" si="101"/>
        <v>52.9</v>
      </c>
      <c r="Y2332" s="8"/>
      <c r="Z2332" s="8"/>
    </row>
    <row r="2333" spans="1:26" ht="12.75" customHeight="1" x14ac:dyDescent="0.2">
      <c r="A2333" s="15">
        <v>75</v>
      </c>
      <c r="B2333" s="15">
        <v>1997</v>
      </c>
      <c r="C2333" s="15">
        <v>7</v>
      </c>
      <c r="D2333" s="15">
        <v>8</v>
      </c>
      <c r="E2333" s="14">
        <v>0.60416666666666663</v>
      </c>
      <c r="F2333" s="11" t="s">
        <v>51</v>
      </c>
      <c r="G2333" s="15">
        <v>134</v>
      </c>
      <c r="H2333" s="15" t="s">
        <v>29</v>
      </c>
      <c r="I2333" s="25">
        <v>10.5</v>
      </c>
      <c r="J2333" s="11" t="s">
        <v>19</v>
      </c>
      <c r="K2333" s="11" t="s">
        <v>20</v>
      </c>
      <c r="L2333" s="11" t="s">
        <v>30</v>
      </c>
      <c r="M2333" s="11" t="s">
        <v>47</v>
      </c>
      <c r="N2333" s="11" t="s">
        <v>33</v>
      </c>
      <c r="O2333" s="16" t="s">
        <v>29</v>
      </c>
      <c r="P2333" s="15">
        <v>219</v>
      </c>
      <c r="Q2333" s="8"/>
      <c r="R2333">
        <v>12.5</v>
      </c>
      <c r="S2333">
        <v>1954.16</v>
      </c>
      <c r="T2333">
        <v>5.37</v>
      </c>
      <c r="U2333">
        <v>8.98</v>
      </c>
      <c r="V2333">
        <v>125</v>
      </c>
      <c r="W2333" s="317">
        <v>4.5999999999999996</v>
      </c>
      <c r="X2333" s="190">
        <f t="shared" si="101"/>
        <v>48.3</v>
      </c>
      <c r="Y2333" s="8"/>
      <c r="Z2333" s="8"/>
    </row>
    <row r="2334" spans="1:26" ht="12.75" customHeight="1" x14ac:dyDescent="0.2">
      <c r="A2334" s="15">
        <v>76</v>
      </c>
      <c r="B2334" s="15">
        <v>1997</v>
      </c>
      <c r="C2334" s="15">
        <v>7</v>
      </c>
      <c r="D2334" s="15">
        <v>8</v>
      </c>
      <c r="E2334" s="14">
        <v>0.60416666666666663</v>
      </c>
      <c r="F2334" s="11" t="s">
        <v>51</v>
      </c>
      <c r="G2334" s="15">
        <v>117</v>
      </c>
      <c r="H2334" s="15" t="s">
        <v>29</v>
      </c>
      <c r="I2334" s="25">
        <v>9.5</v>
      </c>
      <c r="J2334" s="11" t="s">
        <v>19</v>
      </c>
      <c r="K2334" s="11" t="s">
        <v>20</v>
      </c>
      <c r="L2334" s="11" t="s">
        <v>30</v>
      </c>
      <c r="M2334" s="11" t="s">
        <v>45</v>
      </c>
      <c r="N2334" s="11" t="s">
        <v>23</v>
      </c>
      <c r="O2334" s="16" t="s">
        <v>29</v>
      </c>
      <c r="P2334" s="15">
        <v>219</v>
      </c>
      <c r="Q2334" s="8"/>
      <c r="R2334">
        <v>10.92</v>
      </c>
      <c r="S2334">
        <v>1300.78</v>
      </c>
      <c r="T2334">
        <v>7.3</v>
      </c>
      <c r="U2334">
        <v>7.84</v>
      </c>
      <c r="V2334">
        <v>109</v>
      </c>
      <c r="W2334" s="317">
        <v>4.5999999999999996</v>
      </c>
      <c r="X2334" s="190">
        <f t="shared" si="101"/>
        <v>43.699999999999996</v>
      </c>
      <c r="Y2334" s="8"/>
      <c r="Z2334" s="8"/>
    </row>
    <row r="2335" spans="1:26" ht="12.75" customHeight="1" x14ac:dyDescent="0.2">
      <c r="A2335" s="15">
        <v>77</v>
      </c>
      <c r="B2335" s="15">
        <v>1997</v>
      </c>
      <c r="C2335" s="15">
        <v>7</v>
      </c>
      <c r="D2335" s="15">
        <v>8</v>
      </c>
      <c r="E2335" s="14">
        <v>0.60416666666666663</v>
      </c>
      <c r="F2335" s="11" t="s">
        <v>28</v>
      </c>
      <c r="G2335" s="11" t="s">
        <v>29</v>
      </c>
      <c r="H2335" s="15" t="s">
        <v>29</v>
      </c>
      <c r="I2335" s="25">
        <v>6.5</v>
      </c>
      <c r="J2335" s="11" t="s">
        <v>19</v>
      </c>
      <c r="K2335" s="11" t="s">
        <v>20</v>
      </c>
      <c r="L2335" s="11" t="s">
        <v>30</v>
      </c>
      <c r="M2335" s="11" t="s">
        <v>47</v>
      </c>
      <c r="N2335" s="11" t="s">
        <v>24</v>
      </c>
      <c r="O2335" s="16" t="s">
        <v>29</v>
      </c>
      <c r="P2335" s="15">
        <v>219</v>
      </c>
      <c r="Q2335" s="8"/>
      <c r="W2335" s="317">
        <v>4.5999999999999996</v>
      </c>
      <c r="X2335" s="190">
        <f t="shared" si="101"/>
        <v>29.9</v>
      </c>
      <c r="Y2335" s="8"/>
      <c r="Z2335" s="8"/>
    </row>
    <row r="2336" spans="1:26" ht="12.75" customHeight="1" x14ac:dyDescent="0.2">
      <c r="A2336" s="15">
        <v>78</v>
      </c>
      <c r="B2336" s="15">
        <v>1997</v>
      </c>
      <c r="C2336" s="15">
        <v>7</v>
      </c>
      <c r="D2336" s="15">
        <v>8</v>
      </c>
      <c r="E2336" s="14">
        <v>0.60416666666666663</v>
      </c>
      <c r="F2336" s="11" t="s">
        <v>51</v>
      </c>
      <c r="G2336" s="15">
        <v>117</v>
      </c>
      <c r="H2336" s="15" t="s">
        <v>29</v>
      </c>
      <c r="I2336" s="25">
        <v>8</v>
      </c>
      <c r="J2336" s="11" t="s">
        <v>19</v>
      </c>
      <c r="K2336" s="11" t="s">
        <v>20</v>
      </c>
      <c r="L2336" s="11" t="s">
        <v>30</v>
      </c>
      <c r="M2336" s="11" t="s">
        <v>27</v>
      </c>
      <c r="N2336" s="11" t="s">
        <v>33</v>
      </c>
      <c r="O2336" s="16" t="s">
        <v>29</v>
      </c>
      <c r="P2336" s="15">
        <v>219</v>
      </c>
      <c r="Q2336" s="8"/>
      <c r="R2336">
        <v>10.92</v>
      </c>
      <c r="S2336">
        <v>1300.78</v>
      </c>
      <c r="T2336">
        <v>6.15</v>
      </c>
      <c r="U2336">
        <v>7.84</v>
      </c>
      <c r="V2336">
        <v>109</v>
      </c>
      <c r="W2336" s="317">
        <v>4.5999999999999996</v>
      </c>
      <c r="X2336" s="190">
        <f t="shared" si="101"/>
        <v>36.799999999999997</v>
      </c>
      <c r="Y2336" s="8"/>
      <c r="Z2336" s="8"/>
    </row>
    <row r="2337" spans="1:26" ht="12.75" customHeight="1" x14ac:dyDescent="0.2">
      <c r="A2337" s="15">
        <v>79</v>
      </c>
      <c r="B2337" s="15">
        <v>1997</v>
      </c>
      <c r="C2337" s="15">
        <v>7</v>
      </c>
      <c r="D2337" s="15">
        <v>8</v>
      </c>
      <c r="E2337" s="14">
        <v>0.60416666666666663</v>
      </c>
      <c r="F2337" s="11" t="s">
        <v>51</v>
      </c>
      <c r="G2337" s="15">
        <v>139</v>
      </c>
      <c r="H2337" s="15" t="s">
        <v>29</v>
      </c>
      <c r="I2337" s="25">
        <v>11</v>
      </c>
      <c r="J2337" s="11" t="s">
        <v>19</v>
      </c>
      <c r="K2337" s="11" t="s">
        <v>20</v>
      </c>
      <c r="L2337" s="11" t="s">
        <v>21</v>
      </c>
      <c r="M2337" s="11" t="s">
        <v>27</v>
      </c>
      <c r="N2337" s="11" t="s">
        <v>24</v>
      </c>
      <c r="O2337" s="16" t="s">
        <v>29</v>
      </c>
      <c r="P2337" s="15">
        <v>219</v>
      </c>
      <c r="Q2337" s="8"/>
      <c r="R2337">
        <v>12.97</v>
      </c>
      <c r="S2337">
        <v>2181.17</v>
      </c>
      <c r="T2337">
        <v>5.04</v>
      </c>
      <c r="U2337">
        <v>9.31</v>
      </c>
      <c r="V2337">
        <v>130</v>
      </c>
      <c r="W2337" s="317">
        <v>3.9</v>
      </c>
      <c r="X2337" s="190">
        <f t="shared" si="101"/>
        <v>42.9</v>
      </c>
      <c r="Y2337" s="8"/>
      <c r="Z2337" s="8"/>
    </row>
    <row r="2338" spans="1:26" ht="12.75" customHeight="1" x14ac:dyDescent="0.2">
      <c r="A2338" s="15">
        <v>80</v>
      </c>
      <c r="B2338" s="15">
        <v>1997</v>
      </c>
      <c r="C2338" s="15">
        <v>7</v>
      </c>
      <c r="D2338" s="15">
        <v>8</v>
      </c>
      <c r="E2338" s="14">
        <v>0.60416666666666663</v>
      </c>
      <c r="F2338" s="11" t="s">
        <v>51</v>
      </c>
      <c r="G2338" s="15">
        <v>134</v>
      </c>
      <c r="H2338" s="15" t="s">
        <v>29</v>
      </c>
      <c r="I2338" s="25">
        <v>12</v>
      </c>
      <c r="J2338" s="11" t="s">
        <v>19</v>
      </c>
      <c r="K2338" s="11" t="s">
        <v>20</v>
      </c>
      <c r="L2338" s="11" t="s">
        <v>30</v>
      </c>
      <c r="M2338" s="11" t="s">
        <v>45</v>
      </c>
      <c r="N2338" s="11" t="s">
        <v>23</v>
      </c>
      <c r="O2338" s="16" t="s">
        <v>29</v>
      </c>
      <c r="P2338" s="15">
        <v>219</v>
      </c>
      <c r="Q2338" s="8"/>
      <c r="R2338">
        <v>12.5</v>
      </c>
      <c r="S2338">
        <v>1954.16</v>
      </c>
      <c r="T2338">
        <v>6.14</v>
      </c>
      <c r="U2338">
        <v>8.98</v>
      </c>
      <c r="V2338">
        <v>125</v>
      </c>
      <c r="W2338" s="317">
        <v>4.5999999999999996</v>
      </c>
      <c r="X2338" s="190">
        <f t="shared" si="101"/>
        <v>55.199999999999996</v>
      </c>
      <c r="Y2338" s="8"/>
      <c r="Z2338" s="8"/>
    </row>
    <row r="2339" spans="1:26" ht="12.75" customHeight="1" x14ac:dyDescent="0.2">
      <c r="A2339" s="15">
        <v>81</v>
      </c>
      <c r="B2339" s="15">
        <v>1997</v>
      </c>
      <c r="C2339" s="15">
        <v>7</v>
      </c>
      <c r="D2339" s="15">
        <v>8</v>
      </c>
      <c r="E2339" s="14">
        <v>0.60416666666666663</v>
      </c>
      <c r="F2339" s="11" t="s">
        <v>51</v>
      </c>
      <c r="G2339" s="15">
        <v>158</v>
      </c>
      <c r="H2339" s="15" t="s">
        <v>29</v>
      </c>
      <c r="I2339" s="25">
        <v>24</v>
      </c>
      <c r="J2339" s="11" t="s">
        <v>19</v>
      </c>
      <c r="K2339" s="11" t="s">
        <v>34</v>
      </c>
      <c r="L2339" s="11" t="s">
        <v>41</v>
      </c>
      <c r="M2339" s="11" t="s">
        <v>46</v>
      </c>
      <c r="N2339" s="11" t="s">
        <v>23</v>
      </c>
      <c r="O2339" s="16" t="s">
        <v>29</v>
      </c>
      <c r="P2339" s="15">
        <v>219</v>
      </c>
      <c r="Q2339" s="8"/>
      <c r="R2339">
        <v>14.74</v>
      </c>
      <c r="S2339">
        <v>3203.44</v>
      </c>
      <c r="T2339">
        <v>7.49</v>
      </c>
      <c r="U2339">
        <v>10.59</v>
      </c>
      <c r="V2339">
        <v>147</v>
      </c>
      <c r="W2339" s="317">
        <v>3.8</v>
      </c>
      <c r="X2339" s="190">
        <f t="shared" si="101"/>
        <v>91.199999999999989</v>
      </c>
      <c r="Y2339" s="8"/>
      <c r="Z2339" s="8"/>
    </row>
    <row r="2340" spans="1:26" ht="12.75" customHeight="1" x14ac:dyDescent="0.2">
      <c r="A2340" s="15">
        <v>82</v>
      </c>
      <c r="B2340" s="15">
        <v>1997</v>
      </c>
      <c r="C2340" s="15">
        <v>7</v>
      </c>
      <c r="D2340" s="15">
        <v>8</v>
      </c>
      <c r="E2340" s="14">
        <v>0.60416666666666663</v>
      </c>
      <c r="F2340" s="11" t="s">
        <v>51</v>
      </c>
      <c r="G2340" s="15">
        <v>150</v>
      </c>
      <c r="H2340" s="15" t="s">
        <v>29</v>
      </c>
      <c r="I2340" s="25">
        <v>9.5</v>
      </c>
      <c r="J2340" s="11" t="s">
        <v>19</v>
      </c>
      <c r="K2340" s="11" t="s">
        <v>20</v>
      </c>
      <c r="L2340" s="11" t="s">
        <v>21</v>
      </c>
      <c r="M2340" s="11" t="s">
        <v>45</v>
      </c>
      <c r="N2340" s="11" t="s">
        <v>33</v>
      </c>
      <c r="O2340" s="16" t="s">
        <v>29</v>
      </c>
      <c r="P2340" s="15">
        <v>219</v>
      </c>
      <c r="Q2340" s="8"/>
      <c r="R2340">
        <v>14</v>
      </c>
      <c r="S2340">
        <v>2741.06</v>
      </c>
      <c r="T2340">
        <v>3.47</v>
      </c>
      <c r="U2340">
        <v>10.050000000000001</v>
      </c>
      <c r="V2340">
        <v>140</v>
      </c>
      <c r="W2340" s="317">
        <v>3.9</v>
      </c>
      <c r="X2340" s="190">
        <f t="shared" ref="X2340:X2348" si="102">I2340*W2340</f>
        <v>37.049999999999997</v>
      </c>
      <c r="Y2340" s="8"/>
      <c r="Z2340" s="8"/>
    </row>
    <row r="2341" spans="1:26" ht="12.75" customHeight="1" x14ac:dyDescent="0.2">
      <c r="A2341" s="15">
        <v>83</v>
      </c>
      <c r="B2341" s="15">
        <v>1997</v>
      </c>
      <c r="C2341" s="15">
        <v>7</v>
      </c>
      <c r="D2341" s="15">
        <v>8</v>
      </c>
      <c r="E2341" s="14">
        <v>0.60416666666666663</v>
      </c>
      <c r="F2341" s="11" t="s">
        <v>51</v>
      </c>
      <c r="G2341" s="15">
        <v>131</v>
      </c>
      <c r="H2341" s="15" t="s">
        <v>29</v>
      </c>
      <c r="I2341" s="25">
        <v>8</v>
      </c>
      <c r="J2341" s="11" t="s">
        <v>19</v>
      </c>
      <c r="K2341" s="11" t="s">
        <v>20</v>
      </c>
      <c r="L2341" s="11" t="s">
        <v>21</v>
      </c>
      <c r="M2341" s="11" t="s">
        <v>45</v>
      </c>
      <c r="N2341" s="11" t="s">
        <v>33</v>
      </c>
      <c r="O2341" s="16" t="s">
        <v>29</v>
      </c>
      <c r="P2341" s="15">
        <v>219</v>
      </c>
      <c r="Q2341" s="8"/>
      <c r="R2341">
        <v>12.22</v>
      </c>
      <c r="S2341">
        <v>1825.82</v>
      </c>
      <c r="T2341">
        <v>4.38</v>
      </c>
      <c r="U2341">
        <v>8.7799999999999994</v>
      </c>
      <c r="V2341">
        <v>122</v>
      </c>
      <c r="W2341" s="317">
        <v>3.9</v>
      </c>
      <c r="X2341" s="190">
        <f t="shared" si="102"/>
        <v>31.2</v>
      </c>
      <c r="Y2341" s="8"/>
      <c r="Z2341" s="8"/>
    </row>
    <row r="2342" spans="1:26" ht="12.75" customHeight="1" x14ac:dyDescent="0.2">
      <c r="A2342" s="15">
        <v>84</v>
      </c>
      <c r="B2342" s="15">
        <v>1997</v>
      </c>
      <c r="C2342" s="15">
        <v>7</v>
      </c>
      <c r="D2342" s="15">
        <v>8</v>
      </c>
      <c r="E2342" s="14">
        <v>0.60416666666666663</v>
      </c>
      <c r="F2342" s="11" t="s">
        <v>51</v>
      </c>
      <c r="G2342" s="15">
        <v>128</v>
      </c>
      <c r="H2342" s="15" t="s">
        <v>29</v>
      </c>
      <c r="I2342" s="25">
        <v>9.5</v>
      </c>
      <c r="J2342" s="11" t="s">
        <v>19</v>
      </c>
      <c r="K2342" s="11" t="s">
        <v>20</v>
      </c>
      <c r="L2342" s="11" t="s">
        <v>30</v>
      </c>
      <c r="M2342" s="11" t="s">
        <v>45</v>
      </c>
      <c r="N2342" s="11" t="s">
        <v>24</v>
      </c>
      <c r="O2342" s="16" t="s">
        <v>29</v>
      </c>
      <c r="P2342" s="15">
        <v>219</v>
      </c>
      <c r="Q2342" s="8"/>
      <c r="R2342">
        <v>11.94</v>
      </c>
      <c r="S2342">
        <v>1703.24</v>
      </c>
      <c r="T2342">
        <v>5.58</v>
      </c>
      <c r="U2342">
        <v>8.58</v>
      </c>
      <c r="V2342">
        <v>119</v>
      </c>
      <c r="W2342" s="317">
        <v>4.5999999999999996</v>
      </c>
      <c r="X2342" s="190">
        <f t="shared" si="102"/>
        <v>43.699999999999996</v>
      </c>
      <c r="Y2342" s="8"/>
      <c r="Z2342" s="8"/>
    </row>
    <row r="2343" spans="1:26" ht="12.75" customHeight="1" x14ac:dyDescent="0.2">
      <c r="A2343" s="15">
        <v>85</v>
      </c>
      <c r="B2343" s="15">
        <v>1997</v>
      </c>
      <c r="C2343" s="15">
        <v>7</v>
      </c>
      <c r="D2343" s="15">
        <v>8</v>
      </c>
      <c r="E2343" s="14">
        <v>0.60416666666666663</v>
      </c>
      <c r="F2343" s="11" t="s">
        <v>51</v>
      </c>
      <c r="G2343" s="15">
        <v>123</v>
      </c>
      <c r="H2343" s="15" t="s">
        <v>29</v>
      </c>
      <c r="I2343" s="25">
        <v>7.5</v>
      </c>
      <c r="J2343" s="11" t="s">
        <v>19</v>
      </c>
      <c r="K2343" s="11" t="s">
        <v>20</v>
      </c>
      <c r="L2343" s="11" t="s">
        <v>21</v>
      </c>
      <c r="M2343" s="11" t="s">
        <v>45</v>
      </c>
      <c r="N2343" s="11" t="s">
        <v>23</v>
      </c>
      <c r="O2343" s="16" t="s">
        <v>29</v>
      </c>
      <c r="P2343" s="15">
        <v>219</v>
      </c>
      <c r="Q2343" s="8"/>
      <c r="R2343">
        <v>11.48</v>
      </c>
      <c r="S2343">
        <v>1511.33</v>
      </c>
      <c r="T2343">
        <v>4.96</v>
      </c>
      <c r="U2343">
        <v>8.24</v>
      </c>
      <c r="V2343">
        <v>115</v>
      </c>
      <c r="W2343" s="317">
        <v>3.9</v>
      </c>
      <c r="X2343" s="190">
        <f t="shared" si="102"/>
        <v>29.25</v>
      </c>
      <c r="Y2343" s="8"/>
      <c r="Z2343" s="8"/>
    </row>
    <row r="2344" spans="1:26" ht="12.75" customHeight="1" x14ac:dyDescent="0.2">
      <c r="A2344" s="15">
        <v>86</v>
      </c>
      <c r="B2344" s="15">
        <v>1997</v>
      </c>
      <c r="C2344" s="15">
        <v>7</v>
      </c>
      <c r="D2344" s="15">
        <v>8</v>
      </c>
      <c r="E2344" s="14">
        <v>0.60416666666666663</v>
      </c>
      <c r="F2344" s="11" t="s">
        <v>51</v>
      </c>
      <c r="G2344" s="15">
        <v>136</v>
      </c>
      <c r="H2344" s="15" t="s">
        <v>29</v>
      </c>
      <c r="I2344" s="25" t="s">
        <v>29</v>
      </c>
      <c r="J2344" s="11" t="s">
        <v>19</v>
      </c>
      <c r="K2344" s="11" t="s">
        <v>20</v>
      </c>
      <c r="L2344" s="11" t="s">
        <v>21</v>
      </c>
      <c r="M2344" s="11" t="s">
        <v>45</v>
      </c>
      <c r="N2344" s="11" t="s">
        <v>39</v>
      </c>
      <c r="O2344" s="16" t="s">
        <v>29</v>
      </c>
      <c r="P2344" s="15">
        <v>219</v>
      </c>
      <c r="Q2344" s="8"/>
      <c r="U2344">
        <v>9.11</v>
      </c>
      <c r="V2344">
        <v>127</v>
      </c>
      <c r="W2344" s="317">
        <v>3.9</v>
      </c>
      <c r="X2344" s="190"/>
      <c r="Y2344" s="8"/>
      <c r="Z2344" s="8"/>
    </row>
    <row r="2345" spans="1:26" ht="12.75" customHeight="1" x14ac:dyDescent="0.2">
      <c r="A2345" s="15">
        <v>87</v>
      </c>
      <c r="B2345" s="15">
        <v>1997</v>
      </c>
      <c r="C2345" s="15">
        <v>7</v>
      </c>
      <c r="D2345" s="15">
        <v>8</v>
      </c>
      <c r="E2345" s="14">
        <v>0.60416666666666663</v>
      </c>
      <c r="F2345" s="11" t="s">
        <v>51</v>
      </c>
      <c r="G2345" s="15">
        <v>143</v>
      </c>
      <c r="H2345" s="15" t="s">
        <v>29</v>
      </c>
      <c r="I2345" s="25">
        <v>14</v>
      </c>
      <c r="J2345" s="11" t="s">
        <v>19</v>
      </c>
      <c r="K2345" s="11" t="s">
        <v>20</v>
      </c>
      <c r="L2345" s="11" t="s">
        <v>30</v>
      </c>
      <c r="M2345" s="11" t="s">
        <v>27</v>
      </c>
      <c r="N2345" s="11" t="s">
        <v>39</v>
      </c>
      <c r="O2345" s="16" t="s">
        <v>29</v>
      </c>
      <c r="P2345" s="15">
        <v>219</v>
      </c>
      <c r="Q2345" s="8"/>
      <c r="R2345">
        <v>13.34</v>
      </c>
      <c r="S2345">
        <v>2374.94</v>
      </c>
      <c r="T2345">
        <v>5.89</v>
      </c>
      <c r="U2345">
        <v>9.58</v>
      </c>
      <c r="V2345">
        <v>133</v>
      </c>
      <c r="W2345" s="317">
        <v>4.5999999999999996</v>
      </c>
      <c r="X2345" s="190">
        <f t="shared" si="102"/>
        <v>64.399999999999991</v>
      </c>
      <c r="Y2345" s="8"/>
      <c r="Z2345" s="8"/>
    </row>
    <row r="2346" spans="1:26" ht="12.75" customHeight="1" x14ac:dyDescent="0.2">
      <c r="A2346" s="15">
        <v>88</v>
      </c>
      <c r="B2346" s="15">
        <v>1997</v>
      </c>
      <c r="C2346" s="15">
        <v>7</v>
      </c>
      <c r="D2346" s="15">
        <v>8</v>
      </c>
      <c r="E2346" s="14">
        <v>0.61458333333333337</v>
      </c>
      <c r="F2346" s="11" t="s">
        <v>51</v>
      </c>
      <c r="G2346" s="15">
        <v>131</v>
      </c>
      <c r="H2346" s="15" t="s">
        <v>29</v>
      </c>
      <c r="I2346" s="25">
        <v>9.5</v>
      </c>
      <c r="J2346" s="11" t="s">
        <v>19</v>
      </c>
      <c r="K2346" s="11" t="s">
        <v>20</v>
      </c>
      <c r="L2346" s="11" t="s">
        <v>21</v>
      </c>
      <c r="M2346" s="11" t="s">
        <v>46</v>
      </c>
      <c r="N2346" s="11" t="s">
        <v>24</v>
      </c>
      <c r="O2346" s="16" t="s">
        <v>29</v>
      </c>
      <c r="P2346" s="15">
        <v>219</v>
      </c>
      <c r="Q2346" s="8"/>
      <c r="R2346">
        <v>12.22</v>
      </c>
      <c r="S2346">
        <v>1825.82</v>
      </c>
      <c r="T2346">
        <v>5.2</v>
      </c>
      <c r="U2346">
        <v>8.7799999999999994</v>
      </c>
      <c r="V2346">
        <v>122</v>
      </c>
      <c r="W2346" s="317">
        <v>3.9</v>
      </c>
      <c r="X2346" s="190">
        <f t="shared" si="102"/>
        <v>37.049999999999997</v>
      </c>
      <c r="Y2346" s="8"/>
      <c r="Z2346" s="8"/>
    </row>
    <row r="2347" spans="1:26" ht="12.75" customHeight="1" x14ac:dyDescent="0.2">
      <c r="A2347" s="15">
        <v>89</v>
      </c>
      <c r="B2347" s="15">
        <v>1997</v>
      </c>
      <c r="C2347" s="15">
        <v>7</v>
      </c>
      <c r="D2347" s="15">
        <v>8</v>
      </c>
      <c r="E2347" s="14">
        <v>0.61458333333333337</v>
      </c>
      <c r="F2347" s="11" t="s">
        <v>51</v>
      </c>
      <c r="G2347" s="15">
        <v>154</v>
      </c>
      <c r="H2347" s="15" t="s">
        <v>29</v>
      </c>
      <c r="I2347" s="25">
        <v>17</v>
      </c>
      <c r="J2347" s="11" t="s">
        <v>19</v>
      </c>
      <c r="K2347" s="11" t="s">
        <v>20</v>
      </c>
      <c r="L2347" s="11" t="s">
        <v>30</v>
      </c>
      <c r="M2347" s="11" t="s">
        <v>45</v>
      </c>
      <c r="N2347" s="11" t="s">
        <v>24</v>
      </c>
      <c r="O2347" s="16" t="s">
        <v>29</v>
      </c>
      <c r="P2347" s="15">
        <v>219</v>
      </c>
      <c r="Q2347" s="8"/>
      <c r="R2347">
        <v>14.37</v>
      </c>
      <c r="S2347">
        <v>2966.25</v>
      </c>
      <c r="T2347">
        <v>5.73</v>
      </c>
      <c r="U2347">
        <v>10.32</v>
      </c>
      <c r="V2347">
        <v>144</v>
      </c>
      <c r="W2347" s="317">
        <v>4.5999999999999996</v>
      </c>
      <c r="X2347" s="190">
        <f t="shared" si="102"/>
        <v>78.199999999999989</v>
      </c>
      <c r="Y2347" s="8"/>
      <c r="Z2347" s="8"/>
    </row>
    <row r="2348" spans="1:26" ht="12.75" customHeight="1" x14ac:dyDescent="0.2">
      <c r="A2348" s="15">
        <v>90</v>
      </c>
      <c r="B2348" s="15">
        <v>1997</v>
      </c>
      <c r="C2348" s="15">
        <v>7</v>
      </c>
      <c r="D2348" s="15">
        <v>8</v>
      </c>
      <c r="E2348" s="14">
        <v>0.61458333333333337</v>
      </c>
      <c r="F2348" s="11" t="s">
        <v>28</v>
      </c>
      <c r="G2348" s="11" t="s">
        <v>29</v>
      </c>
      <c r="H2348" s="15" t="s">
        <v>29</v>
      </c>
      <c r="I2348" s="25">
        <v>3</v>
      </c>
      <c r="J2348" s="11" t="s">
        <v>19</v>
      </c>
      <c r="K2348" s="11" t="s">
        <v>20</v>
      </c>
      <c r="L2348" s="11" t="s">
        <v>21</v>
      </c>
      <c r="M2348" s="11" t="s">
        <v>29</v>
      </c>
      <c r="N2348" s="11" t="s">
        <v>29</v>
      </c>
      <c r="O2348" s="16" t="s">
        <v>29</v>
      </c>
      <c r="P2348" s="15">
        <v>219</v>
      </c>
      <c r="Q2348" s="8"/>
      <c r="W2348" s="317">
        <v>3.9</v>
      </c>
      <c r="X2348" s="190">
        <f t="shared" si="102"/>
        <v>11.7</v>
      </c>
      <c r="Y2348" s="8"/>
      <c r="Z2348" s="8"/>
    </row>
    <row r="2349" spans="1:26" ht="12.75" customHeight="1" x14ac:dyDescent="0.2">
      <c r="A2349" s="15">
        <v>91</v>
      </c>
      <c r="B2349" s="15">
        <v>1997</v>
      </c>
      <c r="C2349" s="15">
        <v>7</v>
      </c>
      <c r="D2349" s="15">
        <v>8</v>
      </c>
      <c r="E2349" s="14">
        <v>0.61458333333333337</v>
      </c>
      <c r="F2349" s="11" t="s">
        <v>51</v>
      </c>
      <c r="G2349" s="15">
        <v>106</v>
      </c>
      <c r="H2349" s="15" t="s">
        <v>29</v>
      </c>
      <c r="I2349" s="25">
        <v>10</v>
      </c>
      <c r="J2349" s="11" t="s">
        <v>209</v>
      </c>
      <c r="K2349" s="11" t="s">
        <v>29</v>
      </c>
      <c r="L2349" s="11" t="s">
        <v>29</v>
      </c>
      <c r="M2349" s="11" t="s">
        <v>45</v>
      </c>
      <c r="N2349" s="11" t="s">
        <v>23</v>
      </c>
      <c r="O2349" s="16" t="s">
        <v>29</v>
      </c>
      <c r="P2349" s="15">
        <v>219</v>
      </c>
      <c r="Q2349" s="8"/>
      <c r="R2349">
        <v>9.89</v>
      </c>
      <c r="S2349">
        <v>967.3</v>
      </c>
      <c r="T2349">
        <v>10.34</v>
      </c>
      <c r="U2349">
        <v>7.1</v>
      </c>
      <c r="V2349">
        <v>99</v>
      </c>
      <c r="W2349" s="8"/>
      <c r="X2349" s="8"/>
      <c r="Y2349" s="8"/>
      <c r="Z2349" s="8"/>
    </row>
    <row r="2350" spans="1:26" ht="12.75" customHeight="1" x14ac:dyDescent="0.2">
      <c r="A2350" s="15">
        <v>92</v>
      </c>
      <c r="B2350" s="15">
        <v>1997</v>
      </c>
      <c r="C2350" s="15">
        <v>7</v>
      </c>
      <c r="D2350" s="15">
        <v>8</v>
      </c>
      <c r="E2350" s="14">
        <v>0.61458333333333337</v>
      </c>
      <c r="F2350" s="11" t="s">
        <v>51</v>
      </c>
      <c r="G2350" s="15">
        <v>144</v>
      </c>
      <c r="H2350" s="15" t="s">
        <v>29</v>
      </c>
      <c r="I2350" s="25">
        <v>16</v>
      </c>
      <c r="J2350" s="11" t="s">
        <v>19</v>
      </c>
      <c r="K2350" s="11" t="s">
        <v>20</v>
      </c>
      <c r="L2350" s="11" t="s">
        <v>30</v>
      </c>
      <c r="M2350" s="11" t="s">
        <v>46</v>
      </c>
      <c r="N2350" s="11" t="s">
        <v>23</v>
      </c>
      <c r="O2350" s="16" t="s">
        <v>29</v>
      </c>
      <c r="P2350" s="15">
        <v>219</v>
      </c>
      <c r="Q2350" s="8"/>
      <c r="R2350">
        <v>13.44</v>
      </c>
      <c r="S2350">
        <v>2425.12</v>
      </c>
      <c r="T2350">
        <v>6.6</v>
      </c>
      <c r="U2350">
        <v>9.65</v>
      </c>
      <c r="V2350">
        <v>134</v>
      </c>
      <c r="W2350" s="317">
        <v>4.5999999999999996</v>
      </c>
      <c r="X2350" s="190">
        <f t="shared" ref="X2350:X2363" si="103">I2350*W2350</f>
        <v>73.599999999999994</v>
      </c>
      <c r="Y2350" s="8"/>
      <c r="Z2350" s="8"/>
    </row>
    <row r="2351" spans="1:26" ht="12.75" customHeight="1" x14ac:dyDescent="0.2">
      <c r="A2351" s="15">
        <v>93</v>
      </c>
      <c r="B2351" s="15">
        <v>1997</v>
      </c>
      <c r="C2351" s="15">
        <v>7</v>
      </c>
      <c r="D2351" s="15">
        <v>8</v>
      </c>
      <c r="E2351" s="14">
        <v>0.61458333333333337</v>
      </c>
      <c r="F2351" s="11" t="s">
        <v>51</v>
      </c>
      <c r="G2351" s="15">
        <v>125</v>
      </c>
      <c r="H2351" s="15" t="s">
        <v>29</v>
      </c>
      <c r="I2351" s="25">
        <v>9.5</v>
      </c>
      <c r="J2351" s="11" t="s">
        <v>19</v>
      </c>
      <c r="K2351" s="11" t="s">
        <v>20</v>
      </c>
      <c r="L2351" s="11" t="s">
        <v>30</v>
      </c>
      <c r="M2351" s="11" t="s">
        <v>46</v>
      </c>
      <c r="N2351" s="11" t="s">
        <v>24</v>
      </c>
      <c r="O2351" s="16" t="s">
        <v>29</v>
      </c>
      <c r="P2351" s="15">
        <v>219</v>
      </c>
      <c r="Q2351" s="8"/>
      <c r="R2351">
        <v>11.66</v>
      </c>
      <c r="S2351">
        <v>1586.26</v>
      </c>
      <c r="T2351">
        <v>5.99</v>
      </c>
      <c r="U2351">
        <v>8.3800000000000008</v>
      </c>
      <c r="V2351">
        <v>117</v>
      </c>
      <c r="W2351" s="317">
        <v>4.5999999999999996</v>
      </c>
      <c r="X2351" s="190">
        <f t="shared" si="103"/>
        <v>43.699999999999996</v>
      </c>
      <c r="Y2351" s="8"/>
      <c r="Z2351" s="8"/>
    </row>
    <row r="2352" spans="1:26" ht="12.75" customHeight="1" x14ac:dyDescent="0.2">
      <c r="A2352" s="15">
        <v>94</v>
      </c>
      <c r="B2352" s="15">
        <v>1997</v>
      </c>
      <c r="C2352" s="15">
        <v>7</v>
      </c>
      <c r="D2352" s="15">
        <v>8</v>
      </c>
      <c r="E2352" s="14">
        <v>0.61458333333333337</v>
      </c>
      <c r="F2352" s="11" t="s">
        <v>51</v>
      </c>
      <c r="G2352" s="15">
        <v>113</v>
      </c>
      <c r="H2352" s="15" t="s">
        <v>29</v>
      </c>
      <c r="I2352" s="25">
        <v>7</v>
      </c>
      <c r="J2352" s="11" t="s">
        <v>19</v>
      </c>
      <c r="K2352" s="11" t="s">
        <v>20</v>
      </c>
      <c r="L2352" s="11" t="s">
        <v>30</v>
      </c>
      <c r="M2352" s="11" t="s">
        <v>27</v>
      </c>
      <c r="N2352" s="11" t="s">
        <v>24</v>
      </c>
      <c r="O2352" s="16" t="s">
        <v>29</v>
      </c>
      <c r="P2352" s="15">
        <v>219</v>
      </c>
      <c r="Q2352" s="8"/>
      <c r="R2352">
        <v>10.54</v>
      </c>
      <c r="S2352">
        <v>1171.8699999999999</v>
      </c>
      <c r="T2352">
        <v>5.97</v>
      </c>
      <c r="U2352">
        <v>7.57</v>
      </c>
      <c r="V2352">
        <v>105</v>
      </c>
      <c r="W2352" s="317">
        <v>4.5999999999999996</v>
      </c>
      <c r="X2352" s="190">
        <f t="shared" si="103"/>
        <v>32.199999999999996</v>
      </c>
      <c r="Y2352" s="8"/>
      <c r="Z2352" s="8"/>
    </row>
    <row r="2353" spans="1:26" ht="12.75" customHeight="1" x14ac:dyDescent="0.2">
      <c r="A2353" s="15">
        <v>95</v>
      </c>
      <c r="B2353" s="15">
        <v>1997</v>
      </c>
      <c r="C2353" s="15">
        <v>7</v>
      </c>
      <c r="D2353" s="15">
        <v>8</v>
      </c>
      <c r="E2353" s="14">
        <v>0.61458333333333337</v>
      </c>
      <c r="F2353" s="11" t="s">
        <v>51</v>
      </c>
      <c r="G2353" s="15">
        <v>136</v>
      </c>
      <c r="H2353" s="15" t="s">
        <v>29</v>
      </c>
      <c r="I2353" s="25">
        <v>10</v>
      </c>
      <c r="J2353" s="11" t="s">
        <v>19</v>
      </c>
      <c r="K2353" s="11" t="s">
        <v>20</v>
      </c>
      <c r="L2353" s="11" t="s">
        <v>21</v>
      </c>
      <c r="M2353" s="11" t="s">
        <v>45</v>
      </c>
      <c r="N2353" s="11" t="s">
        <v>23</v>
      </c>
      <c r="O2353" s="16" t="s">
        <v>29</v>
      </c>
      <c r="P2353" s="15">
        <v>219</v>
      </c>
      <c r="Q2353" s="8"/>
      <c r="R2353">
        <v>12.69</v>
      </c>
      <c r="S2353">
        <v>2042.97</v>
      </c>
      <c r="T2353">
        <v>4.8899999999999997</v>
      </c>
      <c r="U2353">
        <v>9.11</v>
      </c>
      <c r="V2353">
        <v>127</v>
      </c>
      <c r="W2353" s="317">
        <v>3.9</v>
      </c>
      <c r="X2353" s="190">
        <f t="shared" si="103"/>
        <v>39</v>
      </c>
      <c r="Y2353" s="8"/>
      <c r="Z2353" s="8"/>
    </row>
    <row r="2354" spans="1:26" ht="12.75" customHeight="1" x14ac:dyDescent="0.2">
      <c r="A2354" s="15">
        <v>96</v>
      </c>
      <c r="B2354" s="15">
        <v>1997</v>
      </c>
      <c r="C2354" s="15">
        <v>7</v>
      </c>
      <c r="D2354" s="15">
        <v>8</v>
      </c>
      <c r="E2354" s="14">
        <v>0.61458333333333337</v>
      </c>
      <c r="F2354" s="11" t="s">
        <v>51</v>
      </c>
      <c r="G2354" s="15">
        <v>169</v>
      </c>
      <c r="H2354" s="15" t="s">
        <v>29</v>
      </c>
      <c r="I2354" s="25">
        <v>22.5</v>
      </c>
      <c r="J2354" s="11" t="s">
        <v>19</v>
      </c>
      <c r="K2354" s="11" t="s">
        <v>20</v>
      </c>
      <c r="L2354" s="11" t="s">
        <v>30</v>
      </c>
      <c r="M2354" s="11" t="s">
        <v>45</v>
      </c>
      <c r="N2354" s="11" t="s">
        <v>23</v>
      </c>
      <c r="O2354" s="16" t="s">
        <v>29</v>
      </c>
      <c r="P2354" s="15">
        <v>219</v>
      </c>
      <c r="Q2354" s="8"/>
      <c r="R2354">
        <v>15.77</v>
      </c>
      <c r="S2354">
        <v>3920.17</v>
      </c>
      <c r="T2354">
        <v>5.74</v>
      </c>
      <c r="U2354">
        <v>11.32</v>
      </c>
      <c r="V2354">
        <v>158</v>
      </c>
      <c r="W2354" s="317">
        <v>4.5999999999999996</v>
      </c>
      <c r="X2354" s="190">
        <f t="shared" si="103"/>
        <v>103.49999999999999</v>
      </c>
      <c r="Y2354" s="8"/>
      <c r="Z2354" s="8"/>
    </row>
    <row r="2355" spans="1:26" ht="12.75" customHeight="1" x14ac:dyDescent="0.2">
      <c r="A2355" s="15">
        <v>97</v>
      </c>
      <c r="B2355" s="15">
        <v>1997</v>
      </c>
      <c r="C2355" s="15">
        <v>7</v>
      </c>
      <c r="D2355" s="15">
        <v>8</v>
      </c>
      <c r="E2355" s="14">
        <v>0.61458333333333337</v>
      </c>
      <c r="F2355" s="11" t="s">
        <v>51</v>
      </c>
      <c r="G2355" s="15">
        <v>143</v>
      </c>
      <c r="H2355" s="15" t="s">
        <v>29</v>
      </c>
      <c r="I2355" s="25">
        <v>11</v>
      </c>
      <c r="J2355" s="11" t="s">
        <v>19</v>
      </c>
      <c r="K2355" s="11" t="s">
        <v>20</v>
      </c>
      <c r="L2355" s="11" t="s">
        <v>21</v>
      </c>
      <c r="M2355" s="11" t="s">
        <v>47</v>
      </c>
      <c r="N2355" s="11" t="s">
        <v>24</v>
      </c>
      <c r="O2355" s="16" t="s">
        <v>29</v>
      </c>
      <c r="P2355" s="15">
        <v>219</v>
      </c>
      <c r="Q2355" s="8"/>
      <c r="R2355">
        <v>13.34</v>
      </c>
      <c r="S2355">
        <v>2374.94</v>
      </c>
      <c r="T2355">
        <v>4.63</v>
      </c>
      <c r="U2355">
        <v>9.58</v>
      </c>
      <c r="V2355">
        <v>133</v>
      </c>
      <c r="W2355" s="317">
        <v>3.9</v>
      </c>
      <c r="X2355" s="190">
        <f t="shared" si="103"/>
        <v>42.9</v>
      </c>
      <c r="Y2355" s="8"/>
      <c r="Z2355" s="8"/>
    </row>
    <row r="2356" spans="1:26" ht="12.75" customHeight="1" x14ac:dyDescent="0.2">
      <c r="A2356" s="15">
        <v>98</v>
      </c>
      <c r="B2356" s="15">
        <v>1997</v>
      </c>
      <c r="C2356" s="15">
        <v>7</v>
      </c>
      <c r="D2356" s="15">
        <v>8</v>
      </c>
      <c r="E2356" s="14">
        <v>0.61458333333333337</v>
      </c>
      <c r="F2356" s="11" t="s">
        <v>51</v>
      </c>
      <c r="G2356" s="15">
        <v>112</v>
      </c>
      <c r="H2356" s="15" t="s">
        <v>29</v>
      </c>
      <c r="I2356" s="25">
        <v>7.5</v>
      </c>
      <c r="J2356" s="11" t="s">
        <v>19</v>
      </c>
      <c r="K2356" s="11" t="s">
        <v>20</v>
      </c>
      <c r="L2356" s="11" t="s">
        <v>30</v>
      </c>
      <c r="M2356" s="11" t="s">
        <v>45</v>
      </c>
      <c r="N2356" s="11" t="s">
        <v>23</v>
      </c>
      <c r="O2356" s="16" t="s">
        <v>29</v>
      </c>
      <c r="P2356" s="15">
        <v>219</v>
      </c>
      <c r="Q2356" s="8"/>
      <c r="R2356">
        <v>10.45</v>
      </c>
      <c r="S2356">
        <v>1141.04</v>
      </c>
      <c r="T2356">
        <v>6.57</v>
      </c>
      <c r="U2356">
        <v>7.5</v>
      </c>
      <c r="V2356">
        <v>104</v>
      </c>
      <c r="W2356" s="317">
        <v>4.5999999999999996</v>
      </c>
      <c r="X2356" s="190">
        <f t="shared" si="103"/>
        <v>34.5</v>
      </c>
      <c r="Y2356" s="8"/>
      <c r="Z2356" s="8"/>
    </row>
    <row r="2357" spans="1:26" ht="12.75" customHeight="1" x14ac:dyDescent="0.2">
      <c r="A2357" s="15">
        <v>99</v>
      </c>
      <c r="B2357" s="15">
        <v>1997</v>
      </c>
      <c r="C2357" s="15">
        <v>7</v>
      </c>
      <c r="D2357" s="15">
        <v>8</v>
      </c>
      <c r="E2357" s="14">
        <v>0.61458333333333337</v>
      </c>
      <c r="F2357" s="11" t="s">
        <v>51</v>
      </c>
      <c r="G2357" s="15">
        <v>146</v>
      </c>
      <c r="H2357" s="15" t="s">
        <v>29</v>
      </c>
      <c r="I2357" s="25">
        <v>17.5</v>
      </c>
      <c r="J2357" s="11" t="s">
        <v>19</v>
      </c>
      <c r="K2357" s="11" t="s">
        <v>20</v>
      </c>
      <c r="L2357" s="11" t="s">
        <v>30</v>
      </c>
      <c r="M2357" s="11" t="s">
        <v>45</v>
      </c>
      <c r="N2357" s="11" t="s">
        <v>39</v>
      </c>
      <c r="O2357" s="16" t="s">
        <v>29</v>
      </c>
      <c r="P2357" s="15">
        <v>219</v>
      </c>
      <c r="Q2357" s="8"/>
      <c r="R2357">
        <v>13.62</v>
      </c>
      <c r="S2357">
        <v>2527.5700000000002</v>
      </c>
      <c r="T2357">
        <v>6.92</v>
      </c>
      <c r="U2357">
        <v>9.7799999999999994</v>
      </c>
      <c r="V2357">
        <v>136</v>
      </c>
      <c r="W2357" s="317">
        <v>4.5999999999999996</v>
      </c>
      <c r="X2357" s="190">
        <f t="shared" si="103"/>
        <v>80.5</v>
      </c>
      <c r="Y2357" s="8"/>
      <c r="Z2357" s="8"/>
    </row>
    <row r="2358" spans="1:26" ht="12.75" customHeight="1" x14ac:dyDescent="0.2">
      <c r="A2358" s="15">
        <v>100</v>
      </c>
      <c r="B2358" s="15">
        <v>1997</v>
      </c>
      <c r="C2358" s="15">
        <v>7</v>
      </c>
      <c r="D2358" s="15">
        <v>8</v>
      </c>
      <c r="E2358" s="14">
        <v>0.61458333333333337</v>
      </c>
      <c r="F2358" s="11" t="s">
        <v>51</v>
      </c>
      <c r="G2358" s="15">
        <v>162</v>
      </c>
      <c r="H2358" s="15" t="s">
        <v>29</v>
      </c>
      <c r="I2358" s="25">
        <v>20</v>
      </c>
      <c r="J2358" s="11" t="s">
        <v>19</v>
      </c>
      <c r="K2358" s="11" t="s">
        <v>20</v>
      </c>
      <c r="L2358" s="11" t="s">
        <v>30</v>
      </c>
      <c r="M2358" s="11" t="s">
        <v>27</v>
      </c>
      <c r="N2358" s="11" t="s">
        <v>33</v>
      </c>
      <c r="O2358" s="16" t="s">
        <v>29</v>
      </c>
      <c r="P2358" s="15">
        <v>219</v>
      </c>
      <c r="Q2358" s="8"/>
      <c r="R2358">
        <v>15.11</v>
      </c>
      <c r="S2358">
        <v>3452.95</v>
      </c>
      <c r="T2358">
        <v>5.79</v>
      </c>
      <c r="U2358">
        <v>10.85</v>
      </c>
      <c r="V2358">
        <v>151</v>
      </c>
      <c r="W2358" s="317">
        <v>4.5999999999999996</v>
      </c>
      <c r="X2358" s="190">
        <f t="shared" si="103"/>
        <v>92</v>
      </c>
      <c r="Y2358" s="8"/>
      <c r="Z2358" s="8"/>
    </row>
    <row r="2359" spans="1:26" ht="12.75" customHeight="1" x14ac:dyDescent="0.2">
      <c r="A2359" s="15">
        <v>101</v>
      </c>
      <c r="B2359" s="15">
        <v>1997</v>
      </c>
      <c r="C2359" s="15">
        <v>7</v>
      </c>
      <c r="D2359" s="15">
        <v>8</v>
      </c>
      <c r="E2359" s="14">
        <v>0.61458333333333337</v>
      </c>
      <c r="F2359" s="11" t="s">
        <v>51</v>
      </c>
      <c r="G2359" s="15">
        <v>125</v>
      </c>
      <c r="H2359" s="15" t="s">
        <v>29</v>
      </c>
      <c r="I2359" s="25">
        <v>9</v>
      </c>
      <c r="J2359" s="11" t="s">
        <v>19</v>
      </c>
      <c r="K2359" s="11" t="s">
        <v>20</v>
      </c>
      <c r="L2359" s="11" t="s">
        <v>21</v>
      </c>
      <c r="M2359" s="11" t="s">
        <v>27</v>
      </c>
      <c r="N2359" s="11" t="s">
        <v>23</v>
      </c>
      <c r="O2359" s="16" t="s">
        <v>29</v>
      </c>
      <c r="P2359" s="15">
        <v>219</v>
      </c>
      <c r="Q2359" s="8"/>
      <c r="R2359">
        <v>11.66</v>
      </c>
      <c r="S2359">
        <v>1586.26</v>
      </c>
      <c r="T2359">
        <v>5.67</v>
      </c>
      <c r="U2359">
        <v>8.3800000000000008</v>
      </c>
      <c r="V2359">
        <v>117</v>
      </c>
      <c r="W2359" s="317">
        <v>3.9</v>
      </c>
      <c r="X2359" s="190">
        <f t="shared" si="103"/>
        <v>35.1</v>
      </c>
      <c r="Y2359" s="8"/>
      <c r="Z2359" s="8"/>
    </row>
    <row r="2360" spans="1:26" ht="12.75" customHeight="1" x14ac:dyDescent="0.2">
      <c r="A2360" s="15">
        <v>102</v>
      </c>
      <c r="B2360" s="15">
        <v>1997</v>
      </c>
      <c r="C2360" s="15">
        <v>7</v>
      </c>
      <c r="D2360" s="15">
        <v>8</v>
      </c>
      <c r="E2360" s="14">
        <v>0.61458333333333337</v>
      </c>
      <c r="F2360" s="11" t="s">
        <v>51</v>
      </c>
      <c r="G2360" s="15">
        <v>145</v>
      </c>
      <c r="H2360" s="15" t="s">
        <v>29</v>
      </c>
      <c r="I2360" s="25">
        <v>12</v>
      </c>
      <c r="J2360" s="11" t="s">
        <v>19</v>
      </c>
      <c r="K2360" s="11" t="s">
        <v>20</v>
      </c>
      <c r="L2360" s="11" t="s">
        <v>30</v>
      </c>
      <c r="M2360" s="11" t="s">
        <v>46</v>
      </c>
      <c r="N2360" s="11" t="s">
        <v>24</v>
      </c>
      <c r="O2360" s="16" t="s">
        <v>29</v>
      </c>
      <c r="P2360" s="15">
        <v>219</v>
      </c>
      <c r="Q2360" s="8"/>
      <c r="R2360">
        <v>13.53</v>
      </c>
      <c r="S2360">
        <v>2475.9899999999998</v>
      </c>
      <c r="T2360">
        <v>4.8499999999999996</v>
      </c>
      <c r="U2360">
        <v>9.7200000000000006</v>
      </c>
      <c r="V2360">
        <v>135</v>
      </c>
      <c r="W2360" s="317">
        <v>4.5999999999999996</v>
      </c>
      <c r="X2360" s="190">
        <f t="shared" si="103"/>
        <v>55.199999999999996</v>
      </c>
      <c r="Y2360" s="8"/>
      <c r="Z2360" s="8"/>
    </row>
    <row r="2361" spans="1:26" ht="12.75" customHeight="1" x14ac:dyDescent="0.2">
      <c r="A2361" s="15">
        <v>103</v>
      </c>
      <c r="B2361" s="15">
        <v>1997</v>
      </c>
      <c r="C2361" s="15">
        <v>7</v>
      </c>
      <c r="D2361" s="15">
        <v>8</v>
      </c>
      <c r="E2361" s="14">
        <v>0.61458333333333337</v>
      </c>
      <c r="F2361" s="11" t="s">
        <v>51</v>
      </c>
      <c r="G2361" s="15">
        <v>166</v>
      </c>
      <c r="H2361" s="15" t="s">
        <v>29</v>
      </c>
      <c r="I2361" s="25">
        <v>22</v>
      </c>
      <c r="J2361" s="11" t="s">
        <v>19</v>
      </c>
      <c r="K2361" s="11" t="s">
        <v>20</v>
      </c>
      <c r="L2361" s="11" t="s">
        <v>30</v>
      </c>
      <c r="M2361" s="11" t="s">
        <v>46</v>
      </c>
      <c r="N2361" s="11" t="s">
        <v>24</v>
      </c>
      <c r="O2361" s="16" t="s">
        <v>29</v>
      </c>
      <c r="P2361" s="15">
        <v>219</v>
      </c>
      <c r="Q2361" s="8"/>
      <c r="R2361">
        <v>15.49</v>
      </c>
      <c r="S2361">
        <v>3715.09</v>
      </c>
      <c r="T2361">
        <v>5.92</v>
      </c>
      <c r="U2361">
        <v>11.12</v>
      </c>
      <c r="V2361">
        <v>155</v>
      </c>
      <c r="W2361" s="317">
        <v>4.5999999999999996</v>
      </c>
      <c r="X2361" s="190">
        <f t="shared" si="103"/>
        <v>101.19999999999999</v>
      </c>
      <c r="Y2361" s="8"/>
      <c r="Z2361" s="8"/>
    </row>
    <row r="2362" spans="1:26" ht="12.75" customHeight="1" x14ac:dyDescent="0.2">
      <c r="A2362" s="15">
        <v>104</v>
      </c>
      <c r="B2362" s="15">
        <v>1997</v>
      </c>
      <c r="C2362" s="15">
        <v>7</v>
      </c>
      <c r="D2362" s="15">
        <v>8</v>
      </c>
      <c r="E2362" s="14">
        <v>0.61458333333333337</v>
      </c>
      <c r="F2362" s="11" t="s">
        <v>51</v>
      </c>
      <c r="G2362" s="15">
        <v>130</v>
      </c>
      <c r="H2362" s="15" t="s">
        <v>29</v>
      </c>
      <c r="I2362" s="25">
        <v>14</v>
      </c>
      <c r="J2362" s="11" t="s">
        <v>19</v>
      </c>
      <c r="K2362" s="11" t="s">
        <v>20</v>
      </c>
      <c r="L2362" s="11" t="s">
        <v>30</v>
      </c>
      <c r="M2362" s="11" t="s">
        <v>45</v>
      </c>
      <c r="N2362" s="11" t="s">
        <v>23</v>
      </c>
      <c r="O2362" s="16" t="s">
        <v>29</v>
      </c>
      <c r="P2362" s="15">
        <v>219</v>
      </c>
      <c r="Q2362" s="8"/>
      <c r="R2362">
        <v>12.13</v>
      </c>
      <c r="S2362">
        <v>1784.33</v>
      </c>
      <c r="T2362">
        <v>7.85</v>
      </c>
      <c r="U2362">
        <v>8.7100000000000009</v>
      </c>
      <c r="V2362">
        <v>121</v>
      </c>
      <c r="W2362" s="317">
        <v>4.5999999999999996</v>
      </c>
      <c r="X2362" s="190">
        <f t="shared" si="103"/>
        <v>64.399999999999991</v>
      </c>
      <c r="Y2362" s="8"/>
      <c r="Z2362" s="8"/>
    </row>
    <row r="2363" spans="1:26" ht="12.75" customHeight="1" x14ac:dyDescent="0.2">
      <c r="A2363" s="15">
        <v>105</v>
      </c>
      <c r="B2363" s="15">
        <v>1997</v>
      </c>
      <c r="C2363" s="15">
        <v>7</v>
      </c>
      <c r="D2363" s="15">
        <v>8</v>
      </c>
      <c r="E2363" s="14">
        <v>0.61458333333333337</v>
      </c>
      <c r="F2363" s="11" t="s">
        <v>51</v>
      </c>
      <c r="G2363" s="15">
        <v>163</v>
      </c>
      <c r="H2363" s="15" t="s">
        <v>29</v>
      </c>
      <c r="I2363" s="25">
        <v>20</v>
      </c>
      <c r="J2363" s="11" t="s">
        <v>19</v>
      </c>
      <c r="K2363" s="11" t="s">
        <v>34</v>
      </c>
      <c r="L2363" s="11" t="s">
        <v>41</v>
      </c>
      <c r="M2363" s="11" t="s">
        <v>45</v>
      </c>
      <c r="N2363" s="11" t="s">
        <v>33</v>
      </c>
      <c r="O2363" s="16" t="s">
        <v>29</v>
      </c>
      <c r="P2363" s="15">
        <v>219</v>
      </c>
      <c r="Q2363" s="8"/>
      <c r="R2363">
        <v>15.21</v>
      </c>
      <c r="S2363">
        <v>3517.29</v>
      </c>
      <c r="T2363">
        <v>5.69</v>
      </c>
      <c r="U2363">
        <v>10.92</v>
      </c>
      <c r="V2363">
        <v>152</v>
      </c>
      <c r="W2363" s="317">
        <v>3.8</v>
      </c>
      <c r="X2363" s="190">
        <f t="shared" si="103"/>
        <v>76</v>
      </c>
      <c r="Y2363" s="8"/>
      <c r="Z2363" s="8"/>
    </row>
    <row r="2364" spans="1:26" ht="12.75" customHeight="1" x14ac:dyDescent="0.2">
      <c r="A2364" s="15">
        <v>106</v>
      </c>
      <c r="B2364" s="15">
        <v>1997</v>
      </c>
      <c r="C2364" s="15">
        <v>7</v>
      </c>
      <c r="D2364" s="15">
        <v>8</v>
      </c>
      <c r="E2364" s="14">
        <v>0.61458333333333337</v>
      </c>
      <c r="F2364" s="11" t="s">
        <v>51</v>
      </c>
      <c r="G2364" s="15">
        <v>118</v>
      </c>
      <c r="H2364" s="15" t="s">
        <v>29</v>
      </c>
      <c r="I2364" s="25">
        <v>8.5</v>
      </c>
      <c r="J2364" s="11" t="s">
        <v>19</v>
      </c>
      <c r="K2364" s="11" t="s">
        <v>20</v>
      </c>
      <c r="L2364" s="11" t="s">
        <v>30</v>
      </c>
      <c r="M2364" s="11" t="s">
        <v>27</v>
      </c>
      <c r="N2364" s="11" t="s">
        <v>39</v>
      </c>
      <c r="O2364" s="16" t="s">
        <v>29</v>
      </c>
      <c r="P2364" s="15">
        <v>219</v>
      </c>
      <c r="Q2364" s="8"/>
      <c r="R2364">
        <v>11.01</v>
      </c>
      <c r="S2364">
        <v>1334.42</v>
      </c>
      <c r="T2364">
        <v>6.37</v>
      </c>
      <c r="U2364">
        <v>7.91</v>
      </c>
      <c r="V2364">
        <v>110</v>
      </c>
      <c r="W2364" s="317">
        <v>4.5999999999999996</v>
      </c>
      <c r="X2364" s="190">
        <f t="shared" ref="X2364:X2369" si="104">I2364*W2364</f>
        <v>39.099999999999994</v>
      </c>
      <c r="Y2364" s="8"/>
      <c r="Z2364" s="8"/>
    </row>
    <row r="2365" spans="1:26" ht="12.75" customHeight="1" x14ac:dyDescent="0.2">
      <c r="A2365" s="15">
        <v>107</v>
      </c>
      <c r="B2365" s="15">
        <v>1997</v>
      </c>
      <c r="C2365" s="15">
        <v>7</v>
      </c>
      <c r="D2365" s="15">
        <v>8</v>
      </c>
      <c r="E2365" s="14">
        <v>0.61458333333333337</v>
      </c>
      <c r="F2365" s="11" t="s">
        <v>51</v>
      </c>
      <c r="G2365" s="15">
        <v>134</v>
      </c>
      <c r="H2365" s="15" t="s">
        <v>29</v>
      </c>
      <c r="I2365" s="25">
        <v>12.5</v>
      </c>
      <c r="J2365" s="11" t="s">
        <v>19</v>
      </c>
      <c r="K2365" s="11" t="s">
        <v>20</v>
      </c>
      <c r="L2365" s="11" t="s">
        <v>30</v>
      </c>
      <c r="M2365" s="11" t="s">
        <v>45</v>
      </c>
      <c r="N2365" s="11" t="s">
        <v>24</v>
      </c>
      <c r="O2365" s="16" t="s">
        <v>29</v>
      </c>
      <c r="P2365" s="15">
        <v>219</v>
      </c>
      <c r="Q2365" s="8"/>
      <c r="R2365">
        <v>12.5</v>
      </c>
      <c r="S2365">
        <v>1954.16</v>
      </c>
      <c r="T2365">
        <v>6.4</v>
      </c>
      <c r="U2365">
        <v>8.98</v>
      </c>
      <c r="V2365">
        <v>125</v>
      </c>
      <c r="W2365" s="317">
        <v>4.5999999999999996</v>
      </c>
      <c r="X2365" s="190">
        <f t="shared" si="104"/>
        <v>57.499999999999993</v>
      </c>
      <c r="Y2365" s="8"/>
      <c r="Z2365" s="8"/>
    </row>
    <row r="2366" spans="1:26" ht="12.75" customHeight="1" x14ac:dyDescent="0.2">
      <c r="A2366" s="15">
        <v>108</v>
      </c>
      <c r="B2366" s="15">
        <v>1997</v>
      </c>
      <c r="C2366" s="15">
        <v>5</v>
      </c>
      <c r="D2366" s="15">
        <v>8</v>
      </c>
      <c r="E2366" s="22" t="s">
        <v>228</v>
      </c>
      <c r="F2366" s="11" t="s">
        <v>51</v>
      </c>
      <c r="G2366" s="15">
        <v>130</v>
      </c>
      <c r="H2366" s="15" t="s">
        <v>29</v>
      </c>
      <c r="I2366" s="25">
        <v>8</v>
      </c>
      <c r="J2366" s="11" t="s">
        <v>19</v>
      </c>
      <c r="K2366" s="11" t="s">
        <v>20</v>
      </c>
      <c r="L2366" s="11" t="s">
        <v>30</v>
      </c>
      <c r="M2366" s="11" t="s">
        <v>47</v>
      </c>
      <c r="N2366" s="11" t="s">
        <v>25</v>
      </c>
      <c r="O2366" s="16" t="s">
        <v>29</v>
      </c>
      <c r="P2366" s="15">
        <v>217</v>
      </c>
      <c r="Q2366" s="8"/>
      <c r="R2366">
        <v>12.13</v>
      </c>
      <c r="S2366">
        <v>1784.33</v>
      </c>
      <c r="T2366">
        <v>4.4800000000000004</v>
      </c>
      <c r="U2366">
        <v>8.7100000000000009</v>
      </c>
      <c r="V2366">
        <v>121</v>
      </c>
      <c r="W2366" s="317">
        <v>4.5999999999999996</v>
      </c>
      <c r="X2366" s="190">
        <f t="shared" si="104"/>
        <v>36.799999999999997</v>
      </c>
      <c r="Y2366" s="8"/>
      <c r="Z2366" s="8"/>
    </row>
    <row r="2367" spans="1:26" ht="12.75" customHeight="1" x14ac:dyDescent="0.2">
      <c r="A2367" s="15">
        <v>109</v>
      </c>
      <c r="B2367" s="15">
        <v>1997</v>
      </c>
      <c r="C2367" s="15">
        <v>5</v>
      </c>
      <c r="D2367" s="15">
        <v>8</v>
      </c>
      <c r="E2367" s="22" t="s">
        <v>228</v>
      </c>
      <c r="F2367" s="11" t="s">
        <v>51</v>
      </c>
      <c r="G2367" s="15">
        <v>149</v>
      </c>
      <c r="H2367" s="15" t="s">
        <v>29</v>
      </c>
      <c r="I2367" s="25">
        <v>11</v>
      </c>
      <c r="J2367" s="11" t="s">
        <v>19</v>
      </c>
      <c r="K2367" s="11" t="s">
        <v>20</v>
      </c>
      <c r="L2367" s="11" t="s">
        <v>30</v>
      </c>
      <c r="M2367" s="11" t="s">
        <v>47</v>
      </c>
      <c r="N2367" s="11" t="s">
        <v>25</v>
      </c>
      <c r="O2367" s="16" t="s">
        <v>29</v>
      </c>
      <c r="P2367" s="15">
        <v>217</v>
      </c>
      <c r="Q2367" s="8"/>
      <c r="R2367">
        <v>13.9</v>
      </c>
      <c r="S2367">
        <v>2686.6</v>
      </c>
      <c r="T2367">
        <v>4.09</v>
      </c>
      <c r="U2367">
        <v>9.98</v>
      </c>
      <c r="V2367">
        <v>139</v>
      </c>
      <c r="W2367" s="317">
        <v>4.5999999999999996</v>
      </c>
      <c r="X2367" s="190">
        <f t="shared" si="104"/>
        <v>50.599999999999994</v>
      </c>
      <c r="Y2367" s="8"/>
      <c r="Z2367" s="8"/>
    </row>
    <row r="2368" spans="1:26" ht="12.75" customHeight="1" x14ac:dyDescent="0.2">
      <c r="A2368" s="15">
        <v>110</v>
      </c>
      <c r="B2368" s="15">
        <v>1997</v>
      </c>
      <c r="C2368" s="15">
        <v>5</v>
      </c>
      <c r="D2368" s="15">
        <v>8</v>
      </c>
      <c r="E2368" s="22" t="s">
        <v>228</v>
      </c>
      <c r="F2368" s="11" t="s">
        <v>51</v>
      </c>
      <c r="G2368" s="15">
        <v>127</v>
      </c>
      <c r="H2368" s="15" t="s">
        <v>29</v>
      </c>
      <c r="I2368" s="25">
        <v>9</v>
      </c>
      <c r="J2368" s="11" t="s">
        <v>19</v>
      </c>
      <c r="K2368" s="11" t="s">
        <v>20</v>
      </c>
      <c r="L2368" s="11" t="s">
        <v>30</v>
      </c>
      <c r="M2368" s="11" t="s">
        <v>27</v>
      </c>
      <c r="N2368" s="11" t="s">
        <v>25</v>
      </c>
      <c r="O2368" s="16" t="s">
        <v>29</v>
      </c>
      <c r="P2368" s="15">
        <v>217</v>
      </c>
      <c r="Q2368" s="8"/>
      <c r="R2368">
        <v>11.85</v>
      </c>
      <c r="S2368">
        <v>1663.63</v>
      </c>
      <c r="T2368">
        <v>5.41</v>
      </c>
      <c r="U2368">
        <v>8.51</v>
      </c>
      <c r="V2368">
        <v>118</v>
      </c>
      <c r="W2368" s="317">
        <v>4.5999999999999996</v>
      </c>
      <c r="X2368" s="190">
        <f t="shared" si="104"/>
        <v>41.4</v>
      </c>
      <c r="Y2368" s="8"/>
      <c r="Z2368" s="8"/>
    </row>
    <row r="2369" spans="1:26" ht="12.75" customHeight="1" x14ac:dyDescent="0.2">
      <c r="A2369" s="15">
        <v>111</v>
      </c>
      <c r="B2369" s="15">
        <v>1997</v>
      </c>
      <c r="C2369" s="15">
        <v>5</v>
      </c>
      <c r="D2369" s="15">
        <v>8</v>
      </c>
      <c r="E2369" s="22" t="s">
        <v>228</v>
      </c>
      <c r="F2369" s="11" t="s">
        <v>51</v>
      </c>
      <c r="G2369" s="15">
        <v>164</v>
      </c>
      <c r="H2369" s="15" t="s">
        <v>29</v>
      </c>
      <c r="I2369" s="25">
        <v>14.5</v>
      </c>
      <c r="J2369" s="11" t="s">
        <v>19</v>
      </c>
      <c r="K2369" s="11" t="s">
        <v>20</v>
      </c>
      <c r="L2369" s="11" t="s">
        <v>21</v>
      </c>
      <c r="M2369" s="11" t="s">
        <v>46</v>
      </c>
      <c r="N2369" s="11" t="s">
        <v>25</v>
      </c>
      <c r="O2369" s="16" t="s">
        <v>29</v>
      </c>
      <c r="P2369" s="15">
        <v>217</v>
      </c>
      <c r="Q2369" s="8"/>
      <c r="R2369">
        <v>15.3</v>
      </c>
      <c r="S2369">
        <v>3582.42</v>
      </c>
      <c r="T2369">
        <v>4.05</v>
      </c>
      <c r="U2369">
        <v>10.99</v>
      </c>
      <c r="V2369">
        <v>153</v>
      </c>
      <c r="W2369" s="317">
        <v>3.9</v>
      </c>
      <c r="X2369" s="190">
        <f t="shared" si="104"/>
        <v>56.55</v>
      </c>
      <c r="Y2369" s="8"/>
      <c r="Z2369" s="8"/>
    </row>
    <row r="2370" spans="1:26" ht="12.75" customHeight="1" x14ac:dyDescent="0.2">
      <c r="A2370" s="15">
        <v>112</v>
      </c>
      <c r="B2370" s="15">
        <v>1997</v>
      </c>
      <c r="C2370" s="15">
        <v>5</v>
      </c>
      <c r="D2370" s="15">
        <v>8</v>
      </c>
      <c r="E2370" s="22" t="s">
        <v>228</v>
      </c>
      <c r="F2370" s="11" t="s">
        <v>28</v>
      </c>
      <c r="G2370" s="11" t="s">
        <v>29</v>
      </c>
      <c r="H2370" s="15" t="s">
        <v>29</v>
      </c>
      <c r="I2370" s="25" t="s">
        <v>29</v>
      </c>
      <c r="J2370" s="11" t="s">
        <v>19</v>
      </c>
      <c r="K2370" s="11" t="s">
        <v>20</v>
      </c>
      <c r="L2370" s="11" t="s">
        <v>21</v>
      </c>
      <c r="M2370" s="11" t="s">
        <v>46</v>
      </c>
      <c r="N2370" s="11" t="s">
        <v>24</v>
      </c>
      <c r="O2370" s="16" t="s">
        <v>29</v>
      </c>
      <c r="P2370" s="15">
        <v>217</v>
      </c>
      <c r="Q2370" s="8"/>
      <c r="W2370" s="317">
        <v>3.9</v>
      </c>
      <c r="X2370" s="190"/>
      <c r="Y2370" s="8"/>
      <c r="Z2370" s="8"/>
    </row>
    <row r="2371" spans="1:26" ht="12.75" customHeight="1" x14ac:dyDescent="0.2">
      <c r="A2371" s="15">
        <v>113</v>
      </c>
      <c r="B2371" s="15">
        <v>1997</v>
      </c>
      <c r="C2371" s="15">
        <v>5</v>
      </c>
      <c r="D2371" s="15">
        <v>8</v>
      </c>
      <c r="E2371" s="22" t="s">
        <v>228</v>
      </c>
      <c r="F2371" s="11" t="s">
        <v>51</v>
      </c>
      <c r="G2371" s="15">
        <v>129</v>
      </c>
      <c r="H2371" s="15" t="s">
        <v>29</v>
      </c>
      <c r="I2371" s="25">
        <v>10</v>
      </c>
      <c r="J2371" s="11" t="s">
        <v>36</v>
      </c>
      <c r="K2371" s="11" t="s">
        <v>29</v>
      </c>
      <c r="L2371" s="11" t="s">
        <v>29</v>
      </c>
      <c r="M2371" s="11" t="s">
        <v>45</v>
      </c>
      <c r="N2371" s="11" t="s">
        <v>24</v>
      </c>
      <c r="O2371" s="16" t="s">
        <v>29</v>
      </c>
      <c r="P2371" s="15">
        <v>217</v>
      </c>
      <c r="Q2371" s="8"/>
      <c r="R2371">
        <v>12.04</v>
      </c>
      <c r="S2371">
        <v>1743.47</v>
      </c>
      <c r="T2371">
        <v>5.74</v>
      </c>
      <c r="U2371">
        <v>8.64</v>
      </c>
      <c r="V2371">
        <v>120</v>
      </c>
      <c r="W2371" s="8"/>
      <c r="X2371" s="8"/>
      <c r="Y2371" s="8"/>
      <c r="Z2371" s="8"/>
    </row>
    <row r="2372" spans="1:26" ht="12.75" customHeight="1" x14ac:dyDescent="0.2">
      <c r="A2372" s="15">
        <v>114</v>
      </c>
      <c r="B2372" s="15">
        <v>1997</v>
      </c>
      <c r="C2372" s="15">
        <v>5</v>
      </c>
      <c r="D2372" s="15">
        <v>8</v>
      </c>
      <c r="E2372" s="22" t="s">
        <v>228</v>
      </c>
      <c r="F2372" s="11" t="s">
        <v>51</v>
      </c>
      <c r="G2372" s="15">
        <v>126</v>
      </c>
      <c r="H2372" s="15" t="s">
        <v>29</v>
      </c>
      <c r="I2372" s="25">
        <v>8.5</v>
      </c>
      <c r="J2372" s="11" t="s">
        <v>19</v>
      </c>
      <c r="K2372" s="11" t="s">
        <v>20</v>
      </c>
      <c r="L2372" s="11" t="s">
        <v>30</v>
      </c>
      <c r="M2372" s="11" t="s">
        <v>47</v>
      </c>
      <c r="N2372" s="11" t="s">
        <v>23</v>
      </c>
      <c r="O2372" s="16" t="s">
        <v>29</v>
      </c>
      <c r="P2372" s="15">
        <v>217</v>
      </c>
      <c r="Q2372" s="8"/>
      <c r="R2372">
        <v>11.76</v>
      </c>
      <c r="S2372">
        <v>1624.64</v>
      </c>
      <c r="T2372">
        <v>5.23</v>
      </c>
      <c r="U2372">
        <v>8.44</v>
      </c>
      <c r="V2372">
        <v>118</v>
      </c>
      <c r="W2372" s="317">
        <v>4.5999999999999996</v>
      </c>
      <c r="X2372" s="190">
        <f>I2372*W2372</f>
        <v>39.099999999999994</v>
      </c>
      <c r="Y2372" s="8"/>
      <c r="Z2372" s="8"/>
    </row>
    <row r="2373" spans="1:26" ht="12.75" customHeight="1" x14ac:dyDescent="0.2">
      <c r="A2373" s="15">
        <v>115</v>
      </c>
      <c r="B2373" s="15">
        <v>1997</v>
      </c>
      <c r="C2373" s="15">
        <v>5</v>
      </c>
      <c r="D2373" s="15">
        <v>8</v>
      </c>
      <c r="E2373" s="22" t="s">
        <v>228</v>
      </c>
      <c r="F2373" s="11" t="s">
        <v>51</v>
      </c>
      <c r="G2373" s="15">
        <v>152</v>
      </c>
      <c r="H2373" s="15" t="s">
        <v>29</v>
      </c>
      <c r="I2373" s="25">
        <v>15</v>
      </c>
      <c r="J2373" s="11" t="s">
        <v>19</v>
      </c>
      <c r="K2373" s="11" t="s">
        <v>20</v>
      </c>
      <c r="L2373" s="11" t="s">
        <v>30</v>
      </c>
      <c r="M2373" s="11" t="s">
        <v>46</v>
      </c>
      <c r="N2373" s="11" t="s">
        <v>23</v>
      </c>
      <c r="O2373" s="16" t="s">
        <v>29</v>
      </c>
      <c r="P2373" s="15">
        <v>217</v>
      </c>
      <c r="Q2373" s="8"/>
      <c r="R2373">
        <v>14.18</v>
      </c>
      <c r="S2373">
        <v>2852.17</v>
      </c>
      <c r="T2373">
        <v>5.26</v>
      </c>
      <c r="U2373">
        <v>10.18</v>
      </c>
      <c r="V2373">
        <v>142</v>
      </c>
      <c r="W2373" s="317">
        <v>4.5999999999999996</v>
      </c>
      <c r="X2373" s="190">
        <f>I2373*W2373</f>
        <v>69</v>
      </c>
      <c r="Y2373" s="8"/>
      <c r="Z2373" s="8"/>
    </row>
    <row r="2374" spans="1:26" ht="12.75" customHeight="1" x14ac:dyDescent="0.2">
      <c r="A2374" s="15">
        <v>116</v>
      </c>
      <c r="B2374" s="15">
        <v>1997</v>
      </c>
      <c r="C2374" s="15">
        <v>5</v>
      </c>
      <c r="D2374" s="15">
        <v>8</v>
      </c>
      <c r="E2374" s="22" t="s">
        <v>228</v>
      </c>
      <c r="F2374" s="11" t="s">
        <v>51</v>
      </c>
      <c r="G2374" s="15">
        <v>167</v>
      </c>
      <c r="H2374" s="15" t="s">
        <v>29</v>
      </c>
      <c r="I2374" s="25">
        <v>13</v>
      </c>
      <c r="J2374" s="11" t="s">
        <v>19</v>
      </c>
      <c r="K2374" s="11" t="s">
        <v>20</v>
      </c>
      <c r="L2374" s="11" t="s">
        <v>21</v>
      </c>
      <c r="M2374" s="11" t="s">
        <v>46</v>
      </c>
      <c r="N2374" s="11" t="s">
        <v>25</v>
      </c>
      <c r="O2374" s="16" t="s">
        <v>29</v>
      </c>
      <c r="P2374" s="15">
        <v>217</v>
      </c>
      <c r="Q2374" s="8"/>
      <c r="R2374">
        <v>15.58</v>
      </c>
      <c r="S2374">
        <v>3782.63</v>
      </c>
      <c r="T2374">
        <v>3.44</v>
      </c>
      <c r="U2374">
        <v>11.19</v>
      </c>
      <c r="V2374">
        <v>156</v>
      </c>
      <c r="W2374" s="317">
        <v>3.9</v>
      </c>
      <c r="X2374" s="190">
        <f>I2374*W2374</f>
        <v>50.699999999999996</v>
      </c>
      <c r="Y2374" s="8"/>
      <c r="Z2374" s="8"/>
    </row>
    <row r="2375" spans="1:26" ht="12.75" customHeight="1" x14ac:dyDescent="0.2">
      <c r="A2375" s="15">
        <v>117</v>
      </c>
      <c r="B2375" s="15">
        <v>1997</v>
      </c>
      <c r="C2375" s="15">
        <v>5</v>
      </c>
      <c r="D2375" s="15">
        <v>8</v>
      </c>
      <c r="E2375" s="22" t="s">
        <v>228</v>
      </c>
      <c r="F2375" s="11" t="s">
        <v>51</v>
      </c>
      <c r="G2375" s="15">
        <v>140</v>
      </c>
      <c r="H2375" s="15" t="s">
        <v>29</v>
      </c>
      <c r="I2375" s="25">
        <v>12</v>
      </c>
      <c r="J2375" s="11" t="s">
        <v>19</v>
      </c>
      <c r="K2375" s="11" t="s">
        <v>20</v>
      </c>
      <c r="L2375" s="11" t="s">
        <v>30</v>
      </c>
      <c r="M2375" s="11" t="s">
        <v>46</v>
      </c>
      <c r="N2375" s="11" t="s">
        <v>25</v>
      </c>
      <c r="O2375" s="16" t="s">
        <v>29</v>
      </c>
      <c r="P2375" s="15">
        <v>217</v>
      </c>
      <c r="Q2375" s="8"/>
      <c r="R2375">
        <v>13.06</v>
      </c>
      <c r="S2375">
        <v>2228.58</v>
      </c>
      <c r="T2375">
        <v>5.38</v>
      </c>
      <c r="U2375">
        <v>9.3800000000000008</v>
      </c>
      <c r="V2375">
        <v>131</v>
      </c>
      <c r="W2375" s="317">
        <v>4.5999999999999996</v>
      </c>
      <c r="X2375" s="190">
        <f>I2375*W2375</f>
        <v>55.199999999999996</v>
      </c>
      <c r="Y2375" s="8"/>
      <c r="Z2375" s="8"/>
    </row>
    <row r="2376" spans="1:26" ht="12.75" customHeight="1" x14ac:dyDescent="0.2">
      <c r="A2376" s="15">
        <v>118</v>
      </c>
      <c r="B2376" s="15">
        <v>1997</v>
      </c>
      <c r="C2376" s="15">
        <v>5</v>
      </c>
      <c r="D2376" s="15">
        <v>8</v>
      </c>
      <c r="E2376" s="22" t="s">
        <v>228</v>
      </c>
      <c r="F2376" s="11" t="s">
        <v>51</v>
      </c>
      <c r="G2376" s="15">
        <v>153</v>
      </c>
      <c r="H2376" s="15" t="s">
        <v>29</v>
      </c>
      <c r="I2376" s="25">
        <v>18.5</v>
      </c>
      <c r="J2376" s="11" t="s">
        <v>19</v>
      </c>
      <c r="K2376" s="11" t="s">
        <v>20</v>
      </c>
      <c r="L2376" s="11" t="s">
        <v>30</v>
      </c>
      <c r="M2376" s="11" t="s">
        <v>46</v>
      </c>
      <c r="N2376" s="11" t="s">
        <v>25</v>
      </c>
      <c r="O2376" s="16" t="s">
        <v>29</v>
      </c>
      <c r="P2376" s="15">
        <v>217</v>
      </c>
      <c r="Q2376" s="8"/>
      <c r="R2376">
        <v>14.27</v>
      </c>
      <c r="S2376">
        <v>2908.84</v>
      </c>
      <c r="T2376">
        <v>6.36</v>
      </c>
      <c r="U2376">
        <v>10.25</v>
      </c>
      <c r="V2376">
        <v>143</v>
      </c>
      <c r="W2376" s="317">
        <v>4.5999999999999996</v>
      </c>
      <c r="X2376" s="190">
        <f>I2376*W2376</f>
        <v>85.1</v>
      </c>
      <c r="Y2376" s="8"/>
      <c r="Z2376" s="8"/>
    </row>
    <row r="2377" spans="1:26" ht="12.75" customHeight="1" x14ac:dyDescent="0.2">
      <c r="A2377" s="15">
        <v>119</v>
      </c>
      <c r="B2377" s="15">
        <v>1997</v>
      </c>
      <c r="C2377" s="15">
        <v>5</v>
      </c>
      <c r="D2377" s="15">
        <v>8</v>
      </c>
      <c r="E2377" s="22" t="s">
        <v>228</v>
      </c>
      <c r="F2377" s="11" t="s">
        <v>51</v>
      </c>
      <c r="G2377" s="15">
        <v>131</v>
      </c>
      <c r="H2377" s="15" t="s">
        <v>29</v>
      </c>
      <c r="I2377" s="25">
        <v>8.5</v>
      </c>
      <c r="J2377" s="11" t="s">
        <v>19</v>
      </c>
      <c r="K2377" s="11" t="s">
        <v>41</v>
      </c>
      <c r="L2377" s="11" t="s">
        <v>35</v>
      </c>
      <c r="M2377" s="11" t="s">
        <v>46</v>
      </c>
      <c r="N2377" s="11" t="s">
        <v>23</v>
      </c>
      <c r="O2377" s="16" t="s">
        <v>29</v>
      </c>
      <c r="P2377" s="15">
        <v>217</v>
      </c>
      <c r="Q2377" s="8"/>
      <c r="R2377">
        <v>12.22</v>
      </c>
      <c r="S2377">
        <v>1825.82</v>
      </c>
      <c r="T2377">
        <v>4.66</v>
      </c>
      <c r="U2377">
        <v>8.7799999999999994</v>
      </c>
      <c r="V2377">
        <v>122</v>
      </c>
      <c r="W2377" s="8"/>
      <c r="X2377" s="8"/>
      <c r="Y2377" s="8"/>
      <c r="Z2377" s="8"/>
    </row>
    <row r="2378" spans="1:26" ht="12.75" customHeight="1" x14ac:dyDescent="0.2">
      <c r="A2378" s="15">
        <v>120</v>
      </c>
      <c r="B2378" s="15">
        <v>1997</v>
      </c>
      <c r="C2378" s="15">
        <v>5</v>
      </c>
      <c r="D2378" s="15">
        <v>8</v>
      </c>
      <c r="E2378" s="22" t="s">
        <v>228</v>
      </c>
      <c r="F2378" s="11" t="s">
        <v>28</v>
      </c>
      <c r="G2378" s="11" t="s">
        <v>29</v>
      </c>
      <c r="H2378" s="15" t="s">
        <v>29</v>
      </c>
      <c r="I2378" s="25">
        <v>15</v>
      </c>
      <c r="J2378" s="11" t="s">
        <v>19</v>
      </c>
      <c r="K2378" s="11" t="s">
        <v>20</v>
      </c>
      <c r="L2378" s="11" t="s">
        <v>21</v>
      </c>
      <c r="M2378" s="11" t="s">
        <v>29</v>
      </c>
      <c r="N2378" s="11" t="s">
        <v>25</v>
      </c>
      <c r="O2378" s="16" t="s">
        <v>29</v>
      </c>
      <c r="P2378" s="15">
        <v>217</v>
      </c>
      <c r="Q2378" s="8"/>
      <c r="W2378" s="317">
        <v>3.9</v>
      </c>
      <c r="X2378" s="190">
        <f t="shared" ref="X2378:X2389" si="105">I2378*W2378</f>
        <v>58.5</v>
      </c>
      <c r="Y2378" s="8"/>
      <c r="Z2378" s="8"/>
    </row>
    <row r="2379" spans="1:26" ht="12.75" customHeight="1" x14ac:dyDescent="0.2">
      <c r="A2379" s="15">
        <v>121</v>
      </c>
      <c r="B2379" s="15">
        <v>1997</v>
      </c>
      <c r="C2379" s="15">
        <v>5</v>
      </c>
      <c r="D2379" s="15">
        <v>8</v>
      </c>
      <c r="E2379" s="22" t="s">
        <v>228</v>
      </c>
      <c r="F2379" s="11" t="s">
        <v>28</v>
      </c>
      <c r="G2379" s="11" t="s">
        <v>29</v>
      </c>
      <c r="H2379" s="15" t="s">
        <v>29</v>
      </c>
      <c r="I2379" s="25">
        <v>13.5</v>
      </c>
      <c r="J2379" s="11" t="s">
        <v>19</v>
      </c>
      <c r="K2379" s="11" t="s">
        <v>20</v>
      </c>
      <c r="L2379" s="11" t="s">
        <v>21</v>
      </c>
      <c r="M2379" s="11" t="s">
        <v>29</v>
      </c>
      <c r="N2379" s="11" t="s">
        <v>23</v>
      </c>
      <c r="O2379" s="16" t="s">
        <v>29</v>
      </c>
      <c r="P2379" s="15">
        <v>217</v>
      </c>
      <c r="Q2379" s="8"/>
      <c r="W2379" s="317">
        <v>3.9</v>
      </c>
      <c r="X2379" s="190">
        <f t="shared" si="105"/>
        <v>52.65</v>
      </c>
      <c r="Y2379" s="8"/>
      <c r="Z2379" s="8"/>
    </row>
    <row r="2380" spans="1:26" ht="12.75" customHeight="1" x14ac:dyDescent="0.2">
      <c r="A2380" s="15">
        <v>122</v>
      </c>
      <c r="B2380" s="15">
        <v>1997</v>
      </c>
      <c r="C2380" s="15">
        <v>5</v>
      </c>
      <c r="D2380" s="15">
        <v>8</v>
      </c>
      <c r="E2380" s="22" t="s">
        <v>228</v>
      </c>
      <c r="F2380" s="11" t="s">
        <v>18</v>
      </c>
      <c r="G2380" s="15">
        <v>160</v>
      </c>
      <c r="H2380" s="15" t="s">
        <v>29</v>
      </c>
      <c r="I2380" s="25">
        <v>15</v>
      </c>
      <c r="J2380" s="11" t="s">
        <v>19</v>
      </c>
      <c r="K2380" s="11" t="s">
        <v>20</v>
      </c>
      <c r="L2380" s="11" t="s">
        <v>30</v>
      </c>
      <c r="M2380" s="11" t="s">
        <v>29</v>
      </c>
      <c r="N2380" s="11" t="s">
        <v>33</v>
      </c>
      <c r="O2380" s="16" t="s">
        <v>29</v>
      </c>
      <c r="P2380" s="15">
        <v>217</v>
      </c>
      <c r="Q2380" s="8"/>
      <c r="R2380">
        <v>14.93</v>
      </c>
      <c r="S2380">
        <v>3326.63</v>
      </c>
      <c r="T2380">
        <v>4.51</v>
      </c>
      <c r="U2380">
        <v>10.72</v>
      </c>
      <c r="V2380">
        <v>149</v>
      </c>
      <c r="W2380" s="317">
        <v>4.5999999999999996</v>
      </c>
      <c r="X2380" s="190">
        <f t="shared" si="105"/>
        <v>69</v>
      </c>
      <c r="Y2380" s="8"/>
      <c r="Z2380" s="8"/>
    </row>
    <row r="2381" spans="1:26" ht="12.75" customHeight="1" x14ac:dyDescent="0.2">
      <c r="A2381" s="15">
        <v>123</v>
      </c>
      <c r="B2381" s="15">
        <v>1997</v>
      </c>
      <c r="C2381" s="15">
        <v>5</v>
      </c>
      <c r="D2381" s="15">
        <v>8</v>
      </c>
      <c r="E2381" s="22" t="s">
        <v>228</v>
      </c>
      <c r="F2381" s="11" t="s">
        <v>18</v>
      </c>
      <c r="G2381" s="15">
        <v>137</v>
      </c>
      <c r="H2381" s="15" t="s">
        <v>29</v>
      </c>
      <c r="I2381" s="25">
        <v>13</v>
      </c>
      <c r="J2381" s="11" t="s">
        <v>19</v>
      </c>
      <c r="K2381" s="11" t="s">
        <v>20</v>
      </c>
      <c r="L2381" s="11" t="s">
        <v>30</v>
      </c>
      <c r="M2381" s="11" t="s">
        <v>46</v>
      </c>
      <c r="N2381" s="11" t="s">
        <v>24</v>
      </c>
      <c r="O2381" s="16" t="s">
        <v>29</v>
      </c>
      <c r="P2381" s="15">
        <v>217</v>
      </c>
      <c r="Q2381" s="8"/>
      <c r="R2381">
        <v>12.78</v>
      </c>
      <c r="S2381">
        <v>2088.37</v>
      </c>
      <c r="T2381">
        <v>6.22</v>
      </c>
      <c r="U2381">
        <v>9.18</v>
      </c>
      <c r="V2381">
        <v>128</v>
      </c>
      <c r="W2381" s="317">
        <v>4.5999999999999996</v>
      </c>
      <c r="X2381" s="190">
        <f t="shared" si="105"/>
        <v>59.8</v>
      </c>
      <c r="Y2381" s="8"/>
      <c r="Z2381" s="8"/>
    </row>
    <row r="2382" spans="1:26" ht="12.75" customHeight="1" x14ac:dyDescent="0.2">
      <c r="A2382" s="15">
        <v>124</v>
      </c>
      <c r="B2382" s="15">
        <v>1997</v>
      </c>
      <c r="C2382" s="15">
        <v>5</v>
      </c>
      <c r="D2382" s="15">
        <v>8</v>
      </c>
      <c r="E2382" s="22" t="s">
        <v>228</v>
      </c>
      <c r="F2382" s="11" t="s">
        <v>18</v>
      </c>
      <c r="G2382" s="15">
        <v>144</v>
      </c>
      <c r="H2382" s="15" t="s">
        <v>29</v>
      </c>
      <c r="I2382" s="25">
        <v>12</v>
      </c>
      <c r="J2382" s="11" t="s">
        <v>19</v>
      </c>
      <c r="K2382" s="11" t="s">
        <v>20</v>
      </c>
      <c r="L2382" s="11" t="s">
        <v>21</v>
      </c>
      <c r="M2382" s="11" t="s">
        <v>45</v>
      </c>
      <c r="N2382" s="11" t="s">
        <v>24</v>
      </c>
      <c r="O2382" s="16" t="s">
        <v>29</v>
      </c>
      <c r="P2382" s="15">
        <v>217</v>
      </c>
      <c r="Q2382" s="8"/>
      <c r="R2382">
        <v>13.44</v>
      </c>
      <c r="S2382">
        <v>2425.12</v>
      </c>
      <c r="T2382">
        <v>4.95</v>
      </c>
      <c r="U2382">
        <v>9.65</v>
      </c>
      <c r="V2382">
        <v>134</v>
      </c>
      <c r="W2382" s="317">
        <v>3.9</v>
      </c>
      <c r="X2382" s="190">
        <f t="shared" si="105"/>
        <v>46.8</v>
      </c>
      <c r="Y2382" s="8"/>
      <c r="Z2382" s="8"/>
    </row>
    <row r="2383" spans="1:26" ht="12.75" customHeight="1" x14ac:dyDescent="0.2">
      <c r="A2383" s="15">
        <v>125</v>
      </c>
      <c r="B2383" s="15">
        <v>1997</v>
      </c>
      <c r="C2383" s="15">
        <v>5</v>
      </c>
      <c r="D2383" s="15">
        <v>8</v>
      </c>
      <c r="E2383" s="22" t="s">
        <v>228</v>
      </c>
      <c r="F2383" s="11" t="s">
        <v>18</v>
      </c>
      <c r="G2383" s="15">
        <v>144</v>
      </c>
      <c r="H2383" s="15" t="s">
        <v>29</v>
      </c>
      <c r="I2383" s="25">
        <v>13</v>
      </c>
      <c r="J2383" s="11" t="s">
        <v>19</v>
      </c>
      <c r="K2383" s="11" t="s">
        <v>20</v>
      </c>
      <c r="L2383" s="11" t="s">
        <v>30</v>
      </c>
      <c r="M2383" s="11" t="s">
        <v>46</v>
      </c>
      <c r="N2383" s="11" t="s">
        <v>39</v>
      </c>
      <c r="O2383" s="16" t="s">
        <v>29</v>
      </c>
      <c r="P2383" s="15">
        <v>217</v>
      </c>
      <c r="Q2383" s="8"/>
      <c r="R2383">
        <v>13.44</v>
      </c>
      <c r="S2383">
        <v>2425.12</v>
      </c>
      <c r="T2383">
        <v>5.36</v>
      </c>
      <c r="U2383">
        <v>9.65</v>
      </c>
      <c r="V2383">
        <v>134</v>
      </c>
      <c r="W2383" s="317">
        <v>4.5999999999999996</v>
      </c>
      <c r="X2383" s="190">
        <f t="shared" si="105"/>
        <v>59.8</v>
      </c>
      <c r="Y2383" s="8"/>
      <c r="Z2383" s="8"/>
    </row>
    <row r="2384" spans="1:26" ht="12.75" customHeight="1" x14ac:dyDescent="0.2">
      <c r="A2384" s="15">
        <v>126</v>
      </c>
      <c r="B2384" s="15">
        <v>1997</v>
      </c>
      <c r="C2384" s="15">
        <v>5</v>
      </c>
      <c r="D2384" s="15">
        <v>8</v>
      </c>
      <c r="E2384" s="22" t="s">
        <v>228</v>
      </c>
      <c r="F2384" s="11" t="s">
        <v>18</v>
      </c>
      <c r="G2384" s="15">
        <v>145</v>
      </c>
      <c r="H2384" s="15" t="s">
        <v>29</v>
      </c>
      <c r="I2384" s="25">
        <v>13</v>
      </c>
      <c r="J2384" s="11" t="s">
        <v>19</v>
      </c>
      <c r="K2384" s="11" t="s">
        <v>20</v>
      </c>
      <c r="L2384" s="11" t="s">
        <v>30</v>
      </c>
      <c r="M2384" s="11" t="s">
        <v>27</v>
      </c>
      <c r="N2384" s="11" t="s">
        <v>25</v>
      </c>
      <c r="O2384" s="16" t="s">
        <v>29</v>
      </c>
      <c r="P2384" s="15">
        <v>217</v>
      </c>
      <c r="Q2384" s="8"/>
      <c r="R2384">
        <v>13.53</v>
      </c>
      <c r="S2384">
        <v>2475.9899999999998</v>
      </c>
      <c r="T2384">
        <v>5.25</v>
      </c>
      <c r="U2384">
        <v>9.7200000000000006</v>
      </c>
      <c r="V2384">
        <v>135</v>
      </c>
      <c r="W2384" s="317">
        <v>4.5999999999999996</v>
      </c>
      <c r="X2384" s="190">
        <f t="shared" si="105"/>
        <v>59.8</v>
      </c>
      <c r="Y2384" s="8"/>
      <c r="Z2384" s="8"/>
    </row>
    <row r="2385" spans="1:26" ht="12.75" customHeight="1" x14ac:dyDescent="0.2">
      <c r="A2385" s="15">
        <v>127</v>
      </c>
      <c r="B2385" s="15">
        <v>1997</v>
      </c>
      <c r="C2385" s="15">
        <v>5</v>
      </c>
      <c r="D2385" s="15">
        <v>8</v>
      </c>
      <c r="E2385" s="22" t="s">
        <v>228</v>
      </c>
      <c r="F2385" s="11" t="s">
        <v>18</v>
      </c>
      <c r="G2385" s="15">
        <v>144</v>
      </c>
      <c r="H2385" s="15" t="s">
        <v>29</v>
      </c>
      <c r="I2385" s="25">
        <v>15.5</v>
      </c>
      <c r="J2385" s="11" t="s">
        <v>19</v>
      </c>
      <c r="K2385" s="11" t="s">
        <v>20</v>
      </c>
      <c r="L2385" s="11" t="s">
        <v>30</v>
      </c>
      <c r="M2385" s="11" t="s">
        <v>46</v>
      </c>
      <c r="N2385" s="11" t="s">
        <v>24</v>
      </c>
      <c r="O2385" s="16" t="s">
        <v>29</v>
      </c>
      <c r="P2385" s="15">
        <v>217</v>
      </c>
      <c r="Q2385" s="8"/>
      <c r="R2385">
        <v>13.44</v>
      </c>
      <c r="S2385">
        <v>2425.12</v>
      </c>
      <c r="T2385">
        <v>6.39</v>
      </c>
      <c r="U2385">
        <v>9.65</v>
      </c>
      <c r="V2385">
        <v>134</v>
      </c>
      <c r="W2385" s="317">
        <v>4.5999999999999996</v>
      </c>
      <c r="X2385" s="190">
        <f t="shared" si="105"/>
        <v>71.3</v>
      </c>
      <c r="Y2385" s="8"/>
      <c r="Z2385" s="8"/>
    </row>
    <row r="2386" spans="1:26" ht="12.75" customHeight="1" x14ac:dyDescent="0.2">
      <c r="A2386" s="15">
        <v>128</v>
      </c>
      <c r="B2386" s="15">
        <v>1997</v>
      </c>
      <c r="C2386" s="15">
        <v>5</v>
      </c>
      <c r="D2386" s="15">
        <v>8</v>
      </c>
      <c r="E2386" s="22" t="s">
        <v>228</v>
      </c>
      <c r="F2386" s="11" t="s">
        <v>18</v>
      </c>
      <c r="G2386" s="15">
        <v>157</v>
      </c>
      <c r="H2386" s="15" t="s">
        <v>29</v>
      </c>
      <c r="I2386" s="25">
        <v>20.5</v>
      </c>
      <c r="J2386" s="11" t="s">
        <v>19</v>
      </c>
      <c r="K2386" s="11" t="s">
        <v>20</v>
      </c>
      <c r="L2386" s="11" t="s">
        <v>30</v>
      </c>
      <c r="M2386" s="11" t="s">
        <v>46</v>
      </c>
      <c r="N2386" s="11" t="s">
        <v>24</v>
      </c>
      <c r="O2386" s="16" t="s">
        <v>29</v>
      </c>
      <c r="P2386" s="15">
        <v>217</v>
      </c>
      <c r="Q2386" s="8"/>
      <c r="R2386">
        <v>14.65</v>
      </c>
      <c r="S2386">
        <v>3143</v>
      </c>
      <c r="T2386">
        <v>6.52</v>
      </c>
      <c r="U2386">
        <v>10.52</v>
      </c>
      <c r="V2386">
        <v>146</v>
      </c>
      <c r="W2386" s="317">
        <v>4.5999999999999996</v>
      </c>
      <c r="X2386" s="190">
        <f t="shared" si="105"/>
        <v>94.3</v>
      </c>
      <c r="Y2386" s="8"/>
      <c r="Z2386" s="8"/>
    </row>
    <row r="2387" spans="1:26" ht="12.75" customHeight="1" x14ac:dyDescent="0.2">
      <c r="A2387" s="15">
        <v>129</v>
      </c>
      <c r="B2387" s="15">
        <v>1997</v>
      </c>
      <c r="C2387" s="15">
        <v>5</v>
      </c>
      <c r="D2387" s="15">
        <v>8</v>
      </c>
      <c r="E2387" s="22" t="s">
        <v>228</v>
      </c>
      <c r="F2387" s="11" t="s">
        <v>18</v>
      </c>
      <c r="G2387" s="15">
        <v>130</v>
      </c>
      <c r="H2387" s="15" t="s">
        <v>29</v>
      </c>
      <c r="I2387" s="25">
        <v>12</v>
      </c>
      <c r="J2387" s="11" t="s">
        <v>19</v>
      </c>
      <c r="K2387" s="11" t="s">
        <v>20</v>
      </c>
      <c r="L2387" s="11" t="s">
        <v>30</v>
      </c>
      <c r="M2387" s="11" t="s">
        <v>46</v>
      </c>
      <c r="N2387" s="11" t="s">
        <v>25</v>
      </c>
      <c r="O2387" s="16" t="s">
        <v>29</v>
      </c>
      <c r="P2387" s="15">
        <v>217</v>
      </c>
      <c r="Q2387" s="8"/>
      <c r="R2387">
        <v>12.13</v>
      </c>
      <c r="S2387">
        <v>1784.33</v>
      </c>
      <c r="T2387">
        <v>6.73</v>
      </c>
      <c r="U2387">
        <v>8.7100000000000009</v>
      </c>
      <c r="V2387">
        <v>121</v>
      </c>
      <c r="W2387" s="317">
        <v>4.5999999999999996</v>
      </c>
      <c r="X2387" s="190">
        <f t="shared" si="105"/>
        <v>55.199999999999996</v>
      </c>
      <c r="Y2387" s="8"/>
      <c r="Z2387" s="8"/>
    </row>
    <row r="2388" spans="1:26" ht="12.75" customHeight="1" x14ac:dyDescent="0.2">
      <c r="A2388" s="15">
        <v>130</v>
      </c>
      <c r="B2388" s="15">
        <v>1997</v>
      </c>
      <c r="C2388" s="15">
        <v>5</v>
      </c>
      <c r="D2388" s="15">
        <v>8</v>
      </c>
      <c r="E2388" s="22" t="s">
        <v>228</v>
      </c>
      <c r="F2388" s="11" t="s">
        <v>18</v>
      </c>
      <c r="G2388" s="15">
        <v>150</v>
      </c>
      <c r="H2388" s="15" t="s">
        <v>29</v>
      </c>
      <c r="I2388" s="25">
        <v>10</v>
      </c>
      <c r="J2388" s="11" t="s">
        <v>19</v>
      </c>
      <c r="K2388" s="11" t="s">
        <v>34</v>
      </c>
      <c r="L2388" s="11" t="s">
        <v>35</v>
      </c>
      <c r="M2388" s="11" t="s">
        <v>27</v>
      </c>
      <c r="N2388" s="11" t="s">
        <v>23</v>
      </c>
      <c r="O2388" s="16" t="s">
        <v>29</v>
      </c>
      <c r="P2388" s="15">
        <v>217</v>
      </c>
      <c r="Q2388" s="8"/>
      <c r="R2388">
        <v>14</v>
      </c>
      <c r="S2388">
        <v>2741.06</v>
      </c>
      <c r="T2388">
        <v>3.65</v>
      </c>
      <c r="U2388">
        <v>10.050000000000001</v>
      </c>
      <c r="V2388">
        <v>140</v>
      </c>
      <c r="W2388" s="317">
        <v>3.8</v>
      </c>
      <c r="X2388" s="190">
        <f t="shared" si="105"/>
        <v>38</v>
      </c>
      <c r="Y2388" s="8"/>
      <c r="Z2388" s="8"/>
    </row>
    <row r="2389" spans="1:26" ht="12.75" customHeight="1" x14ac:dyDescent="0.2">
      <c r="A2389" s="15">
        <v>131</v>
      </c>
      <c r="B2389" s="15">
        <v>1997</v>
      </c>
      <c r="C2389" s="15">
        <v>5</v>
      </c>
      <c r="D2389" s="15">
        <v>8</v>
      </c>
      <c r="E2389" s="22" t="s">
        <v>228</v>
      </c>
      <c r="F2389" s="11" t="s">
        <v>18</v>
      </c>
      <c r="G2389" s="15">
        <v>106</v>
      </c>
      <c r="H2389" s="15" t="s">
        <v>29</v>
      </c>
      <c r="I2389" s="25">
        <v>6</v>
      </c>
      <c r="J2389" s="11" t="s">
        <v>19</v>
      </c>
      <c r="K2389" s="11" t="s">
        <v>20</v>
      </c>
      <c r="L2389" s="11" t="s">
        <v>30</v>
      </c>
      <c r="M2389" s="11" t="s">
        <v>27</v>
      </c>
      <c r="N2389" s="11" t="s">
        <v>25</v>
      </c>
      <c r="O2389" s="16" t="s">
        <v>29</v>
      </c>
      <c r="P2389" s="15">
        <v>217</v>
      </c>
      <c r="Q2389" s="8"/>
      <c r="R2389">
        <v>9.89</v>
      </c>
      <c r="S2389">
        <v>967.3</v>
      </c>
      <c r="T2389">
        <v>6.2</v>
      </c>
      <c r="U2389">
        <v>7.1</v>
      </c>
      <c r="V2389">
        <v>99</v>
      </c>
      <c r="W2389" s="317">
        <v>4.5999999999999996</v>
      </c>
      <c r="X2389" s="190">
        <f t="shared" si="105"/>
        <v>27.599999999999998</v>
      </c>
      <c r="Y2389" s="8"/>
      <c r="Z2389" s="8"/>
    </row>
    <row r="2390" spans="1:26" ht="12.75" customHeight="1" x14ac:dyDescent="0.2">
      <c r="A2390" s="15">
        <v>132</v>
      </c>
      <c r="B2390" s="15">
        <v>1997</v>
      </c>
      <c r="C2390" s="15">
        <v>5</v>
      </c>
      <c r="D2390" s="15">
        <v>8</v>
      </c>
      <c r="E2390" s="22" t="s">
        <v>228</v>
      </c>
      <c r="F2390" s="11" t="s">
        <v>18</v>
      </c>
      <c r="G2390" s="15">
        <v>151</v>
      </c>
      <c r="H2390" s="15" t="s">
        <v>29</v>
      </c>
      <c r="I2390" s="25">
        <v>12</v>
      </c>
      <c r="J2390" s="11" t="s">
        <v>32</v>
      </c>
      <c r="K2390" s="11" t="s">
        <v>29</v>
      </c>
      <c r="L2390" s="11" t="s">
        <v>29</v>
      </c>
      <c r="M2390" s="11" t="s">
        <v>45</v>
      </c>
      <c r="N2390" s="11" t="s">
        <v>25</v>
      </c>
      <c r="O2390" s="16" t="s">
        <v>29</v>
      </c>
      <c r="P2390" s="15">
        <v>217</v>
      </c>
      <c r="Q2390" s="8"/>
      <c r="R2390">
        <v>14.09</v>
      </c>
      <c r="S2390">
        <v>2796.25</v>
      </c>
      <c r="T2390">
        <v>4.29</v>
      </c>
      <c r="U2390">
        <v>10.119999999999999</v>
      </c>
      <c r="V2390">
        <v>141</v>
      </c>
      <c r="W2390" s="8"/>
      <c r="X2390" s="8"/>
      <c r="Y2390" s="8"/>
      <c r="Z2390" s="8"/>
    </row>
    <row r="2391" spans="1:26" ht="12.75" customHeight="1" x14ac:dyDescent="0.2">
      <c r="A2391" s="15">
        <v>133</v>
      </c>
      <c r="B2391" s="15">
        <v>1997</v>
      </c>
      <c r="C2391" s="15">
        <v>5</v>
      </c>
      <c r="D2391" s="15">
        <v>8</v>
      </c>
      <c r="E2391" s="22" t="s">
        <v>228</v>
      </c>
      <c r="F2391" s="11" t="s">
        <v>18</v>
      </c>
      <c r="G2391" s="15">
        <v>131</v>
      </c>
      <c r="H2391" s="15" t="s">
        <v>29</v>
      </c>
      <c r="I2391" s="25">
        <v>8.5</v>
      </c>
      <c r="J2391" s="11" t="s">
        <v>19</v>
      </c>
      <c r="K2391" s="11" t="s">
        <v>20</v>
      </c>
      <c r="L2391" s="11" t="s">
        <v>21</v>
      </c>
      <c r="M2391" s="11" t="s">
        <v>46</v>
      </c>
      <c r="N2391" s="11" t="s">
        <v>24</v>
      </c>
      <c r="O2391" s="16" t="s">
        <v>29</v>
      </c>
      <c r="P2391" s="15">
        <v>217</v>
      </c>
      <c r="Q2391" s="8"/>
      <c r="R2391">
        <v>12.22</v>
      </c>
      <c r="S2391">
        <v>1825.82</v>
      </c>
      <c r="T2391">
        <v>4.66</v>
      </c>
      <c r="U2391">
        <v>8.7799999999999994</v>
      </c>
      <c r="V2391">
        <v>122</v>
      </c>
      <c r="W2391" s="317">
        <v>3.9</v>
      </c>
      <c r="X2391" s="190">
        <f>I2391*W2391</f>
        <v>33.15</v>
      </c>
      <c r="Y2391" s="8"/>
      <c r="Z2391" s="8"/>
    </row>
    <row r="2392" spans="1:26" ht="12.75" customHeight="1" x14ac:dyDescent="0.2">
      <c r="A2392" s="15">
        <v>134</v>
      </c>
      <c r="B2392" s="15">
        <v>1997</v>
      </c>
      <c r="C2392" s="15">
        <v>5</v>
      </c>
      <c r="D2392" s="15">
        <v>8</v>
      </c>
      <c r="E2392" s="22" t="s">
        <v>228</v>
      </c>
      <c r="F2392" s="11" t="s">
        <v>18</v>
      </c>
      <c r="G2392" s="15">
        <v>124</v>
      </c>
      <c r="H2392" s="15" t="s">
        <v>29</v>
      </c>
      <c r="I2392" s="25">
        <v>9.5</v>
      </c>
      <c r="J2392" s="11" t="s">
        <v>19</v>
      </c>
      <c r="K2392" s="11" t="s">
        <v>20</v>
      </c>
      <c r="L2392" s="11" t="s">
        <v>30</v>
      </c>
      <c r="M2392" s="11" t="s">
        <v>45</v>
      </c>
      <c r="N2392" s="11" t="s">
        <v>33</v>
      </c>
      <c r="O2392" s="16" t="s">
        <v>29</v>
      </c>
      <c r="P2392" s="15">
        <v>217</v>
      </c>
      <c r="Q2392" s="8"/>
      <c r="R2392">
        <v>11.57</v>
      </c>
      <c r="S2392">
        <v>1548.5</v>
      </c>
      <c r="T2392">
        <v>6.13</v>
      </c>
      <c r="U2392">
        <v>8.31</v>
      </c>
      <c r="V2392">
        <v>116</v>
      </c>
      <c r="W2392" s="317">
        <v>4.5999999999999996</v>
      </c>
      <c r="X2392" s="190">
        <f>I2392*W2392</f>
        <v>43.699999999999996</v>
      </c>
      <c r="Y2392" s="8"/>
      <c r="Z2392" s="8"/>
    </row>
    <row r="2393" spans="1:26" ht="12.75" customHeight="1" x14ac:dyDescent="0.2">
      <c r="A2393" s="15">
        <v>135</v>
      </c>
      <c r="B2393" s="15">
        <v>1997</v>
      </c>
      <c r="C2393" s="15">
        <v>5</v>
      </c>
      <c r="D2393" s="15">
        <v>8</v>
      </c>
      <c r="E2393" s="22" t="s">
        <v>228</v>
      </c>
      <c r="F2393" s="11" t="s">
        <v>18</v>
      </c>
      <c r="G2393" s="15">
        <v>132</v>
      </c>
      <c r="H2393" s="15" t="s">
        <v>29</v>
      </c>
      <c r="I2393" s="25">
        <v>12</v>
      </c>
      <c r="J2393" s="11" t="s">
        <v>19</v>
      </c>
      <c r="K2393" s="11" t="s">
        <v>20</v>
      </c>
      <c r="L2393" s="11" t="s">
        <v>30</v>
      </c>
      <c r="M2393" s="11" t="s">
        <v>46</v>
      </c>
      <c r="N2393" s="11" t="s">
        <v>24</v>
      </c>
      <c r="O2393" s="16" t="s">
        <v>29</v>
      </c>
      <c r="P2393" s="15">
        <v>217</v>
      </c>
      <c r="Q2393" s="8"/>
      <c r="R2393">
        <v>12.32</v>
      </c>
      <c r="S2393">
        <v>1867.96</v>
      </c>
      <c r="T2393">
        <v>6.42</v>
      </c>
      <c r="U2393">
        <v>8.84</v>
      </c>
      <c r="V2393">
        <v>123</v>
      </c>
      <c r="W2393" s="317">
        <v>4.5999999999999996</v>
      </c>
      <c r="X2393" s="190">
        <f>I2393*W2393</f>
        <v>55.199999999999996</v>
      </c>
      <c r="Y2393" s="8"/>
      <c r="Z2393" s="8"/>
    </row>
    <row r="2394" spans="1:26" ht="12.75" customHeight="1" x14ac:dyDescent="0.2">
      <c r="A2394" s="15">
        <v>136</v>
      </c>
      <c r="B2394" s="15">
        <v>1997</v>
      </c>
      <c r="C2394" s="15">
        <v>5</v>
      </c>
      <c r="D2394" s="15">
        <v>8</v>
      </c>
      <c r="E2394" s="22" t="s">
        <v>228</v>
      </c>
      <c r="F2394" s="11" t="s">
        <v>18</v>
      </c>
      <c r="G2394" s="15">
        <v>157</v>
      </c>
      <c r="H2394" s="15" t="s">
        <v>29</v>
      </c>
      <c r="I2394" s="25">
        <v>16.5</v>
      </c>
      <c r="J2394" s="11" t="s">
        <v>19</v>
      </c>
      <c r="K2394" s="11" t="s">
        <v>20</v>
      </c>
      <c r="L2394" s="11" t="s">
        <v>30</v>
      </c>
      <c r="M2394" s="11" t="s">
        <v>46</v>
      </c>
      <c r="N2394" s="11" t="s">
        <v>33</v>
      </c>
      <c r="O2394" s="16" t="s">
        <v>29</v>
      </c>
      <c r="P2394" s="15">
        <v>217</v>
      </c>
      <c r="Q2394" s="8"/>
      <c r="R2394">
        <v>14.65</v>
      </c>
      <c r="S2394">
        <v>3143</v>
      </c>
      <c r="T2394">
        <v>5.25</v>
      </c>
      <c r="U2394">
        <v>10.52</v>
      </c>
      <c r="V2394">
        <v>146</v>
      </c>
      <c r="W2394" s="317">
        <v>4.5999999999999996</v>
      </c>
      <c r="X2394" s="190">
        <f>I2394*W2394</f>
        <v>75.899999999999991</v>
      </c>
      <c r="Y2394" s="8"/>
      <c r="Z2394" s="8"/>
    </row>
    <row r="2395" spans="1:26" ht="12.75" customHeight="1" x14ac:dyDescent="0.2">
      <c r="A2395" s="15">
        <v>137</v>
      </c>
      <c r="B2395" s="15">
        <v>1997</v>
      </c>
      <c r="C2395" s="15">
        <v>5</v>
      </c>
      <c r="D2395" s="15">
        <v>8</v>
      </c>
      <c r="E2395" s="22" t="s">
        <v>228</v>
      </c>
      <c r="F2395" s="11" t="s">
        <v>18</v>
      </c>
      <c r="G2395" s="15">
        <v>155</v>
      </c>
      <c r="H2395" s="15" t="s">
        <v>29</v>
      </c>
      <c r="I2395" s="25">
        <v>22.5</v>
      </c>
      <c r="J2395" s="11" t="s">
        <v>19</v>
      </c>
      <c r="K2395" s="11" t="s">
        <v>34</v>
      </c>
      <c r="L2395" s="11" t="s">
        <v>41</v>
      </c>
      <c r="M2395" s="11" t="s">
        <v>45</v>
      </c>
      <c r="N2395" s="11" t="s">
        <v>24</v>
      </c>
      <c r="O2395" s="16" t="s">
        <v>29</v>
      </c>
      <c r="P2395" s="15">
        <v>217</v>
      </c>
      <c r="Q2395" s="8"/>
      <c r="R2395">
        <v>14.46</v>
      </c>
      <c r="S2395">
        <v>3024.41</v>
      </c>
      <c r="T2395">
        <v>7.44</v>
      </c>
      <c r="U2395">
        <v>10.39</v>
      </c>
      <c r="V2395">
        <v>145</v>
      </c>
      <c r="W2395" s="317">
        <v>3.8</v>
      </c>
      <c r="X2395" s="190">
        <f>I2395*W2395</f>
        <v>85.5</v>
      </c>
      <c r="Y2395" s="8"/>
      <c r="Z2395" s="8"/>
    </row>
    <row r="2396" spans="1:26" ht="12.75" customHeight="1" x14ac:dyDescent="0.2">
      <c r="A2396" s="15">
        <v>138</v>
      </c>
      <c r="B2396" s="15">
        <v>1997</v>
      </c>
      <c r="C2396" s="15">
        <v>5</v>
      </c>
      <c r="D2396" s="15">
        <v>8</v>
      </c>
      <c r="E2396" s="22" t="s">
        <v>228</v>
      </c>
      <c r="F2396" s="11" t="s">
        <v>18</v>
      </c>
      <c r="G2396" s="15">
        <v>144</v>
      </c>
      <c r="H2396" s="15" t="s">
        <v>29</v>
      </c>
      <c r="I2396" s="25">
        <v>17</v>
      </c>
      <c r="J2396" s="11" t="s">
        <v>19</v>
      </c>
      <c r="K2396" s="11" t="s">
        <v>20</v>
      </c>
      <c r="L2396" s="11" t="s">
        <v>30</v>
      </c>
      <c r="M2396" s="11" t="s">
        <v>46</v>
      </c>
      <c r="N2396" s="11" t="s">
        <v>24</v>
      </c>
      <c r="O2396" s="16" t="s">
        <v>29</v>
      </c>
      <c r="P2396" s="15">
        <v>217</v>
      </c>
      <c r="Q2396" s="8"/>
      <c r="R2396">
        <v>13.44</v>
      </c>
      <c r="S2396">
        <v>2425.12</v>
      </c>
      <c r="T2396">
        <v>7.01</v>
      </c>
      <c r="U2396">
        <v>9.65</v>
      </c>
      <c r="V2396">
        <v>134</v>
      </c>
      <c r="W2396" s="317">
        <v>4.5999999999999996</v>
      </c>
      <c r="X2396" s="190">
        <f t="shared" ref="X2396:X2411" si="106">I2396*W2396</f>
        <v>78.199999999999989</v>
      </c>
      <c r="Y2396" s="8"/>
      <c r="Z2396" s="8"/>
    </row>
    <row r="2397" spans="1:26" ht="12.75" customHeight="1" x14ac:dyDescent="0.2">
      <c r="A2397" s="15">
        <v>139</v>
      </c>
      <c r="B2397" s="15">
        <v>1997</v>
      </c>
      <c r="C2397" s="15">
        <v>5</v>
      </c>
      <c r="D2397" s="15">
        <v>8</v>
      </c>
      <c r="E2397" s="22" t="s">
        <v>228</v>
      </c>
      <c r="F2397" s="11" t="s">
        <v>18</v>
      </c>
      <c r="G2397" s="15">
        <v>136</v>
      </c>
      <c r="H2397" s="15" t="s">
        <v>29</v>
      </c>
      <c r="I2397" s="25">
        <v>12.5</v>
      </c>
      <c r="J2397" s="11" t="s">
        <v>19</v>
      </c>
      <c r="K2397" s="11" t="s">
        <v>20</v>
      </c>
      <c r="L2397" s="11" t="s">
        <v>30</v>
      </c>
      <c r="M2397" s="11" t="s">
        <v>46</v>
      </c>
      <c r="N2397" s="11" t="s">
        <v>23</v>
      </c>
      <c r="O2397" s="16" t="s">
        <v>29</v>
      </c>
      <c r="P2397" s="15">
        <v>217</v>
      </c>
      <c r="Q2397" s="8"/>
      <c r="R2397">
        <v>12.69</v>
      </c>
      <c r="S2397">
        <v>2042.97</v>
      </c>
      <c r="T2397">
        <v>6.12</v>
      </c>
      <c r="U2397">
        <v>9.11</v>
      </c>
      <c r="V2397">
        <v>127</v>
      </c>
      <c r="W2397" s="317">
        <v>4.5999999999999996</v>
      </c>
      <c r="X2397" s="190">
        <f t="shared" si="106"/>
        <v>57.499999999999993</v>
      </c>
      <c r="Y2397" s="8"/>
      <c r="Z2397" s="8"/>
    </row>
    <row r="2398" spans="1:26" ht="12.75" customHeight="1" x14ac:dyDescent="0.2">
      <c r="A2398" s="15">
        <v>140</v>
      </c>
      <c r="B2398" s="15">
        <v>1997</v>
      </c>
      <c r="C2398" s="15">
        <v>5</v>
      </c>
      <c r="D2398" s="15">
        <v>8</v>
      </c>
      <c r="E2398" s="22" t="s">
        <v>228</v>
      </c>
      <c r="F2398" s="11" t="s">
        <v>18</v>
      </c>
      <c r="G2398" s="15">
        <v>157</v>
      </c>
      <c r="H2398" s="15" t="s">
        <v>29</v>
      </c>
      <c r="I2398" s="25">
        <v>17</v>
      </c>
      <c r="J2398" s="11" t="s">
        <v>19</v>
      </c>
      <c r="K2398" s="11" t="s">
        <v>20</v>
      </c>
      <c r="L2398" s="11" t="s">
        <v>30</v>
      </c>
      <c r="M2398" s="11" t="s">
        <v>46</v>
      </c>
      <c r="N2398" s="11" t="s">
        <v>23</v>
      </c>
      <c r="O2398" s="16" t="s">
        <v>29</v>
      </c>
      <c r="P2398" s="15">
        <v>217</v>
      </c>
      <c r="Q2398" s="8"/>
      <c r="R2398">
        <v>14.65</v>
      </c>
      <c r="S2398">
        <v>3143</v>
      </c>
      <c r="T2398">
        <v>5.41</v>
      </c>
      <c r="U2398">
        <v>10.52</v>
      </c>
      <c r="V2398">
        <v>146</v>
      </c>
      <c r="W2398" s="317">
        <v>4.5999999999999996</v>
      </c>
      <c r="X2398" s="190">
        <f t="shared" si="106"/>
        <v>78.199999999999989</v>
      </c>
      <c r="Y2398" s="8"/>
      <c r="Z2398" s="8"/>
    </row>
    <row r="2399" spans="1:26" ht="12.75" customHeight="1" x14ac:dyDescent="0.2">
      <c r="A2399" s="15">
        <v>141</v>
      </c>
      <c r="B2399" s="15">
        <v>1997</v>
      </c>
      <c r="C2399" s="15">
        <v>5</v>
      </c>
      <c r="D2399" s="15">
        <v>8</v>
      </c>
      <c r="E2399" s="22" t="s">
        <v>228</v>
      </c>
      <c r="F2399" s="11" t="s">
        <v>18</v>
      </c>
      <c r="G2399" s="15">
        <v>156</v>
      </c>
      <c r="H2399" s="15" t="s">
        <v>29</v>
      </c>
      <c r="I2399" s="25">
        <v>18</v>
      </c>
      <c r="J2399" s="11" t="s">
        <v>19</v>
      </c>
      <c r="K2399" s="11" t="s">
        <v>20</v>
      </c>
      <c r="L2399" s="11" t="s">
        <v>30</v>
      </c>
      <c r="M2399" s="11" t="s">
        <v>27</v>
      </c>
      <c r="N2399" s="11" t="s">
        <v>23</v>
      </c>
      <c r="O2399" s="16" t="s">
        <v>29</v>
      </c>
      <c r="P2399" s="15">
        <v>217</v>
      </c>
      <c r="Q2399" s="8"/>
      <c r="R2399">
        <v>14.55</v>
      </c>
      <c r="S2399">
        <v>3083.32</v>
      </c>
      <c r="T2399">
        <v>5.84</v>
      </c>
      <c r="U2399">
        <v>10.45</v>
      </c>
      <c r="V2399">
        <v>146</v>
      </c>
      <c r="W2399" s="317">
        <v>4.5999999999999996</v>
      </c>
      <c r="X2399" s="190">
        <f t="shared" si="106"/>
        <v>82.8</v>
      </c>
      <c r="Y2399" s="8"/>
      <c r="Z2399" s="8"/>
    </row>
    <row r="2400" spans="1:26" ht="12.75" customHeight="1" x14ac:dyDescent="0.2">
      <c r="A2400" s="15">
        <v>142</v>
      </c>
      <c r="B2400" s="15">
        <v>1997</v>
      </c>
      <c r="C2400" s="15">
        <v>5</v>
      </c>
      <c r="D2400" s="15">
        <v>8</v>
      </c>
      <c r="E2400" s="22" t="s">
        <v>228</v>
      </c>
      <c r="F2400" s="11" t="s">
        <v>18</v>
      </c>
      <c r="G2400" s="15">
        <v>142</v>
      </c>
      <c r="H2400" s="15" t="s">
        <v>29</v>
      </c>
      <c r="I2400" s="25">
        <v>8</v>
      </c>
      <c r="J2400" s="11" t="s">
        <v>19</v>
      </c>
      <c r="K2400" s="11" t="s">
        <v>20</v>
      </c>
      <c r="L2400" s="11" t="s">
        <v>21</v>
      </c>
      <c r="M2400" s="11" t="s">
        <v>27</v>
      </c>
      <c r="N2400" s="11" t="s">
        <v>25</v>
      </c>
      <c r="O2400" s="16" t="s">
        <v>29</v>
      </c>
      <c r="P2400" s="15">
        <v>217</v>
      </c>
      <c r="Q2400" s="8"/>
      <c r="R2400">
        <v>13.25</v>
      </c>
      <c r="S2400">
        <v>2325.4699999999998</v>
      </c>
      <c r="T2400">
        <v>3.44</v>
      </c>
      <c r="U2400">
        <v>9.51</v>
      </c>
      <c r="V2400">
        <v>132</v>
      </c>
      <c r="W2400" s="317">
        <v>3.9</v>
      </c>
      <c r="X2400" s="190">
        <f t="shared" si="106"/>
        <v>31.2</v>
      </c>
      <c r="Y2400" s="8"/>
      <c r="Z2400" s="8"/>
    </row>
    <row r="2401" spans="1:26" ht="12.75" customHeight="1" x14ac:dyDescent="0.2">
      <c r="A2401" s="15">
        <v>143</v>
      </c>
      <c r="B2401" s="15">
        <v>1997</v>
      </c>
      <c r="C2401" s="15">
        <v>5</v>
      </c>
      <c r="D2401" s="15">
        <v>8</v>
      </c>
      <c r="E2401" s="22" t="s">
        <v>228</v>
      </c>
      <c r="F2401" s="11" t="s">
        <v>18</v>
      </c>
      <c r="G2401" s="15">
        <v>125</v>
      </c>
      <c r="H2401" s="15" t="s">
        <v>29</v>
      </c>
      <c r="I2401" s="25">
        <v>11</v>
      </c>
      <c r="J2401" s="11" t="s">
        <v>19</v>
      </c>
      <c r="K2401" s="11" t="s">
        <v>20</v>
      </c>
      <c r="L2401" s="11" t="s">
        <v>30</v>
      </c>
      <c r="M2401" s="11" t="s">
        <v>46</v>
      </c>
      <c r="N2401" s="11" t="s">
        <v>23</v>
      </c>
      <c r="O2401" s="16" t="s">
        <v>29</v>
      </c>
      <c r="P2401" s="15">
        <v>217</v>
      </c>
      <c r="Q2401" s="8"/>
      <c r="R2401">
        <v>11.66</v>
      </c>
      <c r="S2401">
        <v>1586.26</v>
      </c>
      <c r="T2401">
        <v>6.93</v>
      </c>
      <c r="U2401">
        <v>8.3800000000000008</v>
      </c>
      <c r="V2401">
        <v>117</v>
      </c>
      <c r="W2401" s="317">
        <v>4.5999999999999996</v>
      </c>
      <c r="X2401" s="190">
        <f t="shared" si="106"/>
        <v>50.599999999999994</v>
      </c>
      <c r="Y2401" s="8"/>
      <c r="Z2401" s="8"/>
    </row>
    <row r="2402" spans="1:26" ht="12.75" customHeight="1" x14ac:dyDescent="0.2">
      <c r="A2402" s="15">
        <v>144</v>
      </c>
      <c r="B2402" s="15">
        <v>1997</v>
      </c>
      <c r="C2402" s="15">
        <v>5</v>
      </c>
      <c r="D2402" s="15">
        <v>8</v>
      </c>
      <c r="E2402" s="22" t="s">
        <v>228</v>
      </c>
      <c r="F2402" s="11" t="s">
        <v>18</v>
      </c>
      <c r="G2402" s="15">
        <v>149</v>
      </c>
      <c r="H2402" s="15" t="s">
        <v>29</v>
      </c>
      <c r="I2402" s="25">
        <v>12</v>
      </c>
      <c r="J2402" s="11" t="s">
        <v>19</v>
      </c>
      <c r="K2402" s="11" t="s">
        <v>20</v>
      </c>
      <c r="L2402" s="11" t="s">
        <v>21</v>
      </c>
      <c r="M2402" s="11" t="s">
        <v>27</v>
      </c>
      <c r="N2402" s="11" t="s">
        <v>23</v>
      </c>
      <c r="O2402" s="16" t="s">
        <v>29</v>
      </c>
      <c r="P2402" s="15">
        <v>217</v>
      </c>
      <c r="Q2402" s="8"/>
      <c r="R2402">
        <v>13.9</v>
      </c>
      <c r="S2402">
        <v>2686.6</v>
      </c>
      <c r="T2402">
        <v>4.47</v>
      </c>
      <c r="U2402">
        <v>9.98</v>
      </c>
      <c r="V2402">
        <v>139</v>
      </c>
      <c r="W2402" s="317">
        <v>3.9</v>
      </c>
      <c r="X2402" s="190">
        <f t="shared" si="106"/>
        <v>46.8</v>
      </c>
      <c r="Y2402" s="8"/>
      <c r="Z2402" s="8"/>
    </row>
    <row r="2403" spans="1:26" ht="12.75" customHeight="1" x14ac:dyDescent="0.2">
      <c r="A2403" s="15">
        <v>145</v>
      </c>
      <c r="B2403" s="15">
        <v>1997</v>
      </c>
      <c r="C2403" s="15">
        <v>5</v>
      </c>
      <c r="D2403" s="15">
        <v>8</v>
      </c>
      <c r="E2403" s="22" t="s">
        <v>228</v>
      </c>
      <c r="F2403" s="11" t="s">
        <v>18</v>
      </c>
      <c r="G2403" s="15">
        <v>137</v>
      </c>
      <c r="H2403" s="15" t="s">
        <v>29</v>
      </c>
      <c r="I2403" s="25">
        <v>13</v>
      </c>
      <c r="J2403" s="11" t="s">
        <v>19</v>
      </c>
      <c r="K2403" s="11" t="s">
        <v>20</v>
      </c>
      <c r="L2403" s="11" t="s">
        <v>30</v>
      </c>
      <c r="M2403" s="11" t="s">
        <v>27</v>
      </c>
      <c r="N2403" s="11" t="s">
        <v>23</v>
      </c>
      <c r="O2403" s="16" t="s">
        <v>29</v>
      </c>
      <c r="P2403" s="15">
        <v>217</v>
      </c>
      <c r="Q2403" s="8"/>
      <c r="R2403">
        <v>12.78</v>
      </c>
      <c r="S2403">
        <v>2088.37</v>
      </c>
      <c r="T2403">
        <v>6.22</v>
      </c>
      <c r="U2403">
        <v>9.18</v>
      </c>
      <c r="V2403">
        <v>128</v>
      </c>
      <c r="W2403" s="317">
        <v>4.5999999999999996</v>
      </c>
      <c r="X2403" s="190">
        <f t="shared" si="106"/>
        <v>59.8</v>
      </c>
      <c r="Y2403" s="8"/>
      <c r="Z2403" s="8"/>
    </row>
    <row r="2404" spans="1:26" ht="12.75" customHeight="1" x14ac:dyDescent="0.2">
      <c r="A2404" s="15">
        <v>146</v>
      </c>
      <c r="B2404" s="15">
        <v>1997</v>
      </c>
      <c r="C2404" s="15">
        <v>5</v>
      </c>
      <c r="D2404" s="15">
        <v>8</v>
      </c>
      <c r="E2404" s="22" t="s">
        <v>228</v>
      </c>
      <c r="F2404" s="11" t="s">
        <v>18</v>
      </c>
      <c r="G2404" s="15">
        <v>123</v>
      </c>
      <c r="H2404" s="15" t="s">
        <v>29</v>
      </c>
      <c r="I2404" s="25">
        <v>10</v>
      </c>
      <c r="J2404" s="11" t="s">
        <v>19</v>
      </c>
      <c r="K2404" s="11" t="s">
        <v>20</v>
      </c>
      <c r="L2404" s="11" t="s">
        <v>30</v>
      </c>
      <c r="M2404" s="11" t="s">
        <v>27</v>
      </c>
      <c r="N2404" s="11" t="s">
        <v>24</v>
      </c>
      <c r="O2404" s="16" t="s">
        <v>29</v>
      </c>
      <c r="P2404" s="15">
        <v>217</v>
      </c>
      <c r="Q2404" s="8"/>
      <c r="R2404">
        <v>11.48</v>
      </c>
      <c r="S2404">
        <v>1511.33</v>
      </c>
      <c r="T2404">
        <v>6.62</v>
      </c>
      <c r="U2404">
        <v>8.24</v>
      </c>
      <c r="V2404">
        <v>115</v>
      </c>
      <c r="W2404" s="317">
        <v>4.5999999999999996</v>
      </c>
      <c r="X2404" s="190">
        <f t="shared" si="106"/>
        <v>46</v>
      </c>
      <c r="Y2404" s="8"/>
      <c r="Z2404" s="8"/>
    </row>
    <row r="2405" spans="1:26" ht="12.75" customHeight="1" x14ac:dyDescent="0.2">
      <c r="A2405" s="15">
        <v>147</v>
      </c>
      <c r="B2405" s="15">
        <v>1997</v>
      </c>
      <c r="C2405" s="15">
        <v>5</v>
      </c>
      <c r="D2405" s="15">
        <v>8</v>
      </c>
      <c r="E2405" s="22" t="s">
        <v>228</v>
      </c>
      <c r="F2405" s="11" t="s">
        <v>18</v>
      </c>
      <c r="G2405" s="15">
        <v>138</v>
      </c>
      <c r="H2405" s="15" t="s">
        <v>29</v>
      </c>
      <c r="I2405" s="25">
        <v>11</v>
      </c>
      <c r="J2405" s="11" t="s">
        <v>19</v>
      </c>
      <c r="K2405" s="11" t="s">
        <v>20</v>
      </c>
      <c r="L2405" s="11" t="s">
        <v>30</v>
      </c>
      <c r="M2405" s="11" t="s">
        <v>27</v>
      </c>
      <c r="N2405" s="11" t="s">
        <v>25</v>
      </c>
      <c r="O2405" s="16" t="s">
        <v>29</v>
      </c>
      <c r="P2405" s="15">
        <v>217</v>
      </c>
      <c r="Q2405" s="8"/>
      <c r="R2405">
        <v>12.88</v>
      </c>
      <c r="S2405">
        <v>2134.4299999999998</v>
      </c>
      <c r="T2405">
        <v>5.15</v>
      </c>
      <c r="U2405">
        <v>9.25</v>
      </c>
      <c r="V2405">
        <v>129</v>
      </c>
      <c r="W2405" s="317">
        <v>4.5999999999999996</v>
      </c>
      <c r="X2405" s="190">
        <f t="shared" si="106"/>
        <v>50.599999999999994</v>
      </c>
      <c r="Y2405" s="8"/>
      <c r="Z2405" s="8"/>
    </row>
    <row r="2406" spans="1:26" ht="12.75" customHeight="1" x14ac:dyDescent="0.2">
      <c r="A2406" s="15">
        <v>148</v>
      </c>
      <c r="B2406" s="15">
        <v>1997</v>
      </c>
      <c r="C2406" s="15">
        <v>5</v>
      </c>
      <c r="D2406" s="15">
        <v>8</v>
      </c>
      <c r="E2406" s="22" t="s">
        <v>228</v>
      </c>
      <c r="F2406" s="11" t="s">
        <v>18</v>
      </c>
      <c r="G2406" s="15">
        <v>133</v>
      </c>
      <c r="H2406" s="15" t="s">
        <v>29</v>
      </c>
      <c r="I2406" s="25">
        <v>11</v>
      </c>
      <c r="J2406" s="11" t="s">
        <v>19</v>
      </c>
      <c r="K2406" s="11" t="s">
        <v>20</v>
      </c>
      <c r="L2406" s="11" t="s">
        <v>30</v>
      </c>
      <c r="M2406" s="11" t="s">
        <v>46</v>
      </c>
      <c r="N2406" s="11" t="s">
        <v>23</v>
      </c>
      <c r="O2406" s="16" t="s">
        <v>29</v>
      </c>
      <c r="P2406" s="15">
        <v>217</v>
      </c>
      <c r="Q2406" s="8"/>
      <c r="R2406">
        <v>12.41</v>
      </c>
      <c r="S2406">
        <v>1910.73</v>
      </c>
      <c r="T2406">
        <v>5.76</v>
      </c>
      <c r="U2406">
        <v>8.91</v>
      </c>
      <c r="V2406">
        <v>124</v>
      </c>
      <c r="W2406" s="317">
        <v>4.5999999999999996</v>
      </c>
      <c r="X2406" s="190">
        <f t="shared" si="106"/>
        <v>50.599999999999994</v>
      </c>
      <c r="Y2406" s="8"/>
      <c r="Z2406" s="8"/>
    </row>
    <row r="2407" spans="1:26" ht="12.75" customHeight="1" x14ac:dyDescent="0.2">
      <c r="A2407" s="15">
        <v>149</v>
      </c>
      <c r="B2407" s="15">
        <v>1997</v>
      </c>
      <c r="C2407" s="15">
        <v>5</v>
      </c>
      <c r="D2407" s="15">
        <v>8</v>
      </c>
      <c r="E2407" s="22" t="s">
        <v>228</v>
      </c>
      <c r="F2407" s="11" t="s">
        <v>18</v>
      </c>
      <c r="G2407" s="15">
        <v>148</v>
      </c>
      <c r="H2407" s="15" t="s">
        <v>29</v>
      </c>
      <c r="I2407" s="25">
        <v>15.5</v>
      </c>
      <c r="J2407" s="11" t="s">
        <v>19</v>
      </c>
      <c r="K2407" s="11" t="s">
        <v>20</v>
      </c>
      <c r="L2407" s="11" t="s">
        <v>30</v>
      </c>
      <c r="M2407" s="11" t="s">
        <v>46</v>
      </c>
      <c r="N2407" s="11" t="s">
        <v>23</v>
      </c>
      <c r="O2407" s="16" t="s">
        <v>29</v>
      </c>
      <c r="P2407" s="15">
        <v>217</v>
      </c>
      <c r="Q2407" s="8"/>
      <c r="R2407">
        <v>13.81</v>
      </c>
      <c r="S2407">
        <v>2632.87</v>
      </c>
      <c r="T2407">
        <v>5.89</v>
      </c>
      <c r="U2407">
        <v>9.92</v>
      </c>
      <c r="V2407">
        <v>138</v>
      </c>
      <c r="W2407" s="317">
        <v>4.5999999999999996</v>
      </c>
      <c r="X2407" s="190">
        <f t="shared" si="106"/>
        <v>71.3</v>
      </c>
      <c r="Y2407" s="8"/>
      <c r="Z2407" s="8"/>
    </row>
    <row r="2408" spans="1:26" ht="12.75" customHeight="1" x14ac:dyDescent="0.2">
      <c r="A2408" s="15">
        <v>150</v>
      </c>
      <c r="B2408" s="15">
        <v>1997</v>
      </c>
      <c r="C2408" s="15">
        <v>5</v>
      </c>
      <c r="D2408" s="15">
        <v>8</v>
      </c>
      <c r="E2408" s="22" t="s">
        <v>228</v>
      </c>
      <c r="F2408" s="11" t="s">
        <v>18</v>
      </c>
      <c r="G2408" s="15">
        <v>141</v>
      </c>
      <c r="H2408" s="15" t="s">
        <v>29</v>
      </c>
      <c r="I2408" s="25">
        <v>13</v>
      </c>
      <c r="J2408" s="11" t="s">
        <v>19</v>
      </c>
      <c r="K2408" s="11" t="s">
        <v>20</v>
      </c>
      <c r="L2408" s="11" t="s">
        <v>30</v>
      </c>
      <c r="M2408" s="11" t="s">
        <v>46</v>
      </c>
      <c r="N2408" s="11" t="s">
        <v>24</v>
      </c>
      <c r="O2408" s="16" t="s">
        <v>29</v>
      </c>
      <c r="P2408" s="15">
        <v>217</v>
      </c>
      <c r="Q2408" s="8"/>
      <c r="R2408">
        <v>13.16</v>
      </c>
      <c r="S2408">
        <v>2276.6799999999998</v>
      </c>
      <c r="T2408">
        <v>5.71</v>
      </c>
      <c r="U2408">
        <v>9.4499999999999993</v>
      </c>
      <c r="V2408">
        <v>132</v>
      </c>
      <c r="W2408" s="317">
        <v>4.5999999999999996</v>
      </c>
      <c r="X2408" s="190">
        <f t="shared" si="106"/>
        <v>59.8</v>
      </c>
      <c r="Y2408" s="8"/>
      <c r="Z2408" s="8"/>
    </row>
    <row r="2409" spans="1:26" ht="12.75" customHeight="1" x14ac:dyDescent="0.2">
      <c r="A2409" s="15">
        <v>151</v>
      </c>
      <c r="B2409" s="15">
        <v>1997</v>
      </c>
      <c r="C2409" s="15">
        <v>5</v>
      </c>
      <c r="D2409" s="15">
        <v>8</v>
      </c>
      <c r="E2409" s="22" t="s">
        <v>228</v>
      </c>
      <c r="F2409" s="11" t="s">
        <v>28</v>
      </c>
      <c r="G2409" s="11" t="s">
        <v>29</v>
      </c>
      <c r="H2409" s="15" t="s">
        <v>29</v>
      </c>
      <c r="I2409" s="25">
        <v>11</v>
      </c>
      <c r="J2409" s="11" t="s">
        <v>19</v>
      </c>
      <c r="K2409" s="11" t="s">
        <v>20</v>
      </c>
      <c r="L2409" s="11" t="s">
        <v>21</v>
      </c>
      <c r="M2409" s="11" t="s">
        <v>29</v>
      </c>
      <c r="N2409" s="11" t="s">
        <v>25</v>
      </c>
      <c r="O2409" s="16" t="s">
        <v>29</v>
      </c>
      <c r="P2409" s="15">
        <v>217</v>
      </c>
      <c r="Q2409" s="8"/>
      <c r="W2409" s="317">
        <v>3.9</v>
      </c>
      <c r="X2409" s="190">
        <f t="shared" si="106"/>
        <v>42.9</v>
      </c>
      <c r="Y2409" s="8"/>
      <c r="Z2409" s="8"/>
    </row>
    <row r="2410" spans="1:26" ht="12.75" customHeight="1" x14ac:dyDescent="0.2">
      <c r="A2410" s="15">
        <v>152</v>
      </c>
      <c r="B2410" s="15">
        <v>1997</v>
      </c>
      <c r="C2410" s="15">
        <v>5</v>
      </c>
      <c r="D2410" s="15">
        <v>8</v>
      </c>
      <c r="E2410" s="22" t="s">
        <v>228</v>
      </c>
      <c r="F2410" s="11" t="s">
        <v>18</v>
      </c>
      <c r="G2410" s="15">
        <v>148</v>
      </c>
      <c r="H2410" s="15" t="s">
        <v>29</v>
      </c>
      <c r="I2410" s="25">
        <v>16</v>
      </c>
      <c r="J2410" s="11" t="s">
        <v>19</v>
      </c>
      <c r="K2410" s="11" t="s">
        <v>20</v>
      </c>
      <c r="L2410" s="11" t="s">
        <v>30</v>
      </c>
      <c r="M2410" s="11" t="s">
        <v>45</v>
      </c>
      <c r="N2410" s="11" t="s">
        <v>23</v>
      </c>
      <c r="O2410" s="16" t="s">
        <v>29</v>
      </c>
      <c r="P2410" s="15">
        <v>217</v>
      </c>
      <c r="Q2410" s="8"/>
      <c r="R2410">
        <v>13.81</v>
      </c>
      <c r="S2410">
        <v>2632.87</v>
      </c>
      <c r="T2410">
        <v>6.08</v>
      </c>
      <c r="U2410">
        <v>9.92</v>
      </c>
      <c r="V2410">
        <v>138</v>
      </c>
      <c r="W2410" s="317">
        <v>4.5999999999999996</v>
      </c>
      <c r="X2410" s="190">
        <f t="shared" si="106"/>
        <v>73.599999999999994</v>
      </c>
      <c r="Y2410" s="8"/>
      <c r="Z2410" s="8"/>
    </row>
    <row r="2411" spans="1:26" ht="12.75" customHeight="1" x14ac:dyDescent="0.2">
      <c r="A2411" s="15">
        <v>153</v>
      </c>
      <c r="B2411" s="15">
        <v>1997</v>
      </c>
      <c r="C2411" s="15">
        <v>5</v>
      </c>
      <c r="D2411" s="15">
        <v>8</v>
      </c>
      <c r="E2411" s="22" t="s">
        <v>228</v>
      </c>
      <c r="F2411" s="11" t="s">
        <v>28</v>
      </c>
      <c r="G2411" s="11" t="s">
        <v>29</v>
      </c>
      <c r="H2411" s="15" t="s">
        <v>29</v>
      </c>
      <c r="I2411" s="25">
        <v>13.5</v>
      </c>
      <c r="J2411" s="11" t="s">
        <v>19</v>
      </c>
      <c r="K2411" s="11" t="s">
        <v>34</v>
      </c>
      <c r="L2411" s="11" t="s">
        <v>41</v>
      </c>
      <c r="M2411" s="11" t="s">
        <v>29</v>
      </c>
      <c r="N2411" s="11" t="s">
        <v>25</v>
      </c>
      <c r="O2411" s="16" t="s">
        <v>29</v>
      </c>
      <c r="P2411" s="15">
        <v>217</v>
      </c>
      <c r="Q2411" s="8"/>
      <c r="W2411" s="317">
        <v>3.8</v>
      </c>
      <c r="X2411" s="190">
        <f t="shared" si="106"/>
        <v>51.3</v>
      </c>
      <c r="Y2411" s="8"/>
      <c r="Z2411" s="8"/>
    </row>
    <row r="2412" spans="1:26" ht="12.75" customHeight="1" x14ac:dyDescent="0.2">
      <c r="A2412" s="15">
        <v>154</v>
      </c>
      <c r="B2412" s="15">
        <v>1997</v>
      </c>
      <c r="C2412" s="15">
        <v>5</v>
      </c>
      <c r="D2412" s="15">
        <v>8</v>
      </c>
      <c r="E2412" s="22" t="s">
        <v>228</v>
      </c>
      <c r="F2412" s="11" t="s">
        <v>18</v>
      </c>
      <c r="G2412" s="15">
        <v>137</v>
      </c>
      <c r="H2412" s="15" t="s">
        <v>29</v>
      </c>
      <c r="I2412" s="25">
        <v>11</v>
      </c>
      <c r="J2412" s="11" t="s">
        <v>19</v>
      </c>
      <c r="K2412" s="11" t="s">
        <v>20</v>
      </c>
      <c r="L2412" s="11" t="s">
        <v>21</v>
      </c>
      <c r="M2412" s="11" t="s">
        <v>45</v>
      </c>
      <c r="N2412" s="11" t="s">
        <v>39</v>
      </c>
      <c r="O2412" s="16" t="s">
        <v>29</v>
      </c>
      <c r="P2412" s="15">
        <v>217</v>
      </c>
      <c r="Q2412" s="8"/>
      <c r="R2412">
        <v>12.78</v>
      </c>
      <c r="S2412">
        <v>2088.37</v>
      </c>
      <c r="T2412">
        <v>5.27</v>
      </c>
      <c r="U2412">
        <v>9.18</v>
      </c>
      <c r="V2412">
        <v>128</v>
      </c>
      <c r="W2412" s="317">
        <v>3.9</v>
      </c>
      <c r="X2412" s="190">
        <f>I2412*W2412</f>
        <v>42.9</v>
      </c>
      <c r="Y2412" s="8"/>
      <c r="Z2412" s="8"/>
    </row>
    <row r="2413" spans="1:26" ht="12.75" customHeight="1" x14ac:dyDescent="0.2">
      <c r="A2413" s="15">
        <v>155</v>
      </c>
      <c r="B2413" s="15">
        <v>1997</v>
      </c>
      <c r="C2413" s="15">
        <v>5</v>
      </c>
      <c r="D2413" s="15">
        <v>8</v>
      </c>
      <c r="E2413" s="22" t="s">
        <v>228</v>
      </c>
      <c r="F2413" s="11" t="s">
        <v>18</v>
      </c>
      <c r="G2413" s="15">
        <v>135</v>
      </c>
      <c r="H2413" s="15" t="s">
        <v>29</v>
      </c>
      <c r="I2413" s="25">
        <v>12</v>
      </c>
      <c r="J2413" s="11" t="s">
        <v>19</v>
      </c>
      <c r="K2413" s="11" t="s">
        <v>20</v>
      </c>
      <c r="L2413" s="11" t="s">
        <v>30</v>
      </c>
      <c r="M2413" s="11" t="s">
        <v>45</v>
      </c>
      <c r="N2413" s="11" t="s">
        <v>25</v>
      </c>
      <c r="O2413" s="16" t="s">
        <v>29</v>
      </c>
      <c r="P2413" s="15">
        <v>217</v>
      </c>
      <c r="Q2413" s="8"/>
      <c r="R2413">
        <v>12.6</v>
      </c>
      <c r="S2413">
        <v>1998.23</v>
      </c>
      <c r="T2413">
        <v>6.01</v>
      </c>
      <c r="U2413">
        <v>9.0500000000000007</v>
      </c>
      <c r="V2413">
        <v>126</v>
      </c>
      <c r="W2413" s="317">
        <v>4.5999999999999996</v>
      </c>
      <c r="X2413" s="190">
        <f>I2413*W2413</f>
        <v>55.199999999999996</v>
      </c>
      <c r="Y2413" s="8"/>
      <c r="Z2413" s="8"/>
    </row>
    <row r="2414" spans="1:26" ht="12.75" customHeight="1" x14ac:dyDescent="0.2">
      <c r="A2414" s="15">
        <v>156</v>
      </c>
      <c r="B2414" s="15">
        <v>1997</v>
      </c>
      <c r="C2414" s="15">
        <v>5</v>
      </c>
      <c r="D2414" s="15">
        <v>8</v>
      </c>
      <c r="E2414" s="22" t="s">
        <v>228</v>
      </c>
      <c r="F2414" s="11" t="s">
        <v>18</v>
      </c>
      <c r="G2414" s="15">
        <v>100</v>
      </c>
      <c r="H2414" s="15" t="s">
        <v>29</v>
      </c>
      <c r="I2414" s="25">
        <v>6.5</v>
      </c>
      <c r="J2414" s="11" t="s">
        <v>209</v>
      </c>
      <c r="K2414" s="11" t="s">
        <v>29</v>
      </c>
      <c r="L2414" s="11" t="s">
        <v>29</v>
      </c>
      <c r="M2414" s="11" t="s">
        <v>46</v>
      </c>
      <c r="N2414" s="11" t="s">
        <v>25</v>
      </c>
      <c r="O2414" s="16" t="s">
        <v>29</v>
      </c>
      <c r="P2414" s="15">
        <v>217</v>
      </c>
      <c r="Q2414" s="8"/>
      <c r="R2414">
        <v>9.33</v>
      </c>
      <c r="S2414">
        <v>812.17</v>
      </c>
      <c r="T2414">
        <v>8</v>
      </c>
      <c r="U2414">
        <v>6.7</v>
      </c>
      <c r="V2414">
        <v>93</v>
      </c>
      <c r="W2414" s="8"/>
      <c r="X2414" s="8"/>
      <c r="Y2414" s="8"/>
      <c r="Z2414" s="8"/>
    </row>
    <row r="2415" spans="1:26" ht="12.75" customHeight="1" x14ac:dyDescent="0.2">
      <c r="A2415" s="15">
        <v>157</v>
      </c>
      <c r="B2415" s="15">
        <v>1997</v>
      </c>
      <c r="C2415" s="15">
        <v>5</v>
      </c>
      <c r="D2415" s="15">
        <v>8</v>
      </c>
      <c r="E2415" s="22" t="s">
        <v>228</v>
      </c>
      <c r="F2415" s="11" t="s">
        <v>18</v>
      </c>
      <c r="G2415" s="15">
        <v>133</v>
      </c>
      <c r="H2415" s="15" t="s">
        <v>29</v>
      </c>
      <c r="I2415" s="25">
        <v>9</v>
      </c>
      <c r="J2415" s="11" t="s">
        <v>19</v>
      </c>
      <c r="K2415" s="11" t="s">
        <v>20</v>
      </c>
      <c r="L2415" s="11" t="s">
        <v>30</v>
      </c>
      <c r="M2415" s="11" t="s">
        <v>47</v>
      </c>
      <c r="N2415" s="11" t="s">
        <v>24</v>
      </c>
      <c r="O2415" s="16" t="s">
        <v>29</v>
      </c>
      <c r="P2415" s="15">
        <v>217</v>
      </c>
      <c r="Q2415" s="8"/>
      <c r="R2415">
        <v>12.41</v>
      </c>
      <c r="S2415">
        <v>1910.73</v>
      </c>
      <c r="T2415">
        <v>4.71</v>
      </c>
      <c r="U2415">
        <v>8.91</v>
      </c>
      <c r="V2415">
        <v>124</v>
      </c>
      <c r="W2415" s="317">
        <v>4.5999999999999996</v>
      </c>
      <c r="X2415" s="190">
        <f t="shared" ref="X2415:X2426" si="107">I2415*W2415</f>
        <v>41.4</v>
      </c>
      <c r="Y2415" s="8"/>
      <c r="Z2415" s="8"/>
    </row>
    <row r="2416" spans="1:26" ht="12.75" customHeight="1" x14ac:dyDescent="0.2">
      <c r="A2416" s="15">
        <v>158</v>
      </c>
      <c r="B2416" s="15">
        <v>1997</v>
      </c>
      <c r="C2416" s="15">
        <v>5</v>
      </c>
      <c r="D2416" s="15">
        <v>8</v>
      </c>
      <c r="E2416" s="22" t="s">
        <v>228</v>
      </c>
      <c r="F2416" s="11" t="s">
        <v>18</v>
      </c>
      <c r="G2416" s="11" t="s">
        <v>29</v>
      </c>
      <c r="H2416" s="15" t="s">
        <v>29</v>
      </c>
      <c r="I2416" s="25">
        <v>9</v>
      </c>
      <c r="J2416" s="11" t="s">
        <v>19</v>
      </c>
      <c r="K2416" s="11" t="s">
        <v>20</v>
      </c>
      <c r="L2416" s="11" t="s">
        <v>21</v>
      </c>
      <c r="M2416" s="11" t="s">
        <v>47</v>
      </c>
      <c r="N2416" s="11" t="s">
        <v>25</v>
      </c>
      <c r="O2416" s="16" t="s">
        <v>29</v>
      </c>
      <c r="P2416" s="15">
        <v>217</v>
      </c>
      <c r="Q2416" s="8"/>
      <c r="W2416" s="317">
        <v>3.9</v>
      </c>
      <c r="X2416" s="190">
        <f t="shared" si="107"/>
        <v>35.1</v>
      </c>
      <c r="Y2416" s="8"/>
      <c r="Z2416" s="8"/>
    </row>
    <row r="2417" spans="1:26" ht="12.75" customHeight="1" x14ac:dyDescent="0.2">
      <c r="A2417" s="15">
        <v>159</v>
      </c>
      <c r="B2417" s="15">
        <v>1997</v>
      </c>
      <c r="C2417" s="15">
        <v>5</v>
      </c>
      <c r="D2417" s="15">
        <v>8</v>
      </c>
      <c r="E2417" s="22" t="s">
        <v>228</v>
      </c>
      <c r="F2417" s="11" t="s">
        <v>18</v>
      </c>
      <c r="G2417" s="15">
        <v>134</v>
      </c>
      <c r="H2417" s="15" t="s">
        <v>29</v>
      </c>
      <c r="I2417" s="25">
        <v>10</v>
      </c>
      <c r="J2417" s="11" t="s">
        <v>19</v>
      </c>
      <c r="K2417" s="11" t="s">
        <v>20</v>
      </c>
      <c r="L2417" s="11" t="s">
        <v>30</v>
      </c>
      <c r="M2417" s="11" t="s">
        <v>45</v>
      </c>
      <c r="N2417" s="11" t="s">
        <v>23</v>
      </c>
      <c r="O2417" s="16" t="s">
        <v>29</v>
      </c>
      <c r="P2417" s="15">
        <v>217</v>
      </c>
      <c r="Q2417" s="8"/>
      <c r="R2417">
        <v>12.5</v>
      </c>
      <c r="S2417">
        <v>1954.16</v>
      </c>
      <c r="T2417">
        <v>5.12</v>
      </c>
      <c r="U2417">
        <v>8.98</v>
      </c>
      <c r="V2417">
        <v>125</v>
      </c>
      <c r="W2417" s="317">
        <v>4.5999999999999996</v>
      </c>
      <c r="X2417" s="190">
        <f t="shared" si="107"/>
        <v>46</v>
      </c>
      <c r="Y2417" s="8"/>
      <c r="Z2417" s="8"/>
    </row>
    <row r="2418" spans="1:26" ht="12.75" customHeight="1" x14ac:dyDescent="0.2">
      <c r="A2418" s="15">
        <v>160</v>
      </c>
      <c r="B2418" s="15">
        <v>1997</v>
      </c>
      <c r="C2418" s="15">
        <v>5</v>
      </c>
      <c r="D2418" s="15">
        <v>8</v>
      </c>
      <c r="E2418" s="22" t="s">
        <v>228</v>
      </c>
      <c r="F2418" s="11" t="s">
        <v>18</v>
      </c>
      <c r="G2418" s="15">
        <v>137</v>
      </c>
      <c r="H2418" s="15" t="s">
        <v>29</v>
      </c>
      <c r="I2418" s="25">
        <v>9</v>
      </c>
      <c r="J2418" s="11" t="s">
        <v>19</v>
      </c>
      <c r="K2418" s="11" t="s">
        <v>20</v>
      </c>
      <c r="L2418" s="11" t="s">
        <v>35</v>
      </c>
      <c r="M2418" s="11" t="s">
        <v>46</v>
      </c>
      <c r="N2418" s="11" t="s">
        <v>23</v>
      </c>
      <c r="O2418" s="16" t="s">
        <v>29</v>
      </c>
      <c r="P2418" s="15">
        <v>217</v>
      </c>
      <c r="Q2418" s="8"/>
      <c r="R2418">
        <v>12.78</v>
      </c>
      <c r="S2418">
        <v>2088.37</v>
      </c>
      <c r="T2418">
        <v>4.3099999999999996</v>
      </c>
      <c r="U2418">
        <v>9.18</v>
      </c>
      <c r="V2418">
        <v>128</v>
      </c>
      <c r="W2418" s="317">
        <v>3.9</v>
      </c>
      <c r="X2418" s="190">
        <f t="shared" si="107"/>
        <v>35.1</v>
      </c>
      <c r="Y2418" s="8"/>
      <c r="Z2418" s="8"/>
    </row>
    <row r="2419" spans="1:26" ht="12.75" customHeight="1" x14ac:dyDescent="0.2">
      <c r="A2419" s="15">
        <v>161</v>
      </c>
      <c r="B2419" s="15">
        <v>1997</v>
      </c>
      <c r="C2419" s="15">
        <v>5</v>
      </c>
      <c r="D2419" s="15">
        <v>8</v>
      </c>
      <c r="E2419" s="22" t="s">
        <v>228</v>
      </c>
      <c r="F2419" s="11" t="s">
        <v>18</v>
      </c>
      <c r="G2419" s="15">
        <v>142</v>
      </c>
      <c r="H2419" s="15" t="s">
        <v>29</v>
      </c>
      <c r="I2419" s="25">
        <v>13.5</v>
      </c>
      <c r="J2419" s="11" t="s">
        <v>19</v>
      </c>
      <c r="K2419" s="11" t="s">
        <v>20</v>
      </c>
      <c r="L2419" s="11" t="s">
        <v>30</v>
      </c>
      <c r="M2419" s="11" t="s">
        <v>45</v>
      </c>
      <c r="N2419" s="11" t="s">
        <v>25</v>
      </c>
      <c r="O2419" s="16" t="s">
        <v>29</v>
      </c>
      <c r="P2419" s="15">
        <v>217</v>
      </c>
      <c r="Q2419" s="8"/>
      <c r="R2419">
        <v>13.25</v>
      </c>
      <c r="S2419">
        <v>2325.4699999999998</v>
      </c>
      <c r="T2419">
        <v>5.81</v>
      </c>
      <c r="U2419">
        <v>9.51</v>
      </c>
      <c r="V2419">
        <v>132</v>
      </c>
      <c r="W2419" s="317">
        <v>4.5999999999999996</v>
      </c>
      <c r="X2419" s="190">
        <f t="shared" si="107"/>
        <v>62.099999999999994</v>
      </c>
      <c r="Y2419" s="8"/>
      <c r="Z2419" s="8"/>
    </row>
    <row r="2420" spans="1:26" ht="12.75" customHeight="1" x14ac:dyDescent="0.2">
      <c r="A2420" s="15">
        <v>162</v>
      </c>
      <c r="B2420" s="15">
        <v>1997</v>
      </c>
      <c r="C2420" s="15">
        <v>5</v>
      </c>
      <c r="D2420" s="15">
        <v>8</v>
      </c>
      <c r="E2420" s="22" t="s">
        <v>228</v>
      </c>
      <c r="F2420" s="11" t="s">
        <v>18</v>
      </c>
      <c r="G2420" s="15">
        <v>126</v>
      </c>
      <c r="H2420" s="15" t="s">
        <v>29</v>
      </c>
      <c r="I2420" s="25">
        <v>8.5</v>
      </c>
      <c r="J2420" s="11" t="s">
        <v>19</v>
      </c>
      <c r="K2420" s="11" t="s">
        <v>20</v>
      </c>
      <c r="L2420" s="11" t="s">
        <v>30</v>
      </c>
      <c r="M2420" s="11" t="s">
        <v>46</v>
      </c>
      <c r="N2420" s="11" t="s">
        <v>24</v>
      </c>
      <c r="O2420" s="16" t="s">
        <v>29</v>
      </c>
      <c r="P2420" s="15">
        <v>217</v>
      </c>
      <c r="Q2420" s="8"/>
      <c r="R2420">
        <v>11.76</v>
      </c>
      <c r="S2420">
        <v>1624.64</v>
      </c>
      <c r="T2420">
        <v>5.23</v>
      </c>
      <c r="U2420">
        <v>8.44</v>
      </c>
      <c r="V2420">
        <v>118</v>
      </c>
      <c r="W2420" s="317">
        <v>4.5999999999999996</v>
      </c>
      <c r="X2420" s="190">
        <f t="shared" si="107"/>
        <v>39.099999999999994</v>
      </c>
      <c r="Y2420" s="8"/>
      <c r="Z2420" s="8"/>
    </row>
    <row r="2421" spans="1:26" ht="12.75" customHeight="1" x14ac:dyDescent="0.2">
      <c r="A2421" s="15">
        <v>163</v>
      </c>
      <c r="B2421" s="15">
        <v>1997</v>
      </c>
      <c r="C2421" s="15">
        <v>5</v>
      </c>
      <c r="D2421" s="15">
        <v>8</v>
      </c>
      <c r="E2421" s="22" t="s">
        <v>228</v>
      </c>
      <c r="F2421" s="11" t="s">
        <v>18</v>
      </c>
      <c r="G2421" s="15">
        <v>148</v>
      </c>
      <c r="H2421" s="15" t="s">
        <v>29</v>
      </c>
      <c r="I2421" s="25">
        <v>14</v>
      </c>
      <c r="J2421" s="11" t="s">
        <v>19</v>
      </c>
      <c r="K2421" s="11" t="s">
        <v>20</v>
      </c>
      <c r="L2421" s="11" t="s">
        <v>30</v>
      </c>
      <c r="M2421" s="11" t="s">
        <v>27</v>
      </c>
      <c r="N2421" s="11" t="s">
        <v>23</v>
      </c>
      <c r="O2421" s="16" t="s">
        <v>29</v>
      </c>
      <c r="P2421" s="15">
        <v>217</v>
      </c>
      <c r="Q2421" s="8"/>
      <c r="R2421">
        <v>13.81</v>
      </c>
      <c r="S2421">
        <v>2632.87</v>
      </c>
      <c r="T2421">
        <v>5.32</v>
      </c>
      <c r="U2421">
        <v>9.92</v>
      </c>
      <c r="V2421">
        <v>138</v>
      </c>
      <c r="W2421" s="317">
        <v>4.5999999999999996</v>
      </c>
      <c r="X2421" s="190">
        <f t="shared" si="107"/>
        <v>64.399999999999991</v>
      </c>
      <c r="Y2421" s="8"/>
      <c r="Z2421" s="8"/>
    </row>
    <row r="2422" spans="1:26" ht="12.75" customHeight="1" x14ac:dyDescent="0.2">
      <c r="A2422" s="15">
        <v>164</v>
      </c>
      <c r="B2422" s="15">
        <v>1997</v>
      </c>
      <c r="C2422" s="15">
        <v>5</v>
      </c>
      <c r="D2422" s="15">
        <v>8</v>
      </c>
      <c r="E2422" s="22" t="s">
        <v>228</v>
      </c>
      <c r="F2422" s="11" t="s">
        <v>18</v>
      </c>
      <c r="G2422" s="15">
        <v>150</v>
      </c>
      <c r="H2422" s="15" t="s">
        <v>29</v>
      </c>
      <c r="I2422" s="25">
        <v>16</v>
      </c>
      <c r="J2422" s="11" t="s">
        <v>19</v>
      </c>
      <c r="K2422" s="11" t="s">
        <v>20</v>
      </c>
      <c r="L2422" s="11" t="s">
        <v>30</v>
      </c>
      <c r="M2422" s="11" t="s">
        <v>45</v>
      </c>
      <c r="N2422" s="11" t="s">
        <v>23</v>
      </c>
      <c r="O2422" s="16" t="s">
        <v>29</v>
      </c>
      <c r="P2422" s="15">
        <v>217</v>
      </c>
      <c r="Q2422" s="8"/>
      <c r="R2422">
        <v>14</v>
      </c>
      <c r="S2422">
        <v>2741.06</v>
      </c>
      <c r="T2422">
        <v>5.84</v>
      </c>
      <c r="U2422">
        <v>10.050000000000001</v>
      </c>
      <c r="V2422">
        <v>140</v>
      </c>
      <c r="W2422" s="317">
        <v>4.5999999999999996</v>
      </c>
      <c r="X2422" s="190">
        <f t="shared" si="107"/>
        <v>73.599999999999994</v>
      </c>
      <c r="Y2422" s="8"/>
      <c r="Z2422" s="8"/>
    </row>
    <row r="2423" spans="1:26" ht="12.75" customHeight="1" x14ac:dyDescent="0.2">
      <c r="A2423" s="15">
        <v>165</v>
      </c>
      <c r="B2423" s="15">
        <v>1997</v>
      </c>
      <c r="C2423" s="15">
        <v>5</v>
      </c>
      <c r="D2423" s="15">
        <v>8</v>
      </c>
      <c r="E2423" s="22" t="s">
        <v>228</v>
      </c>
      <c r="F2423" s="11" t="s">
        <v>18</v>
      </c>
      <c r="G2423" s="15">
        <v>149</v>
      </c>
      <c r="H2423" s="15" t="s">
        <v>29</v>
      </c>
      <c r="I2423" s="25">
        <v>19</v>
      </c>
      <c r="J2423" s="11" t="s">
        <v>19</v>
      </c>
      <c r="K2423" s="11" t="s">
        <v>20</v>
      </c>
      <c r="L2423" s="11" t="s">
        <v>30</v>
      </c>
      <c r="M2423" s="11" t="s">
        <v>45</v>
      </c>
      <c r="N2423" s="11" t="s">
        <v>23</v>
      </c>
      <c r="O2423" s="16" t="s">
        <v>29</v>
      </c>
      <c r="P2423" s="15">
        <v>217</v>
      </c>
      <c r="Q2423" s="8"/>
      <c r="R2423">
        <v>13.9</v>
      </c>
      <c r="S2423">
        <v>2686.6</v>
      </c>
      <c r="T2423">
        <v>7.07</v>
      </c>
      <c r="U2423">
        <v>9.98</v>
      </c>
      <c r="V2423">
        <v>139</v>
      </c>
      <c r="W2423" s="317">
        <v>4.5999999999999996</v>
      </c>
      <c r="X2423" s="190">
        <f t="shared" si="107"/>
        <v>87.399999999999991</v>
      </c>
      <c r="Y2423" s="8"/>
      <c r="Z2423" s="8"/>
    </row>
    <row r="2424" spans="1:26" ht="12.75" customHeight="1" x14ac:dyDescent="0.2">
      <c r="A2424" s="15">
        <v>166</v>
      </c>
      <c r="B2424" s="15">
        <v>1997</v>
      </c>
      <c r="C2424" s="15">
        <v>5</v>
      </c>
      <c r="D2424" s="15">
        <v>8</v>
      </c>
      <c r="E2424" s="22" t="s">
        <v>228</v>
      </c>
      <c r="F2424" s="11" t="s">
        <v>28</v>
      </c>
      <c r="G2424" s="11" t="s">
        <v>29</v>
      </c>
      <c r="H2424" s="15" t="s">
        <v>29</v>
      </c>
      <c r="I2424" s="25">
        <v>11</v>
      </c>
      <c r="J2424" s="11" t="s">
        <v>19</v>
      </c>
      <c r="K2424" s="11" t="s">
        <v>20</v>
      </c>
      <c r="L2424" s="11" t="s">
        <v>21</v>
      </c>
      <c r="M2424" s="11" t="s">
        <v>46</v>
      </c>
      <c r="N2424" s="11" t="s">
        <v>24</v>
      </c>
      <c r="O2424" s="16" t="s">
        <v>29</v>
      </c>
      <c r="P2424" s="15">
        <v>217</v>
      </c>
      <c r="Q2424" s="8"/>
      <c r="W2424" s="317">
        <v>3.9</v>
      </c>
      <c r="X2424" s="190">
        <f t="shared" si="107"/>
        <v>42.9</v>
      </c>
      <c r="Y2424" s="8"/>
      <c r="Z2424" s="8"/>
    </row>
    <row r="2425" spans="1:26" ht="12.75" customHeight="1" x14ac:dyDescent="0.2">
      <c r="A2425" s="15">
        <v>167</v>
      </c>
      <c r="B2425" s="15">
        <v>1997</v>
      </c>
      <c r="C2425" s="15">
        <v>5</v>
      </c>
      <c r="D2425" s="15">
        <v>8</v>
      </c>
      <c r="E2425" s="22" t="s">
        <v>228</v>
      </c>
      <c r="F2425" s="11" t="s">
        <v>18</v>
      </c>
      <c r="G2425" s="15">
        <v>145</v>
      </c>
      <c r="H2425" s="15" t="s">
        <v>29</v>
      </c>
      <c r="I2425" s="25">
        <v>15</v>
      </c>
      <c r="J2425" s="11" t="s">
        <v>19</v>
      </c>
      <c r="K2425" s="11" t="s">
        <v>20</v>
      </c>
      <c r="L2425" s="11" t="s">
        <v>30</v>
      </c>
      <c r="M2425" s="11" t="s">
        <v>27</v>
      </c>
      <c r="N2425" s="11" t="s">
        <v>23</v>
      </c>
      <c r="O2425" s="16" t="s">
        <v>29</v>
      </c>
      <c r="P2425" s="15">
        <v>217</v>
      </c>
      <c r="Q2425" s="8"/>
      <c r="R2425">
        <v>13.53</v>
      </c>
      <c r="S2425">
        <v>2475.9899999999998</v>
      </c>
      <c r="T2425">
        <v>6.06</v>
      </c>
      <c r="U2425">
        <v>9.7200000000000006</v>
      </c>
      <c r="V2425">
        <v>135</v>
      </c>
      <c r="W2425" s="317">
        <v>4.5999999999999996</v>
      </c>
      <c r="X2425" s="190">
        <f t="shared" si="107"/>
        <v>69</v>
      </c>
      <c r="Y2425" s="8"/>
      <c r="Z2425" s="8"/>
    </row>
    <row r="2426" spans="1:26" ht="12.75" customHeight="1" x14ac:dyDescent="0.2">
      <c r="A2426" s="15">
        <v>168</v>
      </c>
      <c r="B2426" s="15">
        <v>1997</v>
      </c>
      <c r="C2426" s="15">
        <v>5</v>
      </c>
      <c r="D2426" s="15">
        <v>8</v>
      </c>
      <c r="E2426" s="22" t="s">
        <v>228</v>
      </c>
      <c r="F2426" s="11" t="s">
        <v>28</v>
      </c>
      <c r="G2426" s="11" t="s">
        <v>29</v>
      </c>
      <c r="H2426" s="15" t="s">
        <v>29</v>
      </c>
      <c r="I2426" s="25">
        <v>14</v>
      </c>
      <c r="J2426" s="11" t="s">
        <v>19</v>
      </c>
      <c r="K2426" s="11" t="s">
        <v>20</v>
      </c>
      <c r="L2426" s="11" t="s">
        <v>30</v>
      </c>
      <c r="M2426" s="11" t="s">
        <v>29</v>
      </c>
      <c r="N2426" s="11" t="s">
        <v>25</v>
      </c>
      <c r="O2426" s="16" t="s">
        <v>29</v>
      </c>
      <c r="P2426" s="15">
        <v>217</v>
      </c>
      <c r="Q2426" s="8"/>
      <c r="W2426" s="317">
        <v>4.5999999999999996</v>
      </c>
      <c r="X2426" s="190">
        <f t="shared" si="107"/>
        <v>64.399999999999991</v>
      </c>
      <c r="Y2426" s="8"/>
      <c r="Z2426" s="8"/>
    </row>
    <row r="2427" spans="1:26" ht="12.75" customHeight="1" x14ac:dyDescent="0.2">
      <c r="A2427" s="15">
        <v>169</v>
      </c>
      <c r="B2427" s="15">
        <v>1997</v>
      </c>
      <c r="C2427" s="15">
        <v>5</v>
      </c>
      <c r="D2427" s="15">
        <v>8</v>
      </c>
      <c r="E2427" s="22" t="s">
        <v>228</v>
      </c>
      <c r="F2427" s="11" t="s">
        <v>18</v>
      </c>
      <c r="G2427" s="15">
        <v>128</v>
      </c>
      <c r="H2427" s="15" t="s">
        <v>29</v>
      </c>
      <c r="I2427" s="25">
        <v>12.5</v>
      </c>
      <c r="J2427" s="11" t="s">
        <v>36</v>
      </c>
      <c r="K2427" s="11" t="s">
        <v>29</v>
      </c>
      <c r="L2427" s="11" t="s">
        <v>29</v>
      </c>
      <c r="M2427" s="11" t="s">
        <v>46</v>
      </c>
      <c r="N2427" s="11" t="s">
        <v>24</v>
      </c>
      <c r="O2427" s="16" t="s">
        <v>29</v>
      </c>
      <c r="P2427" s="15">
        <v>217</v>
      </c>
      <c r="Q2427" s="8"/>
      <c r="R2427">
        <v>11.94</v>
      </c>
      <c r="S2427">
        <v>1703.24</v>
      </c>
      <c r="T2427">
        <v>7.34</v>
      </c>
      <c r="U2427">
        <v>8.58</v>
      </c>
      <c r="V2427">
        <v>119</v>
      </c>
      <c r="W2427" s="8"/>
      <c r="X2427" s="8"/>
      <c r="Y2427" s="8"/>
      <c r="Z2427" s="8"/>
    </row>
    <row r="2428" spans="1:26" ht="12.75" customHeight="1" x14ac:dyDescent="0.2">
      <c r="A2428" s="15">
        <v>170</v>
      </c>
      <c r="B2428" s="15">
        <v>1997</v>
      </c>
      <c r="C2428" s="15">
        <v>3</v>
      </c>
      <c r="D2428" s="15">
        <v>8</v>
      </c>
      <c r="E2428" s="14">
        <v>0.4055555555555555</v>
      </c>
      <c r="F2428" s="11" t="s">
        <v>18</v>
      </c>
      <c r="G2428" s="15">
        <v>141</v>
      </c>
      <c r="H2428" s="15" t="s">
        <v>29</v>
      </c>
      <c r="I2428" s="25">
        <v>14.5</v>
      </c>
      <c r="J2428" s="11" t="s">
        <v>19</v>
      </c>
      <c r="K2428" s="11" t="s">
        <v>20</v>
      </c>
      <c r="L2428" s="11" t="s">
        <v>30</v>
      </c>
      <c r="M2428" s="11" t="s">
        <v>46</v>
      </c>
      <c r="N2428" s="11" t="s">
        <v>23</v>
      </c>
      <c r="O2428" s="16" t="s">
        <v>29</v>
      </c>
      <c r="P2428" s="15">
        <v>215</v>
      </c>
      <c r="Q2428" s="8"/>
      <c r="R2428">
        <v>13.16</v>
      </c>
      <c r="S2428">
        <v>2276.6799999999998</v>
      </c>
      <c r="T2428">
        <v>6.37</v>
      </c>
      <c r="U2428">
        <v>9.4499999999999993</v>
      </c>
      <c r="V2428">
        <v>132</v>
      </c>
      <c r="W2428" s="317">
        <v>4.5999999999999996</v>
      </c>
      <c r="X2428" s="190">
        <f t="shared" ref="X2428:X2438" si="108">I2428*W2428</f>
        <v>66.699999999999989</v>
      </c>
      <c r="Y2428" s="8"/>
      <c r="Z2428" s="8"/>
    </row>
    <row r="2429" spans="1:26" ht="12.75" customHeight="1" x14ac:dyDescent="0.2">
      <c r="A2429" s="15">
        <v>171</v>
      </c>
      <c r="B2429" s="15">
        <v>1997</v>
      </c>
      <c r="C2429" s="15">
        <v>3</v>
      </c>
      <c r="D2429" s="15">
        <v>8</v>
      </c>
      <c r="E2429" s="14">
        <v>0.4069444444444445</v>
      </c>
      <c r="F2429" s="11" t="s">
        <v>18</v>
      </c>
      <c r="G2429" s="15">
        <v>144</v>
      </c>
      <c r="H2429" s="15" t="s">
        <v>29</v>
      </c>
      <c r="I2429" s="25">
        <v>14</v>
      </c>
      <c r="J2429" s="11" t="s">
        <v>19</v>
      </c>
      <c r="K2429" s="11" t="s">
        <v>20</v>
      </c>
      <c r="L2429" s="11" t="s">
        <v>30</v>
      </c>
      <c r="M2429" s="11" t="s">
        <v>46</v>
      </c>
      <c r="N2429" s="11" t="s">
        <v>33</v>
      </c>
      <c r="O2429" s="16" t="s">
        <v>29</v>
      </c>
      <c r="P2429" s="15">
        <v>215</v>
      </c>
      <c r="Q2429" s="8"/>
      <c r="R2429">
        <v>13.44</v>
      </c>
      <c r="S2429">
        <v>2425.12</v>
      </c>
      <c r="T2429">
        <v>5.77</v>
      </c>
      <c r="U2429">
        <v>9.65</v>
      </c>
      <c r="V2429">
        <v>134</v>
      </c>
      <c r="W2429" s="317">
        <v>4.5999999999999996</v>
      </c>
      <c r="X2429" s="190">
        <f t="shared" si="108"/>
        <v>64.399999999999991</v>
      </c>
      <c r="Y2429" s="8"/>
      <c r="Z2429" s="8"/>
    </row>
    <row r="2430" spans="1:26" ht="12.75" customHeight="1" x14ac:dyDescent="0.2">
      <c r="A2430" s="15">
        <v>172</v>
      </c>
      <c r="B2430" s="15">
        <v>1997</v>
      </c>
      <c r="C2430" s="15">
        <v>3</v>
      </c>
      <c r="D2430" s="15">
        <v>8</v>
      </c>
      <c r="E2430" s="14">
        <v>0.4069444444444445</v>
      </c>
      <c r="F2430" s="11" t="s">
        <v>18</v>
      </c>
      <c r="G2430" s="15">
        <v>152</v>
      </c>
      <c r="H2430" s="15" t="s">
        <v>29</v>
      </c>
      <c r="I2430" s="25">
        <v>12</v>
      </c>
      <c r="J2430" s="11" t="s">
        <v>19</v>
      </c>
      <c r="K2430" s="11" t="s">
        <v>20</v>
      </c>
      <c r="L2430" s="11" t="s">
        <v>21</v>
      </c>
      <c r="M2430" s="11" t="s">
        <v>27</v>
      </c>
      <c r="N2430" s="11" t="s">
        <v>33</v>
      </c>
      <c r="O2430" s="16" t="s">
        <v>29</v>
      </c>
      <c r="P2430" s="15">
        <v>215</v>
      </c>
      <c r="Q2430" s="8"/>
      <c r="R2430">
        <v>14.18</v>
      </c>
      <c r="S2430">
        <v>2852.17</v>
      </c>
      <c r="T2430">
        <v>4.21</v>
      </c>
      <c r="U2430">
        <v>10.18</v>
      </c>
      <c r="V2430">
        <v>142</v>
      </c>
      <c r="W2430" s="317">
        <v>3.9</v>
      </c>
      <c r="X2430" s="190">
        <f t="shared" si="108"/>
        <v>46.8</v>
      </c>
      <c r="Y2430" s="8"/>
      <c r="Z2430" s="8"/>
    </row>
    <row r="2431" spans="1:26" ht="12.75" customHeight="1" x14ac:dyDescent="0.2">
      <c r="A2431" s="15">
        <v>173</v>
      </c>
      <c r="B2431" s="15">
        <v>1997</v>
      </c>
      <c r="C2431" s="15">
        <v>3</v>
      </c>
      <c r="D2431" s="15">
        <v>8</v>
      </c>
      <c r="E2431" s="14">
        <v>0.40763888888888888</v>
      </c>
      <c r="F2431" s="11" t="s">
        <v>18</v>
      </c>
      <c r="G2431" s="15">
        <v>141</v>
      </c>
      <c r="H2431" s="15" t="s">
        <v>29</v>
      </c>
      <c r="I2431" s="25">
        <v>10</v>
      </c>
      <c r="J2431" s="11" t="s">
        <v>19</v>
      </c>
      <c r="K2431" s="11" t="s">
        <v>20</v>
      </c>
      <c r="L2431" s="11" t="s">
        <v>30</v>
      </c>
      <c r="M2431" s="11" t="s">
        <v>45</v>
      </c>
      <c r="N2431" s="11" t="s">
        <v>25</v>
      </c>
      <c r="O2431" s="16" t="s">
        <v>29</v>
      </c>
      <c r="P2431" s="15">
        <v>215</v>
      </c>
      <c r="Q2431" s="8"/>
      <c r="R2431">
        <v>13.16</v>
      </c>
      <c r="S2431">
        <v>2276.6799999999998</v>
      </c>
      <c r="T2431">
        <v>4.3899999999999997</v>
      </c>
      <c r="U2431">
        <v>9.4499999999999993</v>
      </c>
      <c r="V2431">
        <v>132</v>
      </c>
      <c r="W2431" s="317">
        <v>4.5999999999999996</v>
      </c>
      <c r="X2431" s="190">
        <f t="shared" si="108"/>
        <v>46</v>
      </c>
      <c r="Y2431" s="8"/>
      <c r="Z2431" s="8"/>
    </row>
    <row r="2432" spans="1:26" ht="12.75" customHeight="1" x14ac:dyDescent="0.2">
      <c r="A2432" s="15">
        <v>174</v>
      </c>
      <c r="B2432" s="15">
        <v>1997</v>
      </c>
      <c r="C2432" s="15">
        <v>3</v>
      </c>
      <c r="D2432" s="15">
        <v>8</v>
      </c>
      <c r="E2432" s="14">
        <v>0.40833333333333338</v>
      </c>
      <c r="F2432" s="11" t="s">
        <v>18</v>
      </c>
      <c r="G2432" s="11" t="s">
        <v>29</v>
      </c>
      <c r="H2432" s="15" t="s">
        <v>29</v>
      </c>
      <c r="I2432" s="25">
        <v>9.5</v>
      </c>
      <c r="J2432" s="11" t="s">
        <v>19</v>
      </c>
      <c r="K2432" s="11" t="s">
        <v>20</v>
      </c>
      <c r="L2432" s="11" t="s">
        <v>30</v>
      </c>
      <c r="M2432" s="11" t="s">
        <v>27</v>
      </c>
      <c r="N2432" s="11" t="s">
        <v>25</v>
      </c>
      <c r="O2432" s="16" t="s">
        <v>29</v>
      </c>
      <c r="P2432" s="15">
        <v>215</v>
      </c>
      <c r="Q2432" s="8"/>
      <c r="W2432" s="317">
        <v>4.5999999999999996</v>
      </c>
      <c r="X2432" s="190">
        <f t="shared" si="108"/>
        <v>43.699999999999996</v>
      </c>
      <c r="Y2432" s="8"/>
      <c r="Z2432" s="8"/>
    </row>
    <row r="2433" spans="1:26" ht="12.75" customHeight="1" x14ac:dyDescent="0.2">
      <c r="A2433" s="15">
        <v>175</v>
      </c>
      <c r="B2433" s="15">
        <v>1997</v>
      </c>
      <c r="C2433" s="15">
        <v>3</v>
      </c>
      <c r="D2433" s="15">
        <v>8</v>
      </c>
      <c r="E2433" s="14">
        <v>0.40902777777777777</v>
      </c>
      <c r="F2433" s="11" t="s">
        <v>18</v>
      </c>
      <c r="G2433" s="15">
        <v>144</v>
      </c>
      <c r="H2433" s="15" t="s">
        <v>29</v>
      </c>
      <c r="I2433" s="25">
        <v>14.5</v>
      </c>
      <c r="J2433" s="11" t="s">
        <v>19</v>
      </c>
      <c r="K2433" s="11" t="s">
        <v>20</v>
      </c>
      <c r="L2433" s="11" t="s">
        <v>30</v>
      </c>
      <c r="M2433" s="11" t="s">
        <v>45</v>
      </c>
      <c r="N2433" s="11" t="s">
        <v>25</v>
      </c>
      <c r="O2433" s="16" t="s">
        <v>29</v>
      </c>
      <c r="P2433" s="15">
        <v>215</v>
      </c>
      <c r="Q2433" s="8"/>
      <c r="R2433">
        <v>13.44</v>
      </c>
      <c r="S2433">
        <v>2425.12</v>
      </c>
      <c r="T2433">
        <v>5.98</v>
      </c>
      <c r="U2433">
        <v>9.65</v>
      </c>
      <c r="V2433">
        <v>134</v>
      </c>
      <c r="W2433" s="317">
        <v>4.5999999999999996</v>
      </c>
      <c r="X2433" s="190">
        <f t="shared" si="108"/>
        <v>66.699999999999989</v>
      </c>
      <c r="Y2433" s="8"/>
      <c r="Z2433" s="8"/>
    </row>
    <row r="2434" spans="1:26" ht="12.75" customHeight="1" x14ac:dyDescent="0.2">
      <c r="A2434" s="15">
        <v>176</v>
      </c>
      <c r="B2434" s="15">
        <v>1997</v>
      </c>
      <c r="C2434" s="15">
        <v>3</v>
      </c>
      <c r="D2434" s="15">
        <v>8</v>
      </c>
      <c r="E2434" s="14">
        <v>0.40972222222222227</v>
      </c>
      <c r="F2434" s="11" t="s">
        <v>18</v>
      </c>
      <c r="G2434" s="11" t="s">
        <v>29</v>
      </c>
      <c r="H2434" s="15" t="s">
        <v>29</v>
      </c>
      <c r="I2434" s="25">
        <v>15.5</v>
      </c>
      <c r="J2434" s="11" t="s">
        <v>19</v>
      </c>
      <c r="K2434" s="11" t="s">
        <v>20</v>
      </c>
      <c r="L2434" s="11" t="s">
        <v>30</v>
      </c>
      <c r="M2434" s="11" t="s">
        <v>46</v>
      </c>
      <c r="N2434" s="11" t="s">
        <v>25</v>
      </c>
      <c r="O2434" s="16" t="s">
        <v>29</v>
      </c>
      <c r="P2434" s="15">
        <v>215</v>
      </c>
      <c r="Q2434" s="8"/>
      <c r="W2434" s="317">
        <v>4.5999999999999996</v>
      </c>
      <c r="X2434" s="190">
        <f t="shared" si="108"/>
        <v>71.3</v>
      </c>
      <c r="Y2434" s="8"/>
      <c r="Z2434" s="8"/>
    </row>
    <row r="2435" spans="1:26" ht="12.75" customHeight="1" x14ac:dyDescent="0.2">
      <c r="A2435" s="15">
        <v>177</v>
      </c>
      <c r="B2435" s="15">
        <v>1997</v>
      </c>
      <c r="C2435" s="15">
        <v>3</v>
      </c>
      <c r="D2435" s="15">
        <v>8</v>
      </c>
      <c r="E2435" s="14">
        <v>0.41041666666666665</v>
      </c>
      <c r="F2435" s="11" t="s">
        <v>18</v>
      </c>
      <c r="G2435" s="15">
        <v>142</v>
      </c>
      <c r="H2435" s="15" t="s">
        <v>29</v>
      </c>
      <c r="I2435" s="25">
        <v>14.5</v>
      </c>
      <c r="J2435" s="11" t="s">
        <v>19</v>
      </c>
      <c r="K2435" s="11" t="s">
        <v>20</v>
      </c>
      <c r="L2435" s="11" t="s">
        <v>30</v>
      </c>
      <c r="M2435" s="11" t="s">
        <v>45</v>
      </c>
      <c r="N2435" s="11" t="s">
        <v>23</v>
      </c>
      <c r="O2435" s="16" t="s">
        <v>29</v>
      </c>
      <c r="P2435" s="15">
        <v>215</v>
      </c>
      <c r="Q2435" s="8"/>
      <c r="R2435">
        <v>13.25</v>
      </c>
      <c r="S2435">
        <v>2325.4699999999998</v>
      </c>
      <c r="T2435">
        <v>6.24</v>
      </c>
      <c r="U2435">
        <v>9.51</v>
      </c>
      <c r="V2435">
        <v>132</v>
      </c>
      <c r="W2435" s="317">
        <v>4.5999999999999996</v>
      </c>
      <c r="X2435" s="190">
        <f t="shared" si="108"/>
        <v>66.699999999999989</v>
      </c>
      <c r="Y2435" s="8"/>
      <c r="Z2435" s="8"/>
    </row>
    <row r="2436" spans="1:26" ht="12.75" customHeight="1" x14ac:dyDescent="0.2">
      <c r="A2436" s="15">
        <v>178</v>
      </c>
      <c r="B2436" s="15">
        <v>1997</v>
      </c>
      <c r="C2436" s="15">
        <v>3</v>
      </c>
      <c r="D2436" s="15">
        <v>8</v>
      </c>
      <c r="E2436" s="14">
        <v>0.41041666666666665</v>
      </c>
      <c r="F2436" s="11" t="s">
        <v>18</v>
      </c>
      <c r="G2436" s="15">
        <v>169</v>
      </c>
      <c r="H2436" s="15" t="s">
        <v>29</v>
      </c>
      <c r="I2436" s="25">
        <v>25.5</v>
      </c>
      <c r="J2436" s="11" t="s">
        <v>19</v>
      </c>
      <c r="K2436" s="11" t="s">
        <v>20</v>
      </c>
      <c r="L2436" s="11" t="s">
        <v>30</v>
      </c>
      <c r="M2436" s="11" t="s">
        <v>45</v>
      </c>
      <c r="N2436" s="11" t="s">
        <v>24</v>
      </c>
      <c r="O2436" s="16" t="s">
        <v>29</v>
      </c>
      <c r="P2436" s="15">
        <v>215</v>
      </c>
      <c r="Q2436" s="8"/>
      <c r="R2436">
        <v>15.77</v>
      </c>
      <c r="S2436">
        <v>3920.17</v>
      </c>
      <c r="T2436">
        <v>6.5</v>
      </c>
      <c r="U2436">
        <v>11.32</v>
      </c>
      <c r="V2436">
        <v>158</v>
      </c>
      <c r="W2436" s="317">
        <v>4.5999999999999996</v>
      </c>
      <c r="X2436" s="190">
        <f t="shared" si="108"/>
        <v>117.3</v>
      </c>
      <c r="Y2436" s="8"/>
      <c r="Z2436" s="8"/>
    </row>
    <row r="2437" spans="1:26" ht="12.75" customHeight="1" x14ac:dyDescent="0.2">
      <c r="A2437" s="15">
        <v>179</v>
      </c>
      <c r="B2437" s="15">
        <v>1997</v>
      </c>
      <c r="C2437" s="15">
        <v>3</v>
      </c>
      <c r="D2437" s="15">
        <v>8</v>
      </c>
      <c r="E2437" s="14">
        <v>0.41250000000000003</v>
      </c>
      <c r="F2437" s="11" t="s">
        <v>18</v>
      </c>
      <c r="G2437" s="15">
        <v>151</v>
      </c>
      <c r="H2437" s="15" t="s">
        <v>29</v>
      </c>
      <c r="I2437" s="25">
        <v>14.5</v>
      </c>
      <c r="J2437" s="11" t="s">
        <v>19</v>
      </c>
      <c r="K2437" s="11" t="s">
        <v>20</v>
      </c>
      <c r="L2437" s="11" t="s">
        <v>30</v>
      </c>
      <c r="M2437" s="11" t="s">
        <v>47</v>
      </c>
      <c r="N2437" s="11" t="s">
        <v>25</v>
      </c>
      <c r="O2437" s="16" t="s">
        <v>29</v>
      </c>
      <c r="P2437" s="15">
        <v>215</v>
      </c>
      <c r="Q2437" s="8"/>
      <c r="R2437">
        <v>14.09</v>
      </c>
      <c r="S2437">
        <v>2796.25</v>
      </c>
      <c r="T2437">
        <v>5.19</v>
      </c>
      <c r="U2437">
        <v>10.119999999999999</v>
      </c>
      <c r="V2437">
        <v>141</v>
      </c>
      <c r="W2437" s="317">
        <v>4.5999999999999996</v>
      </c>
      <c r="X2437" s="190">
        <f t="shared" si="108"/>
        <v>66.699999999999989</v>
      </c>
      <c r="Y2437" s="8"/>
      <c r="Z2437" s="8"/>
    </row>
    <row r="2438" spans="1:26" ht="12.75" customHeight="1" x14ac:dyDescent="0.2">
      <c r="A2438" s="15">
        <v>180</v>
      </c>
      <c r="B2438" s="15">
        <v>1997</v>
      </c>
      <c r="C2438" s="15">
        <v>3</v>
      </c>
      <c r="D2438" s="15">
        <v>8</v>
      </c>
      <c r="E2438" s="14">
        <v>0.41597222222222219</v>
      </c>
      <c r="F2438" s="11" t="s">
        <v>18</v>
      </c>
      <c r="G2438" s="15">
        <v>155</v>
      </c>
      <c r="H2438" s="15" t="s">
        <v>29</v>
      </c>
      <c r="I2438" s="25">
        <v>20.5</v>
      </c>
      <c r="J2438" s="11" t="s">
        <v>19</v>
      </c>
      <c r="K2438" s="11" t="s">
        <v>34</v>
      </c>
      <c r="L2438" s="11" t="s">
        <v>41</v>
      </c>
      <c r="M2438" s="11" t="s">
        <v>45</v>
      </c>
      <c r="N2438" s="11" t="s">
        <v>33</v>
      </c>
      <c r="O2438" s="16" t="s">
        <v>29</v>
      </c>
      <c r="P2438" s="15">
        <v>215</v>
      </c>
      <c r="Q2438" s="8"/>
      <c r="R2438">
        <v>14.46</v>
      </c>
      <c r="S2438">
        <v>3024.41</v>
      </c>
      <c r="T2438">
        <v>6.78</v>
      </c>
      <c r="U2438">
        <v>10.39</v>
      </c>
      <c r="V2438">
        <v>145</v>
      </c>
      <c r="W2438" s="317">
        <v>3.8</v>
      </c>
      <c r="X2438" s="190">
        <f t="shared" si="108"/>
        <v>77.899999999999991</v>
      </c>
      <c r="Y2438" s="8"/>
      <c r="Z2438" s="8"/>
    </row>
    <row r="2439" spans="1:26" ht="12.75" customHeight="1" x14ac:dyDescent="0.2">
      <c r="A2439" s="15">
        <v>181</v>
      </c>
      <c r="B2439" s="15">
        <v>1997</v>
      </c>
      <c r="C2439" s="15">
        <v>3</v>
      </c>
      <c r="D2439" s="15">
        <v>8</v>
      </c>
      <c r="E2439" s="14">
        <v>0.4152777777777778</v>
      </c>
      <c r="F2439" s="11" t="s">
        <v>18</v>
      </c>
      <c r="G2439" s="15">
        <v>144</v>
      </c>
      <c r="H2439" s="15" t="s">
        <v>29</v>
      </c>
      <c r="I2439" s="25">
        <v>16.5</v>
      </c>
      <c r="J2439" s="11" t="s">
        <v>19</v>
      </c>
      <c r="K2439" s="11" t="s">
        <v>20</v>
      </c>
      <c r="L2439" s="11" t="s">
        <v>30</v>
      </c>
      <c r="M2439" s="11" t="s">
        <v>45</v>
      </c>
      <c r="N2439" s="11" t="s">
        <v>24</v>
      </c>
      <c r="O2439" s="16" t="s">
        <v>29</v>
      </c>
      <c r="P2439" s="15">
        <v>215</v>
      </c>
      <c r="Q2439" s="8"/>
      <c r="R2439">
        <v>13.44</v>
      </c>
      <c r="S2439">
        <v>2425.12</v>
      </c>
      <c r="T2439">
        <v>6.8</v>
      </c>
      <c r="U2439">
        <v>9.65</v>
      </c>
      <c r="V2439">
        <v>134</v>
      </c>
      <c r="W2439" s="317">
        <v>4.5999999999999996</v>
      </c>
      <c r="X2439" s="190">
        <f>I2439*W2439</f>
        <v>75.899999999999991</v>
      </c>
      <c r="Y2439" s="8"/>
      <c r="Z2439" s="8"/>
    </row>
    <row r="2440" spans="1:26" ht="12.75" customHeight="1" x14ac:dyDescent="0.2">
      <c r="A2440" s="15">
        <v>182</v>
      </c>
      <c r="B2440" s="15">
        <v>1997</v>
      </c>
      <c r="C2440" s="15">
        <v>3</v>
      </c>
      <c r="D2440" s="15">
        <v>8</v>
      </c>
      <c r="E2440" s="14">
        <v>0.41597222222222219</v>
      </c>
      <c r="F2440" s="11" t="s">
        <v>28</v>
      </c>
      <c r="G2440" s="11" t="s">
        <v>29</v>
      </c>
      <c r="H2440" s="15" t="s">
        <v>29</v>
      </c>
      <c r="I2440" s="25" t="s">
        <v>29</v>
      </c>
      <c r="J2440" s="11" t="s">
        <v>19</v>
      </c>
      <c r="K2440" s="11" t="s">
        <v>20</v>
      </c>
      <c r="L2440" s="11" t="s">
        <v>30</v>
      </c>
      <c r="M2440" s="11" t="s">
        <v>29</v>
      </c>
      <c r="N2440" s="11" t="s">
        <v>29</v>
      </c>
      <c r="O2440" s="16" t="s">
        <v>29</v>
      </c>
      <c r="P2440" s="15">
        <v>215</v>
      </c>
      <c r="Q2440" s="8"/>
      <c r="W2440" s="317">
        <v>4.5999999999999996</v>
      </c>
      <c r="X2440" s="190"/>
      <c r="Y2440" s="8"/>
      <c r="Z2440" s="8"/>
    </row>
    <row r="2441" spans="1:26" ht="12.75" customHeight="1" x14ac:dyDescent="0.2">
      <c r="A2441" s="15">
        <v>183</v>
      </c>
      <c r="B2441" s="15">
        <v>1997</v>
      </c>
      <c r="C2441" s="15">
        <v>3</v>
      </c>
      <c r="D2441" s="15">
        <v>8</v>
      </c>
      <c r="E2441" s="14">
        <v>0.41666666666666669</v>
      </c>
      <c r="F2441" s="11" t="s">
        <v>18</v>
      </c>
      <c r="G2441" s="11" t="s">
        <v>29</v>
      </c>
      <c r="H2441" s="15" t="s">
        <v>29</v>
      </c>
      <c r="I2441" s="25">
        <v>15.1</v>
      </c>
      <c r="J2441" s="11" t="s">
        <v>229</v>
      </c>
      <c r="K2441" s="11" t="s">
        <v>29</v>
      </c>
      <c r="L2441" s="11" t="s">
        <v>29</v>
      </c>
      <c r="M2441" s="11" t="s">
        <v>29</v>
      </c>
      <c r="N2441" s="11" t="s">
        <v>25</v>
      </c>
      <c r="O2441" s="16" t="s">
        <v>29</v>
      </c>
      <c r="P2441" s="15">
        <v>215</v>
      </c>
      <c r="Q2441" s="8"/>
      <c r="W2441" s="8"/>
      <c r="X2441" s="8"/>
      <c r="Y2441" s="8"/>
      <c r="Z2441" s="8"/>
    </row>
    <row r="2442" spans="1:26" ht="12.75" customHeight="1" x14ac:dyDescent="0.2">
      <c r="A2442" s="15">
        <v>184</v>
      </c>
      <c r="B2442" s="15">
        <v>1997</v>
      </c>
      <c r="C2442" s="15">
        <v>3</v>
      </c>
      <c r="D2442" s="15">
        <v>8</v>
      </c>
      <c r="E2442" s="14">
        <v>0.41736111111111113</v>
      </c>
      <c r="F2442" s="11" t="s">
        <v>28</v>
      </c>
      <c r="G2442" s="11" t="s">
        <v>29</v>
      </c>
      <c r="H2442" s="15" t="s">
        <v>29</v>
      </c>
      <c r="I2442" s="25">
        <v>15.5</v>
      </c>
      <c r="J2442" s="11" t="s">
        <v>19</v>
      </c>
      <c r="K2442" s="11" t="s">
        <v>20</v>
      </c>
      <c r="L2442" s="11" t="s">
        <v>30</v>
      </c>
      <c r="M2442" s="11" t="s">
        <v>46</v>
      </c>
      <c r="N2442" s="11" t="s">
        <v>33</v>
      </c>
      <c r="O2442" s="16" t="s">
        <v>29</v>
      </c>
      <c r="P2442" s="15">
        <v>215</v>
      </c>
      <c r="Q2442" s="8"/>
      <c r="W2442" s="317">
        <v>4.5999999999999996</v>
      </c>
      <c r="X2442" s="190">
        <f>I2442*W2442</f>
        <v>71.3</v>
      </c>
      <c r="Y2442" s="8"/>
      <c r="Z2442" s="8"/>
    </row>
    <row r="2443" spans="1:26" ht="12.75" customHeight="1" x14ac:dyDescent="0.2">
      <c r="A2443" s="15">
        <v>185</v>
      </c>
      <c r="B2443" s="15">
        <v>1997</v>
      </c>
      <c r="C2443" s="15">
        <v>3</v>
      </c>
      <c r="D2443" s="15">
        <v>8</v>
      </c>
      <c r="E2443" s="14">
        <v>0.41736111111111113</v>
      </c>
      <c r="F2443" s="11" t="s">
        <v>18</v>
      </c>
      <c r="G2443" s="15">
        <v>167</v>
      </c>
      <c r="H2443" s="15" t="s">
        <v>29</v>
      </c>
      <c r="I2443" s="25">
        <v>20.5</v>
      </c>
      <c r="J2443" s="11" t="s">
        <v>230</v>
      </c>
      <c r="K2443" s="11" t="s">
        <v>20</v>
      </c>
      <c r="L2443" s="11" t="s">
        <v>30</v>
      </c>
      <c r="M2443" s="11" t="s">
        <v>47</v>
      </c>
      <c r="N2443" s="11" t="s">
        <v>23</v>
      </c>
      <c r="O2443" s="16" t="s">
        <v>29</v>
      </c>
      <c r="P2443" s="15">
        <v>215</v>
      </c>
      <c r="Q2443" s="8"/>
      <c r="R2443">
        <v>15.58</v>
      </c>
      <c r="S2443">
        <v>3782.63</v>
      </c>
      <c r="T2443">
        <v>5.42</v>
      </c>
      <c r="U2443">
        <v>11.19</v>
      </c>
      <c r="V2443">
        <v>156</v>
      </c>
      <c r="W2443" s="317">
        <v>4.5999999999999996</v>
      </c>
      <c r="X2443" s="190">
        <f>I2443*W2443</f>
        <v>94.3</v>
      </c>
      <c r="Y2443" s="8"/>
      <c r="Z2443" s="8"/>
    </row>
    <row r="2444" spans="1:26" ht="12.75" customHeight="1" x14ac:dyDescent="0.2">
      <c r="A2444" s="15">
        <v>186</v>
      </c>
      <c r="B2444" s="15">
        <v>1997</v>
      </c>
      <c r="C2444" s="15">
        <v>3</v>
      </c>
      <c r="D2444" s="15">
        <v>8</v>
      </c>
      <c r="E2444" s="14">
        <v>0.42291666666666666</v>
      </c>
      <c r="F2444" s="11" t="s">
        <v>28</v>
      </c>
      <c r="G2444" s="11" t="s">
        <v>29</v>
      </c>
      <c r="H2444" s="15" t="s">
        <v>29</v>
      </c>
      <c r="I2444" s="25">
        <v>19.5</v>
      </c>
      <c r="J2444" s="11" t="s">
        <v>19</v>
      </c>
      <c r="K2444" s="11" t="s">
        <v>20</v>
      </c>
      <c r="L2444" s="11" t="s">
        <v>30</v>
      </c>
      <c r="M2444" s="11" t="s">
        <v>29</v>
      </c>
      <c r="N2444" s="11" t="s">
        <v>23</v>
      </c>
      <c r="O2444" s="16" t="s">
        <v>29</v>
      </c>
      <c r="P2444" s="15">
        <v>215</v>
      </c>
      <c r="Q2444" s="8"/>
      <c r="W2444" s="317">
        <v>4.5999999999999996</v>
      </c>
      <c r="X2444" s="190">
        <f>I2444*W2444</f>
        <v>89.699999999999989</v>
      </c>
      <c r="Y2444" s="8"/>
      <c r="Z2444" s="8"/>
    </row>
    <row r="2445" spans="1:26" ht="12.75" customHeight="1" x14ac:dyDescent="0.2">
      <c r="A2445" s="15">
        <v>187</v>
      </c>
      <c r="B2445" s="15">
        <v>1997</v>
      </c>
      <c r="C2445" s="15">
        <v>3</v>
      </c>
      <c r="D2445" s="15">
        <v>8</v>
      </c>
      <c r="E2445" s="14">
        <v>0.4236111111111111</v>
      </c>
      <c r="F2445" s="11" t="s">
        <v>18</v>
      </c>
      <c r="G2445" s="15">
        <v>146</v>
      </c>
      <c r="H2445" s="15" t="s">
        <v>29</v>
      </c>
      <c r="I2445" s="25">
        <v>19.5</v>
      </c>
      <c r="J2445" s="11" t="s">
        <v>19</v>
      </c>
      <c r="K2445" s="11" t="s">
        <v>34</v>
      </c>
      <c r="L2445" s="11" t="s">
        <v>41</v>
      </c>
      <c r="M2445" s="11" t="s">
        <v>45</v>
      </c>
      <c r="N2445" s="11" t="s">
        <v>24</v>
      </c>
      <c r="O2445" s="16" t="s">
        <v>29</v>
      </c>
      <c r="P2445" s="15">
        <v>215</v>
      </c>
      <c r="Q2445" s="8"/>
      <c r="R2445">
        <v>13.62</v>
      </c>
      <c r="S2445">
        <v>2527.5700000000002</v>
      </c>
      <c r="T2445">
        <v>7.71</v>
      </c>
      <c r="U2445">
        <v>9.7799999999999994</v>
      </c>
      <c r="V2445">
        <v>136</v>
      </c>
      <c r="W2445" s="317">
        <v>3.8</v>
      </c>
      <c r="X2445" s="190">
        <f>I2445*W2445</f>
        <v>74.099999999999994</v>
      </c>
      <c r="Y2445" s="8"/>
      <c r="Z2445" s="8"/>
    </row>
    <row r="2446" spans="1:26" ht="12.75" customHeight="1" x14ac:dyDescent="0.2">
      <c r="A2446" s="15">
        <v>188</v>
      </c>
      <c r="B2446" s="15">
        <v>1997</v>
      </c>
      <c r="C2446" s="15">
        <v>3</v>
      </c>
      <c r="D2446" s="15">
        <v>8</v>
      </c>
      <c r="E2446" s="14">
        <v>0.42430555555555555</v>
      </c>
      <c r="F2446" s="11" t="s">
        <v>18</v>
      </c>
      <c r="G2446" s="11" t="s">
        <v>29</v>
      </c>
      <c r="H2446" s="15" t="s">
        <v>29</v>
      </c>
      <c r="I2446" s="25">
        <v>6</v>
      </c>
      <c r="J2446" s="11" t="s">
        <v>19</v>
      </c>
      <c r="K2446" s="11" t="s">
        <v>20</v>
      </c>
      <c r="L2446" s="11" t="s">
        <v>30</v>
      </c>
      <c r="M2446" s="11" t="s">
        <v>45</v>
      </c>
      <c r="N2446" s="11" t="s">
        <v>25</v>
      </c>
      <c r="O2446" s="16" t="s">
        <v>29</v>
      </c>
      <c r="P2446" s="15">
        <v>215</v>
      </c>
      <c r="Q2446" s="8"/>
      <c r="W2446" s="317">
        <v>4.5999999999999996</v>
      </c>
      <c r="X2446" s="190">
        <f t="shared" ref="X2446:X2454" si="109">I2446*W2446</f>
        <v>27.599999999999998</v>
      </c>
      <c r="Y2446" s="8"/>
      <c r="Z2446" s="8"/>
    </row>
    <row r="2447" spans="1:26" ht="12.75" customHeight="1" x14ac:dyDescent="0.2">
      <c r="A2447" s="15">
        <v>189</v>
      </c>
      <c r="B2447" s="15">
        <v>1997</v>
      </c>
      <c r="C2447" s="15">
        <v>3</v>
      </c>
      <c r="D2447" s="15">
        <v>8</v>
      </c>
      <c r="E2447" s="14">
        <v>0.42499999999999999</v>
      </c>
      <c r="F2447" s="11" t="s">
        <v>18</v>
      </c>
      <c r="G2447" s="15">
        <v>153</v>
      </c>
      <c r="H2447" s="15" t="s">
        <v>29</v>
      </c>
      <c r="I2447" s="25">
        <v>18.5</v>
      </c>
      <c r="J2447" s="11" t="s">
        <v>19</v>
      </c>
      <c r="K2447" s="11" t="s">
        <v>20</v>
      </c>
      <c r="L2447" s="11" t="s">
        <v>30</v>
      </c>
      <c r="M2447" s="11" t="s">
        <v>46</v>
      </c>
      <c r="N2447" s="11" t="s">
        <v>24</v>
      </c>
      <c r="O2447" s="16" t="s">
        <v>29</v>
      </c>
      <c r="P2447" s="15">
        <v>215</v>
      </c>
      <c r="Q2447" s="8"/>
      <c r="R2447">
        <v>14.27</v>
      </c>
      <c r="S2447">
        <v>2908.84</v>
      </c>
      <c r="T2447">
        <v>6.36</v>
      </c>
      <c r="U2447">
        <v>10.25</v>
      </c>
      <c r="V2447">
        <v>143</v>
      </c>
      <c r="W2447" s="317">
        <v>4.5999999999999996</v>
      </c>
      <c r="X2447" s="190">
        <f t="shared" si="109"/>
        <v>85.1</v>
      </c>
      <c r="Y2447" s="8"/>
      <c r="Z2447" s="8"/>
    </row>
    <row r="2448" spans="1:26" ht="12.75" customHeight="1" x14ac:dyDescent="0.2">
      <c r="A2448" s="15">
        <v>190</v>
      </c>
      <c r="B2448" s="15">
        <v>1997</v>
      </c>
      <c r="C2448" s="15">
        <v>3</v>
      </c>
      <c r="D2448" s="15">
        <v>8</v>
      </c>
      <c r="E2448" s="14">
        <v>0.42569444444444443</v>
      </c>
      <c r="F2448" s="11" t="s">
        <v>18</v>
      </c>
      <c r="G2448" s="15">
        <v>133</v>
      </c>
      <c r="H2448" s="15" t="s">
        <v>29</v>
      </c>
      <c r="I2448" s="25">
        <v>8.5</v>
      </c>
      <c r="J2448" s="11" t="s">
        <v>19</v>
      </c>
      <c r="K2448" s="11" t="s">
        <v>20</v>
      </c>
      <c r="L2448" s="11" t="s">
        <v>21</v>
      </c>
      <c r="M2448" s="11" t="s">
        <v>46</v>
      </c>
      <c r="N2448" s="11" t="s">
        <v>24</v>
      </c>
      <c r="O2448" s="16" t="s">
        <v>29</v>
      </c>
      <c r="P2448" s="15">
        <v>215</v>
      </c>
      <c r="Q2448" s="8"/>
      <c r="R2448">
        <v>12.41</v>
      </c>
      <c r="S2448">
        <v>1910.73</v>
      </c>
      <c r="T2448">
        <v>4.45</v>
      </c>
      <c r="U2448">
        <v>8.91</v>
      </c>
      <c r="V2448">
        <v>124</v>
      </c>
      <c r="W2448" s="317">
        <v>3.9</v>
      </c>
      <c r="X2448" s="190">
        <f t="shared" si="109"/>
        <v>33.15</v>
      </c>
      <c r="Y2448" s="8"/>
      <c r="Z2448" s="8"/>
    </row>
    <row r="2449" spans="1:26" ht="12.75" customHeight="1" x14ac:dyDescent="0.2">
      <c r="A2449" s="15">
        <v>191</v>
      </c>
      <c r="B2449" s="15">
        <v>1997</v>
      </c>
      <c r="C2449" s="15">
        <v>3</v>
      </c>
      <c r="D2449" s="15">
        <v>8</v>
      </c>
      <c r="E2449" s="14">
        <v>0.4291666666666667</v>
      </c>
      <c r="F2449" s="11" t="s">
        <v>28</v>
      </c>
      <c r="G2449" s="15">
        <v>141</v>
      </c>
      <c r="H2449" s="15" t="s">
        <v>29</v>
      </c>
      <c r="I2449" s="25">
        <v>15.5</v>
      </c>
      <c r="J2449" s="11" t="s">
        <v>19</v>
      </c>
      <c r="K2449" s="11" t="s">
        <v>20</v>
      </c>
      <c r="L2449" s="11" t="s">
        <v>30</v>
      </c>
      <c r="M2449" s="11" t="s">
        <v>46</v>
      </c>
      <c r="N2449" s="11" t="s">
        <v>23</v>
      </c>
      <c r="O2449" s="16" t="s">
        <v>29</v>
      </c>
      <c r="P2449" s="15">
        <v>215</v>
      </c>
      <c r="Q2449" s="8"/>
      <c r="R2449">
        <v>13.16</v>
      </c>
      <c r="S2449">
        <v>2276.6799999999998</v>
      </c>
      <c r="T2449">
        <v>6.81</v>
      </c>
      <c r="U2449">
        <v>9.4499999999999993</v>
      </c>
      <c r="V2449">
        <v>132</v>
      </c>
      <c r="W2449" s="317">
        <v>4.5999999999999996</v>
      </c>
      <c r="X2449" s="190">
        <f t="shared" si="109"/>
        <v>71.3</v>
      </c>
      <c r="Y2449" s="8"/>
      <c r="Z2449" s="8"/>
    </row>
    <row r="2450" spans="1:26" ht="12.75" customHeight="1" x14ac:dyDescent="0.2">
      <c r="A2450" s="15">
        <v>192</v>
      </c>
      <c r="B2450" s="15">
        <v>1997</v>
      </c>
      <c r="C2450" s="15">
        <v>3</v>
      </c>
      <c r="D2450" s="15">
        <v>8</v>
      </c>
      <c r="E2450" s="14">
        <v>0.4375</v>
      </c>
      <c r="F2450" s="11" t="s">
        <v>18</v>
      </c>
      <c r="G2450" s="11" t="s">
        <v>29</v>
      </c>
      <c r="H2450" s="15" t="s">
        <v>29</v>
      </c>
      <c r="I2450" s="25">
        <v>9.5</v>
      </c>
      <c r="J2450" s="11" t="s">
        <v>19</v>
      </c>
      <c r="K2450" s="11" t="s">
        <v>20</v>
      </c>
      <c r="L2450" s="11" t="s">
        <v>30</v>
      </c>
      <c r="M2450" s="11" t="s">
        <v>29</v>
      </c>
      <c r="N2450" s="11" t="s">
        <v>39</v>
      </c>
      <c r="O2450" s="16" t="s">
        <v>29</v>
      </c>
      <c r="P2450" s="15">
        <v>215</v>
      </c>
      <c r="Q2450" s="8"/>
      <c r="W2450" s="317">
        <v>4.5999999999999996</v>
      </c>
      <c r="X2450" s="190">
        <f t="shared" si="109"/>
        <v>43.699999999999996</v>
      </c>
      <c r="Y2450" s="8"/>
      <c r="Z2450" s="8"/>
    </row>
    <row r="2451" spans="1:26" ht="12.75" customHeight="1" x14ac:dyDescent="0.2">
      <c r="A2451" s="15">
        <v>193</v>
      </c>
      <c r="B2451" s="15">
        <v>1997</v>
      </c>
      <c r="C2451" s="15">
        <v>3</v>
      </c>
      <c r="D2451" s="15">
        <v>8</v>
      </c>
      <c r="E2451" s="14">
        <v>0.4375</v>
      </c>
      <c r="F2451" s="11" t="s">
        <v>18</v>
      </c>
      <c r="G2451" s="15">
        <v>134</v>
      </c>
      <c r="H2451" s="15" t="s">
        <v>29</v>
      </c>
      <c r="I2451" s="25">
        <v>10</v>
      </c>
      <c r="J2451" s="11" t="s">
        <v>19</v>
      </c>
      <c r="K2451" s="11" t="s">
        <v>20</v>
      </c>
      <c r="L2451" s="11" t="s">
        <v>21</v>
      </c>
      <c r="M2451" s="11" t="s">
        <v>45</v>
      </c>
      <c r="N2451" s="11" t="s">
        <v>24</v>
      </c>
      <c r="O2451" s="16" t="s">
        <v>29</v>
      </c>
      <c r="P2451" s="15">
        <v>215</v>
      </c>
      <c r="Q2451" s="8"/>
      <c r="R2451">
        <v>12.5</v>
      </c>
      <c r="S2451">
        <v>1954.16</v>
      </c>
      <c r="T2451">
        <v>5.12</v>
      </c>
      <c r="U2451">
        <v>8.98</v>
      </c>
      <c r="V2451">
        <v>125</v>
      </c>
      <c r="W2451" s="317">
        <v>3.9</v>
      </c>
      <c r="X2451" s="190">
        <f t="shared" si="109"/>
        <v>39</v>
      </c>
      <c r="Y2451" s="8"/>
      <c r="Z2451" s="8"/>
    </row>
    <row r="2452" spans="1:26" ht="12.75" customHeight="1" x14ac:dyDescent="0.2">
      <c r="A2452" s="15">
        <v>194</v>
      </c>
      <c r="B2452" s="15">
        <v>1997</v>
      </c>
      <c r="C2452" s="15">
        <v>3</v>
      </c>
      <c r="D2452" s="15">
        <v>8</v>
      </c>
      <c r="E2452" s="14">
        <v>0.44444444444444442</v>
      </c>
      <c r="F2452" s="11" t="s">
        <v>18</v>
      </c>
      <c r="G2452" s="15">
        <v>156</v>
      </c>
      <c r="H2452" s="15" t="s">
        <v>29</v>
      </c>
      <c r="I2452" s="25">
        <v>14</v>
      </c>
      <c r="J2452" s="11" t="s">
        <v>19</v>
      </c>
      <c r="K2452" s="11" t="s">
        <v>20</v>
      </c>
      <c r="L2452" s="11" t="s">
        <v>30</v>
      </c>
      <c r="M2452" s="11" t="s">
        <v>46</v>
      </c>
      <c r="N2452" s="11" t="s">
        <v>24</v>
      </c>
      <c r="O2452" s="16" t="s">
        <v>29</v>
      </c>
      <c r="P2452" s="15">
        <v>215</v>
      </c>
      <c r="Q2452" s="8"/>
      <c r="R2452">
        <v>14.55</v>
      </c>
      <c r="S2452">
        <v>3083.32</v>
      </c>
      <c r="T2452">
        <v>4.54</v>
      </c>
      <c r="U2452">
        <v>10.45</v>
      </c>
      <c r="V2452">
        <v>146</v>
      </c>
      <c r="W2452" s="317">
        <v>4.5999999999999996</v>
      </c>
      <c r="X2452" s="190">
        <f t="shared" si="109"/>
        <v>64.399999999999991</v>
      </c>
      <c r="Y2452" s="8"/>
      <c r="Z2452" s="8"/>
    </row>
    <row r="2453" spans="1:26" ht="12.75" customHeight="1" x14ac:dyDescent="0.2">
      <c r="A2453" s="15">
        <v>195</v>
      </c>
      <c r="B2453" s="15">
        <v>1997</v>
      </c>
      <c r="C2453" s="15">
        <v>3</v>
      </c>
      <c r="D2453" s="15">
        <v>8</v>
      </c>
      <c r="E2453" s="14">
        <v>0.44444444444444442</v>
      </c>
      <c r="F2453" s="11" t="s">
        <v>18</v>
      </c>
      <c r="G2453" s="15">
        <v>171</v>
      </c>
      <c r="H2453" s="15" t="s">
        <v>29</v>
      </c>
      <c r="I2453" s="25">
        <v>14</v>
      </c>
      <c r="J2453" s="11" t="s">
        <v>19</v>
      </c>
      <c r="K2453" s="11" t="s">
        <v>20</v>
      </c>
      <c r="L2453" s="11" t="s">
        <v>30</v>
      </c>
      <c r="M2453" s="11" t="s">
        <v>45</v>
      </c>
      <c r="N2453" s="11" t="s">
        <v>24</v>
      </c>
      <c r="O2453" s="16" t="s">
        <v>29</v>
      </c>
      <c r="P2453" s="15">
        <v>215</v>
      </c>
      <c r="Q2453" s="8"/>
      <c r="R2453">
        <v>15.95</v>
      </c>
      <c r="S2453">
        <v>4061</v>
      </c>
      <c r="T2453">
        <v>3.45</v>
      </c>
      <c r="U2453">
        <v>11.46</v>
      </c>
      <c r="V2453">
        <v>160</v>
      </c>
      <c r="W2453" s="317">
        <v>4.5999999999999996</v>
      </c>
      <c r="X2453" s="190">
        <f t="shared" si="109"/>
        <v>64.399999999999991</v>
      </c>
      <c r="Y2453" s="8"/>
      <c r="Z2453" s="8"/>
    </row>
    <row r="2454" spans="1:26" ht="12.75" customHeight="1" x14ac:dyDescent="0.2">
      <c r="A2454" s="15">
        <v>196</v>
      </c>
      <c r="B2454" s="15">
        <v>1997</v>
      </c>
      <c r="C2454" s="15">
        <v>3</v>
      </c>
      <c r="D2454" s="15">
        <v>8</v>
      </c>
      <c r="E2454" s="14">
        <v>0.44444444444444442</v>
      </c>
      <c r="F2454" s="11" t="s">
        <v>18</v>
      </c>
      <c r="G2454" s="15">
        <v>161</v>
      </c>
      <c r="H2454" s="15" t="s">
        <v>29</v>
      </c>
      <c r="I2454" s="25">
        <v>19.5</v>
      </c>
      <c r="J2454" s="11" t="s">
        <v>19</v>
      </c>
      <c r="K2454" s="11" t="s">
        <v>20</v>
      </c>
      <c r="L2454" s="11" t="s">
        <v>30</v>
      </c>
      <c r="M2454" s="11" t="s">
        <v>27</v>
      </c>
      <c r="N2454" s="11" t="s">
        <v>23</v>
      </c>
      <c r="O2454" s="16" t="s">
        <v>29</v>
      </c>
      <c r="P2454" s="15">
        <v>215</v>
      </c>
      <c r="Q2454" s="8"/>
      <c r="R2454">
        <v>15.02</v>
      </c>
      <c r="S2454">
        <v>3389.4</v>
      </c>
      <c r="T2454">
        <v>5.75</v>
      </c>
      <c r="U2454">
        <v>10.79</v>
      </c>
      <c r="V2454">
        <v>150</v>
      </c>
      <c r="W2454" s="317">
        <v>4.5999999999999996</v>
      </c>
      <c r="X2454" s="190">
        <f t="shared" si="109"/>
        <v>89.699999999999989</v>
      </c>
      <c r="Y2454" s="8"/>
      <c r="Z2454" s="8"/>
    </row>
    <row r="2455" spans="1:26" ht="12.75" customHeight="1" x14ac:dyDescent="0.2">
      <c r="A2455" s="15">
        <v>197</v>
      </c>
      <c r="B2455" s="15">
        <v>1997</v>
      </c>
      <c r="C2455" s="15">
        <v>3</v>
      </c>
      <c r="D2455" s="15">
        <v>8</v>
      </c>
      <c r="E2455" s="14">
        <v>0.44444444444444442</v>
      </c>
      <c r="F2455" s="11" t="s">
        <v>18</v>
      </c>
      <c r="G2455" s="15">
        <v>104</v>
      </c>
      <c r="H2455" s="15" t="s">
        <v>29</v>
      </c>
      <c r="I2455" s="25">
        <v>7</v>
      </c>
      <c r="J2455" s="11" t="s">
        <v>230</v>
      </c>
      <c r="K2455" s="11" t="s">
        <v>29</v>
      </c>
      <c r="L2455" s="11" t="s">
        <v>29</v>
      </c>
      <c r="M2455" s="11" t="s">
        <v>29</v>
      </c>
      <c r="N2455" s="11" t="s">
        <v>24</v>
      </c>
      <c r="O2455" s="16" t="s">
        <v>29</v>
      </c>
      <c r="P2455" s="15">
        <v>215</v>
      </c>
      <c r="Q2455" s="8"/>
      <c r="R2455">
        <v>9.6999999999999993</v>
      </c>
      <c r="S2455">
        <v>913.58</v>
      </c>
      <c r="T2455">
        <v>7.66</v>
      </c>
      <c r="U2455">
        <v>6.97</v>
      </c>
      <c r="V2455">
        <v>97</v>
      </c>
      <c r="W2455" s="8"/>
      <c r="X2455" s="8"/>
      <c r="Y2455" s="8"/>
      <c r="Z2455" s="8"/>
    </row>
    <row r="2456" spans="1:26" ht="12.75" customHeight="1" x14ac:dyDescent="0.2">
      <c r="A2456" s="15">
        <v>198</v>
      </c>
      <c r="B2456" s="15">
        <v>1997</v>
      </c>
      <c r="C2456" s="15">
        <v>3</v>
      </c>
      <c r="D2456" s="15">
        <v>8</v>
      </c>
      <c r="E2456" s="14">
        <v>0.44444444444444442</v>
      </c>
      <c r="F2456" s="11" t="s">
        <v>18</v>
      </c>
      <c r="G2456" s="15">
        <v>73</v>
      </c>
      <c r="H2456" s="15" t="s">
        <v>29</v>
      </c>
      <c r="I2456" s="25">
        <v>1</v>
      </c>
      <c r="J2456" s="11" t="s">
        <v>231</v>
      </c>
      <c r="K2456" s="11" t="s">
        <v>29</v>
      </c>
      <c r="L2456" s="11" t="s">
        <v>29</v>
      </c>
      <c r="M2456" s="11" t="s">
        <v>29</v>
      </c>
      <c r="N2456" s="11" t="s">
        <v>24</v>
      </c>
      <c r="O2456" s="16" t="s">
        <v>29</v>
      </c>
      <c r="P2456" s="15">
        <v>215</v>
      </c>
      <c r="Q2456" s="8"/>
      <c r="R2456">
        <v>6.81</v>
      </c>
      <c r="S2456">
        <v>315.95</v>
      </c>
      <c r="T2456">
        <v>3.17</v>
      </c>
      <c r="U2456">
        <v>4.8899999999999997</v>
      </c>
      <c r="V2456">
        <v>68</v>
      </c>
      <c r="W2456" s="8"/>
      <c r="X2456" s="8"/>
      <c r="Y2456" s="8"/>
      <c r="Z2456" s="8"/>
    </row>
    <row r="2457" spans="1:26" ht="12.75" customHeight="1" x14ac:dyDescent="0.2">
      <c r="A2457" s="15">
        <v>199</v>
      </c>
      <c r="B2457" s="15">
        <v>1997</v>
      </c>
      <c r="C2457" s="15">
        <v>3</v>
      </c>
      <c r="D2457" s="15">
        <v>8</v>
      </c>
      <c r="E2457" s="14">
        <v>0.44444444444444442</v>
      </c>
      <c r="F2457" s="11" t="s">
        <v>18</v>
      </c>
      <c r="G2457" s="15">
        <v>140</v>
      </c>
      <c r="H2457" s="15" t="s">
        <v>29</v>
      </c>
      <c r="I2457" s="25">
        <v>14</v>
      </c>
      <c r="J2457" s="11" t="s">
        <v>19</v>
      </c>
      <c r="K2457" s="11" t="s">
        <v>20</v>
      </c>
      <c r="L2457" s="11" t="s">
        <v>30</v>
      </c>
      <c r="M2457" s="11" t="s">
        <v>46</v>
      </c>
      <c r="N2457" s="11" t="s">
        <v>24</v>
      </c>
      <c r="O2457" s="16" t="s">
        <v>29</v>
      </c>
      <c r="P2457" s="15">
        <v>215</v>
      </c>
      <c r="Q2457" s="8"/>
      <c r="R2457">
        <v>13.06</v>
      </c>
      <c r="S2457">
        <v>2228.58</v>
      </c>
      <c r="T2457">
        <v>6.28</v>
      </c>
      <c r="U2457">
        <v>9.3800000000000008</v>
      </c>
      <c r="V2457">
        <v>131</v>
      </c>
      <c r="W2457" s="317">
        <v>4.5999999999999996</v>
      </c>
      <c r="X2457" s="190">
        <f t="shared" ref="X2457:X2463" si="110">I2457*W2457</f>
        <v>64.399999999999991</v>
      </c>
      <c r="Y2457" s="8"/>
      <c r="Z2457" s="8"/>
    </row>
    <row r="2458" spans="1:26" ht="12.75" customHeight="1" x14ac:dyDescent="0.2">
      <c r="A2458" s="15">
        <v>200</v>
      </c>
      <c r="B2458" s="15">
        <v>1997</v>
      </c>
      <c r="C2458" s="15">
        <v>3</v>
      </c>
      <c r="D2458" s="15">
        <v>8</v>
      </c>
      <c r="E2458" s="14">
        <v>0.44444444444444442</v>
      </c>
      <c r="F2458" s="11" t="s">
        <v>18</v>
      </c>
      <c r="G2458" s="15">
        <v>125</v>
      </c>
      <c r="H2458" s="15" t="s">
        <v>29</v>
      </c>
      <c r="I2458" s="25">
        <v>14.2</v>
      </c>
      <c r="J2458" s="11" t="s">
        <v>19</v>
      </c>
      <c r="K2458" s="11" t="s">
        <v>20</v>
      </c>
      <c r="L2458" s="11" t="s">
        <v>30</v>
      </c>
      <c r="M2458" s="11" t="s">
        <v>27</v>
      </c>
      <c r="N2458" s="11" t="s">
        <v>23</v>
      </c>
      <c r="O2458" s="16" t="s">
        <v>29</v>
      </c>
      <c r="P2458" s="15">
        <v>215</v>
      </c>
      <c r="Q2458" s="8"/>
      <c r="R2458">
        <v>11.66</v>
      </c>
      <c r="S2458">
        <v>1586.26</v>
      </c>
      <c r="T2458">
        <v>8.9499999999999993</v>
      </c>
      <c r="U2458">
        <v>8.3800000000000008</v>
      </c>
      <c r="V2458">
        <v>117</v>
      </c>
      <c r="W2458" s="317">
        <v>4.5999999999999996</v>
      </c>
      <c r="X2458" s="190">
        <f t="shared" si="110"/>
        <v>65.319999999999993</v>
      </c>
      <c r="Y2458" s="8"/>
      <c r="Z2458" s="8"/>
    </row>
    <row r="2459" spans="1:26" ht="12.75" customHeight="1" x14ac:dyDescent="0.2">
      <c r="A2459" s="15">
        <v>201</v>
      </c>
      <c r="B2459" s="15">
        <v>1997</v>
      </c>
      <c r="C2459" s="15">
        <v>3</v>
      </c>
      <c r="D2459" s="15">
        <v>8</v>
      </c>
      <c r="E2459" s="14">
        <v>0.44444444444444442</v>
      </c>
      <c r="F2459" s="11" t="s">
        <v>18</v>
      </c>
      <c r="G2459" s="15">
        <v>165</v>
      </c>
      <c r="H2459" s="15" t="s">
        <v>29</v>
      </c>
      <c r="I2459" s="25">
        <v>24</v>
      </c>
      <c r="J2459" s="11" t="s">
        <v>19</v>
      </c>
      <c r="K2459" s="11" t="s">
        <v>20</v>
      </c>
      <c r="L2459" s="11" t="s">
        <v>30</v>
      </c>
      <c r="M2459" s="11" t="s">
        <v>45</v>
      </c>
      <c r="N2459" s="11" t="s">
        <v>25</v>
      </c>
      <c r="O2459" s="16" t="s">
        <v>29</v>
      </c>
      <c r="P2459" s="15">
        <v>215</v>
      </c>
      <c r="Q2459" s="8"/>
      <c r="R2459">
        <v>15.39</v>
      </c>
      <c r="S2459">
        <v>3648.35</v>
      </c>
      <c r="T2459">
        <v>6.58</v>
      </c>
      <c r="U2459">
        <v>11.06</v>
      </c>
      <c r="V2459">
        <v>154</v>
      </c>
      <c r="W2459" s="317">
        <v>4.5999999999999996</v>
      </c>
      <c r="X2459" s="190">
        <f t="shared" si="110"/>
        <v>110.39999999999999</v>
      </c>
      <c r="Y2459" s="8"/>
      <c r="Z2459" s="8"/>
    </row>
    <row r="2460" spans="1:26" ht="12.75" customHeight="1" x14ac:dyDescent="0.2">
      <c r="A2460" s="15">
        <v>202</v>
      </c>
      <c r="B2460" s="15">
        <v>1997</v>
      </c>
      <c r="C2460" s="15">
        <v>3</v>
      </c>
      <c r="D2460" s="15">
        <v>8</v>
      </c>
      <c r="E2460" s="14">
        <v>0.44444444444444442</v>
      </c>
      <c r="F2460" s="11" t="s">
        <v>18</v>
      </c>
      <c r="G2460" s="15">
        <v>160</v>
      </c>
      <c r="H2460" s="15" t="s">
        <v>29</v>
      </c>
      <c r="I2460" s="25">
        <v>19</v>
      </c>
      <c r="J2460" s="11" t="s">
        <v>19</v>
      </c>
      <c r="K2460" s="11" t="s">
        <v>20</v>
      </c>
      <c r="L2460" s="11" t="s">
        <v>30</v>
      </c>
      <c r="M2460" s="11" t="s">
        <v>47</v>
      </c>
      <c r="N2460" s="11" t="s">
        <v>24</v>
      </c>
      <c r="O2460" s="16" t="s">
        <v>29</v>
      </c>
      <c r="P2460" s="15">
        <v>215</v>
      </c>
      <c r="Q2460" s="8"/>
      <c r="R2460">
        <v>14.93</v>
      </c>
      <c r="S2460">
        <v>3326.63</v>
      </c>
      <c r="T2460">
        <v>5.71</v>
      </c>
      <c r="U2460">
        <v>10.72</v>
      </c>
      <c r="V2460">
        <v>149</v>
      </c>
      <c r="W2460" s="317">
        <v>4.5999999999999996</v>
      </c>
      <c r="X2460" s="190">
        <f t="shared" si="110"/>
        <v>87.399999999999991</v>
      </c>
      <c r="Y2460" s="8"/>
      <c r="Z2460" s="8"/>
    </row>
    <row r="2461" spans="1:26" ht="12.75" customHeight="1" x14ac:dyDescent="0.2">
      <c r="A2461" s="15">
        <v>203</v>
      </c>
      <c r="B2461" s="15">
        <v>1997</v>
      </c>
      <c r="C2461" s="15">
        <v>3</v>
      </c>
      <c r="D2461" s="15">
        <v>8</v>
      </c>
      <c r="E2461" s="14">
        <v>0.44444444444444442</v>
      </c>
      <c r="F2461" s="11" t="s">
        <v>18</v>
      </c>
      <c r="G2461" s="15">
        <v>149</v>
      </c>
      <c r="H2461" s="15" t="s">
        <v>29</v>
      </c>
      <c r="I2461" s="25">
        <v>14.5</v>
      </c>
      <c r="J2461" s="11" t="s">
        <v>19</v>
      </c>
      <c r="K2461" s="11" t="s">
        <v>20</v>
      </c>
      <c r="L2461" s="11" t="s">
        <v>30</v>
      </c>
      <c r="M2461" s="11" t="s">
        <v>27</v>
      </c>
      <c r="N2461" s="11" t="s">
        <v>25</v>
      </c>
      <c r="O2461" s="16" t="s">
        <v>29</v>
      </c>
      <c r="P2461" s="15">
        <v>215</v>
      </c>
      <c r="Q2461" s="8"/>
      <c r="R2461">
        <v>13.9</v>
      </c>
      <c r="S2461">
        <v>2686.6</v>
      </c>
      <c r="T2461">
        <v>5.4</v>
      </c>
      <c r="U2461">
        <v>9.98</v>
      </c>
      <c r="V2461">
        <v>139</v>
      </c>
      <c r="W2461" s="317">
        <v>4.5999999999999996</v>
      </c>
      <c r="X2461" s="190">
        <f t="shared" si="110"/>
        <v>66.699999999999989</v>
      </c>
      <c r="Y2461" s="8"/>
      <c r="Z2461" s="8"/>
    </row>
    <row r="2462" spans="1:26" ht="12.75" customHeight="1" x14ac:dyDescent="0.2">
      <c r="A2462" s="15">
        <v>204</v>
      </c>
      <c r="B2462" s="15">
        <v>1997</v>
      </c>
      <c r="C2462" s="15">
        <v>3</v>
      </c>
      <c r="D2462" s="15">
        <v>8</v>
      </c>
      <c r="E2462" s="14">
        <v>0.44444444444444442</v>
      </c>
      <c r="F2462" s="11" t="s">
        <v>18</v>
      </c>
      <c r="G2462" s="15">
        <v>167</v>
      </c>
      <c r="H2462" s="15" t="s">
        <v>29</v>
      </c>
      <c r="I2462" s="25">
        <v>20</v>
      </c>
      <c r="J2462" s="11" t="s">
        <v>19</v>
      </c>
      <c r="K2462" s="11" t="s">
        <v>20</v>
      </c>
      <c r="L2462" s="11" t="s">
        <v>30</v>
      </c>
      <c r="M2462" s="11" t="s">
        <v>46</v>
      </c>
      <c r="N2462" s="11" t="s">
        <v>23</v>
      </c>
      <c r="O2462" s="16" t="s">
        <v>29</v>
      </c>
      <c r="P2462" s="15">
        <v>215</v>
      </c>
      <c r="Q2462" s="8"/>
      <c r="R2462">
        <v>15.58</v>
      </c>
      <c r="S2462">
        <v>3782.63</v>
      </c>
      <c r="T2462">
        <v>5.29</v>
      </c>
      <c r="U2462">
        <v>11.19</v>
      </c>
      <c r="V2462">
        <v>156</v>
      </c>
      <c r="W2462" s="317">
        <v>4.5999999999999996</v>
      </c>
      <c r="X2462" s="190">
        <f t="shared" si="110"/>
        <v>92</v>
      </c>
      <c r="Y2462" s="8"/>
      <c r="Z2462" s="8"/>
    </row>
    <row r="2463" spans="1:26" ht="12.75" customHeight="1" x14ac:dyDescent="0.2">
      <c r="A2463" s="15">
        <v>205</v>
      </c>
      <c r="B2463" s="15">
        <v>1997</v>
      </c>
      <c r="C2463" s="15">
        <v>3</v>
      </c>
      <c r="D2463" s="15">
        <v>8</v>
      </c>
      <c r="E2463" s="14">
        <v>0.44444444444444442</v>
      </c>
      <c r="F2463" s="11" t="s">
        <v>18</v>
      </c>
      <c r="G2463" s="15">
        <v>140</v>
      </c>
      <c r="H2463" s="15" t="s">
        <v>29</v>
      </c>
      <c r="I2463" s="25">
        <v>14</v>
      </c>
      <c r="J2463" s="11" t="s">
        <v>19</v>
      </c>
      <c r="K2463" s="11" t="s">
        <v>20</v>
      </c>
      <c r="L2463" s="11" t="s">
        <v>30</v>
      </c>
      <c r="M2463" s="11" t="s">
        <v>45</v>
      </c>
      <c r="N2463" s="11" t="s">
        <v>23</v>
      </c>
      <c r="O2463" s="16" t="s">
        <v>29</v>
      </c>
      <c r="P2463" s="15">
        <v>215</v>
      </c>
      <c r="Q2463" s="8"/>
      <c r="R2463">
        <v>13.06</v>
      </c>
      <c r="S2463">
        <v>2228.58</v>
      </c>
      <c r="T2463">
        <v>6.28</v>
      </c>
      <c r="U2463">
        <v>9.3800000000000008</v>
      </c>
      <c r="V2463">
        <v>131</v>
      </c>
      <c r="W2463" s="317">
        <v>4.5999999999999996</v>
      </c>
      <c r="X2463" s="190">
        <f t="shared" si="110"/>
        <v>64.399999999999991</v>
      </c>
      <c r="Y2463" s="8"/>
      <c r="Z2463" s="8"/>
    </row>
    <row r="2464" spans="1:26" ht="12.75" customHeight="1" x14ac:dyDescent="0.2">
      <c r="A2464" s="15">
        <v>206</v>
      </c>
      <c r="B2464" s="15">
        <v>1997</v>
      </c>
      <c r="C2464" s="15">
        <v>3</v>
      </c>
      <c r="D2464" s="15">
        <v>8</v>
      </c>
      <c r="E2464" s="14">
        <v>0.44444444444444442</v>
      </c>
      <c r="F2464" s="11" t="s">
        <v>18</v>
      </c>
      <c r="G2464" s="15">
        <v>75</v>
      </c>
      <c r="H2464" s="15" t="s">
        <v>29</v>
      </c>
      <c r="I2464" s="25">
        <v>4</v>
      </c>
      <c r="J2464" s="11" t="s">
        <v>232</v>
      </c>
      <c r="K2464" s="11" t="s">
        <v>29</v>
      </c>
      <c r="L2464" s="11" t="s">
        <v>29</v>
      </c>
      <c r="M2464" s="11" t="s">
        <v>46</v>
      </c>
      <c r="N2464" s="11" t="s">
        <v>24</v>
      </c>
      <c r="O2464" s="16" t="s">
        <v>29</v>
      </c>
      <c r="P2464" s="15">
        <v>215</v>
      </c>
      <c r="Q2464" s="8"/>
      <c r="R2464">
        <v>7</v>
      </c>
      <c r="S2464">
        <v>342.63</v>
      </c>
      <c r="T2464">
        <v>11.67</v>
      </c>
      <c r="U2464">
        <v>5.03</v>
      </c>
      <c r="V2464">
        <v>70</v>
      </c>
      <c r="W2464" s="8"/>
      <c r="X2464" s="8"/>
      <c r="Y2464" s="8"/>
      <c r="Z2464" s="8"/>
    </row>
    <row r="2465" spans="1:26" ht="12.75" customHeight="1" x14ac:dyDescent="0.2">
      <c r="A2465" s="15">
        <v>207</v>
      </c>
      <c r="B2465" s="15">
        <v>1997</v>
      </c>
      <c r="C2465" s="15">
        <v>2</v>
      </c>
      <c r="D2465" s="15">
        <v>8</v>
      </c>
      <c r="E2465" s="14">
        <v>0.6791666666666667</v>
      </c>
      <c r="F2465" s="11" t="s">
        <v>28</v>
      </c>
      <c r="G2465" s="11" t="s">
        <v>29</v>
      </c>
      <c r="H2465" s="15" t="s">
        <v>29</v>
      </c>
      <c r="I2465" s="25">
        <v>8.5</v>
      </c>
      <c r="J2465" s="11" t="s">
        <v>19</v>
      </c>
      <c r="K2465" s="11" t="s">
        <v>20</v>
      </c>
      <c r="L2465" s="11" t="s">
        <v>30</v>
      </c>
      <c r="M2465" s="11" t="s">
        <v>29</v>
      </c>
      <c r="N2465" s="11" t="s">
        <v>29</v>
      </c>
      <c r="O2465" s="16" t="s">
        <v>29</v>
      </c>
      <c r="P2465" s="15">
        <v>214</v>
      </c>
      <c r="Q2465" s="8"/>
      <c r="W2465" s="317">
        <v>4.5999999999999996</v>
      </c>
      <c r="X2465" s="190">
        <f>I2465*W2465</f>
        <v>39.099999999999994</v>
      </c>
      <c r="Y2465" s="8"/>
      <c r="Z2465" s="8"/>
    </row>
    <row r="2466" spans="1:26" ht="12.75" customHeight="1" x14ac:dyDescent="0.2">
      <c r="A2466" s="15">
        <v>208</v>
      </c>
      <c r="B2466" s="15">
        <v>1997</v>
      </c>
      <c r="C2466" s="15">
        <v>2</v>
      </c>
      <c r="D2466" s="15">
        <v>8</v>
      </c>
      <c r="E2466" s="14">
        <v>0.68055555555555547</v>
      </c>
      <c r="F2466" s="11" t="s">
        <v>28</v>
      </c>
      <c r="G2466" s="11" t="s">
        <v>29</v>
      </c>
      <c r="H2466" s="15" t="s">
        <v>29</v>
      </c>
      <c r="I2466" s="25">
        <v>13</v>
      </c>
      <c r="J2466" s="11" t="s">
        <v>19</v>
      </c>
      <c r="K2466" s="11" t="s">
        <v>34</v>
      </c>
      <c r="L2466" s="11" t="s">
        <v>41</v>
      </c>
      <c r="M2466" s="11" t="s">
        <v>46</v>
      </c>
      <c r="N2466" s="11" t="s">
        <v>23</v>
      </c>
      <c r="O2466" s="16" t="s">
        <v>29</v>
      </c>
      <c r="P2466" s="15">
        <v>214</v>
      </c>
      <c r="Q2466" s="8"/>
      <c r="W2466" s="317">
        <v>3.8</v>
      </c>
      <c r="X2466" s="190">
        <f>I2466*W2466</f>
        <v>49.4</v>
      </c>
      <c r="Y2466" s="8"/>
      <c r="Z2466" s="8"/>
    </row>
    <row r="2467" spans="1:26" ht="12.75" customHeight="1" x14ac:dyDescent="0.2">
      <c r="A2467" s="15">
        <v>209</v>
      </c>
      <c r="B2467" s="15">
        <v>1997</v>
      </c>
      <c r="C2467" s="15">
        <v>2</v>
      </c>
      <c r="D2467" s="15">
        <v>8</v>
      </c>
      <c r="E2467" s="39">
        <v>0.68194444444444446</v>
      </c>
      <c r="F2467" s="11" t="s">
        <v>18</v>
      </c>
      <c r="G2467" s="15">
        <v>152</v>
      </c>
      <c r="H2467" s="15" t="s">
        <v>29</v>
      </c>
      <c r="I2467" s="25">
        <v>11.5</v>
      </c>
      <c r="J2467" s="11" t="s">
        <v>229</v>
      </c>
      <c r="K2467" s="11" t="s">
        <v>29</v>
      </c>
      <c r="L2467" s="11" t="s">
        <v>29</v>
      </c>
      <c r="M2467" s="11" t="s">
        <v>27</v>
      </c>
      <c r="N2467" s="11" t="s">
        <v>24</v>
      </c>
      <c r="O2467" s="16" t="s">
        <v>29</v>
      </c>
      <c r="P2467" s="15">
        <v>214</v>
      </c>
      <c r="Q2467" s="8"/>
      <c r="R2467">
        <v>14.18</v>
      </c>
      <c r="S2467">
        <v>2852.17</v>
      </c>
      <c r="T2467">
        <v>4.03</v>
      </c>
      <c r="U2467">
        <v>10.18</v>
      </c>
      <c r="V2467">
        <v>142</v>
      </c>
      <c r="W2467" s="8"/>
      <c r="X2467" s="8"/>
      <c r="Y2467" s="8"/>
      <c r="Z2467" s="8"/>
    </row>
    <row r="2468" spans="1:26" ht="12.75" customHeight="1" x14ac:dyDescent="0.2">
      <c r="A2468" s="15">
        <v>210</v>
      </c>
      <c r="B2468" s="15">
        <v>1997</v>
      </c>
      <c r="C2468" s="15">
        <v>2</v>
      </c>
      <c r="D2468" s="15">
        <v>8</v>
      </c>
      <c r="E2468" s="14">
        <v>0.68263888888888891</v>
      </c>
      <c r="F2468" s="11" t="s">
        <v>18</v>
      </c>
      <c r="G2468" s="15">
        <v>158</v>
      </c>
      <c r="H2468" s="15" t="s">
        <v>29</v>
      </c>
      <c r="I2468" s="25">
        <v>19</v>
      </c>
      <c r="J2468" s="11" t="s">
        <v>19</v>
      </c>
      <c r="K2468" s="11" t="s">
        <v>20</v>
      </c>
      <c r="L2468" s="11" t="s">
        <v>30</v>
      </c>
      <c r="M2468" s="11" t="s">
        <v>47</v>
      </c>
      <c r="N2468" s="11" t="s">
        <v>39</v>
      </c>
      <c r="O2468" s="16" t="s">
        <v>29</v>
      </c>
      <c r="P2468" s="15">
        <v>214</v>
      </c>
      <c r="Q2468" s="8"/>
      <c r="W2468" s="317">
        <v>4.5999999999999996</v>
      </c>
      <c r="X2468" s="190">
        <f>I2468*W2468</f>
        <v>87.399999999999991</v>
      </c>
      <c r="Y2468" s="8"/>
      <c r="Z2468" s="8"/>
    </row>
    <row r="2469" spans="1:26" ht="12.75" customHeight="1" x14ac:dyDescent="0.2">
      <c r="A2469" s="15">
        <v>211</v>
      </c>
      <c r="B2469" s="15">
        <v>1997</v>
      </c>
      <c r="C2469" s="15">
        <v>2</v>
      </c>
      <c r="D2469" s="15">
        <v>8</v>
      </c>
      <c r="E2469" s="14">
        <v>0.68472222222222223</v>
      </c>
      <c r="F2469" s="11" t="s">
        <v>28</v>
      </c>
      <c r="G2469" s="11" t="s">
        <v>29</v>
      </c>
      <c r="H2469" s="15" t="s">
        <v>29</v>
      </c>
      <c r="I2469" s="25">
        <v>7</v>
      </c>
      <c r="J2469" s="11" t="s">
        <v>19</v>
      </c>
      <c r="K2469" s="11" t="s">
        <v>20</v>
      </c>
      <c r="L2469" s="11" t="s">
        <v>30</v>
      </c>
      <c r="M2469" s="11" t="s">
        <v>46</v>
      </c>
      <c r="N2469" s="11" t="s">
        <v>39</v>
      </c>
      <c r="O2469" s="16" t="s">
        <v>29</v>
      </c>
      <c r="P2469" s="15">
        <v>214</v>
      </c>
      <c r="Q2469" s="8"/>
      <c r="W2469" s="317">
        <v>4.5999999999999996</v>
      </c>
      <c r="X2469" s="190">
        <f>I2469*W2469</f>
        <v>32.199999999999996</v>
      </c>
      <c r="Y2469" s="8"/>
      <c r="Z2469" s="8"/>
    </row>
    <row r="2470" spans="1:26" ht="12.75" customHeight="1" x14ac:dyDescent="0.2">
      <c r="A2470" s="15">
        <v>212</v>
      </c>
      <c r="B2470" s="15">
        <v>1997</v>
      </c>
      <c r="C2470" s="15">
        <v>2</v>
      </c>
      <c r="D2470" s="15">
        <v>8</v>
      </c>
      <c r="E2470" s="14">
        <v>0.68611111111111101</v>
      </c>
      <c r="F2470" s="11" t="s">
        <v>18</v>
      </c>
      <c r="G2470" s="15">
        <v>161</v>
      </c>
      <c r="H2470" s="15" t="s">
        <v>29</v>
      </c>
      <c r="I2470" s="25">
        <v>21</v>
      </c>
      <c r="J2470" s="11" t="s">
        <v>19</v>
      </c>
      <c r="K2470" s="11" t="s">
        <v>34</v>
      </c>
      <c r="L2470" s="11" t="s">
        <v>41</v>
      </c>
      <c r="M2470" s="11" t="s">
        <v>46</v>
      </c>
      <c r="N2470" s="11" t="s">
        <v>23</v>
      </c>
      <c r="O2470" s="16" t="s">
        <v>29</v>
      </c>
      <c r="P2470" s="15">
        <v>214</v>
      </c>
      <c r="Q2470" s="8"/>
      <c r="R2470">
        <v>15.02</v>
      </c>
      <c r="S2470">
        <v>3389.4</v>
      </c>
      <c r="T2470">
        <v>6.2</v>
      </c>
      <c r="U2470">
        <v>10.79</v>
      </c>
      <c r="V2470">
        <v>150</v>
      </c>
      <c r="W2470" s="317">
        <v>3.8</v>
      </c>
      <c r="X2470" s="190">
        <f>I2470*W2470</f>
        <v>79.8</v>
      </c>
      <c r="Y2470" s="8"/>
      <c r="Z2470" s="8"/>
    </row>
    <row r="2471" spans="1:26" ht="12.75" customHeight="1" x14ac:dyDescent="0.2">
      <c r="A2471" s="15">
        <v>213</v>
      </c>
      <c r="B2471" s="15">
        <v>1997</v>
      </c>
      <c r="C2471" s="15">
        <v>2</v>
      </c>
      <c r="D2471" s="15">
        <v>8</v>
      </c>
      <c r="E2471" s="14">
        <v>0.6875</v>
      </c>
      <c r="F2471" s="11" t="s">
        <v>28</v>
      </c>
      <c r="G2471" s="11" t="s">
        <v>29</v>
      </c>
      <c r="H2471" s="15" t="s">
        <v>29</v>
      </c>
      <c r="I2471" s="25">
        <v>15</v>
      </c>
      <c r="J2471" s="11" t="s">
        <v>19</v>
      </c>
      <c r="K2471" s="11" t="s">
        <v>34</v>
      </c>
      <c r="L2471" s="11" t="s">
        <v>41</v>
      </c>
      <c r="M2471" s="11" t="s">
        <v>29</v>
      </c>
      <c r="N2471" s="11" t="s">
        <v>25</v>
      </c>
      <c r="O2471" s="16" t="s">
        <v>29</v>
      </c>
      <c r="P2471" s="15">
        <v>214</v>
      </c>
      <c r="Q2471" s="8"/>
      <c r="W2471" s="317">
        <v>3.8</v>
      </c>
      <c r="X2471" s="190">
        <f>I2471*W2471</f>
        <v>57</v>
      </c>
      <c r="Y2471" s="8"/>
      <c r="Z2471" s="8"/>
    </row>
    <row r="2472" spans="1:26" ht="12.75" customHeight="1" x14ac:dyDescent="0.2">
      <c r="A2472" s="15">
        <v>214</v>
      </c>
      <c r="B2472" s="15">
        <v>1997</v>
      </c>
      <c r="C2472" s="15">
        <v>2</v>
      </c>
      <c r="D2472" s="15">
        <v>8</v>
      </c>
      <c r="E2472" s="14">
        <v>0.69027777777777777</v>
      </c>
      <c r="F2472" s="11" t="s">
        <v>18</v>
      </c>
      <c r="G2472" s="11" t="s">
        <v>29</v>
      </c>
      <c r="H2472" s="15" t="s">
        <v>29</v>
      </c>
      <c r="I2472" s="25">
        <v>9.5</v>
      </c>
      <c r="J2472" s="11" t="s">
        <v>19</v>
      </c>
      <c r="K2472" s="11" t="s">
        <v>20</v>
      </c>
      <c r="L2472" s="11" t="s">
        <v>30</v>
      </c>
      <c r="M2472" s="11" t="s">
        <v>45</v>
      </c>
      <c r="N2472" s="11" t="s">
        <v>25</v>
      </c>
      <c r="O2472" s="16" t="s">
        <v>29</v>
      </c>
      <c r="P2472" s="15">
        <v>214</v>
      </c>
      <c r="Q2472" s="8"/>
      <c r="W2472" s="317">
        <v>4.5999999999999996</v>
      </c>
      <c r="X2472" s="190">
        <f>I2472*W2472</f>
        <v>43.699999999999996</v>
      </c>
      <c r="Y2472" s="8"/>
      <c r="Z2472" s="8"/>
    </row>
    <row r="2473" spans="1:26" ht="12.75" customHeight="1" x14ac:dyDescent="0.2">
      <c r="A2473" s="15">
        <v>215</v>
      </c>
      <c r="B2473" s="15">
        <v>1997</v>
      </c>
      <c r="C2473" s="15">
        <v>2</v>
      </c>
      <c r="D2473" s="15">
        <v>8</v>
      </c>
      <c r="E2473" s="14">
        <v>0.69166666666666676</v>
      </c>
      <c r="F2473" s="11" t="s">
        <v>18</v>
      </c>
      <c r="G2473" s="11" t="s">
        <v>29</v>
      </c>
      <c r="H2473" s="15" t="s">
        <v>29</v>
      </c>
      <c r="I2473" s="25">
        <v>8.5</v>
      </c>
      <c r="J2473" s="11" t="s">
        <v>19</v>
      </c>
      <c r="K2473" s="11" t="s">
        <v>20</v>
      </c>
      <c r="L2473" s="11" t="s">
        <v>41</v>
      </c>
      <c r="M2473" s="11" t="s">
        <v>29</v>
      </c>
      <c r="N2473" s="11" t="s">
        <v>24</v>
      </c>
      <c r="O2473" s="16" t="s">
        <v>29</v>
      </c>
      <c r="P2473" s="15">
        <v>214</v>
      </c>
      <c r="Q2473" s="8"/>
      <c r="W2473" s="8"/>
      <c r="X2473" s="8"/>
      <c r="Y2473" s="8"/>
      <c r="Z2473" s="8"/>
    </row>
    <row r="2474" spans="1:26" ht="12.75" customHeight="1" x14ac:dyDescent="0.2">
      <c r="A2474" s="15">
        <v>216</v>
      </c>
      <c r="B2474" s="15">
        <v>1997</v>
      </c>
      <c r="C2474" s="15">
        <v>2</v>
      </c>
      <c r="D2474" s="15">
        <v>8</v>
      </c>
      <c r="E2474" s="14">
        <v>0.69305555555555554</v>
      </c>
      <c r="F2474" s="11" t="s">
        <v>18</v>
      </c>
      <c r="G2474" s="15">
        <v>142</v>
      </c>
      <c r="H2474" s="15" t="s">
        <v>29</v>
      </c>
      <c r="I2474" s="25">
        <v>14.5</v>
      </c>
      <c r="J2474" s="11" t="s">
        <v>19</v>
      </c>
      <c r="K2474" s="11" t="s">
        <v>20</v>
      </c>
      <c r="L2474" s="11" t="s">
        <v>30</v>
      </c>
      <c r="M2474" s="11" t="s">
        <v>46</v>
      </c>
      <c r="N2474" s="11" t="s">
        <v>24</v>
      </c>
      <c r="O2474" s="16" t="s">
        <v>29</v>
      </c>
      <c r="P2474" s="15">
        <v>214</v>
      </c>
      <c r="Q2474" s="8"/>
      <c r="R2474">
        <v>13.25</v>
      </c>
      <c r="S2474">
        <v>2325.4699999999998</v>
      </c>
      <c r="T2474">
        <v>6.24</v>
      </c>
      <c r="U2474">
        <v>9.51</v>
      </c>
      <c r="V2474">
        <v>132</v>
      </c>
      <c r="W2474" s="317">
        <v>4.5999999999999996</v>
      </c>
      <c r="X2474" s="190">
        <f>I2474*W2474</f>
        <v>66.699999999999989</v>
      </c>
      <c r="Y2474" s="8"/>
      <c r="Z2474" s="8"/>
    </row>
    <row r="2475" spans="1:26" ht="12.75" customHeight="1" x14ac:dyDescent="0.2">
      <c r="A2475" s="15">
        <v>217</v>
      </c>
      <c r="B2475" s="15">
        <v>1997</v>
      </c>
      <c r="C2475" s="15">
        <v>2</v>
      </c>
      <c r="D2475" s="15">
        <v>8</v>
      </c>
      <c r="E2475" s="14">
        <v>0.69444444444444453</v>
      </c>
      <c r="F2475" s="11" t="s">
        <v>18</v>
      </c>
      <c r="G2475" s="11" t="s">
        <v>29</v>
      </c>
      <c r="H2475" s="15" t="s">
        <v>29</v>
      </c>
      <c r="I2475" s="25">
        <v>6.5</v>
      </c>
      <c r="J2475" s="11" t="s">
        <v>19</v>
      </c>
      <c r="K2475" s="11" t="s">
        <v>20</v>
      </c>
      <c r="L2475" s="11" t="s">
        <v>30</v>
      </c>
      <c r="M2475" s="11" t="s">
        <v>46</v>
      </c>
      <c r="N2475" s="11" t="s">
        <v>23</v>
      </c>
      <c r="O2475" s="16" t="s">
        <v>29</v>
      </c>
      <c r="P2475" s="15">
        <v>214</v>
      </c>
      <c r="Q2475" s="8"/>
      <c r="W2475" s="317">
        <v>4.5999999999999996</v>
      </c>
      <c r="X2475" s="190">
        <f>I2475*W2475</f>
        <v>29.9</v>
      </c>
      <c r="Y2475" s="8"/>
      <c r="Z2475" s="8"/>
    </row>
    <row r="2476" spans="1:26" ht="12.75" customHeight="1" x14ac:dyDescent="0.2">
      <c r="A2476" s="15">
        <v>218</v>
      </c>
      <c r="B2476" s="15">
        <v>1997</v>
      </c>
      <c r="C2476" s="15">
        <v>2</v>
      </c>
      <c r="D2476" s="15">
        <v>8</v>
      </c>
      <c r="E2476" s="14">
        <v>0.6958333333333333</v>
      </c>
      <c r="F2476" s="11" t="s">
        <v>18</v>
      </c>
      <c r="G2476" s="15">
        <v>143</v>
      </c>
      <c r="H2476" s="15" t="s">
        <v>29</v>
      </c>
      <c r="I2476" s="25">
        <v>15.5</v>
      </c>
      <c r="J2476" s="11" t="s">
        <v>19</v>
      </c>
      <c r="K2476" s="11" t="s">
        <v>20</v>
      </c>
      <c r="L2476" s="11" t="s">
        <v>30</v>
      </c>
      <c r="M2476" s="11" t="s">
        <v>27</v>
      </c>
      <c r="N2476" s="11" t="s">
        <v>24</v>
      </c>
      <c r="O2476" s="16" t="s">
        <v>29</v>
      </c>
      <c r="P2476" s="15">
        <v>214</v>
      </c>
      <c r="Q2476" s="8"/>
      <c r="R2476">
        <v>13.34</v>
      </c>
      <c r="S2476">
        <v>2374.94</v>
      </c>
      <c r="T2476">
        <v>6.53</v>
      </c>
      <c r="U2476">
        <v>9.58</v>
      </c>
      <c r="V2476">
        <v>133</v>
      </c>
      <c r="W2476" s="317">
        <v>4.5999999999999996</v>
      </c>
      <c r="X2476" s="190">
        <f>I2476*W2476</f>
        <v>71.3</v>
      </c>
      <c r="Y2476" s="8"/>
      <c r="Z2476" s="8"/>
    </row>
    <row r="2477" spans="1:26" ht="12.75" customHeight="1" x14ac:dyDescent="0.2">
      <c r="A2477" s="15">
        <v>219</v>
      </c>
      <c r="B2477" s="15">
        <v>1997</v>
      </c>
      <c r="C2477" s="15">
        <v>2</v>
      </c>
      <c r="D2477" s="15">
        <v>8</v>
      </c>
      <c r="E2477" s="14">
        <v>0.6972222222222223</v>
      </c>
      <c r="F2477" s="11" t="s">
        <v>18</v>
      </c>
      <c r="G2477" s="15">
        <v>147</v>
      </c>
      <c r="H2477" s="15" t="s">
        <v>29</v>
      </c>
      <c r="I2477" s="25">
        <v>13.5</v>
      </c>
      <c r="J2477" s="11" t="s">
        <v>19</v>
      </c>
      <c r="K2477" s="11" t="s">
        <v>20</v>
      </c>
      <c r="L2477" s="11" t="s">
        <v>30</v>
      </c>
      <c r="M2477" s="11" t="s">
        <v>47</v>
      </c>
      <c r="N2477" s="11" t="s">
        <v>23</v>
      </c>
      <c r="O2477" s="16" t="s">
        <v>29</v>
      </c>
      <c r="P2477" s="15">
        <v>214</v>
      </c>
      <c r="Q2477" s="8"/>
      <c r="R2477">
        <v>13.72</v>
      </c>
      <c r="S2477">
        <v>2579.86</v>
      </c>
      <c r="T2477">
        <v>5.23</v>
      </c>
      <c r="U2477">
        <v>9.85</v>
      </c>
      <c r="V2477">
        <v>137</v>
      </c>
      <c r="W2477" s="317">
        <v>4.5999999999999996</v>
      </c>
      <c r="X2477" s="190">
        <f>I2477*W2477</f>
        <v>62.099999999999994</v>
      </c>
      <c r="Y2477" s="8"/>
      <c r="Z2477" s="8"/>
    </row>
    <row r="2478" spans="1:26" ht="12.75" customHeight="1" x14ac:dyDescent="0.2">
      <c r="A2478" s="15">
        <v>220</v>
      </c>
      <c r="B2478" s="15">
        <v>1997</v>
      </c>
      <c r="C2478" s="15">
        <v>2</v>
      </c>
      <c r="D2478" s="15">
        <v>8</v>
      </c>
      <c r="E2478" s="14">
        <v>0.69861111111111107</v>
      </c>
      <c r="F2478" s="11" t="s">
        <v>28</v>
      </c>
      <c r="G2478" s="11" t="s">
        <v>29</v>
      </c>
      <c r="H2478" s="15" t="s">
        <v>29</v>
      </c>
      <c r="I2478" s="25">
        <v>6</v>
      </c>
      <c r="J2478" s="11" t="s">
        <v>19</v>
      </c>
      <c r="K2478" s="11" t="s">
        <v>20</v>
      </c>
      <c r="L2478" s="11" t="s">
        <v>41</v>
      </c>
      <c r="M2478" s="11" t="s">
        <v>29</v>
      </c>
      <c r="N2478" s="11" t="s">
        <v>23</v>
      </c>
      <c r="O2478" s="16" t="s">
        <v>29</v>
      </c>
      <c r="P2478" s="15">
        <v>214</v>
      </c>
      <c r="Q2478" s="8"/>
      <c r="W2478" s="8"/>
      <c r="X2478" s="8"/>
      <c r="Y2478" s="8"/>
      <c r="Z2478" s="8"/>
    </row>
    <row r="2479" spans="1:26" ht="12.75" customHeight="1" x14ac:dyDescent="0.2">
      <c r="A2479" s="15">
        <v>221</v>
      </c>
      <c r="B2479" s="15">
        <v>1997</v>
      </c>
      <c r="C2479" s="15">
        <v>2</v>
      </c>
      <c r="D2479" s="15">
        <v>8</v>
      </c>
      <c r="E2479" s="14">
        <v>0.70138888888888884</v>
      </c>
      <c r="F2479" s="11" t="s">
        <v>18</v>
      </c>
      <c r="G2479" s="15">
        <v>126</v>
      </c>
      <c r="H2479" s="15" t="s">
        <v>29</v>
      </c>
      <c r="I2479" s="25">
        <v>9</v>
      </c>
      <c r="J2479" s="11" t="s">
        <v>19</v>
      </c>
      <c r="K2479" s="11" t="s">
        <v>20</v>
      </c>
      <c r="L2479" s="11" t="s">
        <v>30</v>
      </c>
      <c r="M2479" s="11" t="s">
        <v>27</v>
      </c>
      <c r="N2479" s="11" t="s">
        <v>33</v>
      </c>
      <c r="O2479" s="16" t="s">
        <v>29</v>
      </c>
      <c r="P2479" s="15">
        <v>214</v>
      </c>
      <c r="Q2479" s="8"/>
      <c r="R2479">
        <v>11.76</v>
      </c>
      <c r="S2479">
        <v>1624.64</v>
      </c>
      <c r="T2479">
        <v>5.54</v>
      </c>
      <c r="U2479">
        <v>8.44</v>
      </c>
      <c r="V2479">
        <v>118</v>
      </c>
      <c r="W2479" s="317">
        <v>4.5999999999999996</v>
      </c>
      <c r="X2479" s="190">
        <f>I2479*W2479</f>
        <v>41.4</v>
      </c>
      <c r="Y2479" s="8"/>
      <c r="Z2479" s="8"/>
    </row>
    <row r="2480" spans="1:26" ht="12.75" customHeight="1" x14ac:dyDescent="0.2">
      <c r="A2480" s="15">
        <v>222</v>
      </c>
      <c r="B2480" s="15">
        <v>1997</v>
      </c>
      <c r="C2480" s="15">
        <v>2</v>
      </c>
      <c r="D2480" s="15">
        <v>8</v>
      </c>
      <c r="E2480" s="14">
        <v>0.70208333333333339</v>
      </c>
      <c r="F2480" s="11" t="s">
        <v>18</v>
      </c>
      <c r="G2480" s="15">
        <v>153</v>
      </c>
      <c r="H2480" s="15" t="s">
        <v>29</v>
      </c>
      <c r="I2480" s="25">
        <v>18.5</v>
      </c>
      <c r="J2480" s="11" t="s">
        <v>19</v>
      </c>
      <c r="K2480" s="11" t="s">
        <v>34</v>
      </c>
      <c r="L2480" s="11" t="s">
        <v>41</v>
      </c>
      <c r="M2480" s="11" t="s">
        <v>46</v>
      </c>
      <c r="N2480" s="11" t="s">
        <v>33</v>
      </c>
      <c r="O2480" s="16" t="s">
        <v>29</v>
      </c>
      <c r="P2480" s="15">
        <v>214</v>
      </c>
      <c r="Q2480" s="8"/>
      <c r="R2480">
        <v>14.27</v>
      </c>
      <c r="S2480">
        <v>2908.84</v>
      </c>
      <c r="T2480">
        <v>6.36</v>
      </c>
      <c r="U2480">
        <v>10.25</v>
      </c>
      <c r="V2480">
        <v>143</v>
      </c>
      <c r="W2480" s="317">
        <v>3.8</v>
      </c>
      <c r="X2480" s="190">
        <f>I2480*W2480</f>
        <v>70.3</v>
      </c>
      <c r="Y2480" s="8"/>
      <c r="Z2480" s="8"/>
    </row>
    <row r="2481" spans="1:26" ht="12.75" customHeight="1" x14ac:dyDescent="0.2">
      <c r="A2481" s="15">
        <v>223</v>
      </c>
      <c r="B2481" s="15">
        <v>1997</v>
      </c>
      <c r="C2481" s="15">
        <v>2</v>
      </c>
      <c r="D2481" s="15">
        <v>8</v>
      </c>
      <c r="E2481" s="14">
        <v>0.70277777777777783</v>
      </c>
      <c r="F2481" s="11" t="s">
        <v>18</v>
      </c>
      <c r="G2481" s="15">
        <v>160</v>
      </c>
      <c r="H2481" s="15" t="s">
        <v>29</v>
      </c>
      <c r="I2481" s="25">
        <v>14.5</v>
      </c>
      <c r="J2481" s="11" t="s">
        <v>19</v>
      </c>
      <c r="K2481" s="11" t="s">
        <v>20</v>
      </c>
      <c r="L2481" s="11" t="s">
        <v>30</v>
      </c>
      <c r="M2481" s="11" t="s">
        <v>27</v>
      </c>
      <c r="N2481" s="11" t="s">
        <v>23</v>
      </c>
      <c r="O2481" s="16" t="s">
        <v>29</v>
      </c>
      <c r="P2481" s="15">
        <v>214</v>
      </c>
      <c r="Q2481" s="8"/>
      <c r="R2481">
        <v>14.93</v>
      </c>
      <c r="S2481">
        <v>3326.63</v>
      </c>
      <c r="T2481">
        <v>4.3600000000000003</v>
      </c>
      <c r="U2481">
        <v>10.72</v>
      </c>
      <c r="V2481">
        <v>149</v>
      </c>
      <c r="W2481" s="317">
        <v>4.5999999999999996</v>
      </c>
      <c r="X2481" s="190">
        <f>I2481*W2481</f>
        <v>66.699999999999989</v>
      </c>
      <c r="Y2481" s="8"/>
      <c r="Z2481" s="8"/>
    </row>
    <row r="2482" spans="1:26" ht="12.75" customHeight="1" x14ac:dyDescent="0.2">
      <c r="A2482" s="15">
        <v>224</v>
      </c>
      <c r="B2482" s="15">
        <v>1997</v>
      </c>
      <c r="C2482" s="15">
        <v>2</v>
      </c>
      <c r="D2482" s="15">
        <v>8</v>
      </c>
      <c r="E2482" s="14">
        <v>0.70277777777777783</v>
      </c>
      <c r="F2482" s="11" t="s">
        <v>18</v>
      </c>
      <c r="G2482" s="15">
        <v>78</v>
      </c>
      <c r="H2482" s="15" t="s">
        <v>29</v>
      </c>
      <c r="I2482" s="25">
        <v>3.5</v>
      </c>
      <c r="J2482" s="11" t="s">
        <v>233</v>
      </c>
      <c r="K2482" s="11" t="s">
        <v>29</v>
      </c>
      <c r="L2482" s="11" t="s">
        <v>29</v>
      </c>
      <c r="M2482" s="11" t="s">
        <v>27</v>
      </c>
      <c r="N2482" s="11" t="s">
        <v>23</v>
      </c>
      <c r="O2482" s="16" t="s">
        <v>29</v>
      </c>
      <c r="P2482" s="15">
        <v>214</v>
      </c>
      <c r="Q2482" s="8"/>
      <c r="R2482">
        <v>7.28</v>
      </c>
      <c r="S2482">
        <v>385.42</v>
      </c>
      <c r="T2482">
        <v>9.08</v>
      </c>
      <c r="U2482">
        <v>5.23</v>
      </c>
      <c r="V2482">
        <v>73</v>
      </c>
      <c r="W2482" s="8"/>
      <c r="X2482" s="8"/>
      <c r="Y2482" s="8"/>
      <c r="Z2482" s="8"/>
    </row>
    <row r="2483" spans="1:26" ht="12.75" customHeight="1" x14ac:dyDescent="0.2">
      <c r="A2483" s="15">
        <v>225</v>
      </c>
      <c r="B2483" s="15">
        <v>1997</v>
      </c>
      <c r="C2483" s="15">
        <v>2</v>
      </c>
      <c r="D2483" s="15">
        <v>8</v>
      </c>
      <c r="E2483" s="14">
        <v>0.70347222222222217</v>
      </c>
      <c r="F2483" s="11" t="s">
        <v>18</v>
      </c>
      <c r="G2483" s="15">
        <v>146</v>
      </c>
      <c r="H2483" s="15" t="s">
        <v>29</v>
      </c>
      <c r="I2483" s="25">
        <v>15.5</v>
      </c>
      <c r="J2483" s="11" t="s">
        <v>19</v>
      </c>
      <c r="K2483" s="11" t="s">
        <v>20</v>
      </c>
      <c r="L2483" s="11" t="s">
        <v>30</v>
      </c>
      <c r="M2483" s="11" t="s">
        <v>46</v>
      </c>
      <c r="N2483" s="11" t="s">
        <v>33</v>
      </c>
      <c r="O2483" s="16" t="s">
        <v>29</v>
      </c>
      <c r="P2483" s="15">
        <v>214</v>
      </c>
      <c r="Q2483" s="8"/>
      <c r="R2483">
        <v>13.62</v>
      </c>
      <c r="S2483">
        <v>2527.5700000000002</v>
      </c>
      <c r="T2483">
        <v>6.13</v>
      </c>
      <c r="U2483">
        <v>9.7799999999999994</v>
      </c>
      <c r="V2483">
        <v>136</v>
      </c>
      <c r="W2483" s="317">
        <v>4.5999999999999996</v>
      </c>
      <c r="X2483" s="190">
        <f t="shared" ref="X2483:X2489" si="111">I2483*W2483</f>
        <v>71.3</v>
      </c>
      <c r="Y2483" s="8"/>
      <c r="Z2483" s="8"/>
    </row>
    <row r="2484" spans="1:26" ht="12.75" customHeight="1" x14ac:dyDescent="0.2">
      <c r="A2484" s="15">
        <v>226</v>
      </c>
      <c r="B2484" s="15">
        <v>1997</v>
      </c>
      <c r="C2484" s="15">
        <v>2</v>
      </c>
      <c r="D2484" s="15">
        <v>8</v>
      </c>
      <c r="E2484" s="14">
        <v>0.70486111111111116</v>
      </c>
      <c r="F2484" s="11" t="s">
        <v>18</v>
      </c>
      <c r="G2484" s="15">
        <v>162</v>
      </c>
      <c r="H2484" s="15" t="s">
        <v>29</v>
      </c>
      <c r="I2484" s="25">
        <v>22</v>
      </c>
      <c r="J2484" s="11" t="s">
        <v>19</v>
      </c>
      <c r="K2484" s="11" t="s">
        <v>20</v>
      </c>
      <c r="L2484" s="11" t="s">
        <v>30</v>
      </c>
      <c r="M2484" s="11" t="s">
        <v>46</v>
      </c>
      <c r="N2484" s="11" t="s">
        <v>23</v>
      </c>
      <c r="O2484" s="16" t="s">
        <v>29</v>
      </c>
      <c r="P2484" s="15">
        <v>214</v>
      </c>
      <c r="Q2484" s="8"/>
      <c r="R2484">
        <v>15.11</v>
      </c>
      <c r="S2484">
        <v>3452.95</v>
      </c>
      <c r="T2484">
        <v>6.37</v>
      </c>
      <c r="U2484">
        <v>10.85</v>
      </c>
      <c r="V2484">
        <v>151</v>
      </c>
      <c r="W2484" s="317">
        <v>4.5999999999999996</v>
      </c>
      <c r="X2484" s="190">
        <f t="shared" si="111"/>
        <v>101.19999999999999</v>
      </c>
      <c r="Y2484" s="8"/>
      <c r="Z2484" s="8"/>
    </row>
    <row r="2485" spans="1:26" ht="12.75" customHeight="1" x14ac:dyDescent="0.2">
      <c r="A2485" s="15">
        <v>227</v>
      </c>
      <c r="B2485" s="15">
        <v>1997</v>
      </c>
      <c r="C2485" s="15">
        <v>2</v>
      </c>
      <c r="D2485" s="15">
        <v>8</v>
      </c>
      <c r="E2485" s="14">
        <v>0.70694444444444438</v>
      </c>
      <c r="F2485" s="11" t="s">
        <v>18</v>
      </c>
      <c r="G2485" s="15">
        <v>143</v>
      </c>
      <c r="H2485" s="15" t="s">
        <v>29</v>
      </c>
      <c r="I2485" s="25">
        <v>10</v>
      </c>
      <c r="J2485" s="11" t="s">
        <v>19</v>
      </c>
      <c r="K2485" s="11" t="s">
        <v>20</v>
      </c>
      <c r="L2485" s="11" t="s">
        <v>21</v>
      </c>
      <c r="M2485" s="11" t="s">
        <v>27</v>
      </c>
      <c r="N2485" s="11" t="s">
        <v>24</v>
      </c>
      <c r="O2485" s="16" t="s">
        <v>29</v>
      </c>
      <c r="P2485" s="15">
        <v>214</v>
      </c>
      <c r="Q2485" s="8"/>
      <c r="R2485">
        <v>13.34</v>
      </c>
      <c r="S2485">
        <v>2374.94</v>
      </c>
      <c r="T2485">
        <v>4.21</v>
      </c>
      <c r="U2485">
        <v>9.58</v>
      </c>
      <c r="V2485">
        <v>133</v>
      </c>
      <c r="W2485" s="317">
        <v>3.9</v>
      </c>
      <c r="X2485" s="190">
        <f t="shared" si="111"/>
        <v>39</v>
      </c>
      <c r="Y2485" s="8"/>
      <c r="Z2485" s="8"/>
    </row>
    <row r="2486" spans="1:26" ht="12.75" customHeight="1" x14ac:dyDescent="0.2">
      <c r="A2486" s="15">
        <v>228</v>
      </c>
      <c r="B2486" s="15">
        <v>1997</v>
      </c>
      <c r="C2486" s="15">
        <v>2</v>
      </c>
      <c r="D2486" s="15">
        <v>8</v>
      </c>
      <c r="E2486" s="14">
        <v>0.70972222222222225</v>
      </c>
      <c r="F2486" s="11" t="s">
        <v>18</v>
      </c>
      <c r="G2486" s="15">
        <v>127</v>
      </c>
      <c r="H2486" s="15" t="s">
        <v>29</v>
      </c>
      <c r="I2486" s="25">
        <v>8.5</v>
      </c>
      <c r="J2486" s="11" t="s">
        <v>19</v>
      </c>
      <c r="K2486" s="11" t="s">
        <v>20</v>
      </c>
      <c r="L2486" s="11" t="s">
        <v>30</v>
      </c>
      <c r="M2486" s="11" t="s">
        <v>27</v>
      </c>
      <c r="N2486" s="11" t="s">
        <v>33</v>
      </c>
      <c r="O2486" s="16" t="s">
        <v>29</v>
      </c>
      <c r="P2486" s="15">
        <v>214</v>
      </c>
      <c r="Q2486" s="8"/>
      <c r="R2486">
        <v>11.85</v>
      </c>
      <c r="S2486">
        <v>1663.63</v>
      </c>
      <c r="T2486">
        <v>5.1100000000000003</v>
      </c>
      <c r="U2486">
        <v>8.51</v>
      </c>
      <c r="V2486">
        <v>118</v>
      </c>
      <c r="W2486" s="317">
        <v>4.5999999999999996</v>
      </c>
      <c r="X2486" s="190">
        <f t="shared" si="111"/>
        <v>39.099999999999994</v>
      </c>
      <c r="Y2486" s="8"/>
      <c r="Z2486" s="8"/>
    </row>
    <row r="2487" spans="1:26" ht="12.75" customHeight="1" x14ac:dyDescent="0.2">
      <c r="A2487" s="15">
        <v>229</v>
      </c>
      <c r="B2487" s="15">
        <v>1997</v>
      </c>
      <c r="C2487" s="15">
        <v>2</v>
      </c>
      <c r="D2487" s="15">
        <v>8</v>
      </c>
      <c r="E2487" s="14">
        <v>0.7104166666666667</v>
      </c>
      <c r="F2487" s="11" t="s">
        <v>18</v>
      </c>
      <c r="G2487" s="15">
        <v>150</v>
      </c>
      <c r="H2487" s="15" t="s">
        <v>29</v>
      </c>
      <c r="I2487" s="25">
        <v>15.5</v>
      </c>
      <c r="J2487" s="11" t="s">
        <v>19</v>
      </c>
      <c r="K2487" s="11" t="s">
        <v>34</v>
      </c>
      <c r="L2487" s="11" t="s">
        <v>41</v>
      </c>
      <c r="M2487" s="11" t="s">
        <v>46</v>
      </c>
      <c r="N2487" s="11" t="s">
        <v>23</v>
      </c>
      <c r="O2487" s="16" t="s">
        <v>29</v>
      </c>
      <c r="P2487" s="15">
        <v>214</v>
      </c>
      <c r="Q2487" s="8"/>
      <c r="R2487">
        <v>14</v>
      </c>
      <c r="S2487">
        <v>2741.06</v>
      </c>
      <c r="T2487">
        <v>5.65</v>
      </c>
      <c r="U2487">
        <v>10.050000000000001</v>
      </c>
      <c r="V2487">
        <v>140</v>
      </c>
      <c r="W2487" s="317">
        <v>3.8</v>
      </c>
      <c r="X2487" s="190">
        <f t="shared" si="111"/>
        <v>58.9</v>
      </c>
      <c r="Y2487" s="8"/>
      <c r="Z2487" s="8"/>
    </row>
    <row r="2488" spans="1:26" ht="12.75" customHeight="1" x14ac:dyDescent="0.2">
      <c r="A2488" s="15">
        <v>230</v>
      </c>
      <c r="B2488" s="15">
        <v>1997</v>
      </c>
      <c r="C2488" s="15">
        <v>2</v>
      </c>
      <c r="D2488" s="15">
        <v>8</v>
      </c>
      <c r="E2488" s="14">
        <v>0.71180555555555547</v>
      </c>
      <c r="F2488" s="11" t="s">
        <v>18</v>
      </c>
      <c r="G2488" s="15">
        <v>147</v>
      </c>
      <c r="H2488" s="15" t="s">
        <v>29</v>
      </c>
      <c r="I2488" s="25">
        <v>14</v>
      </c>
      <c r="J2488" s="11" t="s">
        <v>19</v>
      </c>
      <c r="K2488" s="11" t="s">
        <v>20</v>
      </c>
      <c r="L2488" s="11" t="s">
        <v>30</v>
      </c>
      <c r="M2488" s="11" t="s">
        <v>46</v>
      </c>
      <c r="N2488" s="11" t="s">
        <v>24</v>
      </c>
      <c r="O2488" s="16" t="s">
        <v>29</v>
      </c>
      <c r="P2488" s="15">
        <v>214</v>
      </c>
      <c r="Q2488" s="8"/>
      <c r="R2488">
        <v>13.72</v>
      </c>
      <c r="S2488">
        <v>2579.86</v>
      </c>
      <c r="T2488">
        <v>5.43</v>
      </c>
      <c r="U2488">
        <v>9.85</v>
      </c>
      <c r="V2488">
        <v>137</v>
      </c>
      <c r="W2488" s="317">
        <v>4.5999999999999996</v>
      </c>
      <c r="X2488" s="190">
        <f t="shared" si="111"/>
        <v>64.399999999999991</v>
      </c>
      <c r="Y2488" s="8"/>
      <c r="Z2488" s="8"/>
    </row>
    <row r="2489" spans="1:26" ht="12.75" customHeight="1" x14ac:dyDescent="0.2">
      <c r="A2489" s="15">
        <v>231</v>
      </c>
      <c r="B2489" s="15">
        <v>1997</v>
      </c>
      <c r="C2489" s="15">
        <v>2</v>
      </c>
      <c r="D2489" s="15">
        <v>8</v>
      </c>
      <c r="E2489" s="14">
        <v>0.71250000000000002</v>
      </c>
      <c r="F2489" s="11" t="s">
        <v>18</v>
      </c>
      <c r="G2489" s="15">
        <v>168</v>
      </c>
      <c r="H2489" s="15" t="s">
        <v>29</v>
      </c>
      <c r="I2489" s="25">
        <v>25.5</v>
      </c>
      <c r="J2489" s="11" t="s">
        <v>19</v>
      </c>
      <c r="K2489" s="11" t="s">
        <v>34</v>
      </c>
      <c r="L2489" s="11" t="s">
        <v>41</v>
      </c>
      <c r="M2489" s="11" t="s">
        <v>27</v>
      </c>
      <c r="N2489" s="11" t="s">
        <v>23</v>
      </c>
      <c r="O2489" s="16" t="s">
        <v>29</v>
      </c>
      <c r="P2489" s="15">
        <v>214</v>
      </c>
      <c r="Q2489" s="8"/>
      <c r="R2489">
        <v>15.67</v>
      </c>
      <c r="S2489">
        <v>3850.99</v>
      </c>
      <c r="T2489">
        <v>6.62</v>
      </c>
      <c r="U2489">
        <v>11.26</v>
      </c>
      <c r="V2489">
        <v>157</v>
      </c>
      <c r="W2489" s="317">
        <v>3.8</v>
      </c>
      <c r="X2489" s="190">
        <f t="shared" si="111"/>
        <v>96.899999999999991</v>
      </c>
      <c r="Y2489" s="8"/>
      <c r="Z2489" s="8"/>
    </row>
    <row r="2490" spans="1:26" ht="12.75" customHeight="1" x14ac:dyDescent="0.2">
      <c r="A2490" s="15">
        <v>232</v>
      </c>
      <c r="B2490" s="15">
        <v>1997</v>
      </c>
      <c r="C2490" s="15">
        <v>2</v>
      </c>
      <c r="D2490" s="15">
        <v>8</v>
      </c>
      <c r="E2490" s="14">
        <v>0.71319444444444446</v>
      </c>
      <c r="F2490" s="11" t="s">
        <v>18</v>
      </c>
      <c r="G2490" s="15">
        <v>160</v>
      </c>
      <c r="H2490" s="15" t="s">
        <v>29</v>
      </c>
      <c r="I2490" s="25">
        <v>15.5</v>
      </c>
      <c r="J2490" s="11" t="s">
        <v>19</v>
      </c>
      <c r="K2490" s="11" t="s">
        <v>20</v>
      </c>
      <c r="L2490" s="11" t="s">
        <v>30</v>
      </c>
      <c r="M2490" s="11" t="s">
        <v>27</v>
      </c>
      <c r="N2490" s="11" t="s">
        <v>23</v>
      </c>
      <c r="O2490" s="16" t="s">
        <v>29</v>
      </c>
      <c r="P2490" s="15">
        <v>214</v>
      </c>
      <c r="Q2490" s="8"/>
      <c r="R2490">
        <v>14.93</v>
      </c>
      <c r="S2490">
        <v>3326.63</v>
      </c>
      <c r="T2490">
        <v>4.66</v>
      </c>
      <c r="U2490">
        <v>10.72</v>
      </c>
      <c r="V2490">
        <v>149</v>
      </c>
      <c r="W2490" s="317">
        <v>4.5999999999999996</v>
      </c>
      <c r="X2490" s="190">
        <f t="shared" ref="X2490:X2498" si="112">I2490*W2490</f>
        <v>71.3</v>
      </c>
      <c r="Y2490" s="8"/>
      <c r="Z2490" s="8"/>
    </row>
    <row r="2491" spans="1:26" ht="12.75" customHeight="1" x14ac:dyDescent="0.2">
      <c r="A2491" s="15">
        <v>233</v>
      </c>
      <c r="B2491" s="15">
        <v>1997</v>
      </c>
      <c r="C2491" s="15">
        <v>2</v>
      </c>
      <c r="D2491" s="15">
        <v>8</v>
      </c>
      <c r="E2491" s="14">
        <v>0.71527777777777779</v>
      </c>
      <c r="F2491" s="11" t="s">
        <v>18</v>
      </c>
      <c r="G2491" s="15">
        <v>141</v>
      </c>
      <c r="H2491" s="15" t="s">
        <v>29</v>
      </c>
      <c r="I2491" s="25">
        <v>13</v>
      </c>
      <c r="J2491" s="11" t="s">
        <v>19</v>
      </c>
      <c r="K2491" s="11" t="s">
        <v>20</v>
      </c>
      <c r="L2491" s="11" t="s">
        <v>30</v>
      </c>
      <c r="M2491" s="11" t="s">
        <v>27</v>
      </c>
      <c r="N2491" s="11" t="s">
        <v>25</v>
      </c>
      <c r="O2491" s="16" t="s">
        <v>29</v>
      </c>
      <c r="P2491" s="15">
        <v>214</v>
      </c>
      <c r="Q2491" s="8"/>
      <c r="R2491">
        <v>13.16</v>
      </c>
      <c r="S2491">
        <v>2276.6799999999998</v>
      </c>
      <c r="T2491">
        <v>5.71</v>
      </c>
      <c r="U2491">
        <v>9.4499999999999993</v>
      </c>
      <c r="V2491">
        <v>132</v>
      </c>
      <c r="W2491" s="317">
        <v>4.5999999999999996</v>
      </c>
      <c r="X2491" s="190">
        <f t="shared" si="112"/>
        <v>59.8</v>
      </c>
      <c r="Y2491" s="8"/>
      <c r="Z2491" s="8"/>
    </row>
    <row r="2492" spans="1:26" ht="12.75" customHeight="1" x14ac:dyDescent="0.2">
      <c r="A2492" s="15">
        <v>234</v>
      </c>
      <c r="B2492" s="15">
        <v>1997</v>
      </c>
      <c r="C2492" s="15">
        <v>2</v>
      </c>
      <c r="D2492" s="15">
        <v>8</v>
      </c>
      <c r="E2492" s="14">
        <v>0.71805555555555556</v>
      </c>
      <c r="F2492" s="11" t="s">
        <v>18</v>
      </c>
      <c r="G2492" s="15">
        <v>146</v>
      </c>
      <c r="H2492" s="15" t="s">
        <v>29</v>
      </c>
      <c r="I2492" s="25">
        <v>15.5</v>
      </c>
      <c r="J2492" s="11" t="s">
        <v>19</v>
      </c>
      <c r="K2492" s="11" t="s">
        <v>20</v>
      </c>
      <c r="L2492" s="11" t="s">
        <v>30</v>
      </c>
      <c r="M2492" s="11" t="s">
        <v>234</v>
      </c>
      <c r="N2492" s="11" t="s">
        <v>23</v>
      </c>
      <c r="O2492" s="16" t="s">
        <v>29</v>
      </c>
      <c r="P2492" s="15">
        <v>214</v>
      </c>
      <c r="Q2492" s="8"/>
      <c r="R2492">
        <v>13.62</v>
      </c>
      <c r="S2492">
        <v>2527.5700000000002</v>
      </c>
      <c r="T2492">
        <v>6.13</v>
      </c>
      <c r="U2492">
        <v>9.7799999999999994</v>
      </c>
      <c r="V2492">
        <v>136</v>
      </c>
      <c r="W2492" s="317">
        <v>4.5999999999999996</v>
      </c>
      <c r="X2492" s="190">
        <f t="shared" si="112"/>
        <v>71.3</v>
      </c>
      <c r="Y2492" s="8"/>
      <c r="Z2492" s="8"/>
    </row>
    <row r="2493" spans="1:26" ht="12.75" customHeight="1" x14ac:dyDescent="0.2">
      <c r="A2493" s="15">
        <v>235</v>
      </c>
      <c r="B2493" s="15">
        <v>1997</v>
      </c>
      <c r="C2493" s="15">
        <v>2</v>
      </c>
      <c r="D2493" s="15">
        <v>8</v>
      </c>
      <c r="E2493" s="14">
        <v>0.71875</v>
      </c>
      <c r="F2493" s="11" t="s">
        <v>18</v>
      </c>
      <c r="G2493" s="15">
        <v>143</v>
      </c>
      <c r="H2493" s="15" t="s">
        <v>29</v>
      </c>
      <c r="I2493" s="25">
        <v>13</v>
      </c>
      <c r="J2493" s="11" t="s">
        <v>19</v>
      </c>
      <c r="K2493" s="11" t="s">
        <v>20</v>
      </c>
      <c r="L2493" s="11" t="s">
        <v>30</v>
      </c>
      <c r="M2493" s="11" t="s">
        <v>45</v>
      </c>
      <c r="N2493" s="11" t="s">
        <v>24</v>
      </c>
      <c r="O2493" s="16" t="s">
        <v>29</v>
      </c>
      <c r="P2493" s="15">
        <v>214</v>
      </c>
      <c r="Q2493" s="8"/>
      <c r="R2493">
        <v>13.34</v>
      </c>
      <c r="S2493">
        <v>2374.94</v>
      </c>
      <c r="T2493">
        <v>5.47</v>
      </c>
      <c r="U2493">
        <v>9.58</v>
      </c>
      <c r="V2493">
        <v>133</v>
      </c>
      <c r="W2493" s="317">
        <v>4.5999999999999996</v>
      </c>
      <c r="X2493" s="190">
        <f t="shared" si="112"/>
        <v>59.8</v>
      </c>
      <c r="Y2493" s="8"/>
      <c r="Z2493" s="8"/>
    </row>
    <row r="2494" spans="1:26" ht="12.75" customHeight="1" x14ac:dyDescent="0.2">
      <c r="A2494" s="15">
        <v>236</v>
      </c>
      <c r="B2494" s="15">
        <v>1997</v>
      </c>
      <c r="C2494" s="15">
        <v>2</v>
      </c>
      <c r="D2494" s="15">
        <v>8</v>
      </c>
      <c r="E2494" s="14">
        <v>0.72013888888888899</v>
      </c>
      <c r="F2494" s="11" t="s">
        <v>18</v>
      </c>
      <c r="G2494" s="15">
        <v>136</v>
      </c>
      <c r="H2494" s="15" t="s">
        <v>29</v>
      </c>
      <c r="I2494" s="25">
        <v>10</v>
      </c>
      <c r="J2494" s="11" t="s">
        <v>19</v>
      </c>
      <c r="K2494" s="11" t="s">
        <v>20</v>
      </c>
      <c r="L2494" s="11" t="s">
        <v>30</v>
      </c>
      <c r="M2494" s="11" t="s">
        <v>27</v>
      </c>
      <c r="N2494" s="11" t="s">
        <v>33</v>
      </c>
      <c r="O2494" s="16" t="s">
        <v>29</v>
      </c>
      <c r="P2494" s="15">
        <v>214</v>
      </c>
      <c r="Q2494" s="8"/>
      <c r="R2494">
        <v>12.69</v>
      </c>
      <c r="S2494">
        <v>2042.97</v>
      </c>
      <c r="T2494">
        <v>4.8899999999999997</v>
      </c>
      <c r="U2494">
        <v>9.11</v>
      </c>
      <c r="V2494">
        <v>127</v>
      </c>
      <c r="W2494" s="317">
        <v>4.5999999999999996</v>
      </c>
      <c r="X2494" s="190">
        <f t="shared" si="112"/>
        <v>46</v>
      </c>
      <c r="Y2494" s="8"/>
      <c r="Z2494" s="8"/>
    </row>
    <row r="2495" spans="1:26" ht="12.75" customHeight="1" x14ac:dyDescent="0.2">
      <c r="A2495" s="15">
        <v>237</v>
      </c>
      <c r="B2495" s="15">
        <v>1997</v>
      </c>
      <c r="C2495" s="15">
        <v>2</v>
      </c>
      <c r="D2495" s="15">
        <v>8</v>
      </c>
      <c r="E2495" s="14">
        <v>0.72083333333333333</v>
      </c>
      <c r="F2495" s="11" t="s">
        <v>18</v>
      </c>
      <c r="G2495" s="15">
        <v>162</v>
      </c>
      <c r="H2495" s="15" t="s">
        <v>29</v>
      </c>
      <c r="I2495" s="25">
        <v>13.5</v>
      </c>
      <c r="J2495" s="11" t="s">
        <v>19</v>
      </c>
      <c r="K2495" s="11" t="s">
        <v>20</v>
      </c>
      <c r="L2495" s="11" t="s">
        <v>21</v>
      </c>
      <c r="M2495" s="11" t="s">
        <v>45</v>
      </c>
      <c r="N2495" s="11" t="s">
        <v>25</v>
      </c>
      <c r="O2495" s="16" t="s">
        <v>29</v>
      </c>
      <c r="P2495" s="15">
        <v>214</v>
      </c>
      <c r="Q2495" s="8"/>
      <c r="R2495">
        <v>15.11</v>
      </c>
      <c r="S2495">
        <v>3452.95</v>
      </c>
      <c r="T2495">
        <v>3.91</v>
      </c>
      <c r="U2495">
        <v>10.85</v>
      </c>
      <c r="V2495">
        <v>151</v>
      </c>
      <c r="W2495" s="317">
        <v>3.9</v>
      </c>
      <c r="X2495" s="190">
        <f t="shared" si="112"/>
        <v>52.65</v>
      </c>
      <c r="Y2495" s="8"/>
      <c r="Z2495" s="8"/>
    </row>
    <row r="2496" spans="1:26" ht="12.75" customHeight="1" x14ac:dyDescent="0.2">
      <c r="A2496" s="15">
        <v>238</v>
      </c>
      <c r="B2496" s="15">
        <v>1997</v>
      </c>
      <c r="C2496" s="15">
        <v>2</v>
      </c>
      <c r="D2496" s="15">
        <v>8</v>
      </c>
      <c r="E2496" s="14">
        <v>0.72083333333333333</v>
      </c>
      <c r="F2496" s="11" t="s">
        <v>18</v>
      </c>
      <c r="G2496" s="15">
        <v>164</v>
      </c>
      <c r="H2496" s="15" t="s">
        <v>29</v>
      </c>
      <c r="I2496" s="25">
        <v>14.5</v>
      </c>
      <c r="J2496" s="11" t="s">
        <v>19</v>
      </c>
      <c r="K2496" s="11" t="s">
        <v>20</v>
      </c>
      <c r="L2496" s="11" t="s">
        <v>21</v>
      </c>
      <c r="M2496" s="11" t="s">
        <v>27</v>
      </c>
      <c r="N2496" s="11" t="s">
        <v>23</v>
      </c>
      <c r="O2496" s="16" t="s">
        <v>29</v>
      </c>
      <c r="P2496" s="15">
        <v>214</v>
      </c>
      <c r="Q2496" s="8"/>
      <c r="R2496">
        <v>15.3</v>
      </c>
      <c r="S2496">
        <v>3582.42</v>
      </c>
      <c r="T2496">
        <v>4.05</v>
      </c>
      <c r="U2496">
        <v>10.99</v>
      </c>
      <c r="V2496">
        <v>153</v>
      </c>
      <c r="W2496" s="317">
        <v>3.9</v>
      </c>
      <c r="X2496" s="190">
        <f t="shared" si="112"/>
        <v>56.55</v>
      </c>
      <c r="Y2496" s="8"/>
      <c r="Z2496" s="8"/>
    </row>
    <row r="2497" spans="1:26" ht="12.75" customHeight="1" x14ac:dyDescent="0.2">
      <c r="A2497" s="15">
        <v>239</v>
      </c>
      <c r="B2497" s="15">
        <v>1997</v>
      </c>
      <c r="C2497" s="15">
        <v>2</v>
      </c>
      <c r="D2497" s="15">
        <v>8</v>
      </c>
      <c r="E2497" s="14">
        <v>0.72222222222222221</v>
      </c>
      <c r="F2497" s="11" t="s">
        <v>18</v>
      </c>
      <c r="G2497" s="15">
        <v>133</v>
      </c>
      <c r="H2497" s="15" t="s">
        <v>29</v>
      </c>
      <c r="I2497" s="25">
        <v>12.5</v>
      </c>
      <c r="J2497" s="11" t="s">
        <v>19</v>
      </c>
      <c r="K2497" s="11" t="s">
        <v>20</v>
      </c>
      <c r="L2497" s="11" t="s">
        <v>30</v>
      </c>
      <c r="M2497" s="11" t="s">
        <v>27</v>
      </c>
      <c r="N2497" s="11" t="s">
        <v>33</v>
      </c>
      <c r="O2497" s="16" t="s">
        <v>29</v>
      </c>
      <c r="P2497" s="15">
        <v>214</v>
      </c>
      <c r="Q2497" s="8"/>
      <c r="R2497">
        <v>12.41</v>
      </c>
      <c r="S2497">
        <v>1910.73</v>
      </c>
      <c r="T2497">
        <v>6.54</v>
      </c>
      <c r="U2497">
        <v>8.91</v>
      </c>
      <c r="V2497">
        <v>124</v>
      </c>
      <c r="W2497" s="317">
        <v>4.5999999999999996</v>
      </c>
      <c r="X2497" s="190">
        <f t="shared" si="112"/>
        <v>57.499999999999993</v>
      </c>
      <c r="Y2497" s="8"/>
      <c r="Z2497" s="8"/>
    </row>
    <row r="2498" spans="1:26" ht="12.75" customHeight="1" x14ac:dyDescent="0.2">
      <c r="A2498" s="15">
        <v>240</v>
      </c>
      <c r="B2498" s="15">
        <v>1997</v>
      </c>
      <c r="C2498" s="15">
        <v>2</v>
      </c>
      <c r="D2498" s="15">
        <v>8</v>
      </c>
      <c r="E2498" s="14">
        <v>0.72361111111111109</v>
      </c>
      <c r="F2498" s="11" t="s">
        <v>18</v>
      </c>
      <c r="G2498" s="15">
        <v>132</v>
      </c>
      <c r="H2498" s="15" t="s">
        <v>29</v>
      </c>
      <c r="I2498" s="25">
        <v>14</v>
      </c>
      <c r="J2498" s="11" t="s">
        <v>19</v>
      </c>
      <c r="K2498" s="11" t="s">
        <v>20</v>
      </c>
      <c r="L2498" s="11" t="s">
        <v>30</v>
      </c>
      <c r="M2498" s="11" t="s">
        <v>45</v>
      </c>
      <c r="N2498" s="11" t="s">
        <v>33</v>
      </c>
      <c r="O2498" s="16" t="s">
        <v>29</v>
      </c>
      <c r="P2498" s="15">
        <v>214</v>
      </c>
      <c r="Q2498" s="8"/>
      <c r="R2498">
        <v>12.32</v>
      </c>
      <c r="S2498">
        <v>1867.96</v>
      </c>
      <c r="T2498">
        <v>7.49</v>
      </c>
      <c r="U2498">
        <v>8.84</v>
      </c>
      <c r="V2498">
        <v>123</v>
      </c>
      <c r="W2498" s="317">
        <v>4.5999999999999996</v>
      </c>
      <c r="X2498" s="190">
        <f t="shared" si="112"/>
        <v>64.399999999999991</v>
      </c>
      <c r="Y2498" s="8"/>
      <c r="Z2498" s="8"/>
    </row>
    <row r="2499" spans="1:26" ht="12.75" customHeight="1" x14ac:dyDescent="0.2">
      <c r="A2499" s="15">
        <v>241</v>
      </c>
      <c r="B2499" s="15">
        <v>1997</v>
      </c>
      <c r="C2499" s="15">
        <v>2</v>
      </c>
      <c r="D2499" s="15">
        <v>8</v>
      </c>
      <c r="E2499" s="14">
        <v>0.72499999999999998</v>
      </c>
      <c r="F2499" s="11" t="s">
        <v>18</v>
      </c>
      <c r="G2499" s="15">
        <v>136</v>
      </c>
      <c r="H2499" s="15" t="s">
        <v>29</v>
      </c>
      <c r="I2499" s="25">
        <v>10.5</v>
      </c>
      <c r="J2499" s="11" t="s">
        <v>19</v>
      </c>
      <c r="K2499" s="11" t="s">
        <v>20</v>
      </c>
      <c r="L2499" s="11" t="s">
        <v>41</v>
      </c>
      <c r="M2499" s="11" t="s">
        <v>47</v>
      </c>
      <c r="N2499" s="11" t="s">
        <v>24</v>
      </c>
      <c r="O2499" s="16" t="s">
        <v>29</v>
      </c>
      <c r="P2499" s="15">
        <v>214</v>
      </c>
      <c r="Q2499" s="8"/>
      <c r="R2499">
        <v>12.69</v>
      </c>
      <c r="S2499">
        <v>2042.97</v>
      </c>
      <c r="T2499">
        <v>5.14</v>
      </c>
      <c r="U2499">
        <v>9.11</v>
      </c>
      <c r="V2499">
        <v>127</v>
      </c>
      <c r="W2499" s="8"/>
      <c r="X2499" s="8"/>
      <c r="Y2499" s="8"/>
      <c r="Z2499" s="8"/>
    </row>
    <row r="2500" spans="1:26" ht="12.75" customHeight="1" x14ac:dyDescent="0.2">
      <c r="A2500" s="15">
        <v>242</v>
      </c>
      <c r="B2500" s="15">
        <v>1997</v>
      </c>
      <c r="C2500" s="15">
        <v>2</v>
      </c>
      <c r="D2500" s="15">
        <v>8</v>
      </c>
      <c r="E2500" s="14">
        <v>0.72569444444444453</v>
      </c>
      <c r="F2500" s="11" t="s">
        <v>18</v>
      </c>
      <c r="G2500" s="15">
        <v>134</v>
      </c>
      <c r="H2500" s="15" t="s">
        <v>29</v>
      </c>
      <c r="I2500" s="25">
        <v>9.5</v>
      </c>
      <c r="J2500" s="11" t="s">
        <v>19</v>
      </c>
      <c r="K2500" s="11" t="s">
        <v>20</v>
      </c>
      <c r="L2500" s="11" t="s">
        <v>21</v>
      </c>
      <c r="M2500" s="11" t="s">
        <v>27</v>
      </c>
      <c r="N2500" s="11" t="s">
        <v>23</v>
      </c>
      <c r="O2500" s="16" t="s">
        <v>29</v>
      </c>
      <c r="P2500" s="15">
        <v>214</v>
      </c>
      <c r="Q2500" s="8"/>
      <c r="R2500">
        <v>12.5</v>
      </c>
      <c r="S2500">
        <v>1954.16</v>
      </c>
      <c r="T2500">
        <v>4.8600000000000003</v>
      </c>
      <c r="U2500">
        <v>8.98</v>
      </c>
      <c r="V2500">
        <v>125</v>
      </c>
      <c r="W2500" s="317">
        <v>3.9</v>
      </c>
      <c r="X2500" s="190">
        <f>I2500*W2500</f>
        <v>37.049999999999997</v>
      </c>
      <c r="Y2500" s="8"/>
      <c r="Z2500" s="8"/>
    </row>
    <row r="2501" spans="1:26" ht="12.75" customHeight="1" x14ac:dyDescent="0.2">
      <c r="A2501" s="15">
        <v>243</v>
      </c>
      <c r="B2501" s="15">
        <v>1997</v>
      </c>
      <c r="C2501" s="15">
        <v>2</v>
      </c>
      <c r="D2501" s="15">
        <v>8</v>
      </c>
      <c r="E2501" s="14">
        <v>0.7270833333333333</v>
      </c>
      <c r="F2501" s="11" t="s">
        <v>18</v>
      </c>
      <c r="G2501" s="15">
        <v>66</v>
      </c>
      <c r="H2501" s="15" t="s">
        <v>29</v>
      </c>
      <c r="I2501" s="25">
        <v>3.5</v>
      </c>
      <c r="J2501" s="11" t="s">
        <v>232</v>
      </c>
      <c r="K2501" s="11" t="s">
        <v>29</v>
      </c>
      <c r="L2501" s="11" t="s">
        <v>29</v>
      </c>
      <c r="M2501" s="11" t="s">
        <v>29</v>
      </c>
      <c r="N2501" s="11" t="s">
        <v>24</v>
      </c>
      <c r="O2501" s="16" t="s">
        <v>29</v>
      </c>
      <c r="P2501" s="15">
        <v>214</v>
      </c>
      <c r="Q2501" s="8"/>
      <c r="R2501">
        <v>6.16</v>
      </c>
      <c r="S2501">
        <v>233.49</v>
      </c>
      <c r="T2501">
        <v>14.99</v>
      </c>
      <c r="U2501">
        <v>4.42</v>
      </c>
      <c r="V2501">
        <v>62</v>
      </c>
      <c r="W2501" s="8"/>
      <c r="X2501" s="8"/>
      <c r="Y2501" s="8"/>
      <c r="Z2501" s="8"/>
    </row>
    <row r="2502" spans="1:26" ht="12.75" customHeight="1" x14ac:dyDescent="0.2">
      <c r="A2502" s="15">
        <v>244</v>
      </c>
      <c r="B2502" s="15">
        <v>1997</v>
      </c>
      <c r="C2502" s="15">
        <v>2</v>
      </c>
      <c r="D2502" s="15">
        <v>8</v>
      </c>
      <c r="E2502" s="14">
        <v>0.7270833333333333</v>
      </c>
      <c r="F2502" s="11" t="s">
        <v>18</v>
      </c>
      <c r="G2502" s="15">
        <v>141</v>
      </c>
      <c r="H2502" s="15" t="s">
        <v>29</v>
      </c>
      <c r="I2502" s="25">
        <v>12.5</v>
      </c>
      <c r="J2502" s="11" t="s">
        <v>19</v>
      </c>
      <c r="K2502" s="11" t="s">
        <v>20</v>
      </c>
      <c r="L2502" s="11" t="s">
        <v>30</v>
      </c>
      <c r="M2502" s="11" t="s">
        <v>46</v>
      </c>
      <c r="N2502" s="11" t="s">
        <v>24</v>
      </c>
      <c r="O2502" s="16" t="s">
        <v>29</v>
      </c>
      <c r="P2502" s="15">
        <v>214</v>
      </c>
      <c r="Q2502" s="8"/>
      <c r="R2502">
        <v>13.16</v>
      </c>
      <c r="S2502">
        <v>2276.6799999999998</v>
      </c>
      <c r="T2502">
        <v>5.49</v>
      </c>
      <c r="U2502">
        <v>9.4499999999999993</v>
      </c>
      <c r="V2502">
        <v>132</v>
      </c>
      <c r="W2502" s="317">
        <v>4.5999999999999996</v>
      </c>
      <c r="X2502" s="190">
        <f>I2502*W2502</f>
        <v>57.499999999999993</v>
      </c>
      <c r="Y2502" s="8"/>
      <c r="Z2502" s="8"/>
    </row>
    <row r="2503" spans="1:26" ht="12.75" customHeight="1" x14ac:dyDescent="0.2">
      <c r="A2503" s="15">
        <v>245</v>
      </c>
      <c r="B2503" s="15">
        <v>1997</v>
      </c>
      <c r="C2503" s="15">
        <v>2</v>
      </c>
      <c r="D2503" s="15">
        <v>8</v>
      </c>
      <c r="E2503" s="14">
        <v>0.72777777777777775</v>
      </c>
      <c r="F2503" s="11" t="s">
        <v>18</v>
      </c>
      <c r="G2503" s="15">
        <v>140</v>
      </c>
      <c r="H2503" s="15" t="s">
        <v>29</v>
      </c>
      <c r="I2503" s="25">
        <v>12</v>
      </c>
      <c r="J2503" s="11" t="s">
        <v>19</v>
      </c>
      <c r="K2503" s="11" t="s">
        <v>20</v>
      </c>
      <c r="L2503" s="11" t="s">
        <v>30</v>
      </c>
      <c r="M2503" s="11" t="s">
        <v>27</v>
      </c>
      <c r="N2503" s="11" t="s">
        <v>33</v>
      </c>
      <c r="O2503" s="16" t="s">
        <v>29</v>
      </c>
      <c r="P2503" s="15">
        <v>214</v>
      </c>
      <c r="Q2503" s="8"/>
      <c r="R2503">
        <v>13.06</v>
      </c>
      <c r="S2503">
        <v>2228.58</v>
      </c>
      <c r="T2503">
        <v>5.38</v>
      </c>
      <c r="U2503">
        <v>9.3800000000000008</v>
      </c>
      <c r="V2503">
        <v>131</v>
      </c>
      <c r="W2503" s="317">
        <v>4.5999999999999996</v>
      </c>
      <c r="X2503" s="190">
        <f>I2503*W2503</f>
        <v>55.199999999999996</v>
      </c>
      <c r="Y2503" s="8"/>
      <c r="Z2503" s="8"/>
    </row>
    <row r="2504" spans="1:26" ht="12.75" customHeight="1" x14ac:dyDescent="0.2">
      <c r="A2504" s="15">
        <v>246</v>
      </c>
      <c r="B2504" s="15">
        <v>1997</v>
      </c>
      <c r="C2504" s="15">
        <v>2</v>
      </c>
      <c r="D2504" s="15">
        <v>8</v>
      </c>
      <c r="E2504" s="14">
        <v>0.7284722222222223</v>
      </c>
      <c r="F2504" s="11" t="s">
        <v>18</v>
      </c>
      <c r="G2504" s="15">
        <v>124</v>
      </c>
      <c r="H2504" s="15" t="s">
        <v>29</v>
      </c>
      <c r="I2504" s="25">
        <v>7.5</v>
      </c>
      <c r="J2504" s="11" t="s">
        <v>19</v>
      </c>
      <c r="K2504" s="11" t="s">
        <v>20</v>
      </c>
      <c r="L2504" s="11" t="s">
        <v>30</v>
      </c>
      <c r="M2504" s="11" t="s">
        <v>46</v>
      </c>
      <c r="N2504" s="11" t="s">
        <v>23</v>
      </c>
      <c r="O2504" s="16" t="s">
        <v>29</v>
      </c>
      <c r="P2504" s="15">
        <v>214</v>
      </c>
      <c r="Q2504" s="8"/>
      <c r="R2504">
        <v>11.57</v>
      </c>
      <c r="S2504">
        <v>1548.5</v>
      </c>
      <c r="T2504">
        <v>4.84</v>
      </c>
      <c r="U2504">
        <v>8.31</v>
      </c>
      <c r="V2504">
        <v>116</v>
      </c>
      <c r="W2504" s="317">
        <v>4.5999999999999996</v>
      </c>
      <c r="X2504" s="190">
        <f>I2504*W2504</f>
        <v>34.5</v>
      </c>
      <c r="Y2504" s="8"/>
      <c r="Z2504" s="8"/>
    </row>
    <row r="2505" spans="1:26" ht="12.75" customHeight="1" x14ac:dyDescent="0.2">
      <c r="A2505" s="15">
        <v>247</v>
      </c>
      <c r="B2505" s="15">
        <v>1997</v>
      </c>
      <c r="C2505" s="15">
        <v>2</v>
      </c>
      <c r="D2505" s="15">
        <v>8</v>
      </c>
      <c r="E2505" s="14">
        <v>0.72916666666666663</v>
      </c>
      <c r="F2505" s="11" t="s">
        <v>28</v>
      </c>
      <c r="G2505" s="11" t="s">
        <v>29</v>
      </c>
      <c r="H2505" s="15" t="s">
        <v>29</v>
      </c>
      <c r="I2505" s="25">
        <v>7</v>
      </c>
      <c r="J2505" s="11" t="s">
        <v>19</v>
      </c>
      <c r="K2505" s="11" t="s">
        <v>34</v>
      </c>
      <c r="L2505" s="11" t="s">
        <v>41</v>
      </c>
      <c r="M2505" s="11" t="s">
        <v>29</v>
      </c>
      <c r="N2505" s="11" t="s">
        <v>33</v>
      </c>
      <c r="O2505" s="16" t="s">
        <v>29</v>
      </c>
      <c r="P2505" s="15">
        <v>214</v>
      </c>
      <c r="Q2505" s="8"/>
      <c r="W2505" s="317">
        <v>3.8</v>
      </c>
      <c r="X2505" s="190">
        <f>I2505*W2505</f>
        <v>26.599999999999998</v>
      </c>
      <c r="Y2505" s="8"/>
      <c r="Z2505" s="8"/>
    </row>
    <row r="2506" spans="1:26" ht="12.75" customHeight="1" x14ac:dyDescent="0.2">
      <c r="A2506" s="15">
        <v>248</v>
      </c>
      <c r="B2506" s="15">
        <v>1997</v>
      </c>
      <c r="C2506" s="15">
        <v>2</v>
      </c>
      <c r="D2506" s="15">
        <v>8</v>
      </c>
      <c r="E2506" s="14">
        <v>0.72986111111111107</v>
      </c>
      <c r="F2506" s="11" t="s">
        <v>18</v>
      </c>
      <c r="G2506" s="15">
        <v>137</v>
      </c>
      <c r="H2506" s="15" t="s">
        <v>29</v>
      </c>
      <c r="I2506" s="25">
        <v>13.5</v>
      </c>
      <c r="J2506" s="11" t="s">
        <v>19</v>
      </c>
      <c r="K2506" s="11" t="s">
        <v>20</v>
      </c>
      <c r="L2506" s="11" t="s">
        <v>30</v>
      </c>
      <c r="M2506" s="11" t="s">
        <v>45</v>
      </c>
      <c r="N2506" s="11" t="s">
        <v>23</v>
      </c>
      <c r="O2506" s="16" t="s">
        <v>29</v>
      </c>
      <c r="P2506" s="15">
        <v>214</v>
      </c>
      <c r="Q2506" s="8"/>
      <c r="R2506">
        <v>12.78</v>
      </c>
      <c r="S2506">
        <v>2088.37</v>
      </c>
      <c r="T2506">
        <v>6.46</v>
      </c>
      <c r="U2506">
        <v>9.18</v>
      </c>
      <c r="V2506">
        <v>128</v>
      </c>
      <c r="W2506" s="317">
        <v>4.5999999999999996</v>
      </c>
      <c r="X2506" s="190">
        <f t="shared" ref="X2506:X2517" si="113">I2506*W2506</f>
        <v>62.099999999999994</v>
      </c>
      <c r="Y2506" s="8"/>
      <c r="Z2506" s="8"/>
    </row>
    <row r="2507" spans="1:26" ht="12.75" customHeight="1" x14ac:dyDescent="0.2">
      <c r="A2507" s="15">
        <v>249</v>
      </c>
      <c r="B2507" s="15">
        <v>1997</v>
      </c>
      <c r="C2507" s="15">
        <v>2</v>
      </c>
      <c r="D2507" s="15">
        <v>8</v>
      </c>
      <c r="E2507" s="14">
        <v>0.73055555555555562</v>
      </c>
      <c r="F2507" s="11" t="s">
        <v>18</v>
      </c>
      <c r="G2507" s="15">
        <v>122</v>
      </c>
      <c r="H2507" s="15" t="s">
        <v>29</v>
      </c>
      <c r="I2507" s="25">
        <v>8.5</v>
      </c>
      <c r="J2507" s="11" t="s">
        <v>19</v>
      </c>
      <c r="K2507" s="11" t="s">
        <v>20</v>
      </c>
      <c r="L2507" s="11" t="s">
        <v>30</v>
      </c>
      <c r="M2507" s="11" t="s">
        <v>47</v>
      </c>
      <c r="N2507" s="11" t="s">
        <v>23</v>
      </c>
      <c r="O2507" s="16" t="s">
        <v>29</v>
      </c>
      <c r="P2507" s="15">
        <v>214</v>
      </c>
      <c r="Q2507" s="8"/>
      <c r="R2507">
        <v>11.38</v>
      </c>
      <c r="S2507">
        <v>1474.77</v>
      </c>
      <c r="T2507">
        <v>5.76</v>
      </c>
      <c r="U2507">
        <v>8.17</v>
      </c>
      <c r="V2507">
        <v>114</v>
      </c>
      <c r="W2507" s="317">
        <v>4.5999999999999996</v>
      </c>
      <c r="X2507" s="190">
        <f t="shared" si="113"/>
        <v>39.099999999999994</v>
      </c>
      <c r="Y2507" s="8"/>
      <c r="Z2507" s="8"/>
    </row>
    <row r="2508" spans="1:26" ht="12.75" customHeight="1" x14ac:dyDescent="0.2">
      <c r="A2508" s="15">
        <v>250</v>
      </c>
      <c r="B2508" s="15">
        <v>1997</v>
      </c>
      <c r="C2508" s="15">
        <v>2</v>
      </c>
      <c r="D2508" s="15">
        <v>8</v>
      </c>
      <c r="E2508" s="14">
        <v>0.73402777777777783</v>
      </c>
      <c r="F2508" s="11" t="s">
        <v>18</v>
      </c>
      <c r="G2508" s="15">
        <v>130</v>
      </c>
      <c r="H2508" s="15" t="s">
        <v>29</v>
      </c>
      <c r="I2508" s="25">
        <v>9</v>
      </c>
      <c r="J2508" s="11" t="s">
        <v>19</v>
      </c>
      <c r="K2508" s="11" t="s">
        <v>20</v>
      </c>
      <c r="L2508" s="11" t="s">
        <v>30</v>
      </c>
      <c r="M2508" s="11" t="s">
        <v>45</v>
      </c>
      <c r="N2508" s="11" t="s">
        <v>24</v>
      </c>
      <c r="O2508" s="16" t="s">
        <v>29</v>
      </c>
      <c r="P2508" s="15">
        <v>214</v>
      </c>
      <c r="Q2508" s="8"/>
      <c r="R2508">
        <v>12.13</v>
      </c>
      <c r="S2508">
        <v>1784.33</v>
      </c>
      <c r="T2508">
        <v>5.04</v>
      </c>
      <c r="U2508">
        <v>8.7100000000000009</v>
      </c>
      <c r="V2508">
        <v>121</v>
      </c>
      <c r="W2508" s="317">
        <v>4.5999999999999996</v>
      </c>
      <c r="X2508" s="190">
        <f t="shared" si="113"/>
        <v>41.4</v>
      </c>
      <c r="Y2508" s="8"/>
      <c r="Z2508" s="8"/>
    </row>
    <row r="2509" spans="1:26" ht="12.75" customHeight="1" x14ac:dyDescent="0.2">
      <c r="A2509" s="15">
        <v>251</v>
      </c>
      <c r="B2509" s="15">
        <v>1997</v>
      </c>
      <c r="C2509" s="15">
        <v>2</v>
      </c>
      <c r="D2509" s="15">
        <v>8</v>
      </c>
      <c r="E2509" s="14">
        <v>0.73472222222222217</v>
      </c>
      <c r="F2509" s="11" t="s">
        <v>18</v>
      </c>
      <c r="G2509" s="15">
        <v>127</v>
      </c>
      <c r="H2509" s="15" t="s">
        <v>29</v>
      </c>
      <c r="I2509" s="25">
        <v>11.5</v>
      </c>
      <c r="J2509" s="11" t="s">
        <v>19</v>
      </c>
      <c r="K2509" s="11" t="s">
        <v>20</v>
      </c>
      <c r="L2509" s="11" t="s">
        <v>30</v>
      </c>
      <c r="M2509" s="11" t="s">
        <v>46</v>
      </c>
      <c r="N2509" s="11" t="s">
        <v>33</v>
      </c>
      <c r="O2509" s="16" t="s">
        <v>29</v>
      </c>
      <c r="P2509" s="15">
        <v>214</v>
      </c>
      <c r="Q2509" s="8"/>
      <c r="R2509">
        <v>11.85</v>
      </c>
      <c r="S2509">
        <v>1663.63</v>
      </c>
      <c r="T2509">
        <v>6.91</v>
      </c>
      <c r="U2509">
        <v>8.51</v>
      </c>
      <c r="V2509">
        <v>118</v>
      </c>
      <c r="W2509" s="317">
        <v>4.5999999999999996</v>
      </c>
      <c r="X2509" s="190">
        <f t="shared" si="113"/>
        <v>52.9</v>
      </c>
      <c r="Y2509" s="8"/>
      <c r="Z2509" s="8"/>
    </row>
    <row r="2510" spans="1:26" ht="12.75" customHeight="1" x14ac:dyDescent="0.2">
      <c r="A2510" s="15">
        <v>252</v>
      </c>
      <c r="B2510" s="15">
        <v>1997</v>
      </c>
      <c r="C2510" s="15">
        <v>2</v>
      </c>
      <c r="D2510" s="15">
        <v>8</v>
      </c>
      <c r="E2510" s="14">
        <v>0.73472222222222217</v>
      </c>
      <c r="F2510" s="11" t="s">
        <v>18</v>
      </c>
      <c r="G2510" s="15">
        <v>170</v>
      </c>
      <c r="H2510" s="15" t="s">
        <v>29</v>
      </c>
      <c r="I2510" s="25">
        <v>25.5</v>
      </c>
      <c r="J2510" s="11" t="s">
        <v>19</v>
      </c>
      <c r="K2510" s="11" t="s">
        <v>20</v>
      </c>
      <c r="L2510" s="11" t="s">
        <v>30</v>
      </c>
      <c r="M2510" s="11" t="s">
        <v>46</v>
      </c>
      <c r="N2510" s="11" t="s">
        <v>24</v>
      </c>
      <c r="O2510" s="16" t="s">
        <v>29</v>
      </c>
      <c r="P2510" s="15">
        <v>214</v>
      </c>
      <c r="Q2510" s="8"/>
      <c r="R2510">
        <v>15.86</v>
      </c>
      <c r="S2510">
        <v>3990.17</v>
      </c>
      <c r="T2510">
        <v>6.39</v>
      </c>
      <c r="U2510">
        <v>11.39</v>
      </c>
      <c r="V2510">
        <v>159</v>
      </c>
      <c r="W2510" s="317">
        <v>4.5999999999999996</v>
      </c>
      <c r="X2510" s="190">
        <f t="shared" si="113"/>
        <v>117.3</v>
      </c>
      <c r="Y2510" s="8"/>
      <c r="Z2510" s="8"/>
    </row>
    <row r="2511" spans="1:26" ht="12.75" customHeight="1" x14ac:dyDescent="0.2">
      <c r="A2511" s="15">
        <v>253</v>
      </c>
      <c r="B2511" s="15">
        <v>1997</v>
      </c>
      <c r="C2511" s="15">
        <v>2</v>
      </c>
      <c r="D2511" s="15">
        <v>8</v>
      </c>
      <c r="E2511" s="14">
        <v>0.73541666666666661</v>
      </c>
      <c r="F2511" s="11" t="s">
        <v>18</v>
      </c>
      <c r="G2511" s="11" t="s">
        <v>29</v>
      </c>
      <c r="H2511" s="15" t="s">
        <v>29</v>
      </c>
      <c r="I2511" s="25">
        <v>6.5</v>
      </c>
      <c r="J2511" s="11" t="s">
        <v>19</v>
      </c>
      <c r="K2511" s="11" t="s">
        <v>20</v>
      </c>
      <c r="L2511" s="11" t="s">
        <v>21</v>
      </c>
      <c r="M2511" s="11" t="s">
        <v>46</v>
      </c>
      <c r="N2511" s="11" t="s">
        <v>25</v>
      </c>
      <c r="O2511" s="16" t="s">
        <v>29</v>
      </c>
      <c r="P2511" s="15">
        <v>214</v>
      </c>
      <c r="Q2511" s="8"/>
      <c r="W2511" s="317">
        <v>3.9</v>
      </c>
      <c r="X2511" s="190">
        <f t="shared" si="113"/>
        <v>25.349999999999998</v>
      </c>
      <c r="Y2511" s="8"/>
      <c r="Z2511" s="8"/>
    </row>
    <row r="2512" spans="1:26" ht="12.75" customHeight="1" x14ac:dyDescent="0.2">
      <c r="A2512" s="15">
        <v>254</v>
      </c>
      <c r="B2512" s="15">
        <v>1997</v>
      </c>
      <c r="C2512" s="15">
        <v>2</v>
      </c>
      <c r="D2512" s="15">
        <v>8</v>
      </c>
      <c r="E2512" s="14">
        <v>0.73541666666666661</v>
      </c>
      <c r="F2512" s="11" t="s">
        <v>18</v>
      </c>
      <c r="G2512" s="15">
        <v>143</v>
      </c>
      <c r="H2512" s="15" t="s">
        <v>29</v>
      </c>
      <c r="I2512" s="25">
        <v>10.5</v>
      </c>
      <c r="J2512" s="11" t="s">
        <v>19</v>
      </c>
      <c r="K2512" s="11" t="s">
        <v>20</v>
      </c>
      <c r="L2512" s="11" t="s">
        <v>30</v>
      </c>
      <c r="M2512" s="11" t="s">
        <v>46</v>
      </c>
      <c r="N2512" s="11" t="s">
        <v>33</v>
      </c>
      <c r="O2512" s="16" t="s">
        <v>29</v>
      </c>
      <c r="P2512" s="15">
        <v>214</v>
      </c>
      <c r="Q2512" s="8"/>
      <c r="R2512">
        <v>13.34</v>
      </c>
      <c r="S2512">
        <v>2374.94</v>
      </c>
      <c r="T2512">
        <v>4.42</v>
      </c>
      <c r="U2512">
        <v>9.58</v>
      </c>
      <c r="V2512">
        <v>133</v>
      </c>
      <c r="W2512" s="317">
        <v>4.5999999999999996</v>
      </c>
      <c r="X2512" s="190">
        <f t="shared" si="113"/>
        <v>48.3</v>
      </c>
      <c r="Y2512" s="8"/>
      <c r="Z2512" s="8"/>
    </row>
    <row r="2513" spans="1:26" ht="12.75" customHeight="1" x14ac:dyDescent="0.2">
      <c r="A2513" s="15">
        <v>255</v>
      </c>
      <c r="B2513" s="15">
        <v>1997</v>
      </c>
      <c r="C2513" s="15">
        <v>2</v>
      </c>
      <c r="D2513" s="15">
        <v>8</v>
      </c>
      <c r="E2513" s="14">
        <v>0.73611111111111116</v>
      </c>
      <c r="F2513" s="11" t="s">
        <v>18</v>
      </c>
      <c r="G2513" s="11" t="s">
        <v>29</v>
      </c>
      <c r="H2513" s="15" t="s">
        <v>29</v>
      </c>
      <c r="I2513" s="25">
        <v>7</v>
      </c>
      <c r="J2513" s="11" t="s">
        <v>19</v>
      </c>
      <c r="K2513" s="11" t="s">
        <v>20</v>
      </c>
      <c r="L2513" s="11" t="s">
        <v>21</v>
      </c>
      <c r="M2513" s="11" t="s">
        <v>45</v>
      </c>
      <c r="N2513" s="11" t="s">
        <v>25</v>
      </c>
      <c r="O2513" s="16" t="s">
        <v>29</v>
      </c>
      <c r="P2513" s="15">
        <v>214</v>
      </c>
      <c r="Q2513" s="8"/>
      <c r="W2513" s="317">
        <v>3.9</v>
      </c>
      <c r="X2513" s="190">
        <f t="shared" si="113"/>
        <v>27.3</v>
      </c>
      <c r="Y2513" s="8"/>
      <c r="Z2513" s="8"/>
    </row>
    <row r="2514" spans="1:26" ht="12.75" customHeight="1" x14ac:dyDescent="0.2">
      <c r="A2514" s="15">
        <v>256</v>
      </c>
      <c r="B2514" s="15">
        <v>1997</v>
      </c>
      <c r="C2514" s="15">
        <v>2</v>
      </c>
      <c r="D2514" s="15">
        <v>8</v>
      </c>
      <c r="E2514" s="14">
        <v>0.7368055555555556</v>
      </c>
      <c r="F2514" s="11" t="s">
        <v>18</v>
      </c>
      <c r="G2514" s="15">
        <v>139</v>
      </c>
      <c r="H2514" s="15" t="s">
        <v>29</v>
      </c>
      <c r="I2514" s="25">
        <v>8.5</v>
      </c>
      <c r="J2514" s="11" t="s">
        <v>19</v>
      </c>
      <c r="K2514" s="11" t="s">
        <v>20</v>
      </c>
      <c r="L2514" s="11" t="s">
        <v>21</v>
      </c>
      <c r="M2514" s="11" t="s">
        <v>45</v>
      </c>
      <c r="N2514" s="11" t="s">
        <v>33</v>
      </c>
      <c r="O2514" s="16" t="s">
        <v>29</v>
      </c>
      <c r="P2514" s="15">
        <v>214</v>
      </c>
      <c r="Q2514" s="8"/>
      <c r="R2514">
        <v>12.97</v>
      </c>
      <c r="S2514">
        <v>2181.17</v>
      </c>
      <c r="T2514">
        <v>3.9</v>
      </c>
      <c r="U2514">
        <v>9.31</v>
      </c>
      <c r="V2514">
        <v>130</v>
      </c>
      <c r="W2514" s="317">
        <v>3.9</v>
      </c>
      <c r="X2514" s="190">
        <f t="shared" si="113"/>
        <v>33.15</v>
      </c>
      <c r="Y2514" s="8"/>
      <c r="Z2514" s="8"/>
    </row>
    <row r="2515" spans="1:26" ht="12.75" customHeight="1" x14ac:dyDescent="0.2">
      <c r="A2515" s="15">
        <v>257</v>
      </c>
      <c r="B2515" s="15">
        <v>1997</v>
      </c>
      <c r="C2515" s="15">
        <v>2</v>
      </c>
      <c r="D2515" s="15">
        <v>8</v>
      </c>
      <c r="E2515" s="14">
        <v>0.73749999999999993</v>
      </c>
      <c r="F2515" s="11" t="s">
        <v>18</v>
      </c>
      <c r="G2515" s="11" t="s">
        <v>29</v>
      </c>
      <c r="H2515" s="15" t="s">
        <v>29</v>
      </c>
      <c r="I2515" s="25">
        <v>11.5</v>
      </c>
      <c r="J2515" s="11" t="s">
        <v>19</v>
      </c>
      <c r="K2515" s="11" t="s">
        <v>20</v>
      </c>
      <c r="L2515" s="11" t="s">
        <v>30</v>
      </c>
      <c r="M2515" s="11" t="s">
        <v>46</v>
      </c>
      <c r="N2515" s="11" t="s">
        <v>25</v>
      </c>
      <c r="O2515" s="16" t="s">
        <v>29</v>
      </c>
      <c r="P2515" s="15">
        <v>214</v>
      </c>
      <c r="Q2515" s="8"/>
      <c r="W2515" s="317">
        <v>4.5999999999999996</v>
      </c>
      <c r="X2515" s="190">
        <f t="shared" si="113"/>
        <v>52.9</v>
      </c>
      <c r="Y2515" s="8"/>
      <c r="Z2515" s="8"/>
    </row>
    <row r="2516" spans="1:26" ht="12.75" customHeight="1" x14ac:dyDescent="0.2">
      <c r="A2516" s="15">
        <v>258</v>
      </c>
      <c r="B2516" s="15">
        <v>1997</v>
      </c>
      <c r="C2516" s="15">
        <v>2</v>
      </c>
      <c r="D2516" s="15">
        <v>8</v>
      </c>
      <c r="E2516" s="14">
        <v>0.73819444444444438</v>
      </c>
      <c r="F2516" s="11" t="s">
        <v>18</v>
      </c>
      <c r="G2516" s="15">
        <v>155</v>
      </c>
      <c r="H2516" s="15" t="s">
        <v>29</v>
      </c>
      <c r="I2516" s="25">
        <v>18.5</v>
      </c>
      <c r="J2516" s="11" t="s">
        <v>19</v>
      </c>
      <c r="K2516" s="11" t="s">
        <v>20</v>
      </c>
      <c r="L2516" s="11" t="s">
        <v>30</v>
      </c>
      <c r="M2516" s="11" t="s">
        <v>46</v>
      </c>
      <c r="N2516" s="11" t="s">
        <v>33</v>
      </c>
      <c r="O2516" s="16" t="s">
        <v>29</v>
      </c>
      <c r="P2516" s="15">
        <v>214</v>
      </c>
      <c r="Q2516" s="8"/>
      <c r="R2516">
        <v>14.46</v>
      </c>
      <c r="S2516">
        <v>3024.41</v>
      </c>
      <c r="T2516">
        <v>6.12</v>
      </c>
      <c r="U2516">
        <v>10.39</v>
      </c>
      <c r="V2516">
        <v>145</v>
      </c>
      <c r="W2516" s="317">
        <v>4.5999999999999996</v>
      </c>
      <c r="X2516" s="190">
        <f t="shared" si="113"/>
        <v>85.1</v>
      </c>
      <c r="Y2516" s="8"/>
      <c r="Z2516" s="8"/>
    </row>
    <row r="2517" spans="1:26" ht="12.75" customHeight="1" x14ac:dyDescent="0.2">
      <c r="A2517" s="15">
        <v>259</v>
      </c>
      <c r="B2517" s="15">
        <v>1997</v>
      </c>
      <c r="C2517" s="15">
        <v>2</v>
      </c>
      <c r="D2517" s="15">
        <v>8</v>
      </c>
      <c r="E2517" s="14">
        <v>0.73888888888888893</v>
      </c>
      <c r="F2517" s="11" t="s">
        <v>28</v>
      </c>
      <c r="G2517" s="11" t="s">
        <v>29</v>
      </c>
      <c r="H2517" s="15" t="s">
        <v>29</v>
      </c>
      <c r="I2517" s="25">
        <v>14</v>
      </c>
      <c r="J2517" s="11" t="s">
        <v>19</v>
      </c>
      <c r="K2517" s="11" t="s">
        <v>34</v>
      </c>
      <c r="L2517" s="11" t="s">
        <v>41</v>
      </c>
      <c r="M2517" s="11" t="s">
        <v>29</v>
      </c>
      <c r="N2517" s="11" t="s">
        <v>25</v>
      </c>
      <c r="O2517" s="16" t="s">
        <v>29</v>
      </c>
      <c r="P2517" s="15">
        <v>214</v>
      </c>
      <c r="Q2517" s="8"/>
      <c r="W2517" s="317">
        <v>3.8</v>
      </c>
      <c r="X2517" s="190">
        <f t="shared" si="113"/>
        <v>53.199999999999996</v>
      </c>
      <c r="Y2517" s="8"/>
      <c r="Z2517" s="8"/>
    </row>
    <row r="2518" spans="1:26" ht="12.75" customHeight="1" x14ac:dyDescent="0.2">
      <c r="A2518" s="15">
        <v>260</v>
      </c>
      <c r="B2518" s="15">
        <v>1997</v>
      </c>
      <c r="C2518" s="15">
        <v>2</v>
      </c>
      <c r="D2518" s="15">
        <v>8</v>
      </c>
      <c r="E2518" s="14">
        <v>0.73958333333333337</v>
      </c>
      <c r="F2518" s="11" t="s">
        <v>18</v>
      </c>
      <c r="G2518" s="11" t="s">
        <v>29</v>
      </c>
      <c r="H2518" s="15" t="s">
        <v>29</v>
      </c>
      <c r="I2518" s="25">
        <v>12</v>
      </c>
      <c r="J2518" s="11" t="s">
        <v>19</v>
      </c>
      <c r="K2518" s="11" t="s">
        <v>20</v>
      </c>
      <c r="L2518" s="11" t="s">
        <v>30</v>
      </c>
      <c r="M2518" s="11" t="s">
        <v>27</v>
      </c>
      <c r="N2518" s="11" t="s">
        <v>25</v>
      </c>
      <c r="O2518" s="16" t="s">
        <v>29</v>
      </c>
      <c r="P2518" s="15">
        <v>214</v>
      </c>
      <c r="Q2518" s="8"/>
      <c r="W2518" s="317">
        <v>4.5999999999999996</v>
      </c>
      <c r="X2518" s="190">
        <f>I2518*W2518</f>
        <v>55.199999999999996</v>
      </c>
      <c r="Y2518" s="8"/>
      <c r="Z2518" s="8"/>
    </row>
    <row r="2519" spans="1:26" ht="12.75" customHeight="1" x14ac:dyDescent="0.2">
      <c r="A2519" s="15">
        <v>261</v>
      </c>
      <c r="B2519" s="15">
        <v>1997</v>
      </c>
      <c r="C2519" s="15">
        <v>2</v>
      </c>
      <c r="D2519" s="15">
        <v>8</v>
      </c>
      <c r="E2519" s="14">
        <v>0.74097222222222225</v>
      </c>
      <c r="F2519" s="11" t="s">
        <v>18</v>
      </c>
      <c r="G2519" s="15">
        <v>136</v>
      </c>
      <c r="H2519" s="15" t="s">
        <v>29</v>
      </c>
      <c r="I2519" s="25">
        <v>12.5</v>
      </c>
      <c r="J2519" s="11" t="s">
        <v>19</v>
      </c>
      <c r="K2519" s="11" t="s">
        <v>20</v>
      </c>
      <c r="L2519" s="11" t="s">
        <v>30</v>
      </c>
      <c r="M2519" s="11" t="s">
        <v>27</v>
      </c>
      <c r="N2519" s="11" t="s">
        <v>24</v>
      </c>
      <c r="O2519" s="16" t="s">
        <v>29</v>
      </c>
      <c r="P2519" s="15">
        <v>214</v>
      </c>
      <c r="Q2519" s="8"/>
      <c r="R2519">
        <v>12.69</v>
      </c>
      <c r="S2519">
        <v>2042.97</v>
      </c>
      <c r="T2519">
        <v>6.12</v>
      </c>
      <c r="U2519">
        <v>9.11</v>
      </c>
      <c r="V2519">
        <v>127</v>
      </c>
      <c r="W2519" s="317">
        <v>4.5999999999999996</v>
      </c>
      <c r="X2519" s="190">
        <f>I2519*W2519</f>
        <v>57.499999999999993</v>
      </c>
      <c r="Y2519" s="8"/>
      <c r="Z2519" s="8"/>
    </row>
    <row r="2520" spans="1:26" ht="12.75" customHeight="1" x14ac:dyDescent="0.2">
      <c r="A2520" s="15">
        <v>262</v>
      </c>
      <c r="B2520" s="15">
        <v>1997</v>
      </c>
      <c r="C2520" s="15">
        <v>2</v>
      </c>
      <c r="D2520" s="15">
        <v>8</v>
      </c>
      <c r="E2520" s="14">
        <v>0.74236111111111114</v>
      </c>
      <c r="F2520" s="11" t="s">
        <v>18</v>
      </c>
      <c r="G2520" s="15">
        <v>75</v>
      </c>
      <c r="H2520" s="15" t="s">
        <v>29</v>
      </c>
      <c r="I2520" s="25">
        <v>1</v>
      </c>
      <c r="J2520" s="11" t="s">
        <v>231</v>
      </c>
      <c r="K2520" s="11" t="s">
        <v>29</v>
      </c>
      <c r="L2520" s="11" t="s">
        <v>29</v>
      </c>
      <c r="M2520" s="11" t="s">
        <v>46</v>
      </c>
      <c r="N2520" s="11" t="s">
        <v>24</v>
      </c>
      <c r="O2520" s="16" t="s">
        <v>29</v>
      </c>
      <c r="P2520" s="15">
        <v>214</v>
      </c>
      <c r="Q2520" s="8"/>
      <c r="R2520">
        <v>7</v>
      </c>
      <c r="S2520">
        <v>342.63</v>
      </c>
      <c r="T2520">
        <v>2.92</v>
      </c>
      <c r="U2520">
        <v>5.03</v>
      </c>
      <c r="V2520">
        <v>70</v>
      </c>
      <c r="W2520" s="8"/>
      <c r="X2520" s="8"/>
      <c r="Y2520" s="8"/>
      <c r="Z2520" s="8"/>
    </row>
    <row r="2521" spans="1:26" ht="12.75" customHeight="1" x14ac:dyDescent="0.2">
      <c r="A2521" s="15">
        <v>263</v>
      </c>
      <c r="B2521" s="15">
        <v>1997</v>
      </c>
      <c r="C2521" s="15">
        <v>2</v>
      </c>
      <c r="D2521" s="15">
        <v>8</v>
      </c>
      <c r="E2521" s="14">
        <v>0.74652777777777779</v>
      </c>
      <c r="F2521" s="11" t="s">
        <v>18</v>
      </c>
      <c r="G2521" s="15">
        <v>156</v>
      </c>
      <c r="H2521" s="15" t="s">
        <v>29</v>
      </c>
      <c r="I2521" s="25">
        <v>19.5</v>
      </c>
      <c r="J2521" s="11" t="s">
        <v>19</v>
      </c>
      <c r="K2521" s="11" t="s">
        <v>20</v>
      </c>
      <c r="L2521" s="11" t="s">
        <v>30</v>
      </c>
      <c r="M2521" s="11" t="s">
        <v>46</v>
      </c>
      <c r="N2521" s="11" t="s">
        <v>33</v>
      </c>
      <c r="O2521" s="16" t="s">
        <v>29</v>
      </c>
      <c r="P2521" s="15">
        <v>214</v>
      </c>
      <c r="Q2521" s="8"/>
      <c r="R2521">
        <v>14.55</v>
      </c>
      <c r="S2521">
        <v>3083.32</v>
      </c>
      <c r="T2521">
        <v>6.32</v>
      </c>
      <c r="U2521">
        <v>10.45</v>
      </c>
      <c r="V2521">
        <v>146</v>
      </c>
      <c r="W2521" s="317">
        <v>4.5999999999999996</v>
      </c>
      <c r="X2521" s="190">
        <f t="shared" ref="X2521:X2526" si="114">I2521*W2521</f>
        <v>89.699999999999989</v>
      </c>
      <c r="Y2521" s="8"/>
      <c r="Z2521" s="8"/>
    </row>
    <row r="2522" spans="1:26" ht="12.75" customHeight="1" x14ac:dyDescent="0.2">
      <c r="A2522" s="15">
        <v>264</v>
      </c>
      <c r="B2522" s="15">
        <v>1997</v>
      </c>
      <c r="C2522" s="15">
        <v>2</v>
      </c>
      <c r="D2522" s="15">
        <v>8</v>
      </c>
      <c r="E2522" s="14">
        <v>0.74791666666666667</v>
      </c>
      <c r="F2522" s="11" t="s">
        <v>18</v>
      </c>
      <c r="G2522" s="15">
        <v>121</v>
      </c>
      <c r="H2522" s="15" t="s">
        <v>29</v>
      </c>
      <c r="I2522" s="25">
        <v>7.5</v>
      </c>
      <c r="J2522" s="11" t="s">
        <v>19</v>
      </c>
      <c r="K2522" s="11" t="s">
        <v>20</v>
      </c>
      <c r="L2522" s="11" t="s">
        <v>30</v>
      </c>
      <c r="M2522" s="11" t="s">
        <v>45</v>
      </c>
      <c r="N2522" s="11" t="s">
        <v>25</v>
      </c>
      <c r="O2522" s="16" t="s">
        <v>29</v>
      </c>
      <c r="P2522" s="15">
        <v>214</v>
      </c>
      <c r="Q2522" s="8"/>
      <c r="R2522">
        <v>11.29</v>
      </c>
      <c r="S2522">
        <v>1438.8</v>
      </c>
      <c r="T2522">
        <v>5.21</v>
      </c>
      <c r="U2522">
        <v>8.11</v>
      </c>
      <c r="V2522">
        <v>113</v>
      </c>
      <c r="W2522" s="317">
        <v>4.5999999999999996</v>
      </c>
      <c r="X2522" s="190">
        <f t="shared" si="114"/>
        <v>34.5</v>
      </c>
      <c r="Y2522" s="8"/>
      <c r="Z2522" s="8"/>
    </row>
    <row r="2523" spans="1:26" ht="12.75" customHeight="1" x14ac:dyDescent="0.2">
      <c r="A2523" s="15">
        <v>265</v>
      </c>
      <c r="B2523" s="15">
        <v>1997</v>
      </c>
      <c r="C2523" s="15">
        <v>2</v>
      </c>
      <c r="D2523" s="15">
        <v>8</v>
      </c>
      <c r="E2523" s="14">
        <v>0.75</v>
      </c>
      <c r="F2523" s="11" t="s">
        <v>18</v>
      </c>
      <c r="G2523" s="15">
        <v>148</v>
      </c>
      <c r="H2523" s="15" t="s">
        <v>29</v>
      </c>
      <c r="I2523" s="25">
        <v>17.5</v>
      </c>
      <c r="J2523" s="11" t="s">
        <v>19</v>
      </c>
      <c r="K2523" s="11" t="s">
        <v>20</v>
      </c>
      <c r="L2523" s="11" t="s">
        <v>30</v>
      </c>
      <c r="M2523" s="11" t="s">
        <v>46</v>
      </c>
      <c r="N2523" s="11" t="s">
        <v>24</v>
      </c>
      <c r="O2523" s="16" t="s">
        <v>29</v>
      </c>
      <c r="P2523" s="15">
        <v>214</v>
      </c>
      <c r="Q2523" s="8"/>
      <c r="R2523">
        <v>13.81</v>
      </c>
      <c r="S2523">
        <v>2632.87</v>
      </c>
      <c r="T2523">
        <v>6.65</v>
      </c>
      <c r="U2523">
        <v>9.92</v>
      </c>
      <c r="V2523">
        <v>138</v>
      </c>
      <c r="W2523" s="317">
        <v>4.5999999999999996</v>
      </c>
      <c r="X2523" s="190">
        <f t="shared" si="114"/>
        <v>80.5</v>
      </c>
      <c r="Y2523" s="8"/>
      <c r="Z2523" s="8"/>
    </row>
    <row r="2524" spans="1:26" ht="12.75" customHeight="1" x14ac:dyDescent="0.2">
      <c r="A2524" s="15">
        <v>266</v>
      </c>
      <c r="B2524" s="15">
        <v>1997</v>
      </c>
      <c r="C2524" s="15">
        <v>2</v>
      </c>
      <c r="D2524" s="15">
        <v>8</v>
      </c>
      <c r="E2524" s="14">
        <v>0.75138888888888899</v>
      </c>
      <c r="F2524" s="11" t="s">
        <v>18</v>
      </c>
      <c r="G2524" s="15">
        <v>148</v>
      </c>
      <c r="H2524" s="15" t="s">
        <v>29</v>
      </c>
      <c r="I2524" s="25">
        <v>17</v>
      </c>
      <c r="J2524" s="11" t="s">
        <v>19</v>
      </c>
      <c r="K2524" s="11" t="s">
        <v>20</v>
      </c>
      <c r="L2524" s="11" t="s">
        <v>30</v>
      </c>
      <c r="M2524" s="11" t="s">
        <v>46</v>
      </c>
      <c r="N2524" s="11" t="s">
        <v>24</v>
      </c>
      <c r="O2524" s="16" t="s">
        <v>29</v>
      </c>
      <c r="P2524" s="15">
        <v>214</v>
      </c>
      <c r="Q2524" s="8"/>
      <c r="R2524">
        <v>13.81</v>
      </c>
      <c r="S2524">
        <v>2632.87</v>
      </c>
      <c r="T2524">
        <v>6.46</v>
      </c>
      <c r="U2524">
        <v>9.92</v>
      </c>
      <c r="V2524">
        <v>138</v>
      </c>
      <c r="W2524" s="317">
        <v>4.5999999999999996</v>
      </c>
      <c r="X2524" s="190">
        <f t="shared" si="114"/>
        <v>78.199999999999989</v>
      </c>
      <c r="Y2524" s="8"/>
      <c r="Z2524" s="8"/>
    </row>
    <row r="2525" spans="1:26" ht="12.75" customHeight="1" x14ac:dyDescent="0.2">
      <c r="A2525" s="15">
        <v>267</v>
      </c>
      <c r="B2525" s="15">
        <v>1997</v>
      </c>
      <c r="C2525" s="15">
        <v>2</v>
      </c>
      <c r="D2525" s="15">
        <v>8</v>
      </c>
      <c r="E2525" s="14">
        <v>0.75347222222222221</v>
      </c>
      <c r="F2525" s="11" t="s">
        <v>18</v>
      </c>
      <c r="G2525" s="15">
        <v>130</v>
      </c>
      <c r="H2525" s="15" t="s">
        <v>29</v>
      </c>
      <c r="I2525" s="25">
        <v>8.5</v>
      </c>
      <c r="J2525" s="11" t="s">
        <v>19</v>
      </c>
      <c r="K2525" s="11" t="s">
        <v>20</v>
      </c>
      <c r="L2525" s="11" t="s">
        <v>30</v>
      </c>
      <c r="M2525" s="11" t="s">
        <v>45</v>
      </c>
      <c r="N2525" s="11" t="s">
        <v>25</v>
      </c>
      <c r="O2525" s="16" t="s">
        <v>29</v>
      </c>
      <c r="P2525" s="15">
        <v>214</v>
      </c>
      <c r="Q2525" s="8"/>
      <c r="R2525">
        <v>12.13</v>
      </c>
      <c r="S2525">
        <v>1784.33</v>
      </c>
      <c r="T2525">
        <v>4.76</v>
      </c>
      <c r="U2525">
        <v>8.7100000000000009</v>
      </c>
      <c r="V2525">
        <v>121</v>
      </c>
      <c r="W2525" s="317">
        <v>4.5999999999999996</v>
      </c>
      <c r="X2525" s="190">
        <f t="shared" si="114"/>
        <v>39.099999999999994</v>
      </c>
      <c r="Y2525" s="8"/>
      <c r="Z2525" s="8"/>
    </row>
    <row r="2526" spans="1:26" ht="12.75" customHeight="1" x14ac:dyDescent="0.2">
      <c r="A2526" s="15">
        <v>268</v>
      </c>
      <c r="B2526" s="15">
        <v>1997</v>
      </c>
      <c r="C2526" s="15">
        <v>2</v>
      </c>
      <c r="D2526" s="15">
        <v>8</v>
      </c>
      <c r="E2526" s="14">
        <v>0.75347222222222221</v>
      </c>
      <c r="F2526" s="11" t="s">
        <v>18</v>
      </c>
      <c r="G2526" s="11" t="s">
        <v>29</v>
      </c>
      <c r="H2526" s="15" t="s">
        <v>29</v>
      </c>
      <c r="I2526" s="25">
        <v>14</v>
      </c>
      <c r="J2526" s="11" t="s">
        <v>19</v>
      </c>
      <c r="K2526" s="11" t="s">
        <v>34</v>
      </c>
      <c r="L2526" s="11" t="s">
        <v>41</v>
      </c>
      <c r="M2526" s="11" t="s">
        <v>46</v>
      </c>
      <c r="N2526" s="11" t="s">
        <v>23</v>
      </c>
      <c r="O2526" s="16" t="s">
        <v>29</v>
      </c>
      <c r="P2526" s="15">
        <v>214</v>
      </c>
      <c r="Q2526" s="8"/>
      <c r="W2526" s="317">
        <v>3.8</v>
      </c>
      <c r="X2526" s="190">
        <f t="shared" si="114"/>
        <v>53.199999999999996</v>
      </c>
      <c r="Y2526" s="8"/>
      <c r="Z2526" s="8"/>
    </row>
    <row r="2527" spans="1:26" ht="12.75" customHeight="1" x14ac:dyDescent="0.2">
      <c r="A2527" s="15">
        <v>269</v>
      </c>
      <c r="B2527" s="15">
        <v>1997</v>
      </c>
      <c r="C2527" s="15">
        <v>2</v>
      </c>
      <c r="D2527" s="15">
        <v>8</v>
      </c>
      <c r="E2527" s="14">
        <v>0.75347222222222221</v>
      </c>
      <c r="F2527" s="11" t="s">
        <v>18</v>
      </c>
      <c r="G2527" s="15">
        <v>145</v>
      </c>
      <c r="H2527" s="15" t="s">
        <v>29</v>
      </c>
      <c r="I2527" s="25">
        <v>10.5</v>
      </c>
      <c r="J2527" s="11" t="s">
        <v>19</v>
      </c>
      <c r="K2527" s="11" t="s">
        <v>20</v>
      </c>
      <c r="L2527" s="11" t="s">
        <v>21</v>
      </c>
      <c r="M2527" s="11" t="s">
        <v>45</v>
      </c>
      <c r="N2527" s="11" t="s">
        <v>23</v>
      </c>
      <c r="O2527" s="16" t="s">
        <v>29</v>
      </c>
      <c r="P2527" s="15">
        <v>214</v>
      </c>
      <c r="Q2527" s="8"/>
      <c r="R2527">
        <v>13.53</v>
      </c>
      <c r="S2527">
        <v>2475.9899999999998</v>
      </c>
      <c r="T2527">
        <v>4.24</v>
      </c>
      <c r="U2527">
        <v>9.7200000000000006</v>
      </c>
      <c r="V2527">
        <v>135</v>
      </c>
      <c r="W2527" s="317">
        <v>3.9</v>
      </c>
      <c r="X2527" s="190">
        <f t="shared" ref="X2527:X2536" si="115">I2527*W2527</f>
        <v>40.949999999999996</v>
      </c>
      <c r="Y2527" s="8"/>
      <c r="Z2527" s="8"/>
    </row>
    <row r="2528" spans="1:26" ht="12.75" customHeight="1" x14ac:dyDescent="0.2">
      <c r="A2528" s="15">
        <v>270</v>
      </c>
      <c r="B2528" s="15">
        <v>1997</v>
      </c>
      <c r="C2528" s="15">
        <v>2</v>
      </c>
      <c r="D2528" s="15">
        <v>8</v>
      </c>
      <c r="E2528" s="14">
        <v>0.75347222222222221</v>
      </c>
      <c r="F2528" s="11" t="s">
        <v>18</v>
      </c>
      <c r="G2528" s="15">
        <v>144</v>
      </c>
      <c r="H2528" s="15" t="s">
        <v>29</v>
      </c>
      <c r="I2528" s="25">
        <v>13</v>
      </c>
      <c r="J2528" s="11" t="s">
        <v>19</v>
      </c>
      <c r="K2528" s="11" t="s">
        <v>20</v>
      </c>
      <c r="L2528" s="11" t="s">
        <v>30</v>
      </c>
      <c r="M2528" s="11" t="s">
        <v>46</v>
      </c>
      <c r="N2528" s="11" t="s">
        <v>25</v>
      </c>
      <c r="O2528" s="16" t="s">
        <v>29</v>
      </c>
      <c r="P2528" s="15">
        <v>214</v>
      </c>
      <c r="Q2528" s="8"/>
      <c r="R2528">
        <v>13.44</v>
      </c>
      <c r="S2528">
        <v>2425.12</v>
      </c>
      <c r="T2528">
        <v>5.36</v>
      </c>
      <c r="U2528">
        <v>9.65</v>
      </c>
      <c r="V2528">
        <v>134</v>
      </c>
      <c r="W2528" s="317">
        <v>4.5999999999999996</v>
      </c>
      <c r="X2528" s="190">
        <f t="shared" si="115"/>
        <v>59.8</v>
      </c>
      <c r="Y2528" s="8"/>
      <c r="Z2528" s="8"/>
    </row>
    <row r="2529" spans="1:26" ht="12.75" customHeight="1" x14ac:dyDescent="0.2">
      <c r="A2529" s="15">
        <v>271</v>
      </c>
      <c r="B2529" s="15">
        <v>1997</v>
      </c>
      <c r="C2529" s="15">
        <v>2</v>
      </c>
      <c r="D2529" s="15">
        <v>8</v>
      </c>
      <c r="E2529" s="14">
        <v>0.75347222222222221</v>
      </c>
      <c r="F2529" s="11" t="s">
        <v>18</v>
      </c>
      <c r="G2529" s="15">
        <v>146</v>
      </c>
      <c r="H2529" s="15" t="s">
        <v>29</v>
      </c>
      <c r="I2529" s="25">
        <v>13</v>
      </c>
      <c r="J2529" s="11" t="s">
        <v>19</v>
      </c>
      <c r="K2529" s="11" t="s">
        <v>20</v>
      </c>
      <c r="L2529" s="11" t="s">
        <v>30</v>
      </c>
      <c r="M2529" s="11" t="s">
        <v>27</v>
      </c>
      <c r="N2529" s="11" t="s">
        <v>25</v>
      </c>
      <c r="O2529" s="16" t="s">
        <v>29</v>
      </c>
      <c r="P2529" s="15">
        <v>214</v>
      </c>
      <c r="Q2529" s="8"/>
      <c r="R2529">
        <v>13.62</v>
      </c>
      <c r="S2529">
        <v>2527.5700000000002</v>
      </c>
      <c r="T2529">
        <v>5.14</v>
      </c>
      <c r="U2529">
        <v>9.7799999999999994</v>
      </c>
      <c r="V2529">
        <v>136</v>
      </c>
      <c r="W2529" s="317">
        <v>4.5999999999999996</v>
      </c>
      <c r="X2529" s="190">
        <f t="shared" si="115"/>
        <v>59.8</v>
      </c>
      <c r="Y2529" s="8"/>
      <c r="Z2529" s="8"/>
    </row>
    <row r="2530" spans="1:26" ht="12.75" customHeight="1" x14ac:dyDescent="0.2">
      <c r="A2530" s="15">
        <v>272</v>
      </c>
      <c r="B2530" s="15">
        <v>1997</v>
      </c>
      <c r="C2530" s="15">
        <v>2</v>
      </c>
      <c r="D2530" s="15">
        <v>8</v>
      </c>
      <c r="E2530" s="14">
        <v>0.75416666666666676</v>
      </c>
      <c r="F2530" s="11" t="s">
        <v>18</v>
      </c>
      <c r="G2530" s="11" t="s">
        <v>29</v>
      </c>
      <c r="H2530" s="15" t="s">
        <v>29</v>
      </c>
      <c r="I2530" s="25">
        <v>11.5</v>
      </c>
      <c r="J2530" s="11" t="s">
        <v>19</v>
      </c>
      <c r="K2530" s="11" t="s">
        <v>20</v>
      </c>
      <c r="L2530" s="11" t="s">
        <v>21</v>
      </c>
      <c r="M2530" s="11" t="s">
        <v>45</v>
      </c>
      <c r="N2530" s="11" t="s">
        <v>25</v>
      </c>
      <c r="O2530" s="16" t="s">
        <v>29</v>
      </c>
      <c r="P2530" s="15">
        <v>214</v>
      </c>
      <c r="Q2530" s="8"/>
      <c r="W2530" s="317">
        <v>3.9</v>
      </c>
      <c r="X2530" s="190">
        <f t="shared" si="115"/>
        <v>44.85</v>
      </c>
      <c r="Y2530" s="8"/>
      <c r="Z2530" s="8"/>
    </row>
    <row r="2531" spans="1:26" ht="12.75" customHeight="1" x14ac:dyDescent="0.2">
      <c r="A2531" s="15">
        <v>273</v>
      </c>
      <c r="B2531" s="15">
        <v>1997</v>
      </c>
      <c r="C2531" s="15">
        <v>2</v>
      </c>
      <c r="D2531" s="15">
        <v>8</v>
      </c>
      <c r="E2531" s="14">
        <v>0.75486111111111109</v>
      </c>
      <c r="F2531" s="11" t="s">
        <v>18</v>
      </c>
      <c r="G2531" s="15">
        <v>137</v>
      </c>
      <c r="H2531" s="15" t="s">
        <v>29</v>
      </c>
      <c r="I2531" s="25">
        <v>11</v>
      </c>
      <c r="J2531" s="11" t="s">
        <v>19</v>
      </c>
      <c r="K2531" s="11" t="s">
        <v>20</v>
      </c>
      <c r="L2531" s="11" t="s">
        <v>30</v>
      </c>
      <c r="M2531" s="11" t="s">
        <v>47</v>
      </c>
      <c r="N2531" s="11" t="s">
        <v>25</v>
      </c>
      <c r="O2531" s="16" t="s">
        <v>29</v>
      </c>
      <c r="P2531" s="15">
        <v>214</v>
      </c>
      <c r="Q2531" s="8"/>
      <c r="R2531">
        <v>12.78</v>
      </c>
      <c r="S2531">
        <v>2088.37</v>
      </c>
      <c r="T2531">
        <v>5.27</v>
      </c>
      <c r="U2531">
        <v>9.18</v>
      </c>
      <c r="V2531">
        <v>128</v>
      </c>
      <c r="W2531" s="317">
        <v>4.5999999999999996</v>
      </c>
      <c r="X2531" s="190">
        <f t="shared" si="115"/>
        <v>50.599999999999994</v>
      </c>
      <c r="Y2531" s="8"/>
      <c r="Z2531" s="8"/>
    </row>
    <row r="2532" spans="1:26" ht="12.75" customHeight="1" x14ac:dyDescent="0.2">
      <c r="A2532" s="15">
        <v>274</v>
      </c>
      <c r="B2532" s="15">
        <v>1997</v>
      </c>
      <c r="C2532" s="15">
        <v>2</v>
      </c>
      <c r="D2532" s="15">
        <v>8</v>
      </c>
      <c r="E2532" s="14">
        <v>0.76388888888888884</v>
      </c>
      <c r="F2532" s="11" t="s">
        <v>18</v>
      </c>
      <c r="G2532" s="15">
        <v>133</v>
      </c>
      <c r="H2532" s="15" t="s">
        <v>29</v>
      </c>
      <c r="I2532" s="25">
        <v>9</v>
      </c>
      <c r="J2532" s="11" t="s">
        <v>19</v>
      </c>
      <c r="K2532" s="11" t="s">
        <v>20</v>
      </c>
      <c r="L2532" s="11" t="s">
        <v>21</v>
      </c>
      <c r="M2532" s="11" t="s">
        <v>27</v>
      </c>
      <c r="N2532" s="11" t="s">
        <v>33</v>
      </c>
      <c r="O2532" s="16" t="s">
        <v>29</v>
      </c>
      <c r="P2532" s="15">
        <v>214</v>
      </c>
      <c r="Q2532" s="8"/>
      <c r="R2532">
        <v>12.41</v>
      </c>
      <c r="S2532">
        <v>1910.73</v>
      </c>
      <c r="T2532">
        <v>4.71</v>
      </c>
      <c r="U2532">
        <v>8.91</v>
      </c>
      <c r="V2532">
        <v>124</v>
      </c>
      <c r="W2532" s="317">
        <v>3.9</v>
      </c>
      <c r="X2532" s="190">
        <f t="shared" si="115"/>
        <v>35.1</v>
      </c>
      <c r="Y2532" s="8"/>
      <c r="Z2532" s="8"/>
    </row>
    <row r="2533" spans="1:26" ht="12.75" customHeight="1" x14ac:dyDescent="0.2">
      <c r="A2533" s="15">
        <v>275</v>
      </c>
      <c r="B2533" s="15">
        <v>1997</v>
      </c>
      <c r="C2533" s="15">
        <v>2</v>
      </c>
      <c r="D2533" s="15">
        <v>8</v>
      </c>
      <c r="E2533" s="14">
        <v>0.76388888888888884</v>
      </c>
      <c r="F2533" s="11" t="s">
        <v>18</v>
      </c>
      <c r="G2533" s="15">
        <v>135</v>
      </c>
      <c r="H2533" s="15" t="s">
        <v>29</v>
      </c>
      <c r="I2533" s="25">
        <v>10.5</v>
      </c>
      <c r="J2533" s="11" t="s">
        <v>19</v>
      </c>
      <c r="K2533" s="11" t="s">
        <v>20</v>
      </c>
      <c r="L2533" s="11" t="s">
        <v>30</v>
      </c>
      <c r="M2533" s="11" t="s">
        <v>47</v>
      </c>
      <c r="N2533" s="11" t="s">
        <v>24</v>
      </c>
      <c r="O2533" s="16" t="s">
        <v>29</v>
      </c>
      <c r="P2533" s="15">
        <v>214</v>
      </c>
      <c r="Q2533" s="8"/>
      <c r="R2533">
        <v>12.6</v>
      </c>
      <c r="S2533">
        <v>1998.23</v>
      </c>
      <c r="T2533">
        <v>5.25</v>
      </c>
      <c r="U2533">
        <v>9.0500000000000007</v>
      </c>
      <c r="V2533">
        <v>126</v>
      </c>
      <c r="W2533" s="317">
        <v>4.5999999999999996</v>
      </c>
      <c r="X2533" s="190">
        <f t="shared" si="115"/>
        <v>48.3</v>
      </c>
      <c r="Y2533" s="8"/>
      <c r="Z2533" s="8"/>
    </row>
    <row r="2534" spans="1:26" ht="12.75" customHeight="1" x14ac:dyDescent="0.2">
      <c r="A2534" s="15">
        <v>276</v>
      </c>
      <c r="B2534" s="15">
        <v>1997</v>
      </c>
      <c r="C2534" s="15">
        <v>2</v>
      </c>
      <c r="D2534" s="15">
        <v>8</v>
      </c>
      <c r="E2534" s="14">
        <v>0.76388888888888884</v>
      </c>
      <c r="F2534" s="11" t="s">
        <v>18</v>
      </c>
      <c r="G2534" s="15">
        <v>116</v>
      </c>
      <c r="H2534" s="15" t="s">
        <v>29</v>
      </c>
      <c r="I2534" s="25">
        <v>9</v>
      </c>
      <c r="J2534" s="11" t="s">
        <v>19</v>
      </c>
      <c r="K2534" s="11" t="s">
        <v>20</v>
      </c>
      <c r="L2534" s="11" t="s">
        <v>30</v>
      </c>
      <c r="M2534" s="11" t="s">
        <v>27</v>
      </c>
      <c r="N2534" s="11" t="s">
        <v>24</v>
      </c>
      <c r="O2534" s="16" t="s">
        <v>29</v>
      </c>
      <c r="P2534" s="15">
        <v>214</v>
      </c>
      <c r="Q2534" s="8"/>
      <c r="R2534">
        <v>10.82</v>
      </c>
      <c r="S2534">
        <v>1267.71</v>
      </c>
      <c r="T2534">
        <v>7.1</v>
      </c>
      <c r="U2534">
        <v>7.77</v>
      </c>
      <c r="V2534">
        <v>108</v>
      </c>
      <c r="W2534" s="317">
        <v>4.5999999999999996</v>
      </c>
      <c r="X2534" s="190">
        <f t="shared" si="115"/>
        <v>41.4</v>
      </c>
      <c r="Y2534" s="8"/>
      <c r="Z2534" s="8"/>
    </row>
    <row r="2535" spans="1:26" ht="12.75" customHeight="1" x14ac:dyDescent="0.2">
      <c r="A2535" s="15">
        <v>277</v>
      </c>
      <c r="B2535" s="15">
        <v>1997</v>
      </c>
      <c r="C2535" s="15">
        <v>2</v>
      </c>
      <c r="D2535" s="15">
        <v>8</v>
      </c>
      <c r="E2535" s="14">
        <v>0.76388888888888884</v>
      </c>
      <c r="F2535" s="11" t="s">
        <v>28</v>
      </c>
      <c r="G2535" s="11" t="s">
        <v>29</v>
      </c>
      <c r="H2535" s="15" t="s">
        <v>29</v>
      </c>
      <c r="I2535" s="25">
        <v>16.5</v>
      </c>
      <c r="J2535" s="11" t="s">
        <v>19</v>
      </c>
      <c r="K2535" s="11" t="s">
        <v>34</v>
      </c>
      <c r="L2535" s="11" t="s">
        <v>41</v>
      </c>
      <c r="M2535" s="11" t="s">
        <v>29</v>
      </c>
      <c r="N2535" s="11" t="s">
        <v>25</v>
      </c>
      <c r="O2535" s="16" t="s">
        <v>29</v>
      </c>
      <c r="P2535" s="15">
        <v>214</v>
      </c>
      <c r="Q2535" s="8"/>
      <c r="W2535" s="317">
        <v>3.8</v>
      </c>
      <c r="X2535" s="190">
        <f t="shared" si="115"/>
        <v>62.699999999999996</v>
      </c>
      <c r="Y2535" s="8"/>
      <c r="Z2535" s="8"/>
    </row>
    <row r="2536" spans="1:26" ht="12.75" customHeight="1" x14ac:dyDescent="0.2">
      <c r="A2536" s="15">
        <v>278</v>
      </c>
      <c r="B2536" s="15">
        <v>1997</v>
      </c>
      <c r="C2536" s="15">
        <v>2</v>
      </c>
      <c r="D2536" s="15">
        <v>8</v>
      </c>
      <c r="E2536" s="14">
        <v>0.76388888888888884</v>
      </c>
      <c r="F2536" s="11" t="s">
        <v>18</v>
      </c>
      <c r="G2536" s="15">
        <v>166</v>
      </c>
      <c r="H2536" s="15" t="s">
        <v>29</v>
      </c>
      <c r="I2536" s="25">
        <v>25.5</v>
      </c>
      <c r="J2536" s="11" t="s">
        <v>19</v>
      </c>
      <c r="K2536" s="11" t="s">
        <v>34</v>
      </c>
      <c r="L2536" s="11" t="s">
        <v>41</v>
      </c>
      <c r="M2536" s="11" t="s">
        <v>45</v>
      </c>
      <c r="N2536" s="11" t="s">
        <v>23</v>
      </c>
      <c r="O2536" s="16" t="s">
        <v>29</v>
      </c>
      <c r="P2536" s="15">
        <v>214</v>
      </c>
      <c r="Q2536" s="8"/>
      <c r="R2536">
        <v>15.49</v>
      </c>
      <c r="S2536">
        <v>3715.09</v>
      </c>
      <c r="T2536">
        <v>6.86</v>
      </c>
      <c r="U2536">
        <v>11.12</v>
      </c>
      <c r="V2536">
        <v>155</v>
      </c>
      <c r="W2536" s="317">
        <v>3.8</v>
      </c>
      <c r="X2536" s="190">
        <f t="shared" si="115"/>
        <v>96.899999999999991</v>
      </c>
      <c r="Y2536" s="8"/>
      <c r="Z2536" s="8"/>
    </row>
    <row r="2537" spans="1:26" ht="12.75" customHeight="1" x14ac:dyDescent="0.2">
      <c r="A2537" s="15">
        <v>279</v>
      </c>
      <c r="B2537" s="15">
        <v>1997</v>
      </c>
      <c r="C2537" s="15">
        <v>2</v>
      </c>
      <c r="D2537" s="15">
        <v>8</v>
      </c>
      <c r="E2537" s="14">
        <v>0.76388888888888884</v>
      </c>
      <c r="F2537" s="11" t="s">
        <v>18</v>
      </c>
      <c r="G2537" s="15">
        <v>141</v>
      </c>
      <c r="H2537" s="15" t="s">
        <v>29</v>
      </c>
      <c r="I2537" s="25">
        <v>14.5</v>
      </c>
      <c r="J2537" s="11" t="s">
        <v>19</v>
      </c>
      <c r="K2537" s="11" t="s">
        <v>20</v>
      </c>
      <c r="L2537" s="11" t="s">
        <v>30</v>
      </c>
      <c r="M2537" s="11" t="s">
        <v>46</v>
      </c>
      <c r="N2537" s="11" t="s">
        <v>33</v>
      </c>
      <c r="O2537" s="16" t="s">
        <v>29</v>
      </c>
      <c r="P2537" s="15">
        <v>214</v>
      </c>
      <c r="Q2537" s="8"/>
      <c r="R2537">
        <v>13.16</v>
      </c>
      <c r="S2537">
        <v>2276.6799999999998</v>
      </c>
      <c r="T2537">
        <v>6.37</v>
      </c>
      <c r="U2537">
        <v>9.4499999999999993</v>
      </c>
      <c r="V2537">
        <v>132</v>
      </c>
      <c r="W2537" s="317">
        <v>4.5999999999999996</v>
      </c>
      <c r="X2537" s="190">
        <f t="shared" ref="X2537:X2546" si="116">I2537*W2537</f>
        <v>66.699999999999989</v>
      </c>
      <c r="Y2537" s="8"/>
      <c r="Z2537" s="8"/>
    </row>
    <row r="2538" spans="1:26" ht="12.75" customHeight="1" x14ac:dyDescent="0.2">
      <c r="A2538" s="15">
        <v>280</v>
      </c>
      <c r="B2538" s="15">
        <v>1997</v>
      </c>
      <c r="C2538" s="15">
        <v>2</v>
      </c>
      <c r="D2538" s="15">
        <v>8</v>
      </c>
      <c r="E2538" s="14">
        <v>0.76388888888888884</v>
      </c>
      <c r="F2538" s="11" t="s">
        <v>18</v>
      </c>
      <c r="G2538" s="15">
        <v>131</v>
      </c>
      <c r="H2538" s="15" t="s">
        <v>29</v>
      </c>
      <c r="I2538" s="25">
        <v>12.5</v>
      </c>
      <c r="J2538" s="11" t="s">
        <v>19</v>
      </c>
      <c r="K2538" s="11" t="s">
        <v>20</v>
      </c>
      <c r="L2538" s="11" t="s">
        <v>21</v>
      </c>
      <c r="M2538" s="11" t="s">
        <v>45</v>
      </c>
      <c r="N2538" s="11" t="s">
        <v>23</v>
      </c>
      <c r="O2538" s="16" t="s">
        <v>29</v>
      </c>
      <c r="P2538" s="15">
        <v>214</v>
      </c>
      <c r="Q2538" s="8"/>
      <c r="R2538">
        <v>12.22</v>
      </c>
      <c r="S2538">
        <v>1825.82</v>
      </c>
      <c r="T2538">
        <v>6.85</v>
      </c>
      <c r="U2538">
        <v>8.7799999999999994</v>
      </c>
      <c r="V2538">
        <v>122</v>
      </c>
      <c r="W2538" s="317">
        <v>3.9</v>
      </c>
      <c r="X2538" s="190">
        <f t="shared" si="116"/>
        <v>48.75</v>
      </c>
      <c r="Y2538" s="8"/>
      <c r="Z2538" s="8"/>
    </row>
    <row r="2539" spans="1:26" ht="12.75" customHeight="1" x14ac:dyDescent="0.2">
      <c r="A2539" s="15">
        <v>281</v>
      </c>
      <c r="B2539" s="15">
        <v>1997</v>
      </c>
      <c r="C2539" s="15">
        <v>2</v>
      </c>
      <c r="D2539" s="15">
        <v>8</v>
      </c>
      <c r="E2539" s="14">
        <v>0.76388888888888884</v>
      </c>
      <c r="F2539" s="11" t="s">
        <v>18</v>
      </c>
      <c r="G2539" s="15">
        <v>136</v>
      </c>
      <c r="H2539" s="15" t="s">
        <v>29</v>
      </c>
      <c r="I2539" s="25">
        <v>11.5</v>
      </c>
      <c r="J2539" s="11" t="s">
        <v>19</v>
      </c>
      <c r="K2539" s="11" t="s">
        <v>20</v>
      </c>
      <c r="L2539" s="11" t="s">
        <v>30</v>
      </c>
      <c r="M2539" s="11" t="s">
        <v>29</v>
      </c>
      <c r="N2539" s="11" t="s">
        <v>25</v>
      </c>
      <c r="O2539" s="16" t="s">
        <v>29</v>
      </c>
      <c r="P2539" s="15">
        <v>214</v>
      </c>
      <c r="Q2539" s="8"/>
      <c r="R2539">
        <v>12.69</v>
      </c>
      <c r="S2539">
        <v>2042.97</v>
      </c>
      <c r="T2539">
        <v>5.63</v>
      </c>
      <c r="U2539">
        <v>9.11</v>
      </c>
      <c r="V2539">
        <v>127</v>
      </c>
      <c r="W2539" s="317">
        <v>4.5999999999999996</v>
      </c>
      <c r="X2539" s="190">
        <f t="shared" si="116"/>
        <v>52.9</v>
      </c>
      <c r="Y2539" s="8"/>
      <c r="Z2539" s="8"/>
    </row>
    <row r="2540" spans="1:26" ht="12.75" customHeight="1" x14ac:dyDescent="0.2">
      <c r="A2540" s="15">
        <v>282</v>
      </c>
      <c r="B2540" s="15">
        <v>1997</v>
      </c>
      <c r="C2540" s="15">
        <v>2</v>
      </c>
      <c r="D2540" s="15">
        <v>8</v>
      </c>
      <c r="E2540" s="14">
        <v>0.76388888888888884</v>
      </c>
      <c r="F2540" s="11" t="s">
        <v>18</v>
      </c>
      <c r="G2540" s="15">
        <v>156</v>
      </c>
      <c r="H2540" s="15" t="s">
        <v>29</v>
      </c>
      <c r="I2540" s="25">
        <v>20.5</v>
      </c>
      <c r="J2540" s="11" t="s">
        <v>19</v>
      </c>
      <c r="K2540" s="11" t="s">
        <v>20</v>
      </c>
      <c r="L2540" s="11" t="s">
        <v>30</v>
      </c>
      <c r="M2540" s="11" t="s">
        <v>27</v>
      </c>
      <c r="N2540" s="11" t="s">
        <v>24</v>
      </c>
      <c r="O2540" s="16" t="s">
        <v>29</v>
      </c>
      <c r="P2540" s="15">
        <v>214</v>
      </c>
      <c r="Q2540" s="8"/>
      <c r="R2540">
        <v>14.55</v>
      </c>
      <c r="S2540">
        <v>3083.32</v>
      </c>
      <c r="T2540">
        <v>6.65</v>
      </c>
      <c r="U2540">
        <v>10.45</v>
      </c>
      <c r="V2540">
        <v>146</v>
      </c>
      <c r="W2540" s="317">
        <v>4.5999999999999996</v>
      </c>
      <c r="X2540" s="190">
        <f t="shared" si="116"/>
        <v>94.3</v>
      </c>
      <c r="Y2540" s="8"/>
      <c r="Z2540" s="8"/>
    </row>
    <row r="2541" spans="1:26" ht="12.75" customHeight="1" x14ac:dyDescent="0.2">
      <c r="A2541" s="15">
        <v>283</v>
      </c>
      <c r="B2541" s="15">
        <v>1997</v>
      </c>
      <c r="C2541" s="15">
        <v>2</v>
      </c>
      <c r="D2541" s="15">
        <v>8</v>
      </c>
      <c r="E2541" s="14">
        <v>0.76388888888888884</v>
      </c>
      <c r="F2541" s="11" t="s">
        <v>18</v>
      </c>
      <c r="G2541" s="15">
        <v>136</v>
      </c>
      <c r="H2541" s="15" t="s">
        <v>29</v>
      </c>
      <c r="I2541" s="25">
        <v>11</v>
      </c>
      <c r="J2541" s="11" t="s">
        <v>19</v>
      </c>
      <c r="K2541" s="11" t="s">
        <v>20</v>
      </c>
      <c r="L2541" s="11" t="s">
        <v>21</v>
      </c>
      <c r="M2541" s="11" t="s">
        <v>47</v>
      </c>
      <c r="N2541" s="11" t="s">
        <v>23</v>
      </c>
      <c r="O2541" s="16" t="s">
        <v>29</v>
      </c>
      <c r="P2541" s="15">
        <v>214</v>
      </c>
      <c r="Q2541" s="8"/>
      <c r="R2541">
        <v>12.69</v>
      </c>
      <c r="S2541">
        <v>2042.97</v>
      </c>
      <c r="T2541">
        <v>5.38</v>
      </c>
      <c r="U2541">
        <v>9.11</v>
      </c>
      <c r="V2541">
        <v>127</v>
      </c>
      <c r="W2541" s="317">
        <v>3.9</v>
      </c>
      <c r="X2541" s="190">
        <f t="shared" si="116"/>
        <v>42.9</v>
      </c>
      <c r="Y2541" s="8"/>
      <c r="Z2541" s="8"/>
    </row>
    <row r="2542" spans="1:26" ht="12.75" customHeight="1" x14ac:dyDescent="0.2">
      <c r="A2542" s="15">
        <v>284</v>
      </c>
      <c r="B2542" s="15">
        <v>1997</v>
      </c>
      <c r="C2542" s="15">
        <v>1</v>
      </c>
      <c r="D2542" s="15">
        <v>8</v>
      </c>
      <c r="E2542" s="14">
        <v>0.54166666666666663</v>
      </c>
      <c r="F2542" s="11" t="s">
        <v>18</v>
      </c>
      <c r="G2542" s="15">
        <v>140</v>
      </c>
      <c r="H2542" s="15" t="s">
        <v>29</v>
      </c>
      <c r="I2542" s="25">
        <v>11.5</v>
      </c>
      <c r="J2542" s="11" t="s">
        <v>19</v>
      </c>
      <c r="K2542" s="11" t="s">
        <v>20</v>
      </c>
      <c r="L2542" s="11" t="s">
        <v>30</v>
      </c>
      <c r="M2542" s="11" t="s">
        <v>45</v>
      </c>
      <c r="N2542" s="11" t="s">
        <v>23</v>
      </c>
      <c r="O2542" s="16" t="s">
        <v>29</v>
      </c>
      <c r="P2542" s="15">
        <v>213</v>
      </c>
      <c r="Q2542" s="8"/>
      <c r="R2542">
        <v>13.06</v>
      </c>
      <c r="S2542">
        <v>2228.58</v>
      </c>
      <c r="T2542">
        <v>5.16</v>
      </c>
      <c r="U2542">
        <v>9.3800000000000008</v>
      </c>
      <c r="V2542">
        <v>131</v>
      </c>
      <c r="W2542" s="317">
        <v>4.5999999999999996</v>
      </c>
      <c r="X2542" s="190">
        <f t="shared" si="116"/>
        <v>52.9</v>
      </c>
      <c r="Y2542" s="8"/>
      <c r="Z2542" s="8"/>
    </row>
    <row r="2543" spans="1:26" ht="12.75" customHeight="1" x14ac:dyDescent="0.2">
      <c r="A2543" s="15">
        <v>285</v>
      </c>
      <c r="B2543" s="15">
        <v>1997</v>
      </c>
      <c r="C2543" s="15">
        <v>1</v>
      </c>
      <c r="D2543" s="15">
        <v>8</v>
      </c>
      <c r="E2543" s="14">
        <v>0.55347222222222225</v>
      </c>
      <c r="F2543" s="11" t="s">
        <v>28</v>
      </c>
      <c r="G2543" s="11" t="s">
        <v>29</v>
      </c>
      <c r="H2543" s="15" t="s">
        <v>29</v>
      </c>
      <c r="I2543" s="25">
        <v>10</v>
      </c>
      <c r="J2543" s="11" t="s">
        <v>19</v>
      </c>
      <c r="K2543" s="11" t="s">
        <v>20</v>
      </c>
      <c r="L2543" s="11" t="s">
        <v>30</v>
      </c>
      <c r="M2543" s="11" t="s">
        <v>46</v>
      </c>
      <c r="N2543" s="11" t="s">
        <v>23</v>
      </c>
      <c r="O2543" s="16" t="s">
        <v>29</v>
      </c>
      <c r="P2543" s="15">
        <v>213</v>
      </c>
      <c r="Q2543" s="8"/>
      <c r="W2543" s="317">
        <v>4.5999999999999996</v>
      </c>
      <c r="X2543" s="190">
        <f t="shared" si="116"/>
        <v>46</v>
      </c>
      <c r="Y2543" s="8"/>
      <c r="Z2543" s="8"/>
    </row>
    <row r="2544" spans="1:26" ht="12.75" customHeight="1" x14ac:dyDescent="0.2">
      <c r="A2544" s="15">
        <v>286</v>
      </c>
      <c r="B2544" s="15">
        <v>1997</v>
      </c>
      <c r="C2544" s="15">
        <v>1</v>
      </c>
      <c r="D2544" s="15">
        <v>8</v>
      </c>
      <c r="E2544" s="14">
        <v>0.56388888888888888</v>
      </c>
      <c r="F2544" s="11" t="s">
        <v>18</v>
      </c>
      <c r="G2544" s="15">
        <v>140</v>
      </c>
      <c r="H2544" s="15" t="s">
        <v>29</v>
      </c>
      <c r="I2544" s="25">
        <v>9</v>
      </c>
      <c r="J2544" s="11" t="s">
        <v>19</v>
      </c>
      <c r="K2544" s="11" t="s">
        <v>20</v>
      </c>
      <c r="L2544" s="11" t="s">
        <v>30</v>
      </c>
      <c r="M2544" s="11" t="s">
        <v>46</v>
      </c>
      <c r="N2544" s="11" t="s">
        <v>25</v>
      </c>
      <c r="O2544" s="16" t="s">
        <v>29</v>
      </c>
      <c r="P2544" s="15">
        <v>213</v>
      </c>
      <c r="Q2544" s="8"/>
      <c r="R2544">
        <v>13.06</v>
      </c>
      <c r="S2544">
        <v>2228.58</v>
      </c>
      <c r="T2544">
        <v>4.04</v>
      </c>
      <c r="U2544">
        <v>9.3800000000000008</v>
      </c>
      <c r="V2544">
        <v>131</v>
      </c>
      <c r="W2544" s="317">
        <v>4.5999999999999996</v>
      </c>
      <c r="X2544" s="190">
        <f t="shared" si="116"/>
        <v>41.4</v>
      </c>
      <c r="Y2544" s="8"/>
      <c r="Z2544" s="8"/>
    </row>
    <row r="2545" spans="1:26" ht="12.75" customHeight="1" x14ac:dyDescent="0.2">
      <c r="A2545" s="15">
        <v>287</v>
      </c>
      <c r="B2545" s="15">
        <v>1997</v>
      </c>
      <c r="C2545" s="15">
        <v>1</v>
      </c>
      <c r="D2545" s="15">
        <v>8</v>
      </c>
      <c r="E2545" s="22" t="s">
        <v>235</v>
      </c>
      <c r="F2545" s="11" t="s">
        <v>18</v>
      </c>
      <c r="G2545" s="15">
        <v>155</v>
      </c>
      <c r="H2545" s="15" t="s">
        <v>29</v>
      </c>
      <c r="I2545" s="25">
        <v>22</v>
      </c>
      <c r="J2545" s="11" t="s">
        <v>19</v>
      </c>
      <c r="K2545" s="11" t="s">
        <v>34</v>
      </c>
      <c r="L2545" s="11" t="s">
        <v>41</v>
      </c>
      <c r="M2545" s="11" t="s">
        <v>27</v>
      </c>
      <c r="N2545" s="11" t="s">
        <v>25</v>
      </c>
      <c r="O2545" s="16" t="s">
        <v>29</v>
      </c>
      <c r="P2545" s="15">
        <v>213</v>
      </c>
      <c r="Q2545" s="8"/>
      <c r="R2545">
        <v>14.46</v>
      </c>
      <c r="S2545">
        <v>3024.41</v>
      </c>
      <c r="T2545">
        <v>7.27</v>
      </c>
      <c r="U2545">
        <v>10.39</v>
      </c>
      <c r="V2545">
        <v>145</v>
      </c>
      <c r="W2545" s="317">
        <v>3.8</v>
      </c>
      <c r="X2545" s="190">
        <f t="shared" si="116"/>
        <v>83.6</v>
      </c>
      <c r="Y2545" s="8"/>
      <c r="Z2545" s="8"/>
    </row>
    <row r="2546" spans="1:26" ht="12.75" customHeight="1" x14ac:dyDescent="0.2">
      <c r="A2546" s="15">
        <v>288</v>
      </c>
      <c r="B2546" s="15">
        <v>1997</v>
      </c>
      <c r="C2546" s="15">
        <v>1</v>
      </c>
      <c r="D2546" s="15">
        <v>8</v>
      </c>
      <c r="E2546" s="14">
        <v>0.66180555555555554</v>
      </c>
      <c r="F2546" s="11" t="s">
        <v>18</v>
      </c>
      <c r="G2546" s="15">
        <v>153</v>
      </c>
      <c r="H2546" s="15" t="s">
        <v>29</v>
      </c>
      <c r="I2546" s="25">
        <v>18.5</v>
      </c>
      <c r="J2546" s="11" t="s">
        <v>19</v>
      </c>
      <c r="K2546" s="11" t="s">
        <v>34</v>
      </c>
      <c r="L2546" s="11" t="s">
        <v>41</v>
      </c>
      <c r="M2546" s="11" t="s">
        <v>27</v>
      </c>
      <c r="N2546" s="11" t="s">
        <v>24</v>
      </c>
      <c r="O2546" s="16" t="s">
        <v>29</v>
      </c>
      <c r="P2546" s="15">
        <v>213</v>
      </c>
      <c r="Q2546" s="8"/>
      <c r="R2546">
        <v>14.27</v>
      </c>
      <c r="S2546">
        <v>2908.84</v>
      </c>
      <c r="T2546">
        <v>6.36</v>
      </c>
      <c r="U2546">
        <v>10.25</v>
      </c>
      <c r="V2546">
        <v>143</v>
      </c>
      <c r="W2546" s="317">
        <v>3.8</v>
      </c>
      <c r="X2546" s="190">
        <f t="shared" si="116"/>
        <v>70.3</v>
      </c>
      <c r="Y2546" s="8"/>
      <c r="Z2546" s="8"/>
    </row>
    <row r="2547" spans="1:26" ht="12.75" customHeight="1" x14ac:dyDescent="0.2">
      <c r="A2547" s="15">
        <v>289</v>
      </c>
      <c r="B2547" s="15">
        <v>1997</v>
      </c>
      <c r="C2547" s="15">
        <v>1</v>
      </c>
      <c r="D2547" s="15">
        <v>8</v>
      </c>
      <c r="E2547" s="14">
        <v>0.6645833333333333</v>
      </c>
      <c r="F2547" s="11" t="s">
        <v>18</v>
      </c>
      <c r="G2547" s="15">
        <v>162</v>
      </c>
      <c r="H2547" s="15" t="s">
        <v>29</v>
      </c>
      <c r="I2547" s="25">
        <v>20</v>
      </c>
      <c r="J2547" s="11" t="s">
        <v>19</v>
      </c>
      <c r="K2547" s="11" t="s">
        <v>20</v>
      </c>
      <c r="L2547" s="11" t="s">
        <v>30</v>
      </c>
      <c r="M2547" s="11" t="s">
        <v>27</v>
      </c>
      <c r="N2547" s="11" t="s">
        <v>23</v>
      </c>
      <c r="O2547" s="16" t="s">
        <v>29</v>
      </c>
      <c r="P2547" s="15">
        <v>213</v>
      </c>
      <c r="Q2547" s="8"/>
      <c r="R2547">
        <v>15.11</v>
      </c>
      <c r="S2547">
        <v>3452.95</v>
      </c>
      <c r="T2547">
        <v>5.79</v>
      </c>
      <c r="U2547">
        <v>10.85</v>
      </c>
      <c r="V2547">
        <v>151</v>
      </c>
      <c r="W2547" s="317">
        <v>4.5999999999999996</v>
      </c>
      <c r="X2547" s="190">
        <f t="shared" ref="X2547:X2554" si="117">I2547*W2547</f>
        <v>92</v>
      </c>
      <c r="Y2547" s="8"/>
      <c r="Z2547" s="8"/>
    </row>
    <row r="2548" spans="1:26" ht="12.75" customHeight="1" x14ac:dyDescent="0.2">
      <c r="A2548" s="15">
        <v>290</v>
      </c>
      <c r="B2548" s="15">
        <v>1997</v>
      </c>
      <c r="C2548" s="15">
        <v>1</v>
      </c>
      <c r="D2548" s="15">
        <v>8</v>
      </c>
      <c r="E2548" s="14">
        <v>0.66527777777777775</v>
      </c>
      <c r="F2548" s="11" t="s">
        <v>18</v>
      </c>
      <c r="G2548" s="15">
        <v>115</v>
      </c>
      <c r="H2548" s="15" t="s">
        <v>29</v>
      </c>
      <c r="I2548" s="25">
        <v>13.3</v>
      </c>
      <c r="J2548" s="11" t="s">
        <v>19</v>
      </c>
      <c r="K2548" s="11" t="s">
        <v>20</v>
      </c>
      <c r="L2548" s="11" t="s">
        <v>30</v>
      </c>
      <c r="M2548" s="11" t="s">
        <v>46</v>
      </c>
      <c r="N2548" s="11" t="s">
        <v>24</v>
      </c>
      <c r="O2548" s="16" t="s">
        <v>29</v>
      </c>
      <c r="P2548" s="15">
        <v>213</v>
      </c>
      <c r="Q2548" s="8"/>
      <c r="R2548">
        <v>10.73</v>
      </c>
      <c r="S2548">
        <v>1235.2</v>
      </c>
      <c r="T2548">
        <v>10.77</v>
      </c>
      <c r="U2548">
        <v>7.71</v>
      </c>
      <c r="V2548">
        <v>107</v>
      </c>
      <c r="W2548" s="317">
        <v>4.5999999999999996</v>
      </c>
      <c r="X2548" s="190">
        <f t="shared" si="117"/>
        <v>61.18</v>
      </c>
      <c r="Y2548" s="8"/>
      <c r="Z2548" s="8"/>
    </row>
    <row r="2549" spans="1:26" ht="12.75" customHeight="1" x14ac:dyDescent="0.2">
      <c r="A2549" s="15">
        <v>291</v>
      </c>
      <c r="B2549" s="15">
        <v>1997</v>
      </c>
      <c r="C2549" s="15">
        <v>1</v>
      </c>
      <c r="D2549" s="15">
        <v>8</v>
      </c>
      <c r="E2549" s="14">
        <v>0.66666666666666663</v>
      </c>
      <c r="F2549" s="11" t="s">
        <v>18</v>
      </c>
      <c r="G2549" s="15">
        <v>119</v>
      </c>
      <c r="H2549" s="15" t="s">
        <v>29</v>
      </c>
      <c r="I2549" s="25">
        <v>10.5</v>
      </c>
      <c r="J2549" s="11" t="s">
        <v>19</v>
      </c>
      <c r="K2549" s="11" t="s">
        <v>20</v>
      </c>
      <c r="L2549" s="11" t="s">
        <v>30</v>
      </c>
      <c r="M2549" s="11" t="s">
        <v>46</v>
      </c>
      <c r="N2549" s="11" t="s">
        <v>24</v>
      </c>
      <c r="O2549" s="16" t="s">
        <v>29</v>
      </c>
      <c r="P2549" s="15">
        <v>213</v>
      </c>
      <c r="Q2549" s="8"/>
      <c r="R2549">
        <v>11.1</v>
      </c>
      <c r="S2549">
        <v>1368.63</v>
      </c>
      <c r="T2549">
        <v>7.67</v>
      </c>
      <c r="U2549">
        <v>7.97</v>
      </c>
      <c r="V2549">
        <v>111</v>
      </c>
      <c r="W2549" s="317">
        <v>4.5999999999999996</v>
      </c>
      <c r="X2549" s="190">
        <f t="shared" si="117"/>
        <v>48.3</v>
      </c>
      <c r="Y2549" s="8"/>
      <c r="Z2549" s="8"/>
    </row>
    <row r="2550" spans="1:26" ht="12.75" customHeight="1" x14ac:dyDescent="0.2">
      <c r="A2550" s="15">
        <v>292</v>
      </c>
      <c r="B2550" s="15">
        <v>1997</v>
      </c>
      <c r="C2550" s="15">
        <v>1</v>
      </c>
      <c r="D2550" s="15">
        <v>8</v>
      </c>
      <c r="E2550" s="14">
        <v>0.66736111111111107</v>
      </c>
      <c r="F2550" s="11" t="s">
        <v>18</v>
      </c>
      <c r="G2550" s="15">
        <v>149</v>
      </c>
      <c r="H2550" s="15" t="s">
        <v>29</v>
      </c>
      <c r="I2550" s="25">
        <v>19</v>
      </c>
      <c r="J2550" s="11" t="s">
        <v>19</v>
      </c>
      <c r="K2550" s="11" t="s">
        <v>34</v>
      </c>
      <c r="L2550" s="11" t="s">
        <v>41</v>
      </c>
      <c r="M2550" s="11" t="s">
        <v>46</v>
      </c>
      <c r="N2550" s="11" t="s">
        <v>24</v>
      </c>
      <c r="O2550" s="16" t="s">
        <v>29</v>
      </c>
      <c r="P2550" s="15">
        <v>213</v>
      </c>
      <c r="Q2550" s="8"/>
      <c r="R2550">
        <v>13.9</v>
      </c>
      <c r="S2550">
        <v>2686.6</v>
      </c>
      <c r="T2550">
        <v>7.07</v>
      </c>
      <c r="U2550">
        <v>9.98</v>
      </c>
      <c r="V2550">
        <v>139</v>
      </c>
      <c r="W2550" s="317">
        <v>3.8</v>
      </c>
      <c r="X2550" s="190">
        <f t="shared" si="117"/>
        <v>72.2</v>
      </c>
      <c r="Y2550" s="8"/>
      <c r="Z2550" s="8"/>
    </row>
    <row r="2551" spans="1:26" ht="12.75" customHeight="1" x14ac:dyDescent="0.2">
      <c r="A2551" s="15">
        <v>293</v>
      </c>
      <c r="B2551" s="15">
        <v>1997</v>
      </c>
      <c r="C2551" s="15">
        <v>1</v>
      </c>
      <c r="D2551" s="15">
        <v>8</v>
      </c>
      <c r="E2551" s="14">
        <v>0.67222222222222217</v>
      </c>
      <c r="F2551" s="11" t="s">
        <v>18</v>
      </c>
      <c r="G2551" s="11" t="s">
        <v>29</v>
      </c>
      <c r="H2551" s="15" t="s">
        <v>29</v>
      </c>
      <c r="I2551" s="25">
        <v>9</v>
      </c>
      <c r="J2551" s="11" t="s">
        <v>19</v>
      </c>
      <c r="K2551" s="11" t="s">
        <v>20</v>
      </c>
      <c r="L2551" s="11" t="s">
        <v>21</v>
      </c>
      <c r="M2551" s="11" t="s">
        <v>27</v>
      </c>
      <c r="N2551" s="11" t="s">
        <v>25</v>
      </c>
      <c r="O2551" s="16" t="s">
        <v>29</v>
      </c>
      <c r="P2551" s="15">
        <v>213</v>
      </c>
      <c r="Q2551" s="8"/>
      <c r="W2551" s="317">
        <v>3.9</v>
      </c>
      <c r="X2551" s="190">
        <f t="shared" si="117"/>
        <v>35.1</v>
      </c>
      <c r="Y2551" s="8"/>
      <c r="Z2551" s="8"/>
    </row>
    <row r="2552" spans="1:26" ht="12.75" customHeight="1" x14ac:dyDescent="0.2">
      <c r="A2552" s="15">
        <v>294</v>
      </c>
      <c r="B2552" s="15">
        <v>1997</v>
      </c>
      <c r="C2552" s="15">
        <v>1</v>
      </c>
      <c r="D2552" s="15">
        <v>8</v>
      </c>
      <c r="E2552" s="14">
        <v>0.67361111111111116</v>
      </c>
      <c r="F2552" s="11" t="s">
        <v>18</v>
      </c>
      <c r="G2552" s="15">
        <v>149</v>
      </c>
      <c r="H2552" s="15" t="s">
        <v>29</v>
      </c>
      <c r="I2552" s="25">
        <v>12</v>
      </c>
      <c r="J2552" s="11" t="s">
        <v>19</v>
      </c>
      <c r="K2552" s="11" t="s">
        <v>20</v>
      </c>
      <c r="L2552" s="11" t="s">
        <v>21</v>
      </c>
      <c r="M2552" s="11" t="s">
        <v>27</v>
      </c>
      <c r="N2552" s="11" t="s">
        <v>24</v>
      </c>
      <c r="O2552" s="16" t="s">
        <v>29</v>
      </c>
      <c r="P2552" s="15">
        <v>213</v>
      </c>
      <c r="Q2552" s="8"/>
      <c r="R2552">
        <v>13.9</v>
      </c>
      <c r="S2552">
        <v>2686.6</v>
      </c>
      <c r="T2552">
        <v>4.47</v>
      </c>
      <c r="U2552">
        <v>9.98</v>
      </c>
      <c r="V2552">
        <v>139</v>
      </c>
      <c r="W2552" s="317">
        <v>3.9</v>
      </c>
      <c r="X2552" s="190">
        <f t="shared" si="117"/>
        <v>46.8</v>
      </c>
      <c r="Y2552" s="8"/>
      <c r="Z2552" s="8"/>
    </row>
    <row r="2553" spans="1:26" ht="12.75" customHeight="1" x14ac:dyDescent="0.2">
      <c r="A2553" s="15">
        <v>295</v>
      </c>
      <c r="B2553" s="15">
        <v>1997</v>
      </c>
      <c r="C2553" s="15">
        <v>1</v>
      </c>
      <c r="D2553" s="15">
        <v>8</v>
      </c>
      <c r="E2553" s="14">
        <v>0.67499999999999993</v>
      </c>
      <c r="F2553" s="11" t="s">
        <v>18</v>
      </c>
      <c r="G2553" s="15">
        <v>156</v>
      </c>
      <c r="H2553" s="15" t="s">
        <v>29</v>
      </c>
      <c r="I2553" s="25">
        <v>14</v>
      </c>
      <c r="J2553" s="11" t="s">
        <v>19</v>
      </c>
      <c r="K2553" s="11" t="s">
        <v>20</v>
      </c>
      <c r="L2553" s="11" t="s">
        <v>30</v>
      </c>
      <c r="M2553" s="11" t="s">
        <v>47</v>
      </c>
      <c r="N2553" s="11" t="s">
        <v>23</v>
      </c>
      <c r="O2553" s="16" t="s">
        <v>29</v>
      </c>
      <c r="P2553" s="15">
        <v>213</v>
      </c>
      <c r="Q2553" s="8"/>
      <c r="R2553">
        <v>14.55</v>
      </c>
      <c r="S2553">
        <v>3083.32</v>
      </c>
      <c r="T2553">
        <v>4.54</v>
      </c>
      <c r="U2553">
        <v>10.45</v>
      </c>
      <c r="V2553">
        <v>146</v>
      </c>
      <c r="W2553" s="317">
        <v>4.5999999999999996</v>
      </c>
      <c r="X2553" s="190">
        <f t="shared" si="117"/>
        <v>64.399999999999991</v>
      </c>
      <c r="Y2553" s="8"/>
      <c r="Z2553" s="8"/>
    </row>
    <row r="2554" spans="1:26" ht="12.75" customHeight="1" x14ac:dyDescent="0.2">
      <c r="A2554" s="15">
        <v>296</v>
      </c>
      <c r="B2554" s="15">
        <v>1997</v>
      </c>
      <c r="C2554" s="15">
        <v>1</v>
      </c>
      <c r="D2554" s="15">
        <v>8</v>
      </c>
      <c r="E2554" s="14">
        <v>0.67569444444444438</v>
      </c>
      <c r="F2554" s="11" t="s">
        <v>18</v>
      </c>
      <c r="G2554" s="11" t="s">
        <v>29</v>
      </c>
      <c r="H2554" s="15" t="s">
        <v>29</v>
      </c>
      <c r="I2554" s="25">
        <v>22</v>
      </c>
      <c r="J2554" s="11" t="s">
        <v>19</v>
      </c>
      <c r="K2554" s="11" t="s">
        <v>34</v>
      </c>
      <c r="L2554" s="11" t="s">
        <v>41</v>
      </c>
      <c r="M2554" s="11" t="s">
        <v>45</v>
      </c>
      <c r="N2554" s="11" t="s">
        <v>25</v>
      </c>
      <c r="O2554" s="16" t="s">
        <v>29</v>
      </c>
      <c r="P2554" s="15">
        <v>213</v>
      </c>
      <c r="Q2554" s="8"/>
      <c r="W2554" s="317">
        <v>3.8</v>
      </c>
      <c r="X2554" s="190">
        <f t="shared" si="117"/>
        <v>83.6</v>
      </c>
      <c r="Y2554" s="8"/>
      <c r="Z2554" s="8"/>
    </row>
    <row r="2555" spans="1:26" ht="12.75" customHeight="1" x14ac:dyDescent="0.2">
      <c r="A2555" s="15">
        <v>297</v>
      </c>
      <c r="B2555" s="15">
        <v>1997</v>
      </c>
      <c r="C2555" s="15">
        <v>1</v>
      </c>
      <c r="D2555" s="15">
        <v>8</v>
      </c>
      <c r="E2555" s="14">
        <v>0.67986111111111114</v>
      </c>
      <c r="F2555" s="11" t="s">
        <v>18</v>
      </c>
      <c r="G2555" s="11" t="s">
        <v>29</v>
      </c>
      <c r="H2555" s="15" t="s">
        <v>29</v>
      </c>
      <c r="I2555" s="25">
        <v>10.5</v>
      </c>
      <c r="J2555" s="11" t="s">
        <v>19</v>
      </c>
      <c r="K2555" s="11" t="s">
        <v>20</v>
      </c>
      <c r="L2555" s="11" t="s">
        <v>30</v>
      </c>
      <c r="M2555" s="11" t="s">
        <v>47</v>
      </c>
      <c r="N2555" s="11" t="s">
        <v>23</v>
      </c>
      <c r="O2555" s="16" t="s">
        <v>29</v>
      </c>
      <c r="P2555" s="15">
        <v>213</v>
      </c>
      <c r="Q2555" s="8"/>
      <c r="W2555" s="317">
        <v>4.5999999999999996</v>
      </c>
      <c r="X2555" s="190">
        <f t="shared" ref="X2555:X2575" si="118">I2555*W2555</f>
        <v>48.3</v>
      </c>
      <c r="Y2555" s="8"/>
      <c r="Z2555" s="8"/>
    </row>
    <row r="2556" spans="1:26" ht="12.75" customHeight="1" x14ac:dyDescent="0.2">
      <c r="A2556" s="15">
        <v>298</v>
      </c>
      <c r="B2556" s="15">
        <v>1997</v>
      </c>
      <c r="C2556" s="15">
        <v>1</v>
      </c>
      <c r="D2556" s="15">
        <v>8</v>
      </c>
      <c r="E2556" s="14">
        <v>0.68194444444444446</v>
      </c>
      <c r="F2556" s="11" t="s">
        <v>18</v>
      </c>
      <c r="G2556" s="15">
        <v>123</v>
      </c>
      <c r="H2556" s="15" t="s">
        <v>29</v>
      </c>
      <c r="I2556" s="25">
        <v>9</v>
      </c>
      <c r="J2556" s="11" t="s">
        <v>19</v>
      </c>
      <c r="K2556" s="11" t="s">
        <v>20</v>
      </c>
      <c r="L2556" s="11" t="s">
        <v>30</v>
      </c>
      <c r="M2556" s="11" t="s">
        <v>27</v>
      </c>
      <c r="N2556" s="11" t="s">
        <v>23</v>
      </c>
      <c r="O2556" s="16" t="s">
        <v>29</v>
      </c>
      <c r="P2556" s="15">
        <v>213</v>
      </c>
      <c r="Q2556" s="8"/>
      <c r="R2556">
        <v>11.48</v>
      </c>
      <c r="S2556">
        <v>1511.33</v>
      </c>
      <c r="T2556">
        <v>5.96</v>
      </c>
      <c r="U2556">
        <v>8.24</v>
      </c>
      <c r="V2556">
        <v>115</v>
      </c>
      <c r="W2556" s="317">
        <v>4.5999999999999996</v>
      </c>
      <c r="X2556" s="190">
        <f t="shared" si="118"/>
        <v>41.4</v>
      </c>
      <c r="Y2556" s="8"/>
      <c r="Z2556" s="8"/>
    </row>
    <row r="2557" spans="1:26" ht="12.75" customHeight="1" x14ac:dyDescent="0.2">
      <c r="A2557" s="15">
        <v>299</v>
      </c>
      <c r="B2557" s="15">
        <v>1997</v>
      </c>
      <c r="C2557" s="15">
        <v>1</v>
      </c>
      <c r="D2557" s="15">
        <v>8</v>
      </c>
      <c r="E2557" s="14">
        <v>0.68402777777777779</v>
      </c>
      <c r="F2557" s="11" t="s">
        <v>18</v>
      </c>
      <c r="G2557" s="15">
        <v>147</v>
      </c>
      <c r="H2557" s="15" t="s">
        <v>29</v>
      </c>
      <c r="I2557" s="25">
        <v>15</v>
      </c>
      <c r="J2557" s="11" t="s">
        <v>19</v>
      </c>
      <c r="K2557" s="11" t="s">
        <v>20</v>
      </c>
      <c r="L2557" s="11" t="s">
        <v>30</v>
      </c>
      <c r="M2557" s="11" t="s">
        <v>27</v>
      </c>
      <c r="N2557" s="11" t="s">
        <v>23</v>
      </c>
      <c r="O2557" s="16" t="s">
        <v>29</v>
      </c>
      <c r="P2557" s="15">
        <v>213</v>
      </c>
      <c r="Q2557" s="8"/>
      <c r="R2557">
        <v>13.72</v>
      </c>
      <c r="S2557">
        <v>2579.86</v>
      </c>
      <c r="T2557">
        <v>5.81</v>
      </c>
      <c r="U2557">
        <v>9.85</v>
      </c>
      <c r="V2557">
        <v>137</v>
      </c>
      <c r="W2557" s="317">
        <v>4.5999999999999996</v>
      </c>
      <c r="X2557" s="190">
        <f t="shared" si="118"/>
        <v>69</v>
      </c>
      <c r="Y2557" s="8"/>
      <c r="Z2557" s="8"/>
    </row>
    <row r="2558" spans="1:26" ht="12.75" customHeight="1" x14ac:dyDescent="0.2">
      <c r="A2558" s="15">
        <v>300</v>
      </c>
      <c r="B2558" s="15">
        <v>1997</v>
      </c>
      <c r="C2558" s="15">
        <v>1</v>
      </c>
      <c r="D2558" s="15">
        <v>8</v>
      </c>
      <c r="E2558" s="14">
        <v>0.68680555555555556</v>
      </c>
      <c r="F2558" s="11" t="s">
        <v>18</v>
      </c>
      <c r="G2558" s="15">
        <v>131</v>
      </c>
      <c r="H2558" s="15" t="s">
        <v>29</v>
      </c>
      <c r="I2558" s="25">
        <v>10.5</v>
      </c>
      <c r="J2558" s="11" t="s">
        <v>19</v>
      </c>
      <c r="K2558" s="11" t="s">
        <v>20</v>
      </c>
      <c r="L2558" s="11" t="s">
        <v>30</v>
      </c>
      <c r="M2558" s="11" t="s">
        <v>27</v>
      </c>
      <c r="N2558" s="11" t="s">
        <v>23</v>
      </c>
      <c r="O2558" s="16" t="s">
        <v>29</v>
      </c>
      <c r="P2558" s="15">
        <v>213</v>
      </c>
      <c r="Q2558" s="8"/>
      <c r="R2558">
        <v>12.22</v>
      </c>
      <c r="S2558">
        <v>1825.82</v>
      </c>
      <c r="T2558">
        <v>5.75</v>
      </c>
      <c r="U2558">
        <v>8.7799999999999994</v>
      </c>
      <c r="V2558">
        <v>122</v>
      </c>
      <c r="W2558" s="317">
        <v>4.5999999999999996</v>
      </c>
      <c r="X2558" s="190">
        <f t="shared" si="118"/>
        <v>48.3</v>
      </c>
      <c r="Y2558" s="8"/>
      <c r="Z2558" s="8"/>
    </row>
    <row r="2559" spans="1:26" ht="12.75" customHeight="1" x14ac:dyDescent="0.2">
      <c r="A2559" s="15">
        <v>301</v>
      </c>
      <c r="B2559" s="15">
        <v>1997</v>
      </c>
      <c r="C2559" s="15">
        <v>1</v>
      </c>
      <c r="D2559" s="15">
        <v>8</v>
      </c>
      <c r="E2559" s="14">
        <v>0.68819444444444444</v>
      </c>
      <c r="F2559" s="11" t="s">
        <v>18</v>
      </c>
      <c r="G2559" s="15">
        <v>165</v>
      </c>
      <c r="H2559" s="15" t="s">
        <v>29</v>
      </c>
      <c r="I2559" s="25">
        <v>16.5</v>
      </c>
      <c r="J2559" s="11" t="s">
        <v>19</v>
      </c>
      <c r="K2559" s="11" t="s">
        <v>20</v>
      </c>
      <c r="L2559" s="11" t="s">
        <v>30</v>
      </c>
      <c r="M2559" s="11" t="s">
        <v>29</v>
      </c>
      <c r="N2559" s="11" t="s">
        <v>23</v>
      </c>
      <c r="O2559" s="16" t="s">
        <v>29</v>
      </c>
      <c r="P2559" s="15">
        <v>213</v>
      </c>
      <c r="Q2559" s="8"/>
      <c r="R2559">
        <v>15.39</v>
      </c>
      <c r="S2559">
        <v>3648.35</v>
      </c>
      <c r="T2559">
        <v>4.5199999999999996</v>
      </c>
      <c r="U2559">
        <v>11.06</v>
      </c>
      <c r="V2559">
        <v>154</v>
      </c>
      <c r="W2559" s="317">
        <v>4.5999999999999996</v>
      </c>
      <c r="X2559" s="190">
        <f t="shared" si="118"/>
        <v>75.899999999999991</v>
      </c>
      <c r="Y2559" s="8"/>
      <c r="Z2559" s="8"/>
    </row>
    <row r="2560" spans="1:26" ht="12.75" customHeight="1" x14ac:dyDescent="0.2">
      <c r="A2560" s="15">
        <v>302</v>
      </c>
      <c r="B2560" s="15">
        <v>1997</v>
      </c>
      <c r="C2560" s="15">
        <v>1</v>
      </c>
      <c r="D2560" s="15">
        <v>8</v>
      </c>
      <c r="E2560" s="14">
        <v>0.69027777777777777</v>
      </c>
      <c r="F2560" s="11" t="s">
        <v>18</v>
      </c>
      <c r="G2560" s="15">
        <v>115</v>
      </c>
      <c r="H2560" s="15" t="s">
        <v>29</v>
      </c>
      <c r="I2560" s="25">
        <v>13.7</v>
      </c>
      <c r="J2560" s="11" t="s">
        <v>19</v>
      </c>
      <c r="K2560" s="11" t="s">
        <v>20</v>
      </c>
      <c r="L2560" s="11" t="s">
        <v>30</v>
      </c>
      <c r="M2560" s="11" t="s">
        <v>46</v>
      </c>
      <c r="N2560" s="11" t="s">
        <v>24</v>
      </c>
      <c r="O2560" s="16" t="s">
        <v>29</v>
      </c>
      <c r="P2560" s="15">
        <v>213</v>
      </c>
      <c r="Q2560" s="8"/>
      <c r="R2560">
        <v>10.73</v>
      </c>
      <c r="S2560">
        <v>1235.2</v>
      </c>
      <c r="T2560">
        <v>11.09</v>
      </c>
      <c r="U2560">
        <v>7.71</v>
      </c>
      <c r="V2560">
        <v>107</v>
      </c>
      <c r="W2560" s="317">
        <v>4.5999999999999996</v>
      </c>
      <c r="X2560" s="190">
        <f t="shared" si="118"/>
        <v>63.019999999999989</v>
      </c>
      <c r="Y2560" s="8"/>
      <c r="Z2560" s="8"/>
    </row>
    <row r="2561" spans="1:26" ht="12.75" customHeight="1" x14ac:dyDescent="0.2">
      <c r="A2561" s="15">
        <v>303</v>
      </c>
      <c r="B2561" s="15">
        <v>1997</v>
      </c>
      <c r="C2561" s="15">
        <v>1</v>
      </c>
      <c r="D2561" s="15">
        <v>8</v>
      </c>
      <c r="E2561" s="14">
        <v>0.69166666666666676</v>
      </c>
      <c r="F2561" s="11" t="s">
        <v>18</v>
      </c>
      <c r="G2561" s="15">
        <v>151</v>
      </c>
      <c r="H2561" s="15" t="s">
        <v>29</v>
      </c>
      <c r="I2561" s="25">
        <v>16</v>
      </c>
      <c r="J2561" s="11" t="s">
        <v>19</v>
      </c>
      <c r="K2561" s="11" t="s">
        <v>20</v>
      </c>
      <c r="L2561" s="11" t="s">
        <v>30</v>
      </c>
      <c r="M2561" s="11" t="s">
        <v>45</v>
      </c>
      <c r="N2561" s="11" t="s">
        <v>23</v>
      </c>
      <c r="O2561" s="16" t="s">
        <v>29</v>
      </c>
      <c r="P2561" s="15">
        <v>213</v>
      </c>
      <c r="Q2561" s="8"/>
      <c r="R2561">
        <v>14.09</v>
      </c>
      <c r="S2561">
        <v>2796.25</v>
      </c>
      <c r="T2561">
        <v>5.72</v>
      </c>
      <c r="U2561">
        <v>10.119999999999999</v>
      </c>
      <c r="V2561">
        <v>141</v>
      </c>
      <c r="W2561" s="317">
        <v>4.5999999999999996</v>
      </c>
      <c r="X2561" s="190">
        <f t="shared" si="118"/>
        <v>73.599999999999994</v>
      </c>
      <c r="Y2561" s="8"/>
      <c r="Z2561" s="8"/>
    </row>
    <row r="2562" spans="1:26" ht="12.75" customHeight="1" x14ac:dyDescent="0.2">
      <c r="A2562" s="15">
        <v>304</v>
      </c>
      <c r="B2562" s="15">
        <v>1997</v>
      </c>
      <c r="C2562" s="15">
        <v>1</v>
      </c>
      <c r="D2562" s="15">
        <v>8</v>
      </c>
      <c r="E2562" s="14">
        <v>0.69444444444444453</v>
      </c>
      <c r="F2562" s="11" t="s">
        <v>18</v>
      </c>
      <c r="G2562" s="15">
        <v>148</v>
      </c>
      <c r="H2562" s="15" t="s">
        <v>29</v>
      </c>
      <c r="I2562" s="25">
        <v>13.5</v>
      </c>
      <c r="J2562" s="11" t="s">
        <v>19</v>
      </c>
      <c r="K2562" s="11" t="s">
        <v>20</v>
      </c>
      <c r="L2562" s="11" t="s">
        <v>21</v>
      </c>
      <c r="M2562" s="11" t="s">
        <v>27</v>
      </c>
      <c r="N2562" s="11" t="s">
        <v>23</v>
      </c>
      <c r="O2562" s="16" t="s">
        <v>29</v>
      </c>
      <c r="P2562" s="15">
        <v>213</v>
      </c>
      <c r="Q2562" s="8"/>
      <c r="R2562">
        <v>13.81</v>
      </c>
      <c r="S2562">
        <v>2632.87</v>
      </c>
      <c r="T2562">
        <v>5.13</v>
      </c>
      <c r="U2562">
        <v>9.92</v>
      </c>
      <c r="V2562">
        <v>138</v>
      </c>
      <c r="W2562" s="317">
        <v>3.9</v>
      </c>
      <c r="X2562" s="190">
        <f t="shared" si="118"/>
        <v>52.65</v>
      </c>
      <c r="Y2562" s="8"/>
      <c r="Z2562" s="8"/>
    </row>
    <row r="2563" spans="1:26" ht="12.75" customHeight="1" x14ac:dyDescent="0.2">
      <c r="A2563" s="15">
        <v>305</v>
      </c>
      <c r="B2563" s="15">
        <v>1997</v>
      </c>
      <c r="C2563" s="15">
        <v>1</v>
      </c>
      <c r="D2563" s="15">
        <v>8</v>
      </c>
      <c r="E2563" s="14">
        <v>0.6958333333333333</v>
      </c>
      <c r="F2563" s="11" t="s">
        <v>18</v>
      </c>
      <c r="G2563" s="15">
        <v>145</v>
      </c>
      <c r="H2563" s="15" t="s">
        <v>29</v>
      </c>
      <c r="I2563" s="25">
        <v>13.5</v>
      </c>
      <c r="J2563" s="11" t="s">
        <v>19</v>
      </c>
      <c r="K2563" s="11" t="s">
        <v>20</v>
      </c>
      <c r="L2563" s="11" t="s">
        <v>30</v>
      </c>
      <c r="M2563" s="11" t="s">
        <v>31</v>
      </c>
      <c r="N2563" s="11" t="s">
        <v>23</v>
      </c>
      <c r="O2563" s="16" t="s">
        <v>29</v>
      </c>
      <c r="P2563" s="15">
        <v>213</v>
      </c>
      <c r="Q2563" s="8"/>
      <c r="R2563">
        <v>13.53</v>
      </c>
      <c r="S2563">
        <v>2475.9899999999998</v>
      </c>
      <c r="T2563">
        <v>5.45</v>
      </c>
      <c r="U2563">
        <v>9.7200000000000006</v>
      </c>
      <c r="V2563">
        <v>135</v>
      </c>
      <c r="W2563" s="317">
        <v>4.5999999999999996</v>
      </c>
      <c r="X2563" s="190">
        <f t="shared" si="118"/>
        <v>62.099999999999994</v>
      </c>
      <c r="Y2563" s="8"/>
      <c r="Z2563" s="8"/>
    </row>
    <row r="2564" spans="1:26" ht="12.75" customHeight="1" x14ac:dyDescent="0.2">
      <c r="A2564" s="15">
        <v>306</v>
      </c>
      <c r="B2564" s="15">
        <v>1997</v>
      </c>
      <c r="C2564" s="15">
        <v>1</v>
      </c>
      <c r="D2564" s="15">
        <v>8</v>
      </c>
      <c r="E2564" s="14">
        <v>0.69791666666666663</v>
      </c>
      <c r="F2564" s="11" t="s">
        <v>18</v>
      </c>
      <c r="G2564" s="15">
        <v>138</v>
      </c>
      <c r="H2564" s="15" t="s">
        <v>29</v>
      </c>
      <c r="I2564" s="25">
        <v>12</v>
      </c>
      <c r="J2564" s="11" t="s">
        <v>19</v>
      </c>
      <c r="K2564" s="11" t="s">
        <v>20</v>
      </c>
      <c r="L2564" s="11" t="s">
        <v>30</v>
      </c>
      <c r="M2564" s="11" t="s">
        <v>45</v>
      </c>
      <c r="N2564" s="11" t="s">
        <v>24</v>
      </c>
      <c r="O2564" s="16" t="s">
        <v>29</v>
      </c>
      <c r="P2564" s="15">
        <v>213</v>
      </c>
      <c r="Q2564" s="8"/>
      <c r="R2564">
        <v>12.88</v>
      </c>
      <c r="S2564">
        <v>2134.4299999999998</v>
      </c>
      <c r="T2564">
        <v>5.62</v>
      </c>
      <c r="U2564">
        <v>9.25</v>
      </c>
      <c r="V2564">
        <v>129</v>
      </c>
      <c r="W2564" s="317">
        <v>4.5999999999999996</v>
      </c>
      <c r="X2564" s="190">
        <f t="shared" si="118"/>
        <v>55.199999999999996</v>
      </c>
      <c r="Y2564" s="8"/>
      <c r="Z2564" s="8"/>
    </row>
    <row r="2565" spans="1:26" ht="12.75" customHeight="1" x14ac:dyDescent="0.2">
      <c r="A2565" s="15">
        <v>307</v>
      </c>
      <c r="B2565" s="15">
        <v>1997</v>
      </c>
      <c r="C2565" s="15">
        <v>1</v>
      </c>
      <c r="D2565" s="15">
        <v>8</v>
      </c>
      <c r="E2565" s="14">
        <v>0.70138888888888884</v>
      </c>
      <c r="F2565" s="11" t="s">
        <v>18</v>
      </c>
      <c r="G2565" s="15">
        <v>141</v>
      </c>
      <c r="H2565" s="15" t="s">
        <v>29</v>
      </c>
      <c r="I2565" s="25">
        <v>14.5</v>
      </c>
      <c r="J2565" s="11" t="s">
        <v>19</v>
      </c>
      <c r="K2565" s="11" t="s">
        <v>20</v>
      </c>
      <c r="L2565" s="11" t="s">
        <v>30</v>
      </c>
      <c r="M2565" s="11" t="s">
        <v>46</v>
      </c>
      <c r="N2565" s="11" t="s">
        <v>23</v>
      </c>
      <c r="O2565" s="16" t="s">
        <v>29</v>
      </c>
      <c r="P2565" s="15">
        <v>213</v>
      </c>
      <c r="Q2565" s="8"/>
      <c r="R2565">
        <v>13.16</v>
      </c>
      <c r="S2565">
        <v>2276.6799999999998</v>
      </c>
      <c r="T2565">
        <v>6.37</v>
      </c>
      <c r="U2565">
        <v>9.4499999999999993</v>
      </c>
      <c r="V2565">
        <v>132</v>
      </c>
      <c r="W2565" s="317">
        <v>4.5999999999999996</v>
      </c>
      <c r="X2565" s="190">
        <f t="shared" si="118"/>
        <v>66.699999999999989</v>
      </c>
      <c r="Y2565" s="8"/>
      <c r="Z2565" s="8"/>
    </row>
    <row r="2566" spans="1:26" ht="12.75" customHeight="1" x14ac:dyDescent="0.2">
      <c r="A2566" s="15">
        <v>308</v>
      </c>
      <c r="B2566" s="15">
        <v>1997</v>
      </c>
      <c r="C2566" s="15">
        <v>1</v>
      </c>
      <c r="D2566" s="15">
        <v>8</v>
      </c>
      <c r="E2566" s="14">
        <v>0.70486111111111116</v>
      </c>
      <c r="F2566" s="11" t="s">
        <v>18</v>
      </c>
      <c r="G2566" s="15">
        <v>143</v>
      </c>
      <c r="H2566" s="15" t="s">
        <v>29</v>
      </c>
      <c r="I2566" s="25">
        <v>8.5</v>
      </c>
      <c r="J2566" s="11" t="s">
        <v>19</v>
      </c>
      <c r="K2566" s="11" t="s">
        <v>20</v>
      </c>
      <c r="L2566" s="11" t="s">
        <v>30</v>
      </c>
      <c r="M2566" s="11" t="s">
        <v>45</v>
      </c>
      <c r="N2566" s="11" t="s">
        <v>23</v>
      </c>
      <c r="O2566" s="16" t="s">
        <v>29</v>
      </c>
      <c r="P2566" s="15">
        <v>213</v>
      </c>
      <c r="Q2566" s="8"/>
      <c r="R2566">
        <v>13.34</v>
      </c>
      <c r="S2566">
        <v>2374.94</v>
      </c>
      <c r="T2566">
        <v>3.58</v>
      </c>
      <c r="U2566">
        <v>9.58</v>
      </c>
      <c r="V2566">
        <v>133</v>
      </c>
      <c r="W2566" s="317">
        <v>4.5999999999999996</v>
      </c>
      <c r="X2566" s="190">
        <f t="shared" si="118"/>
        <v>39.099999999999994</v>
      </c>
      <c r="Y2566" s="8"/>
      <c r="Z2566" s="8"/>
    </row>
    <row r="2567" spans="1:26" ht="12.75" customHeight="1" x14ac:dyDescent="0.2">
      <c r="A2567" s="15">
        <v>309</v>
      </c>
      <c r="B2567" s="15">
        <v>1997</v>
      </c>
      <c r="C2567" s="15">
        <v>1</v>
      </c>
      <c r="D2567" s="15">
        <v>8</v>
      </c>
      <c r="E2567" s="14">
        <v>0.70833333333333337</v>
      </c>
      <c r="F2567" s="11" t="s">
        <v>18</v>
      </c>
      <c r="G2567" s="15">
        <v>121</v>
      </c>
      <c r="H2567" s="15" t="s">
        <v>29</v>
      </c>
      <c r="I2567" s="25">
        <v>9</v>
      </c>
      <c r="J2567" s="11" t="s">
        <v>19</v>
      </c>
      <c r="K2567" s="11" t="s">
        <v>20</v>
      </c>
      <c r="L2567" s="11" t="s">
        <v>30</v>
      </c>
      <c r="M2567" s="11" t="s">
        <v>46</v>
      </c>
      <c r="N2567" s="11" t="s">
        <v>24</v>
      </c>
      <c r="O2567" s="16" t="s">
        <v>29</v>
      </c>
      <c r="P2567" s="15">
        <v>213</v>
      </c>
      <c r="Q2567" s="8"/>
      <c r="R2567">
        <v>11.29</v>
      </c>
      <c r="S2567">
        <v>1438.8</v>
      </c>
      <c r="T2567">
        <v>6.26</v>
      </c>
      <c r="U2567">
        <v>8.11</v>
      </c>
      <c r="V2567">
        <v>113</v>
      </c>
      <c r="W2567" s="317">
        <v>4.5999999999999996</v>
      </c>
      <c r="X2567" s="190">
        <f t="shared" si="118"/>
        <v>41.4</v>
      </c>
      <c r="Y2567" s="8"/>
      <c r="Z2567" s="8"/>
    </row>
    <row r="2568" spans="1:26" ht="12.75" customHeight="1" x14ac:dyDescent="0.2">
      <c r="A2568" s="15">
        <v>310</v>
      </c>
      <c r="B2568" s="15">
        <v>1997</v>
      </c>
      <c r="C2568" s="15">
        <v>1</v>
      </c>
      <c r="D2568" s="15">
        <v>8</v>
      </c>
      <c r="E2568" s="14">
        <v>0.70972222222222225</v>
      </c>
      <c r="F2568" s="11" t="s">
        <v>18</v>
      </c>
      <c r="G2568" s="15">
        <v>128</v>
      </c>
      <c r="H2568" s="15" t="s">
        <v>29</v>
      </c>
      <c r="I2568" s="25">
        <v>7.5</v>
      </c>
      <c r="J2568" s="11" t="s">
        <v>19</v>
      </c>
      <c r="K2568" s="11" t="s">
        <v>20</v>
      </c>
      <c r="L2568" s="11" t="s">
        <v>21</v>
      </c>
      <c r="M2568" s="11" t="s">
        <v>29</v>
      </c>
      <c r="N2568" s="11" t="s">
        <v>24</v>
      </c>
      <c r="O2568" s="16" t="s">
        <v>29</v>
      </c>
      <c r="P2568" s="15">
        <v>213</v>
      </c>
      <c r="Q2568" s="8"/>
      <c r="R2568">
        <v>11.94</v>
      </c>
      <c r="S2568">
        <v>1703.24</v>
      </c>
      <c r="T2568">
        <v>4.4000000000000004</v>
      </c>
      <c r="U2568">
        <v>8.58</v>
      </c>
      <c r="V2568">
        <v>119</v>
      </c>
      <c r="W2568" s="317">
        <v>3.9</v>
      </c>
      <c r="X2568" s="190">
        <f t="shared" si="118"/>
        <v>29.25</v>
      </c>
      <c r="Y2568" s="8"/>
      <c r="Z2568" s="8"/>
    </row>
    <row r="2569" spans="1:26" ht="12.75" customHeight="1" x14ac:dyDescent="0.2">
      <c r="A2569" s="15">
        <v>311</v>
      </c>
      <c r="B2569" s="15">
        <v>1997</v>
      </c>
      <c r="C2569" s="15">
        <v>1</v>
      </c>
      <c r="D2569" s="15">
        <v>8</v>
      </c>
      <c r="E2569" s="14">
        <v>0.71111111111111114</v>
      </c>
      <c r="F2569" s="11" t="s">
        <v>18</v>
      </c>
      <c r="G2569" s="15">
        <v>145</v>
      </c>
      <c r="H2569" s="15" t="s">
        <v>29</v>
      </c>
      <c r="I2569" s="25">
        <v>14.5</v>
      </c>
      <c r="J2569" s="11" t="s">
        <v>19</v>
      </c>
      <c r="K2569" s="11" t="s">
        <v>20</v>
      </c>
      <c r="L2569" s="11" t="s">
        <v>30</v>
      </c>
      <c r="M2569" s="11" t="s">
        <v>45</v>
      </c>
      <c r="N2569" s="11" t="s">
        <v>24</v>
      </c>
      <c r="O2569" s="16" t="s">
        <v>29</v>
      </c>
      <c r="P2569" s="15">
        <v>213</v>
      </c>
      <c r="Q2569" s="8"/>
      <c r="R2569">
        <v>13.53</v>
      </c>
      <c r="S2569">
        <v>2475.9899999999998</v>
      </c>
      <c r="T2569">
        <v>5.86</v>
      </c>
      <c r="U2569">
        <v>9.7200000000000006</v>
      </c>
      <c r="V2569">
        <v>135</v>
      </c>
      <c r="W2569" s="317">
        <v>4.5999999999999996</v>
      </c>
      <c r="X2569" s="190">
        <f t="shared" si="118"/>
        <v>66.699999999999989</v>
      </c>
      <c r="Y2569" s="8"/>
      <c r="Z2569" s="8"/>
    </row>
    <row r="2570" spans="1:26" ht="12.75" customHeight="1" x14ac:dyDescent="0.2">
      <c r="A2570" s="15">
        <v>312</v>
      </c>
      <c r="B2570" s="15">
        <v>1997</v>
      </c>
      <c r="C2570" s="15">
        <v>1</v>
      </c>
      <c r="D2570" s="15">
        <v>8</v>
      </c>
      <c r="E2570" s="14">
        <v>0.71180555555555547</v>
      </c>
      <c r="F2570" s="11" t="s">
        <v>18</v>
      </c>
      <c r="G2570" s="15">
        <v>134</v>
      </c>
      <c r="H2570" s="15" t="s">
        <v>29</v>
      </c>
      <c r="I2570" s="25">
        <v>12</v>
      </c>
      <c r="J2570" s="11" t="s">
        <v>19</v>
      </c>
      <c r="K2570" s="11" t="s">
        <v>20</v>
      </c>
      <c r="L2570" s="11" t="s">
        <v>30</v>
      </c>
      <c r="M2570" s="11" t="s">
        <v>46</v>
      </c>
      <c r="N2570" s="11" t="s">
        <v>24</v>
      </c>
      <c r="O2570" s="16" t="s">
        <v>29</v>
      </c>
      <c r="P2570" s="15">
        <v>213</v>
      </c>
      <c r="Q2570" s="8"/>
      <c r="R2570">
        <v>12.5</v>
      </c>
      <c r="S2570">
        <v>1954.16</v>
      </c>
      <c r="T2570">
        <v>6.14</v>
      </c>
      <c r="U2570">
        <v>8.98</v>
      </c>
      <c r="V2570">
        <v>125</v>
      </c>
      <c r="W2570" s="317">
        <v>4.5999999999999996</v>
      </c>
      <c r="X2570" s="190">
        <f t="shared" si="118"/>
        <v>55.199999999999996</v>
      </c>
      <c r="Y2570" s="8"/>
      <c r="Z2570" s="8"/>
    </row>
    <row r="2571" spans="1:26" ht="12.75" customHeight="1" x14ac:dyDescent="0.2">
      <c r="A2571" s="15">
        <v>313</v>
      </c>
      <c r="B2571" s="15">
        <v>1997</v>
      </c>
      <c r="C2571" s="15">
        <v>1</v>
      </c>
      <c r="D2571" s="15">
        <v>8</v>
      </c>
      <c r="E2571" s="14">
        <v>0.71527777777777779</v>
      </c>
      <c r="F2571" s="11" t="s">
        <v>18</v>
      </c>
      <c r="G2571" s="15">
        <v>140</v>
      </c>
      <c r="H2571" s="15" t="s">
        <v>29</v>
      </c>
      <c r="I2571" s="25">
        <v>9.5</v>
      </c>
      <c r="J2571" s="11" t="s">
        <v>19</v>
      </c>
      <c r="K2571" s="11" t="s">
        <v>20</v>
      </c>
      <c r="L2571" s="11" t="s">
        <v>21</v>
      </c>
      <c r="M2571" s="11" t="s">
        <v>27</v>
      </c>
      <c r="N2571" s="11" t="s">
        <v>23</v>
      </c>
      <c r="O2571" s="16" t="s">
        <v>29</v>
      </c>
      <c r="P2571" s="15">
        <v>213</v>
      </c>
      <c r="Q2571" s="8"/>
      <c r="R2571">
        <v>13.06</v>
      </c>
      <c r="S2571">
        <v>2228.58</v>
      </c>
      <c r="T2571">
        <v>4.26</v>
      </c>
      <c r="U2571">
        <v>9.3800000000000008</v>
      </c>
      <c r="V2571">
        <v>131</v>
      </c>
      <c r="W2571" s="317">
        <v>3.9</v>
      </c>
      <c r="X2571" s="190">
        <f t="shared" si="118"/>
        <v>37.049999999999997</v>
      </c>
      <c r="Y2571" s="8"/>
      <c r="Z2571" s="8"/>
    </row>
    <row r="2572" spans="1:26" ht="12.75" customHeight="1" x14ac:dyDescent="0.2">
      <c r="A2572" s="15">
        <v>314</v>
      </c>
      <c r="B2572" s="15">
        <v>1997</v>
      </c>
      <c r="C2572" s="15">
        <v>1</v>
      </c>
      <c r="D2572" s="15">
        <v>8</v>
      </c>
      <c r="E2572" s="14">
        <v>0.71597222222222223</v>
      </c>
      <c r="F2572" s="11" t="s">
        <v>18</v>
      </c>
      <c r="G2572" s="11" t="s">
        <v>29</v>
      </c>
      <c r="H2572" s="15" t="s">
        <v>29</v>
      </c>
      <c r="I2572" s="25">
        <v>6</v>
      </c>
      <c r="J2572" s="11" t="s">
        <v>19</v>
      </c>
      <c r="K2572" s="11" t="s">
        <v>20</v>
      </c>
      <c r="L2572" s="11" t="s">
        <v>30</v>
      </c>
      <c r="M2572" s="11" t="s">
        <v>27</v>
      </c>
      <c r="N2572" s="11" t="s">
        <v>25</v>
      </c>
      <c r="O2572" s="16" t="s">
        <v>29</v>
      </c>
      <c r="P2572" s="15">
        <v>213</v>
      </c>
      <c r="Q2572" s="8"/>
      <c r="W2572" s="317">
        <v>4.5999999999999996</v>
      </c>
      <c r="X2572" s="190">
        <f t="shared" si="118"/>
        <v>27.599999999999998</v>
      </c>
      <c r="Y2572" s="8"/>
      <c r="Z2572" s="8"/>
    </row>
    <row r="2573" spans="1:26" ht="12.75" customHeight="1" x14ac:dyDescent="0.2">
      <c r="A2573" s="15">
        <v>315</v>
      </c>
      <c r="B2573" s="15">
        <v>1997</v>
      </c>
      <c r="C2573" s="15">
        <v>1</v>
      </c>
      <c r="D2573" s="15">
        <v>8</v>
      </c>
      <c r="E2573" s="14">
        <v>0.71666666666666667</v>
      </c>
      <c r="F2573" s="11" t="s">
        <v>18</v>
      </c>
      <c r="G2573" s="11" t="s">
        <v>29</v>
      </c>
      <c r="H2573" s="15" t="s">
        <v>29</v>
      </c>
      <c r="I2573" s="25">
        <v>11</v>
      </c>
      <c r="J2573" s="11" t="s">
        <v>19</v>
      </c>
      <c r="K2573" s="11" t="s">
        <v>20</v>
      </c>
      <c r="L2573" s="11" t="s">
        <v>21</v>
      </c>
      <c r="M2573" s="11" t="s">
        <v>29</v>
      </c>
      <c r="N2573" s="11" t="s">
        <v>25</v>
      </c>
      <c r="O2573" s="16" t="s">
        <v>29</v>
      </c>
      <c r="P2573" s="15">
        <v>213</v>
      </c>
      <c r="Q2573" s="8"/>
      <c r="W2573" s="317">
        <v>3.9</v>
      </c>
      <c r="X2573" s="190">
        <f t="shared" si="118"/>
        <v>42.9</v>
      </c>
      <c r="Y2573" s="8"/>
      <c r="Z2573" s="8"/>
    </row>
    <row r="2574" spans="1:26" ht="12.75" customHeight="1" x14ac:dyDescent="0.2">
      <c r="A2574" s="15">
        <v>316</v>
      </c>
      <c r="B2574" s="15">
        <v>1997</v>
      </c>
      <c r="C2574" s="15">
        <v>1</v>
      </c>
      <c r="D2574" s="15">
        <v>8</v>
      </c>
      <c r="E2574" s="14">
        <v>0.71875</v>
      </c>
      <c r="F2574" s="11" t="s">
        <v>18</v>
      </c>
      <c r="G2574" s="15">
        <v>144</v>
      </c>
      <c r="H2574" s="15" t="s">
        <v>29</v>
      </c>
      <c r="I2574" s="25">
        <v>13</v>
      </c>
      <c r="J2574" s="11" t="s">
        <v>19</v>
      </c>
      <c r="K2574" s="11" t="s">
        <v>20</v>
      </c>
      <c r="L2574" s="11" t="s">
        <v>30</v>
      </c>
      <c r="M2574" s="11" t="s">
        <v>47</v>
      </c>
      <c r="N2574" s="11" t="s">
        <v>24</v>
      </c>
      <c r="O2574" s="16" t="s">
        <v>29</v>
      </c>
      <c r="P2574" s="15">
        <v>213</v>
      </c>
      <c r="Q2574" s="8"/>
      <c r="R2574">
        <v>13.44</v>
      </c>
      <c r="S2574">
        <v>2425.12</v>
      </c>
      <c r="T2574">
        <v>5.36</v>
      </c>
      <c r="U2574">
        <v>9.65</v>
      </c>
      <c r="V2574">
        <v>134</v>
      </c>
      <c r="W2574" s="317">
        <v>4.5999999999999996</v>
      </c>
      <c r="X2574" s="190">
        <f t="shared" si="118"/>
        <v>59.8</v>
      </c>
      <c r="Y2574" s="8"/>
      <c r="Z2574" s="8"/>
    </row>
    <row r="2575" spans="1:26" ht="12.75" customHeight="1" x14ac:dyDescent="0.2">
      <c r="A2575" s="15">
        <v>317</v>
      </c>
      <c r="B2575" s="15">
        <v>1997</v>
      </c>
      <c r="C2575" s="15">
        <v>1</v>
      </c>
      <c r="D2575" s="15">
        <v>8</v>
      </c>
      <c r="E2575" s="14">
        <v>0.72013888888888899</v>
      </c>
      <c r="F2575" s="11" t="s">
        <v>18</v>
      </c>
      <c r="G2575" s="15">
        <v>145</v>
      </c>
      <c r="H2575" s="15" t="s">
        <v>29</v>
      </c>
      <c r="I2575" s="25">
        <v>17</v>
      </c>
      <c r="J2575" s="11" t="s">
        <v>19</v>
      </c>
      <c r="K2575" s="11" t="s">
        <v>34</v>
      </c>
      <c r="L2575" s="11" t="s">
        <v>41</v>
      </c>
      <c r="M2575" s="11" t="s">
        <v>47</v>
      </c>
      <c r="N2575" s="11" t="s">
        <v>24</v>
      </c>
      <c r="O2575" s="16" t="s">
        <v>29</v>
      </c>
      <c r="P2575" s="15">
        <v>213</v>
      </c>
      <c r="Q2575" s="8"/>
      <c r="R2575">
        <v>13.53</v>
      </c>
      <c r="S2575">
        <v>2475.9899999999998</v>
      </c>
      <c r="T2575">
        <v>6.87</v>
      </c>
      <c r="U2575">
        <v>9.7200000000000006</v>
      </c>
      <c r="V2575">
        <v>135</v>
      </c>
      <c r="W2575" s="317">
        <v>3.8</v>
      </c>
      <c r="X2575" s="190">
        <f t="shared" si="118"/>
        <v>64.599999999999994</v>
      </c>
      <c r="Y2575" s="8"/>
      <c r="Z2575" s="8"/>
    </row>
    <row r="2576" spans="1:26" ht="12.75" customHeight="1" x14ac:dyDescent="0.2">
      <c r="A2576" s="15">
        <v>318</v>
      </c>
      <c r="B2576" s="15">
        <v>1997</v>
      </c>
      <c r="C2576" s="15">
        <v>1</v>
      </c>
      <c r="D2576" s="15">
        <v>8</v>
      </c>
      <c r="E2576" s="14">
        <v>0.72222222222222221</v>
      </c>
      <c r="F2576" s="11" t="s">
        <v>18</v>
      </c>
      <c r="G2576" s="11" t="s">
        <v>29</v>
      </c>
      <c r="H2576" s="15" t="s">
        <v>29</v>
      </c>
      <c r="I2576" s="25">
        <v>7</v>
      </c>
      <c r="J2576" s="11" t="s">
        <v>19</v>
      </c>
      <c r="K2576" s="11" t="s">
        <v>20</v>
      </c>
      <c r="L2576" s="11" t="s">
        <v>21</v>
      </c>
      <c r="M2576" s="11" t="s">
        <v>29</v>
      </c>
      <c r="N2576" s="11" t="s">
        <v>236</v>
      </c>
      <c r="O2576" s="16" t="s">
        <v>29</v>
      </c>
      <c r="P2576" s="15">
        <v>213</v>
      </c>
      <c r="Q2576" s="8"/>
      <c r="W2576" s="317">
        <v>3.9</v>
      </c>
      <c r="X2576" s="190">
        <f t="shared" ref="X2576:X2583" si="119">I2576*W2576</f>
        <v>27.3</v>
      </c>
      <c r="Y2576" s="8"/>
      <c r="Z2576" s="8"/>
    </row>
    <row r="2577" spans="1:26" ht="12.75" customHeight="1" x14ac:dyDescent="0.2">
      <c r="A2577" s="15">
        <v>319</v>
      </c>
      <c r="B2577" s="15">
        <v>1997</v>
      </c>
      <c r="C2577" s="15">
        <v>1</v>
      </c>
      <c r="D2577" s="15">
        <v>8</v>
      </c>
      <c r="E2577" s="14">
        <v>0.72361111111111109</v>
      </c>
      <c r="F2577" s="11" t="s">
        <v>18</v>
      </c>
      <c r="G2577" s="15">
        <v>149</v>
      </c>
      <c r="H2577" s="15" t="s">
        <v>29</v>
      </c>
      <c r="I2577" s="25">
        <v>15.5</v>
      </c>
      <c r="J2577" s="11" t="s">
        <v>19</v>
      </c>
      <c r="K2577" s="11" t="s">
        <v>20</v>
      </c>
      <c r="L2577" s="11" t="s">
        <v>30</v>
      </c>
      <c r="M2577" s="11" t="s">
        <v>27</v>
      </c>
      <c r="N2577" s="11" t="s">
        <v>24</v>
      </c>
      <c r="O2577" s="16" t="s">
        <v>29</v>
      </c>
      <c r="P2577" s="15">
        <v>213</v>
      </c>
      <c r="Q2577" s="8"/>
      <c r="R2577">
        <v>13.9</v>
      </c>
      <c r="S2577">
        <v>2686.6</v>
      </c>
      <c r="T2577">
        <v>5.77</v>
      </c>
      <c r="U2577">
        <v>9.98</v>
      </c>
      <c r="V2577">
        <v>139</v>
      </c>
      <c r="W2577" s="317">
        <v>4.5999999999999996</v>
      </c>
      <c r="X2577" s="190">
        <f t="shared" si="119"/>
        <v>71.3</v>
      </c>
      <c r="Y2577" s="8"/>
      <c r="Z2577" s="8"/>
    </row>
    <row r="2578" spans="1:26" ht="12.75" customHeight="1" x14ac:dyDescent="0.2">
      <c r="A2578" s="15">
        <v>320</v>
      </c>
      <c r="B2578" s="15">
        <v>1997</v>
      </c>
      <c r="C2578" s="15">
        <v>1</v>
      </c>
      <c r="D2578" s="15">
        <v>8</v>
      </c>
      <c r="E2578" s="14">
        <v>0.72569444444444453</v>
      </c>
      <c r="F2578" s="11" t="s">
        <v>18</v>
      </c>
      <c r="G2578" s="15">
        <v>150</v>
      </c>
      <c r="H2578" s="15" t="s">
        <v>29</v>
      </c>
      <c r="I2578" s="25">
        <v>16.5</v>
      </c>
      <c r="J2578" s="11" t="s">
        <v>19</v>
      </c>
      <c r="K2578" s="11" t="s">
        <v>34</v>
      </c>
      <c r="L2578" s="11" t="s">
        <v>41</v>
      </c>
      <c r="M2578" s="11" t="s">
        <v>45</v>
      </c>
      <c r="N2578" s="11" t="s">
        <v>25</v>
      </c>
      <c r="O2578" s="16" t="s">
        <v>29</v>
      </c>
      <c r="P2578" s="15">
        <v>213</v>
      </c>
      <c r="Q2578" s="8"/>
      <c r="R2578">
        <v>14</v>
      </c>
      <c r="S2578">
        <v>2741.06</v>
      </c>
      <c r="T2578">
        <v>6.02</v>
      </c>
      <c r="U2578">
        <v>10.050000000000001</v>
      </c>
      <c r="V2578">
        <v>140</v>
      </c>
      <c r="W2578" s="317">
        <v>3.8</v>
      </c>
      <c r="X2578" s="190">
        <f t="shared" si="119"/>
        <v>62.699999999999996</v>
      </c>
      <c r="Y2578" s="8"/>
      <c r="Z2578" s="8"/>
    </row>
    <row r="2579" spans="1:26" ht="12.75" customHeight="1" x14ac:dyDescent="0.2">
      <c r="A2579" s="15">
        <v>321</v>
      </c>
      <c r="B2579" s="15">
        <v>1997</v>
      </c>
      <c r="C2579" s="15">
        <v>1</v>
      </c>
      <c r="D2579" s="15">
        <v>8</v>
      </c>
      <c r="E2579" s="14">
        <v>0.73055555555555562</v>
      </c>
      <c r="F2579" s="11" t="s">
        <v>18</v>
      </c>
      <c r="G2579" s="15">
        <v>154</v>
      </c>
      <c r="H2579" s="15" t="s">
        <v>29</v>
      </c>
      <c r="I2579" s="25">
        <v>12</v>
      </c>
      <c r="J2579" s="11" t="s">
        <v>19</v>
      </c>
      <c r="K2579" s="11" t="s">
        <v>20</v>
      </c>
      <c r="L2579" s="11" t="s">
        <v>30</v>
      </c>
      <c r="M2579" s="11" t="s">
        <v>45</v>
      </c>
      <c r="N2579" s="11" t="s">
        <v>23</v>
      </c>
      <c r="O2579" s="16" t="s">
        <v>29</v>
      </c>
      <c r="P2579" s="15">
        <v>213</v>
      </c>
      <c r="Q2579" s="8"/>
      <c r="R2579">
        <v>14.37</v>
      </c>
      <c r="S2579">
        <v>2966.25</v>
      </c>
      <c r="T2579">
        <v>4.05</v>
      </c>
      <c r="U2579">
        <v>10.32</v>
      </c>
      <c r="V2579">
        <v>144</v>
      </c>
      <c r="W2579" s="317">
        <v>4.5999999999999996</v>
      </c>
      <c r="X2579" s="190">
        <f t="shared" si="119"/>
        <v>55.199999999999996</v>
      </c>
      <c r="Y2579" s="8"/>
      <c r="Z2579" s="8"/>
    </row>
    <row r="2580" spans="1:26" ht="12.75" customHeight="1" x14ac:dyDescent="0.2">
      <c r="A2580" s="15">
        <v>322</v>
      </c>
      <c r="B2580" s="15">
        <v>1997</v>
      </c>
      <c r="C2580" s="15">
        <v>1</v>
      </c>
      <c r="D2580" s="15">
        <v>8</v>
      </c>
      <c r="E2580" s="14">
        <v>0.73819444444444438</v>
      </c>
      <c r="F2580" s="11" t="s">
        <v>18</v>
      </c>
      <c r="G2580" s="15">
        <v>147</v>
      </c>
      <c r="H2580" s="15" t="s">
        <v>29</v>
      </c>
      <c r="I2580" s="25">
        <v>13.5</v>
      </c>
      <c r="J2580" s="11" t="s">
        <v>19</v>
      </c>
      <c r="K2580" s="11" t="s">
        <v>20</v>
      </c>
      <c r="L2580" s="11" t="s">
        <v>30</v>
      </c>
      <c r="M2580" s="11" t="s">
        <v>46</v>
      </c>
      <c r="N2580" s="11" t="s">
        <v>23</v>
      </c>
      <c r="O2580" s="16" t="s">
        <v>29</v>
      </c>
      <c r="P2580" s="15">
        <v>213</v>
      </c>
      <c r="Q2580" s="8"/>
      <c r="R2580">
        <v>13.72</v>
      </c>
      <c r="S2580">
        <v>2579.86</v>
      </c>
      <c r="T2580">
        <v>5.23</v>
      </c>
      <c r="U2580">
        <v>9.85</v>
      </c>
      <c r="V2580">
        <v>137</v>
      </c>
      <c r="W2580" s="317">
        <v>4.5999999999999996</v>
      </c>
      <c r="X2580" s="190">
        <f t="shared" si="119"/>
        <v>62.099999999999994</v>
      </c>
      <c r="Y2580" s="8"/>
      <c r="Z2580" s="8"/>
    </row>
    <row r="2581" spans="1:26" ht="12.75" customHeight="1" x14ac:dyDescent="0.2">
      <c r="A2581" s="15">
        <v>323</v>
      </c>
      <c r="B2581" s="15">
        <v>1997</v>
      </c>
      <c r="C2581" s="15">
        <v>1</v>
      </c>
      <c r="D2581" s="15">
        <v>8</v>
      </c>
      <c r="E2581" s="14">
        <v>0.7402777777777777</v>
      </c>
      <c r="F2581" s="11" t="s">
        <v>18</v>
      </c>
      <c r="G2581" s="11" t="s">
        <v>29</v>
      </c>
      <c r="H2581" s="15" t="s">
        <v>29</v>
      </c>
      <c r="I2581" s="25">
        <v>10.5</v>
      </c>
      <c r="J2581" s="11" t="s">
        <v>19</v>
      </c>
      <c r="K2581" s="11" t="s">
        <v>20</v>
      </c>
      <c r="L2581" s="11" t="s">
        <v>21</v>
      </c>
      <c r="M2581" s="11" t="s">
        <v>45</v>
      </c>
      <c r="N2581" s="11" t="s">
        <v>25</v>
      </c>
      <c r="O2581" s="16" t="s">
        <v>29</v>
      </c>
      <c r="P2581" s="15">
        <v>213</v>
      </c>
      <c r="Q2581" s="8"/>
      <c r="W2581" s="317">
        <v>3.9</v>
      </c>
      <c r="X2581" s="190">
        <f t="shared" si="119"/>
        <v>40.949999999999996</v>
      </c>
      <c r="Y2581" s="8"/>
      <c r="Z2581" s="8"/>
    </row>
    <row r="2582" spans="1:26" ht="12.75" customHeight="1" x14ac:dyDescent="0.2">
      <c r="A2582" s="15">
        <v>324</v>
      </c>
      <c r="B2582" s="15">
        <v>1997</v>
      </c>
      <c r="C2582" s="15">
        <v>1</v>
      </c>
      <c r="D2582" s="15">
        <v>8</v>
      </c>
      <c r="E2582" s="14">
        <v>0.74236111111111114</v>
      </c>
      <c r="F2582" s="11" t="s">
        <v>18</v>
      </c>
      <c r="G2582" s="15">
        <v>152</v>
      </c>
      <c r="H2582" s="15" t="s">
        <v>29</v>
      </c>
      <c r="I2582" s="25">
        <v>19</v>
      </c>
      <c r="J2582" s="11" t="s">
        <v>19</v>
      </c>
      <c r="K2582" s="11" t="s">
        <v>20</v>
      </c>
      <c r="L2582" s="11" t="s">
        <v>30</v>
      </c>
      <c r="M2582" s="11" t="s">
        <v>27</v>
      </c>
      <c r="N2582" s="11" t="s">
        <v>24</v>
      </c>
      <c r="O2582" s="16" t="s">
        <v>29</v>
      </c>
      <c r="P2582" s="15">
        <v>213</v>
      </c>
      <c r="Q2582" s="8"/>
      <c r="R2582">
        <v>14.18</v>
      </c>
      <c r="S2582">
        <v>2852.17</v>
      </c>
      <c r="T2582">
        <v>6.66</v>
      </c>
      <c r="U2582">
        <v>10.18</v>
      </c>
      <c r="V2582">
        <v>142</v>
      </c>
      <c r="W2582" s="317">
        <v>4.5999999999999996</v>
      </c>
      <c r="X2582" s="190">
        <f t="shared" si="119"/>
        <v>87.399999999999991</v>
      </c>
      <c r="Y2582" s="8"/>
      <c r="Z2582" s="8"/>
    </row>
    <row r="2583" spans="1:26" ht="12.75" customHeight="1" x14ac:dyDescent="0.2">
      <c r="A2583" s="15">
        <v>325</v>
      </c>
      <c r="B2583" s="15">
        <v>1997</v>
      </c>
      <c r="C2583" s="15">
        <v>1</v>
      </c>
      <c r="D2583" s="15">
        <v>8</v>
      </c>
      <c r="E2583" s="14">
        <v>0.74375000000000002</v>
      </c>
      <c r="F2583" s="11" t="s">
        <v>18</v>
      </c>
      <c r="G2583" s="15">
        <v>145</v>
      </c>
      <c r="H2583" s="15" t="s">
        <v>29</v>
      </c>
      <c r="I2583" s="25">
        <v>13.5</v>
      </c>
      <c r="J2583" s="11" t="s">
        <v>19</v>
      </c>
      <c r="K2583" s="11" t="s">
        <v>20</v>
      </c>
      <c r="L2583" s="11" t="s">
        <v>30</v>
      </c>
      <c r="M2583" s="11" t="s">
        <v>27</v>
      </c>
      <c r="N2583" s="11" t="s">
        <v>23</v>
      </c>
      <c r="O2583" s="16" t="s">
        <v>29</v>
      </c>
      <c r="P2583" s="15">
        <v>213</v>
      </c>
      <c r="Q2583" s="8"/>
      <c r="R2583">
        <v>13.53</v>
      </c>
      <c r="S2583">
        <v>2475.9899999999998</v>
      </c>
      <c r="T2583">
        <v>5.45</v>
      </c>
      <c r="U2583">
        <v>9.7200000000000006</v>
      </c>
      <c r="V2583">
        <v>135</v>
      </c>
      <c r="W2583" s="317">
        <v>4.5999999999999996</v>
      </c>
      <c r="X2583" s="190">
        <f t="shared" si="119"/>
        <v>62.099999999999994</v>
      </c>
      <c r="Y2583" s="8"/>
      <c r="Z2583" s="8"/>
    </row>
    <row r="2584" spans="1:26" ht="12.75" customHeight="1" x14ac:dyDescent="0.2">
      <c r="A2584" s="15">
        <v>326</v>
      </c>
      <c r="B2584" s="15">
        <v>1997</v>
      </c>
      <c r="C2584" s="15">
        <v>1</v>
      </c>
      <c r="D2584" s="15">
        <v>8</v>
      </c>
      <c r="E2584" s="14">
        <v>0.74513888888888891</v>
      </c>
      <c r="F2584" s="11" t="s">
        <v>18</v>
      </c>
      <c r="G2584" s="15">
        <v>114</v>
      </c>
      <c r="H2584" s="15" t="s">
        <v>29</v>
      </c>
      <c r="I2584" s="25">
        <v>7.5</v>
      </c>
      <c r="J2584" s="11" t="s">
        <v>209</v>
      </c>
      <c r="K2584" s="11" t="s">
        <v>29</v>
      </c>
      <c r="L2584" s="11" t="s">
        <v>29</v>
      </c>
      <c r="M2584" s="11" t="s">
        <v>27</v>
      </c>
      <c r="N2584" s="11" t="s">
        <v>24</v>
      </c>
      <c r="O2584" s="16" t="s">
        <v>29</v>
      </c>
      <c r="P2584" s="15">
        <v>213</v>
      </c>
      <c r="Q2584" s="8"/>
      <c r="R2584">
        <v>10.64</v>
      </c>
      <c r="S2584">
        <v>1203.26</v>
      </c>
      <c r="T2584">
        <v>6.23</v>
      </c>
      <c r="U2584">
        <v>7.64</v>
      </c>
      <c r="V2584">
        <v>106</v>
      </c>
      <c r="W2584" s="8"/>
      <c r="X2584" s="8"/>
      <c r="Y2584" s="8"/>
      <c r="Z2584" s="8"/>
    </row>
    <row r="2585" spans="1:26" ht="12.75" customHeight="1" x14ac:dyDescent="0.2">
      <c r="A2585" s="15">
        <v>327</v>
      </c>
      <c r="B2585" s="15">
        <v>1997</v>
      </c>
      <c r="C2585" s="15">
        <v>1</v>
      </c>
      <c r="D2585" s="15">
        <v>8</v>
      </c>
      <c r="E2585" s="14">
        <v>0.74652777777777779</v>
      </c>
      <c r="F2585" s="11" t="s">
        <v>18</v>
      </c>
      <c r="G2585" s="15">
        <v>138</v>
      </c>
      <c r="H2585" s="15" t="s">
        <v>29</v>
      </c>
      <c r="I2585" s="25">
        <v>11.5</v>
      </c>
      <c r="J2585" s="11" t="s">
        <v>19</v>
      </c>
      <c r="K2585" s="11" t="s">
        <v>20</v>
      </c>
      <c r="L2585" s="11" t="s">
        <v>30</v>
      </c>
      <c r="M2585" s="11" t="s">
        <v>27</v>
      </c>
      <c r="N2585" s="11" t="s">
        <v>23</v>
      </c>
      <c r="O2585" s="16" t="s">
        <v>29</v>
      </c>
      <c r="P2585" s="15">
        <v>213</v>
      </c>
      <c r="Q2585" s="8"/>
      <c r="R2585">
        <v>12.88</v>
      </c>
      <c r="S2585">
        <v>2134.4299999999998</v>
      </c>
      <c r="T2585">
        <v>5.39</v>
      </c>
      <c r="U2585">
        <v>9.25</v>
      </c>
      <c r="V2585">
        <v>129</v>
      </c>
      <c r="W2585" s="317">
        <v>4.5999999999999996</v>
      </c>
      <c r="X2585" s="190">
        <f>I2585*W2585</f>
        <v>52.9</v>
      </c>
      <c r="Y2585" s="8"/>
      <c r="Z2585" s="8"/>
    </row>
    <row r="2586" spans="1:26" ht="12.75" customHeight="1" x14ac:dyDescent="0.2">
      <c r="A2586" s="15">
        <v>328</v>
      </c>
      <c r="B2586" s="15">
        <v>1997</v>
      </c>
      <c r="C2586" s="15">
        <v>1</v>
      </c>
      <c r="D2586" s="15">
        <v>8</v>
      </c>
      <c r="E2586" s="14">
        <v>0.74930555555555556</v>
      </c>
      <c r="F2586" s="11" t="s">
        <v>18</v>
      </c>
      <c r="G2586" s="15">
        <v>138</v>
      </c>
      <c r="H2586" s="15" t="s">
        <v>29</v>
      </c>
      <c r="I2586" s="25">
        <v>11.5</v>
      </c>
      <c r="J2586" s="11" t="s">
        <v>19</v>
      </c>
      <c r="K2586" s="11" t="s">
        <v>20</v>
      </c>
      <c r="L2586" s="11" t="s">
        <v>30</v>
      </c>
      <c r="M2586" s="11" t="s">
        <v>45</v>
      </c>
      <c r="N2586" s="11" t="s">
        <v>23</v>
      </c>
      <c r="O2586" s="16" t="s">
        <v>29</v>
      </c>
      <c r="P2586" s="15">
        <v>213</v>
      </c>
      <c r="Q2586" s="8"/>
      <c r="R2586">
        <v>12.88</v>
      </c>
      <c r="S2586">
        <v>2134.4299999999998</v>
      </c>
      <c r="T2586">
        <v>5.39</v>
      </c>
      <c r="U2586">
        <v>9.25</v>
      </c>
      <c r="V2586">
        <v>129</v>
      </c>
      <c r="W2586" s="317">
        <v>4.5999999999999996</v>
      </c>
      <c r="X2586" s="190">
        <f>I2586*W2586</f>
        <v>52.9</v>
      </c>
      <c r="Y2586" s="8"/>
      <c r="Z2586" s="8"/>
    </row>
    <row r="2587" spans="1:26" ht="12.75" customHeight="1" x14ac:dyDescent="0.2">
      <c r="A2587" s="15">
        <v>329</v>
      </c>
      <c r="B2587" s="15">
        <v>1997</v>
      </c>
      <c r="C2587" s="15">
        <v>1</v>
      </c>
      <c r="D2587" s="15">
        <v>8</v>
      </c>
      <c r="E2587" s="14">
        <v>0.75</v>
      </c>
      <c r="F2587" s="11" t="s">
        <v>18</v>
      </c>
      <c r="G2587" s="11" t="s">
        <v>29</v>
      </c>
      <c r="H2587" s="15" t="s">
        <v>29</v>
      </c>
      <c r="I2587" s="25">
        <v>18</v>
      </c>
      <c r="J2587" s="11" t="s">
        <v>19</v>
      </c>
      <c r="K2587" s="11" t="s">
        <v>34</v>
      </c>
      <c r="L2587" s="11" t="s">
        <v>41</v>
      </c>
      <c r="M2587" s="11" t="s">
        <v>46</v>
      </c>
      <c r="N2587" s="11" t="s">
        <v>25</v>
      </c>
      <c r="O2587" s="16" t="s">
        <v>29</v>
      </c>
      <c r="P2587" s="15">
        <v>213</v>
      </c>
      <c r="Q2587" s="8"/>
      <c r="W2587" s="317">
        <v>3.8</v>
      </c>
      <c r="X2587" s="190">
        <f>I2587*W2587</f>
        <v>68.399999999999991</v>
      </c>
      <c r="Y2587" s="8"/>
      <c r="Z2587" s="8"/>
    </row>
    <row r="2588" spans="1:26" ht="12.75" customHeight="1" x14ac:dyDescent="0.2">
      <c r="A2588" s="15">
        <v>330</v>
      </c>
      <c r="B2588" s="15">
        <v>1997</v>
      </c>
      <c r="C2588" s="15">
        <v>1</v>
      </c>
      <c r="D2588" s="15">
        <v>8</v>
      </c>
      <c r="E2588" s="14">
        <v>0.75347222222222221</v>
      </c>
      <c r="F2588" s="11" t="s">
        <v>18</v>
      </c>
      <c r="G2588" s="11" t="s">
        <v>29</v>
      </c>
      <c r="H2588" s="15" t="s">
        <v>29</v>
      </c>
      <c r="I2588" s="25">
        <v>14.5</v>
      </c>
      <c r="J2588" s="11" t="s">
        <v>19</v>
      </c>
      <c r="K2588" s="11" t="s">
        <v>20</v>
      </c>
      <c r="L2588" s="11" t="s">
        <v>30</v>
      </c>
      <c r="M2588" s="11" t="s">
        <v>27</v>
      </c>
      <c r="N2588" s="11" t="s">
        <v>25</v>
      </c>
      <c r="O2588" s="16" t="s">
        <v>29</v>
      </c>
      <c r="P2588" s="15">
        <v>213</v>
      </c>
      <c r="Q2588" s="8"/>
      <c r="W2588" s="317">
        <v>4.5999999999999996</v>
      </c>
      <c r="X2588" s="190">
        <f t="shared" ref="X2588:X2597" si="120">I2588*W2588</f>
        <v>66.699999999999989</v>
      </c>
      <c r="Y2588" s="8"/>
      <c r="Z2588" s="8"/>
    </row>
    <row r="2589" spans="1:26" ht="12.75" customHeight="1" x14ac:dyDescent="0.2">
      <c r="A2589" s="15">
        <v>331</v>
      </c>
      <c r="B2589" s="15">
        <v>1997</v>
      </c>
      <c r="C2589" s="15">
        <v>1</v>
      </c>
      <c r="D2589" s="15">
        <v>8</v>
      </c>
      <c r="E2589" s="14">
        <v>0.75486111111111109</v>
      </c>
      <c r="F2589" s="11" t="s">
        <v>18</v>
      </c>
      <c r="G2589" s="15">
        <v>145</v>
      </c>
      <c r="H2589" s="15" t="s">
        <v>29</v>
      </c>
      <c r="I2589" s="25">
        <v>12.5</v>
      </c>
      <c r="J2589" s="11" t="s">
        <v>19</v>
      </c>
      <c r="K2589" s="11" t="s">
        <v>20</v>
      </c>
      <c r="L2589" s="11" t="s">
        <v>30</v>
      </c>
      <c r="M2589" s="11" t="s">
        <v>27</v>
      </c>
      <c r="N2589" s="11" t="s">
        <v>25</v>
      </c>
      <c r="O2589" s="16" t="s">
        <v>29</v>
      </c>
      <c r="P2589" s="15">
        <v>213</v>
      </c>
      <c r="Q2589" s="8"/>
      <c r="R2589">
        <v>13.53</v>
      </c>
      <c r="S2589">
        <v>2475.9899999999998</v>
      </c>
      <c r="T2589">
        <v>5.05</v>
      </c>
      <c r="U2589">
        <v>9.7200000000000006</v>
      </c>
      <c r="V2589">
        <v>135</v>
      </c>
      <c r="W2589" s="317">
        <v>4.5999999999999996</v>
      </c>
      <c r="X2589" s="190">
        <f t="shared" si="120"/>
        <v>57.499999999999993</v>
      </c>
      <c r="Y2589" s="8"/>
      <c r="Z2589" s="8"/>
    </row>
    <row r="2590" spans="1:26" ht="12.75" customHeight="1" x14ac:dyDescent="0.2">
      <c r="A2590" s="15">
        <v>332</v>
      </c>
      <c r="B2590" s="15">
        <v>1997</v>
      </c>
      <c r="C2590" s="15">
        <v>1</v>
      </c>
      <c r="D2590" s="15">
        <v>8</v>
      </c>
      <c r="E2590" s="14">
        <v>0.75624999999999998</v>
      </c>
      <c r="F2590" s="11" t="s">
        <v>18</v>
      </c>
      <c r="G2590" s="15">
        <v>125</v>
      </c>
      <c r="H2590" s="15" t="s">
        <v>29</v>
      </c>
      <c r="I2590" s="25">
        <v>9</v>
      </c>
      <c r="J2590" s="11" t="s">
        <v>19</v>
      </c>
      <c r="K2590" s="11" t="s">
        <v>20</v>
      </c>
      <c r="L2590" s="11" t="s">
        <v>30</v>
      </c>
      <c r="M2590" s="11" t="s">
        <v>45</v>
      </c>
      <c r="N2590" s="11" t="s">
        <v>23</v>
      </c>
      <c r="O2590" s="16" t="s">
        <v>29</v>
      </c>
      <c r="P2590" s="15">
        <v>213</v>
      </c>
      <c r="Q2590" s="8"/>
      <c r="R2590">
        <v>11.66</v>
      </c>
      <c r="S2590">
        <v>1586.26</v>
      </c>
      <c r="T2590">
        <v>5.67</v>
      </c>
      <c r="U2590">
        <v>8.3800000000000008</v>
      </c>
      <c r="V2590">
        <v>117</v>
      </c>
      <c r="W2590" s="317">
        <v>4.5999999999999996</v>
      </c>
      <c r="X2590" s="190">
        <f t="shared" si="120"/>
        <v>41.4</v>
      </c>
      <c r="Y2590" s="8"/>
      <c r="Z2590" s="8"/>
    </row>
    <row r="2591" spans="1:26" ht="12.75" customHeight="1" x14ac:dyDescent="0.2">
      <c r="A2591" s="15">
        <v>333</v>
      </c>
      <c r="B2591" s="15">
        <v>1997</v>
      </c>
      <c r="C2591" s="15">
        <v>1</v>
      </c>
      <c r="D2591" s="15">
        <v>8</v>
      </c>
      <c r="E2591" s="14">
        <v>0.75902777777777775</v>
      </c>
      <c r="F2591" s="11" t="s">
        <v>18</v>
      </c>
      <c r="G2591" s="15">
        <v>120</v>
      </c>
      <c r="H2591" s="15" t="s">
        <v>29</v>
      </c>
      <c r="I2591" s="25">
        <v>7</v>
      </c>
      <c r="J2591" s="11" t="s">
        <v>19</v>
      </c>
      <c r="K2591" s="11" t="s">
        <v>20</v>
      </c>
      <c r="L2591" s="11" t="s">
        <v>30</v>
      </c>
      <c r="M2591" s="11" t="s">
        <v>27</v>
      </c>
      <c r="N2591" s="11" t="s">
        <v>33</v>
      </c>
      <c r="O2591" s="16" t="s">
        <v>29</v>
      </c>
      <c r="P2591" s="15">
        <v>213</v>
      </c>
      <c r="Q2591" s="8"/>
      <c r="R2591">
        <v>11.2</v>
      </c>
      <c r="S2591">
        <v>1403.42</v>
      </c>
      <c r="T2591">
        <v>4.99</v>
      </c>
      <c r="U2591">
        <v>8.0399999999999991</v>
      </c>
      <c r="V2591">
        <v>112</v>
      </c>
      <c r="W2591" s="317">
        <v>4.5999999999999996</v>
      </c>
      <c r="X2591" s="190">
        <f t="shared" si="120"/>
        <v>32.199999999999996</v>
      </c>
      <c r="Y2591" s="8"/>
      <c r="Z2591" s="8"/>
    </row>
    <row r="2592" spans="1:26" ht="12.75" customHeight="1" x14ac:dyDescent="0.2">
      <c r="A2592" s="15">
        <v>334</v>
      </c>
      <c r="B2592" s="15">
        <v>1997</v>
      </c>
      <c r="C2592" s="15">
        <v>1</v>
      </c>
      <c r="D2592" s="15">
        <v>8</v>
      </c>
      <c r="E2592" s="14">
        <v>0.7597222222222223</v>
      </c>
      <c r="F2592" s="11" t="s">
        <v>18</v>
      </c>
      <c r="G2592" s="15">
        <v>137</v>
      </c>
      <c r="H2592" s="15" t="s">
        <v>29</v>
      </c>
      <c r="I2592" s="25">
        <v>9</v>
      </c>
      <c r="J2592" s="11" t="s">
        <v>19</v>
      </c>
      <c r="K2592" s="11" t="s">
        <v>20</v>
      </c>
      <c r="L2592" s="11" t="s">
        <v>30</v>
      </c>
      <c r="M2592" s="11" t="s">
        <v>27</v>
      </c>
      <c r="N2592" s="11" t="s">
        <v>39</v>
      </c>
      <c r="O2592" s="16" t="s">
        <v>29</v>
      </c>
      <c r="P2592" s="15">
        <v>213</v>
      </c>
      <c r="Q2592" s="8"/>
      <c r="R2592">
        <v>12.78</v>
      </c>
      <c r="S2592">
        <v>2088.37</v>
      </c>
      <c r="T2592">
        <v>4.3099999999999996</v>
      </c>
      <c r="U2592">
        <v>9.18</v>
      </c>
      <c r="V2592">
        <v>128</v>
      </c>
      <c r="W2592" s="317">
        <v>4.5999999999999996</v>
      </c>
      <c r="X2592" s="190">
        <f t="shared" si="120"/>
        <v>41.4</v>
      </c>
      <c r="Y2592" s="8"/>
      <c r="Z2592" s="8"/>
    </row>
    <row r="2593" spans="1:26" ht="12.75" customHeight="1" x14ac:dyDescent="0.2">
      <c r="A2593" s="15">
        <v>335</v>
      </c>
      <c r="B2593" s="15">
        <v>1997</v>
      </c>
      <c r="C2593" s="15">
        <v>1</v>
      </c>
      <c r="D2593" s="15">
        <v>8</v>
      </c>
      <c r="E2593" s="14">
        <v>0.76111111111111107</v>
      </c>
      <c r="F2593" s="11" t="s">
        <v>18</v>
      </c>
      <c r="G2593" s="15">
        <v>131</v>
      </c>
      <c r="H2593" s="15" t="s">
        <v>29</v>
      </c>
      <c r="I2593" s="25">
        <v>7.5</v>
      </c>
      <c r="J2593" s="11" t="s">
        <v>19</v>
      </c>
      <c r="K2593" s="11" t="s">
        <v>20</v>
      </c>
      <c r="L2593" s="11" t="s">
        <v>21</v>
      </c>
      <c r="M2593" s="11" t="s">
        <v>46</v>
      </c>
      <c r="N2593" s="11" t="s">
        <v>23</v>
      </c>
      <c r="O2593" s="16" t="s">
        <v>29</v>
      </c>
      <c r="P2593" s="15">
        <v>213</v>
      </c>
      <c r="Q2593" s="8"/>
      <c r="R2593">
        <v>12.22</v>
      </c>
      <c r="S2593">
        <v>1825.82</v>
      </c>
      <c r="T2593">
        <v>4.1100000000000003</v>
      </c>
      <c r="U2593">
        <v>8.7799999999999994</v>
      </c>
      <c r="V2593">
        <v>122</v>
      </c>
      <c r="W2593" s="317">
        <v>3.9</v>
      </c>
      <c r="X2593" s="190">
        <f t="shared" si="120"/>
        <v>29.25</v>
      </c>
      <c r="Y2593" s="8"/>
      <c r="Z2593" s="8"/>
    </row>
    <row r="2594" spans="1:26" ht="12.75" customHeight="1" x14ac:dyDescent="0.2">
      <c r="A2594" s="15">
        <v>336</v>
      </c>
      <c r="B2594" s="15">
        <v>1997</v>
      </c>
      <c r="C2594" s="15">
        <v>1</v>
      </c>
      <c r="D2594" s="15">
        <v>8</v>
      </c>
      <c r="E2594" s="14">
        <v>0.76944444444444438</v>
      </c>
      <c r="F2594" s="11" t="s">
        <v>18</v>
      </c>
      <c r="G2594" s="15">
        <v>144</v>
      </c>
      <c r="H2594" s="15" t="s">
        <v>29</v>
      </c>
      <c r="I2594" s="25">
        <v>13</v>
      </c>
      <c r="J2594" s="11" t="s">
        <v>19</v>
      </c>
      <c r="K2594" s="11" t="s">
        <v>20</v>
      </c>
      <c r="L2594" s="11" t="s">
        <v>30</v>
      </c>
      <c r="M2594" s="11" t="s">
        <v>45</v>
      </c>
      <c r="N2594" s="11" t="s">
        <v>33</v>
      </c>
      <c r="O2594" s="16" t="s">
        <v>29</v>
      </c>
      <c r="P2594" s="15">
        <v>213</v>
      </c>
      <c r="Q2594" s="8"/>
      <c r="R2594">
        <v>13.44</v>
      </c>
      <c r="S2594">
        <v>2425.12</v>
      </c>
      <c r="T2594">
        <v>5.36</v>
      </c>
      <c r="U2594">
        <v>9.65</v>
      </c>
      <c r="V2594">
        <v>134</v>
      </c>
      <c r="W2594" s="317">
        <v>4.5999999999999996</v>
      </c>
      <c r="X2594" s="190">
        <f t="shared" si="120"/>
        <v>59.8</v>
      </c>
      <c r="Y2594" s="8"/>
      <c r="Z2594" s="8"/>
    </row>
    <row r="2595" spans="1:26" ht="12.75" customHeight="1" x14ac:dyDescent="0.2">
      <c r="A2595" s="15">
        <v>337</v>
      </c>
      <c r="B2595" s="15">
        <v>1997</v>
      </c>
      <c r="C2595" s="15">
        <v>1</v>
      </c>
      <c r="D2595" s="15">
        <v>8</v>
      </c>
      <c r="E2595" s="14">
        <v>0.77222222222222225</v>
      </c>
      <c r="F2595" s="11" t="s">
        <v>18</v>
      </c>
      <c r="G2595" s="15">
        <v>131</v>
      </c>
      <c r="H2595" s="15" t="s">
        <v>29</v>
      </c>
      <c r="I2595" s="25">
        <v>8</v>
      </c>
      <c r="J2595" s="11" t="s">
        <v>19</v>
      </c>
      <c r="K2595" s="11" t="s">
        <v>20</v>
      </c>
      <c r="L2595" s="11" t="s">
        <v>30</v>
      </c>
      <c r="M2595" s="11" t="s">
        <v>29</v>
      </c>
      <c r="N2595" s="11" t="s">
        <v>25</v>
      </c>
      <c r="O2595" s="16" t="s">
        <v>29</v>
      </c>
      <c r="P2595" s="15">
        <v>213</v>
      </c>
      <c r="Q2595" s="8"/>
      <c r="R2595">
        <v>12.22</v>
      </c>
      <c r="S2595">
        <v>1825.82</v>
      </c>
      <c r="T2595">
        <v>4.38</v>
      </c>
      <c r="U2595">
        <v>8.7799999999999994</v>
      </c>
      <c r="V2595">
        <v>122</v>
      </c>
      <c r="W2595" s="317">
        <v>4.5999999999999996</v>
      </c>
      <c r="X2595" s="190">
        <f t="shared" si="120"/>
        <v>36.799999999999997</v>
      </c>
      <c r="Y2595" s="8"/>
      <c r="Z2595" s="8"/>
    </row>
    <row r="2596" spans="1:26" ht="12.75" customHeight="1" x14ac:dyDescent="0.2">
      <c r="A2596" s="15">
        <v>338</v>
      </c>
      <c r="B2596" s="15">
        <v>1997</v>
      </c>
      <c r="C2596" s="15">
        <v>1</v>
      </c>
      <c r="D2596" s="15">
        <v>8</v>
      </c>
      <c r="E2596" s="14">
        <v>0.77430555555555547</v>
      </c>
      <c r="F2596" s="11" t="s">
        <v>18</v>
      </c>
      <c r="G2596" s="15">
        <v>148</v>
      </c>
      <c r="H2596" s="15" t="s">
        <v>29</v>
      </c>
      <c r="I2596" s="25">
        <v>16.5</v>
      </c>
      <c r="J2596" s="11" t="s">
        <v>19</v>
      </c>
      <c r="K2596" s="11" t="s">
        <v>20</v>
      </c>
      <c r="L2596" s="11" t="s">
        <v>30</v>
      </c>
      <c r="M2596" s="11" t="s">
        <v>45</v>
      </c>
      <c r="N2596" s="11" t="s">
        <v>33</v>
      </c>
      <c r="O2596" s="16" t="s">
        <v>29</v>
      </c>
      <c r="P2596" s="15">
        <v>213</v>
      </c>
      <c r="Q2596" s="8"/>
      <c r="R2596">
        <v>13.81</v>
      </c>
      <c r="S2596">
        <v>2632.87</v>
      </c>
      <c r="T2596">
        <v>6.27</v>
      </c>
      <c r="U2596">
        <v>9.92</v>
      </c>
      <c r="V2596">
        <v>138</v>
      </c>
      <c r="W2596" s="317">
        <v>4.5999999999999996</v>
      </c>
      <c r="X2596" s="190">
        <f t="shared" si="120"/>
        <v>75.899999999999991</v>
      </c>
      <c r="Y2596" s="8"/>
      <c r="Z2596" s="8"/>
    </row>
    <row r="2597" spans="1:26" ht="12.75" customHeight="1" x14ac:dyDescent="0.2">
      <c r="A2597" s="15">
        <v>339</v>
      </c>
      <c r="B2597" s="15">
        <v>1997</v>
      </c>
      <c r="C2597" s="15">
        <v>1</v>
      </c>
      <c r="D2597" s="15">
        <v>8</v>
      </c>
      <c r="E2597" s="14">
        <v>0.77569444444444446</v>
      </c>
      <c r="F2597" s="11" t="s">
        <v>18</v>
      </c>
      <c r="G2597" s="15">
        <v>137</v>
      </c>
      <c r="H2597" s="15" t="s">
        <v>29</v>
      </c>
      <c r="I2597" s="25">
        <v>14</v>
      </c>
      <c r="J2597" s="11" t="s">
        <v>19</v>
      </c>
      <c r="K2597" s="11" t="s">
        <v>20</v>
      </c>
      <c r="L2597" s="11" t="s">
        <v>30</v>
      </c>
      <c r="M2597" s="11" t="s">
        <v>45</v>
      </c>
      <c r="N2597" s="11" t="s">
        <v>23</v>
      </c>
      <c r="O2597" s="16" t="s">
        <v>29</v>
      </c>
      <c r="P2597" s="15">
        <v>213</v>
      </c>
      <c r="Q2597" s="8"/>
      <c r="R2597">
        <v>12.78</v>
      </c>
      <c r="S2597">
        <v>2088.37</v>
      </c>
      <c r="T2597">
        <v>6.7</v>
      </c>
      <c r="U2597">
        <v>9.18</v>
      </c>
      <c r="V2597">
        <v>128</v>
      </c>
      <c r="W2597" s="317">
        <v>4.5999999999999996</v>
      </c>
      <c r="X2597" s="190">
        <f t="shared" si="120"/>
        <v>64.399999999999991</v>
      </c>
      <c r="Y2597" s="8"/>
      <c r="Z2597" s="8"/>
    </row>
    <row r="2598" spans="1:26" ht="12.75" customHeight="1" x14ac:dyDescent="0.2">
      <c r="A2598" s="15">
        <v>1</v>
      </c>
      <c r="B2598" s="15">
        <v>1996</v>
      </c>
      <c r="C2598" s="15">
        <v>9</v>
      </c>
      <c r="D2598" s="15">
        <v>8</v>
      </c>
      <c r="E2598" s="22" t="s">
        <v>17</v>
      </c>
      <c r="F2598" s="11" t="s">
        <v>18</v>
      </c>
      <c r="G2598" s="15">
        <v>170</v>
      </c>
      <c r="H2598" s="15" t="s">
        <v>29</v>
      </c>
      <c r="I2598" s="25" t="s">
        <v>29</v>
      </c>
      <c r="J2598" s="11" t="s">
        <v>209</v>
      </c>
      <c r="K2598" s="11" t="s">
        <v>29</v>
      </c>
      <c r="L2598" s="11" t="s">
        <v>29</v>
      </c>
      <c r="M2598" s="11" t="s">
        <v>29</v>
      </c>
      <c r="N2598" s="11" t="s">
        <v>29</v>
      </c>
      <c r="O2598" s="16" t="s">
        <v>29</v>
      </c>
      <c r="P2598" s="15">
        <v>222</v>
      </c>
      <c r="Q2598" s="8"/>
      <c r="U2598">
        <v>11.39</v>
      </c>
      <c r="V2598">
        <v>159</v>
      </c>
      <c r="W2598" s="8"/>
      <c r="X2598" s="8"/>
      <c r="Y2598" s="8"/>
      <c r="Z2598" s="8"/>
    </row>
    <row r="2599" spans="1:26" ht="12.75" customHeight="1" x14ac:dyDescent="0.2">
      <c r="A2599" s="15">
        <v>2</v>
      </c>
      <c r="B2599" s="15">
        <v>1996</v>
      </c>
      <c r="C2599" s="15">
        <v>9</v>
      </c>
      <c r="D2599" s="15">
        <v>8</v>
      </c>
      <c r="E2599" s="22" t="s">
        <v>17</v>
      </c>
      <c r="F2599" s="11" t="s">
        <v>28</v>
      </c>
      <c r="G2599" s="11" t="s">
        <v>29</v>
      </c>
      <c r="H2599" s="15" t="s">
        <v>29</v>
      </c>
      <c r="I2599" s="25" t="s">
        <v>29</v>
      </c>
      <c r="J2599" s="11" t="s">
        <v>19</v>
      </c>
      <c r="K2599" s="11" t="s">
        <v>20</v>
      </c>
      <c r="L2599" s="11" t="s">
        <v>21</v>
      </c>
      <c r="M2599" s="11" t="s">
        <v>29</v>
      </c>
      <c r="N2599" s="11" t="s">
        <v>29</v>
      </c>
      <c r="O2599" s="16" t="s">
        <v>29</v>
      </c>
      <c r="P2599" s="15">
        <v>222</v>
      </c>
      <c r="Q2599" s="8"/>
      <c r="W2599" s="317">
        <v>3.9</v>
      </c>
      <c r="X2599" s="190"/>
      <c r="Y2599" s="8"/>
      <c r="Z2599" s="8"/>
    </row>
    <row r="2600" spans="1:26" ht="12.75" customHeight="1" x14ac:dyDescent="0.2">
      <c r="A2600" s="15">
        <v>3</v>
      </c>
      <c r="B2600" s="15">
        <v>1996</v>
      </c>
      <c r="C2600" s="15">
        <v>9</v>
      </c>
      <c r="D2600" s="15">
        <v>8</v>
      </c>
      <c r="E2600" s="22" t="s">
        <v>17</v>
      </c>
      <c r="F2600" s="11" t="s">
        <v>18</v>
      </c>
      <c r="G2600" s="15">
        <v>135</v>
      </c>
      <c r="H2600" s="15" t="s">
        <v>29</v>
      </c>
      <c r="I2600" s="25">
        <v>8.5</v>
      </c>
      <c r="J2600" s="11" t="s">
        <v>19</v>
      </c>
      <c r="K2600" s="11" t="s">
        <v>20</v>
      </c>
      <c r="L2600" s="11" t="s">
        <v>21</v>
      </c>
      <c r="M2600" s="11" t="s">
        <v>45</v>
      </c>
      <c r="N2600" s="11" t="s">
        <v>25</v>
      </c>
      <c r="O2600" s="16" t="s">
        <v>29</v>
      </c>
      <c r="P2600" s="15">
        <v>222</v>
      </c>
      <c r="Q2600" s="8"/>
      <c r="R2600">
        <v>12.6</v>
      </c>
      <c r="S2600">
        <v>1998.23</v>
      </c>
      <c r="T2600">
        <v>4.25</v>
      </c>
      <c r="U2600">
        <v>9.0500000000000007</v>
      </c>
      <c r="V2600">
        <v>126</v>
      </c>
      <c r="W2600" s="317">
        <v>3.9</v>
      </c>
      <c r="X2600" s="190">
        <f t="shared" ref="X2600:X2621" si="121">I2600*W2600</f>
        <v>33.15</v>
      </c>
      <c r="Y2600" s="8"/>
      <c r="Z2600" s="8"/>
    </row>
    <row r="2601" spans="1:26" ht="12.75" customHeight="1" x14ac:dyDescent="0.2">
      <c r="A2601" s="15">
        <v>4</v>
      </c>
      <c r="B2601" s="15">
        <v>1996</v>
      </c>
      <c r="C2601" s="15">
        <v>9</v>
      </c>
      <c r="D2601" s="15">
        <v>8</v>
      </c>
      <c r="E2601" s="22" t="s">
        <v>17</v>
      </c>
      <c r="F2601" s="11" t="s">
        <v>18</v>
      </c>
      <c r="G2601" s="15">
        <v>164</v>
      </c>
      <c r="H2601" s="15" t="s">
        <v>29</v>
      </c>
      <c r="I2601" s="25">
        <v>13.5</v>
      </c>
      <c r="J2601" s="11" t="s">
        <v>19</v>
      </c>
      <c r="K2601" s="11" t="s">
        <v>20</v>
      </c>
      <c r="L2601" s="11" t="s">
        <v>21</v>
      </c>
      <c r="M2601" s="11" t="s">
        <v>27</v>
      </c>
      <c r="N2601" s="11" t="s">
        <v>24</v>
      </c>
      <c r="O2601" s="16" t="s">
        <v>29</v>
      </c>
      <c r="P2601" s="15">
        <v>222</v>
      </c>
      <c r="Q2601" s="8"/>
      <c r="R2601">
        <v>15.3</v>
      </c>
      <c r="S2601">
        <v>3582.42</v>
      </c>
      <c r="T2601">
        <v>3.77</v>
      </c>
      <c r="U2601">
        <v>10.99</v>
      </c>
      <c r="V2601">
        <v>153</v>
      </c>
      <c r="W2601" s="317">
        <v>3.9</v>
      </c>
      <c r="X2601" s="190">
        <f t="shared" si="121"/>
        <v>52.65</v>
      </c>
      <c r="Y2601" s="8"/>
      <c r="Z2601" s="8"/>
    </row>
    <row r="2602" spans="1:26" ht="12.75" customHeight="1" x14ac:dyDescent="0.2">
      <c r="A2602" s="15">
        <v>5</v>
      </c>
      <c r="B2602" s="15">
        <v>1996</v>
      </c>
      <c r="C2602" s="15">
        <v>9</v>
      </c>
      <c r="D2602" s="15">
        <v>8</v>
      </c>
      <c r="E2602" s="22" t="s">
        <v>17</v>
      </c>
      <c r="F2602" s="11" t="s">
        <v>18</v>
      </c>
      <c r="G2602" s="15">
        <v>156</v>
      </c>
      <c r="H2602" s="15" t="s">
        <v>29</v>
      </c>
      <c r="I2602" s="25">
        <v>15.5</v>
      </c>
      <c r="J2602" s="11" t="s">
        <v>19</v>
      </c>
      <c r="K2602" s="11" t="s">
        <v>20</v>
      </c>
      <c r="L2602" s="11" t="s">
        <v>21</v>
      </c>
      <c r="M2602" s="11" t="s">
        <v>46</v>
      </c>
      <c r="N2602" s="11" t="s">
        <v>23</v>
      </c>
      <c r="O2602" s="16" t="s">
        <v>29</v>
      </c>
      <c r="P2602" s="15">
        <v>222</v>
      </c>
      <c r="Q2602" s="8"/>
      <c r="R2602">
        <v>14.55</v>
      </c>
      <c r="S2602">
        <v>3083.32</v>
      </c>
      <c r="T2602">
        <v>5.03</v>
      </c>
      <c r="U2602">
        <v>10.45</v>
      </c>
      <c r="V2602">
        <v>146</v>
      </c>
      <c r="W2602" s="317">
        <v>3.9</v>
      </c>
      <c r="X2602" s="190">
        <f t="shared" si="121"/>
        <v>60.449999999999996</v>
      </c>
      <c r="Y2602" s="8"/>
      <c r="Z2602" s="8"/>
    </row>
    <row r="2603" spans="1:26" ht="12.75" customHeight="1" x14ac:dyDescent="0.2">
      <c r="A2603" s="15">
        <v>6</v>
      </c>
      <c r="B2603" s="15">
        <v>1996</v>
      </c>
      <c r="C2603" s="15">
        <v>9</v>
      </c>
      <c r="D2603" s="15">
        <v>8</v>
      </c>
      <c r="E2603" s="22" t="s">
        <v>17</v>
      </c>
      <c r="F2603" s="11" t="s">
        <v>18</v>
      </c>
      <c r="G2603" s="15">
        <v>163</v>
      </c>
      <c r="H2603" s="15" t="s">
        <v>29</v>
      </c>
      <c r="I2603" s="25">
        <v>15.5</v>
      </c>
      <c r="J2603" s="11" t="s">
        <v>19</v>
      </c>
      <c r="K2603" s="11" t="s">
        <v>20</v>
      </c>
      <c r="L2603" s="11" t="s">
        <v>21</v>
      </c>
      <c r="M2603" s="11" t="s">
        <v>45</v>
      </c>
      <c r="N2603" s="11" t="s">
        <v>24</v>
      </c>
      <c r="O2603" s="16" t="s">
        <v>29</v>
      </c>
      <c r="P2603" s="15">
        <v>222</v>
      </c>
      <c r="Q2603" s="8"/>
      <c r="R2603">
        <v>15.21</v>
      </c>
      <c r="S2603">
        <v>3517.29</v>
      </c>
      <c r="T2603">
        <v>4.41</v>
      </c>
      <c r="U2603">
        <v>10.92</v>
      </c>
      <c r="V2603">
        <v>152</v>
      </c>
      <c r="W2603" s="317">
        <v>3.9</v>
      </c>
      <c r="X2603" s="190">
        <f t="shared" si="121"/>
        <v>60.449999999999996</v>
      </c>
      <c r="Y2603" s="8"/>
      <c r="Z2603" s="8"/>
    </row>
    <row r="2604" spans="1:26" ht="12.75" customHeight="1" x14ac:dyDescent="0.2">
      <c r="A2604" s="15">
        <v>7</v>
      </c>
      <c r="B2604" s="15">
        <v>1996</v>
      </c>
      <c r="C2604" s="15">
        <v>9</v>
      </c>
      <c r="D2604" s="15">
        <v>8</v>
      </c>
      <c r="E2604" s="22" t="s">
        <v>17</v>
      </c>
      <c r="F2604" s="11" t="s">
        <v>18</v>
      </c>
      <c r="G2604" s="15">
        <v>144</v>
      </c>
      <c r="H2604" s="15" t="s">
        <v>29</v>
      </c>
      <c r="I2604" s="25">
        <v>8</v>
      </c>
      <c r="J2604" s="11" t="s">
        <v>19</v>
      </c>
      <c r="K2604" s="11" t="s">
        <v>20</v>
      </c>
      <c r="L2604" s="11" t="s">
        <v>21</v>
      </c>
      <c r="M2604" s="11" t="s">
        <v>45</v>
      </c>
      <c r="N2604" s="11" t="s">
        <v>25</v>
      </c>
      <c r="O2604" s="16" t="s">
        <v>29</v>
      </c>
      <c r="P2604" s="15">
        <v>222</v>
      </c>
      <c r="Q2604" s="8"/>
      <c r="R2604">
        <v>13.44</v>
      </c>
      <c r="S2604">
        <v>2425.12</v>
      </c>
      <c r="T2604">
        <v>3.3</v>
      </c>
      <c r="U2604">
        <v>9.65</v>
      </c>
      <c r="V2604">
        <v>134</v>
      </c>
      <c r="W2604" s="317">
        <v>3.9</v>
      </c>
      <c r="X2604" s="190">
        <f t="shared" si="121"/>
        <v>31.2</v>
      </c>
      <c r="Y2604" s="8"/>
      <c r="Z2604" s="8"/>
    </row>
    <row r="2605" spans="1:26" ht="12.75" customHeight="1" x14ac:dyDescent="0.2">
      <c r="A2605" s="15">
        <v>8</v>
      </c>
      <c r="B2605" s="15">
        <v>1996</v>
      </c>
      <c r="C2605" s="15">
        <v>9</v>
      </c>
      <c r="D2605" s="15">
        <v>8</v>
      </c>
      <c r="E2605" s="22" t="s">
        <v>17</v>
      </c>
      <c r="F2605" s="11" t="s">
        <v>18</v>
      </c>
      <c r="G2605" s="15">
        <v>147</v>
      </c>
      <c r="H2605" s="15" t="s">
        <v>29</v>
      </c>
      <c r="I2605" s="25">
        <v>10.5</v>
      </c>
      <c r="J2605" s="11" t="s">
        <v>19</v>
      </c>
      <c r="K2605" s="11" t="s">
        <v>20</v>
      </c>
      <c r="L2605" s="11" t="s">
        <v>21</v>
      </c>
      <c r="M2605" s="11" t="s">
        <v>27</v>
      </c>
      <c r="N2605" s="11" t="s">
        <v>24</v>
      </c>
      <c r="O2605" s="16" t="s">
        <v>29</v>
      </c>
      <c r="P2605" s="15">
        <v>222</v>
      </c>
      <c r="Q2605" s="8"/>
      <c r="R2605">
        <v>13.72</v>
      </c>
      <c r="S2605">
        <v>2579.86</v>
      </c>
      <c r="T2605">
        <v>4.07</v>
      </c>
      <c r="U2605">
        <v>9.85</v>
      </c>
      <c r="V2605">
        <v>137</v>
      </c>
      <c r="W2605" s="317">
        <v>3.9</v>
      </c>
      <c r="X2605" s="190">
        <f t="shared" si="121"/>
        <v>40.949999999999996</v>
      </c>
      <c r="Y2605" s="8"/>
      <c r="Z2605" s="8"/>
    </row>
    <row r="2606" spans="1:26" ht="12.75" customHeight="1" x14ac:dyDescent="0.2">
      <c r="A2606" s="15">
        <v>9</v>
      </c>
      <c r="B2606" s="15">
        <v>1996</v>
      </c>
      <c r="C2606" s="15">
        <v>8</v>
      </c>
      <c r="D2606" s="15">
        <v>8</v>
      </c>
      <c r="E2606" s="22" t="s">
        <v>17</v>
      </c>
      <c r="F2606" s="11" t="s">
        <v>18</v>
      </c>
      <c r="G2606" s="15">
        <v>153</v>
      </c>
      <c r="H2606" s="15" t="s">
        <v>29</v>
      </c>
      <c r="I2606" s="25">
        <v>11</v>
      </c>
      <c r="J2606" s="11" t="s">
        <v>19</v>
      </c>
      <c r="K2606" s="11" t="s">
        <v>20</v>
      </c>
      <c r="L2606" s="11" t="s">
        <v>21</v>
      </c>
      <c r="M2606" s="11" t="s">
        <v>47</v>
      </c>
      <c r="N2606" s="11" t="s">
        <v>24</v>
      </c>
      <c r="O2606" s="16" t="s">
        <v>29</v>
      </c>
      <c r="P2606" s="15">
        <v>221</v>
      </c>
      <c r="Q2606" s="8"/>
      <c r="R2606">
        <v>14.27</v>
      </c>
      <c r="S2606">
        <v>2908.84</v>
      </c>
      <c r="T2606">
        <v>3.78</v>
      </c>
      <c r="U2606">
        <v>10.25</v>
      </c>
      <c r="V2606">
        <v>143</v>
      </c>
      <c r="W2606" s="317">
        <v>3.9</v>
      </c>
      <c r="X2606" s="190">
        <f t="shared" si="121"/>
        <v>42.9</v>
      </c>
      <c r="Y2606" s="8"/>
      <c r="Z2606" s="8"/>
    </row>
    <row r="2607" spans="1:26" ht="12.75" customHeight="1" x14ac:dyDescent="0.2">
      <c r="A2607" s="15">
        <v>10</v>
      </c>
      <c r="B2607" s="15">
        <v>1996</v>
      </c>
      <c r="C2607" s="15">
        <v>8</v>
      </c>
      <c r="D2607" s="15">
        <v>8</v>
      </c>
      <c r="E2607" s="22" t="s">
        <v>17</v>
      </c>
      <c r="F2607" s="11" t="s">
        <v>18</v>
      </c>
      <c r="G2607" s="15">
        <v>135</v>
      </c>
      <c r="H2607" s="15" t="s">
        <v>29</v>
      </c>
      <c r="I2607" s="25">
        <v>5.5</v>
      </c>
      <c r="J2607" s="11" t="s">
        <v>19</v>
      </c>
      <c r="K2607" s="11" t="s">
        <v>20</v>
      </c>
      <c r="L2607" s="11" t="s">
        <v>21</v>
      </c>
      <c r="M2607" s="11" t="s">
        <v>27</v>
      </c>
      <c r="N2607" s="11" t="s">
        <v>25</v>
      </c>
      <c r="O2607" s="16" t="s">
        <v>29</v>
      </c>
      <c r="P2607" s="15">
        <v>221</v>
      </c>
      <c r="Q2607" s="8"/>
      <c r="R2607">
        <v>12.6</v>
      </c>
      <c r="S2607">
        <v>1998.23</v>
      </c>
      <c r="T2607">
        <v>2.75</v>
      </c>
      <c r="U2607">
        <v>9.0500000000000007</v>
      </c>
      <c r="V2607">
        <v>126</v>
      </c>
      <c r="W2607" s="317">
        <v>3.9</v>
      </c>
      <c r="X2607" s="190">
        <f t="shared" si="121"/>
        <v>21.45</v>
      </c>
      <c r="Y2607" s="8"/>
      <c r="Z2607" s="8"/>
    </row>
    <row r="2608" spans="1:26" ht="12.75" customHeight="1" x14ac:dyDescent="0.2">
      <c r="A2608" s="15">
        <v>11</v>
      </c>
      <c r="B2608" s="15">
        <v>1996</v>
      </c>
      <c r="C2608" s="15">
        <v>8</v>
      </c>
      <c r="D2608" s="15">
        <v>8</v>
      </c>
      <c r="E2608" s="22" t="s">
        <v>17</v>
      </c>
      <c r="F2608" s="11" t="s">
        <v>18</v>
      </c>
      <c r="G2608" s="15">
        <v>159</v>
      </c>
      <c r="H2608" s="15" t="s">
        <v>29</v>
      </c>
      <c r="I2608" s="25">
        <v>17</v>
      </c>
      <c r="J2608" s="11" t="s">
        <v>19</v>
      </c>
      <c r="K2608" s="11" t="s">
        <v>20</v>
      </c>
      <c r="L2608" s="11" t="s">
        <v>21</v>
      </c>
      <c r="M2608" s="11" t="s">
        <v>29</v>
      </c>
      <c r="N2608" s="11" t="s">
        <v>25</v>
      </c>
      <c r="O2608" s="16" t="s">
        <v>29</v>
      </c>
      <c r="P2608" s="15">
        <v>221</v>
      </c>
      <c r="Q2608" s="8"/>
      <c r="R2608">
        <v>14.83</v>
      </c>
      <c r="S2608">
        <v>3264.65</v>
      </c>
      <c r="T2608">
        <v>5.21</v>
      </c>
      <c r="U2608">
        <v>10.65</v>
      </c>
      <c r="V2608">
        <v>148</v>
      </c>
      <c r="W2608" s="317">
        <v>3.9</v>
      </c>
      <c r="X2608" s="190">
        <f t="shared" si="121"/>
        <v>66.3</v>
      </c>
      <c r="Y2608" s="8"/>
      <c r="Z2608" s="8"/>
    </row>
    <row r="2609" spans="1:26" ht="12.75" customHeight="1" x14ac:dyDescent="0.2">
      <c r="A2609" s="15">
        <v>12</v>
      </c>
      <c r="B2609" s="15">
        <v>1996</v>
      </c>
      <c r="C2609" s="15">
        <v>8</v>
      </c>
      <c r="D2609" s="15">
        <v>8</v>
      </c>
      <c r="E2609" s="22" t="s">
        <v>17</v>
      </c>
      <c r="F2609" s="11" t="s">
        <v>18</v>
      </c>
      <c r="G2609" s="15">
        <v>156</v>
      </c>
      <c r="H2609" s="15" t="s">
        <v>29</v>
      </c>
      <c r="I2609" s="25">
        <v>15.5</v>
      </c>
      <c r="J2609" s="11" t="s">
        <v>19</v>
      </c>
      <c r="K2609" s="11" t="s">
        <v>20</v>
      </c>
      <c r="L2609" s="11" t="s">
        <v>21</v>
      </c>
      <c r="M2609" s="11" t="s">
        <v>27</v>
      </c>
      <c r="N2609" s="11" t="s">
        <v>25</v>
      </c>
      <c r="O2609" s="16" t="s">
        <v>29</v>
      </c>
      <c r="P2609" s="15">
        <v>221</v>
      </c>
      <c r="Q2609" s="8"/>
      <c r="R2609">
        <v>14.55</v>
      </c>
      <c r="S2609">
        <v>3083.32</v>
      </c>
      <c r="T2609">
        <v>5.03</v>
      </c>
      <c r="U2609">
        <v>10.45</v>
      </c>
      <c r="V2609">
        <v>146</v>
      </c>
      <c r="W2609" s="317">
        <v>3.9</v>
      </c>
      <c r="X2609" s="190">
        <f t="shared" si="121"/>
        <v>60.449999999999996</v>
      </c>
      <c r="Y2609" s="8"/>
      <c r="Z2609" s="8"/>
    </row>
    <row r="2610" spans="1:26" ht="12.75" customHeight="1" x14ac:dyDescent="0.2">
      <c r="A2610" s="15">
        <v>13</v>
      </c>
      <c r="B2610" s="15">
        <v>1996</v>
      </c>
      <c r="C2610" s="15">
        <v>8</v>
      </c>
      <c r="D2610" s="15">
        <v>8</v>
      </c>
      <c r="E2610" s="22" t="s">
        <v>17</v>
      </c>
      <c r="F2610" s="11" t="s">
        <v>18</v>
      </c>
      <c r="G2610" s="15">
        <v>148</v>
      </c>
      <c r="H2610" s="15" t="s">
        <v>29</v>
      </c>
      <c r="I2610" s="25">
        <v>9.5</v>
      </c>
      <c r="J2610" s="11" t="s">
        <v>19</v>
      </c>
      <c r="K2610" s="11" t="s">
        <v>20</v>
      </c>
      <c r="L2610" s="11" t="s">
        <v>21</v>
      </c>
      <c r="M2610" s="11" t="s">
        <v>27</v>
      </c>
      <c r="N2610" s="11" t="s">
        <v>24</v>
      </c>
      <c r="O2610" s="16" t="s">
        <v>29</v>
      </c>
      <c r="P2610" s="15">
        <v>221</v>
      </c>
      <c r="Q2610" s="8"/>
      <c r="R2610">
        <v>13.81</v>
      </c>
      <c r="S2610">
        <v>2632.87</v>
      </c>
      <c r="T2610">
        <v>3.61</v>
      </c>
      <c r="U2610">
        <v>9.92</v>
      </c>
      <c r="V2610">
        <v>138</v>
      </c>
      <c r="W2610" s="317">
        <v>3.9</v>
      </c>
      <c r="X2610" s="190">
        <f t="shared" si="121"/>
        <v>37.049999999999997</v>
      </c>
      <c r="Y2610" s="8"/>
      <c r="Z2610" s="8"/>
    </row>
    <row r="2611" spans="1:26" ht="12.75" customHeight="1" x14ac:dyDescent="0.2">
      <c r="A2611" s="15">
        <v>14</v>
      </c>
      <c r="B2611" s="15">
        <v>1996</v>
      </c>
      <c r="C2611" s="15">
        <v>8</v>
      </c>
      <c r="D2611" s="15">
        <v>8</v>
      </c>
      <c r="E2611" s="22" t="s">
        <v>17</v>
      </c>
      <c r="F2611" s="11" t="s">
        <v>18</v>
      </c>
      <c r="G2611" s="15">
        <v>152</v>
      </c>
      <c r="H2611" s="15" t="s">
        <v>29</v>
      </c>
      <c r="I2611" s="25">
        <v>11</v>
      </c>
      <c r="J2611" s="11" t="s">
        <v>19</v>
      </c>
      <c r="K2611" s="11" t="s">
        <v>20</v>
      </c>
      <c r="L2611" s="11" t="s">
        <v>21</v>
      </c>
      <c r="M2611" s="11" t="s">
        <v>27</v>
      </c>
      <c r="N2611" s="11" t="s">
        <v>33</v>
      </c>
      <c r="O2611" s="16" t="s">
        <v>29</v>
      </c>
      <c r="P2611" s="15">
        <v>221</v>
      </c>
      <c r="Q2611" s="8"/>
      <c r="R2611">
        <v>14.18</v>
      </c>
      <c r="S2611">
        <v>2852.17</v>
      </c>
      <c r="T2611">
        <v>3.86</v>
      </c>
      <c r="U2611">
        <v>10.18</v>
      </c>
      <c r="V2611">
        <v>142</v>
      </c>
      <c r="W2611" s="317">
        <v>3.9</v>
      </c>
      <c r="X2611" s="190">
        <f t="shared" si="121"/>
        <v>42.9</v>
      </c>
      <c r="Y2611" s="8"/>
      <c r="Z2611" s="8"/>
    </row>
    <row r="2612" spans="1:26" ht="12.75" customHeight="1" x14ac:dyDescent="0.2">
      <c r="A2612" s="15">
        <v>15</v>
      </c>
      <c r="B2612" s="15">
        <v>1996</v>
      </c>
      <c r="C2612" s="15">
        <v>8</v>
      </c>
      <c r="D2612" s="15">
        <v>8</v>
      </c>
      <c r="E2612" s="22" t="s">
        <v>17</v>
      </c>
      <c r="F2612" s="11" t="s">
        <v>18</v>
      </c>
      <c r="G2612" s="15">
        <v>156</v>
      </c>
      <c r="H2612" s="15" t="s">
        <v>29</v>
      </c>
      <c r="I2612" s="25">
        <v>13</v>
      </c>
      <c r="J2612" s="11" t="s">
        <v>19</v>
      </c>
      <c r="K2612" s="11" t="s">
        <v>20</v>
      </c>
      <c r="L2612" s="11" t="s">
        <v>21</v>
      </c>
      <c r="M2612" s="11" t="s">
        <v>27</v>
      </c>
      <c r="N2612" s="11" t="s">
        <v>24</v>
      </c>
      <c r="O2612" s="16" t="s">
        <v>29</v>
      </c>
      <c r="P2612" s="15">
        <v>221</v>
      </c>
      <c r="Q2612" s="8"/>
      <c r="R2612">
        <v>14.55</v>
      </c>
      <c r="S2612">
        <v>3083.32</v>
      </c>
      <c r="T2612">
        <v>4.22</v>
      </c>
      <c r="U2612">
        <v>10.45</v>
      </c>
      <c r="V2612">
        <v>146</v>
      </c>
      <c r="W2612" s="317">
        <v>3.9</v>
      </c>
      <c r="X2612" s="190">
        <f t="shared" si="121"/>
        <v>50.699999999999996</v>
      </c>
      <c r="Y2612" s="8"/>
      <c r="Z2612" s="8"/>
    </row>
    <row r="2613" spans="1:26" ht="12.75" customHeight="1" x14ac:dyDescent="0.2">
      <c r="A2613" s="15">
        <v>16</v>
      </c>
      <c r="B2613" s="15">
        <v>1996</v>
      </c>
      <c r="C2613" s="15">
        <v>8</v>
      </c>
      <c r="D2613" s="15">
        <v>8</v>
      </c>
      <c r="E2613" s="22" t="s">
        <v>17</v>
      </c>
      <c r="F2613" s="11" t="s">
        <v>18</v>
      </c>
      <c r="G2613" s="15">
        <v>155</v>
      </c>
      <c r="H2613" s="15" t="s">
        <v>29</v>
      </c>
      <c r="I2613" s="25">
        <v>13.5</v>
      </c>
      <c r="J2613" s="11" t="s">
        <v>19</v>
      </c>
      <c r="K2613" s="11" t="s">
        <v>20</v>
      </c>
      <c r="L2613" s="11" t="s">
        <v>21</v>
      </c>
      <c r="M2613" s="11" t="s">
        <v>27</v>
      </c>
      <c r="N2613" s="11" t="s">
        <v>24</v>
      </c>
      <c r="O2613" s="16" t="s">
        <v>29</v>
      </c>
      <c r="P2613" s="15">
        <v>221</v>
      </c>
      <c r="Q2613" s="8"/>
      <c r="R2613">
        <v>14.46</v>
      </c>
      <c r="S2613">
        <v>3024.41</v>
      </c>
      <c r="T2613">
        <v>4.46</v>
      </c>
      <c r="U2613">
        <v>10.39</v>
      </c>
      <c r="V2613">
        <v>145</v>
      </c>
      <c r="W2613" s="317">
        <v>3.9</v>
      </c>
      <c r="X2613" s="190">
        <f t="shared" si="121"/>
        <v>52.65</v>
      </c>
      <c r="Y2613" s="8"/>
      <c r="Z2613" s="8"/>
    </row>
    <row r="2614" spans="1:26" ht="12.75" customHeight="1" x14ac:dyDescent="0.2">
      <c r="A2614" s="15">
        <v>17</v>
      </c>
      <c r="B2614" s="15">
        <v>1996</v>
      </c>
      <c r="C2614" s="15">
        <v>8</v>
      </c>
      <c r="D2614" s="15">
        <v>8</v>
      </c>
      <c r="E2614" s="22" t="s">
        <v>17</v>
      </c>
      <c r="F2614" s="11" t="s">
        <v>18</v>
      </c>
      <c r="G2614" s="15">
        <v>152</v>
      </c>
      <c r="H2614" s="15" t="s">
        <v>29</v>
      </c>
      <c r="I2614" s="25">
        <v>11</v>
      </c>
      <c r="J2614" s="11" t="s">
        <v>19</v>
      </c>
      <c r="K2614" s="11" t="s">
        <v>20</v>
      </c>
      <c r="L2614" s="11" t="s">
        <v>21</v>
      </c>
      <c r="M2614" s="11" t="s">
        <v>27</v>
      </c>
      <c r="N2614" s="11" t="s">
        <v>23</v>
      </c>
      <c r="O2614" s="16" t="s">
        <v>29</v>
      </c>
      <c r="P2614" s="15">
        <v>221</v>
      </c>
      <c r="Q2614" s="8"/>
      <c r="R2614">
        <v>14.18</v>
      </c>
      <c r="S2614">
        <v>2852.17</v>
      </c>
      <c r="T2614">
        <v>3.86</v>
      </c>
      <c r="U2614">
        <v>10.18</v>
      </c>
      <c r="V2614">
        <v>142</v>
      </c>
      <c r="W2614" s="317">
        <v>3.9</v>
      </c>
      <c r="X2614" s="190">
        <f t="shared" si="121"/>
        <v>42.9</v>
      </c>
      <c r="Y2614" s="8"/>
      <c r="Z2614" s="8"/>
    </row>
    <row r="2615" spans="1:26" ht="12.75" customHeight="1" x14ac:dyDescent="0.2">
      <c r="A2615" s="15">
        <v>18</v>
      </c>
      <c r="B2615" s="15">
        <v>1996</v>
      </c>
      <c r="C2615" s="15">
        <v>8</v>
      </c>
      <c r="D2615" s="15">
        <v>8</v>
      </c>
      <c r="E2615" s="22" t="s">
        <v>17</v>
      </c>
      <c r="F2615" s="11" t="s">
        <v>18</v>
      </c>
      <c r="G2615" s="15">
        <v>149</v>
      </c>
      <c r="H2615" s="15" t="s">
        <v>29</v>
      </c>
      <c r="I2615" s="25" t="s">
        <v>29</v>
      </c>
      <c r="J2615" s="11" t="s">
        <v>19</v>
      </c>
      <c r="K2615" s="11" t="s">
        <v>20</v>
      </c>
      <c r="L2615" s="11" t="s">
        <v>21</v>
      </c>
      <c r="M2615" s="11" t="s">
        <v>27</v>
      </c>
      <c r="N2615" s="11" t="s">
        <v>24</v>
      </c>
      <c r="O2615" s="16" t="s">
        <v>29</v>
      </c>
      <c r="P2615" s="15">
        <v>221</v>
      </c>
      <c r="Q2615" s="8"/>
      <c r="R2615">
        <v>13.9</v>
      </c>
      <c r="U2615">
        <v>9.98</v>
      </c>
      <c r="V2615">
        <v>139</v>
      </c>
      <c r="W2615" s="317">
        <v>3.9</v>
      </c>
      <c r="X2615" s="190"/>
      <c r="Y2615" s="8"/>
      <c r="Z2615" s="8"/>
    </row>
    <row r="2616" spans="1:26" ht="12.75" customHeight="1" x14ac:dyDescent="0.2">
      <c r="A2616" s="15">
        <v>19</v>
      </c>
      <c r="B2616" s="15">
        <v>1996</v>
      </c>
      <c r="C2616" s="15">
        <v>8</v>
      </c>
      <c r="D2616" s="15">
        <v>8</v>
      </c>
      <c r="E2616" s="22" t="s">
        <v>17</v>
      </c>
      <c r="F2616" s="11" t="s">
        <v>18</v>
      </c>
      <c r="G2616" s="15">
        <v>161</v>
      </c>
      <c r="H2616" s="15" t="s">
        <v>29</v>
      </c>
      <c r="I2616" s="25">
        <v>15</v>
      </c>
      <c r="J2616" s="11" t="s">
        <v>19</v>
      </c>
      <c r="K2616" s="11" t="s">
        <v>20</v>
      </c>
      <c r="L2616" s="11" t="s">
        <v>21</v>
      </c>
      <c r="M2616" s="11" t="s">
        <v>27</v>
      </c>
      <c r="N2616" s="11" t="s">
        <v>24</v>
      </c>
      <c r="O2616" s="16" t="s">
        <v>29</v>
      </c>
      <c r="P2616" s="15">
        <v>221</v>
      </c>
      <c r="Q2616" s="8"/>
      <c r="R2616">
        <v>15.02</v>
      </c>
      <c r="S2616">
        <v>3389.4</v>
      </c>
      <c r="T2616">
        <v>4.43</v>
      </c>
      <c r="U2616">
        <v>10.79</v>
      </c>
      <c r="V2616">
        <v>150</v>
      </c>
      <c r="W2616" s="317">
        <v>3.9</v>
      </c>
      <c r="X2616" s="190">
        <f t="shared" si="121"/>
        <v>58.5</v>
      </c>
      <c r="Y2616" s="8"/>
      <c r="Z2616" s="8"/>
    </row>
    <row r="2617" spans="1:26" ht="12.75" customHeight="1" x14ac:dyDescent="0.2">
      <c r="A2617" s="15">
        <v>20</v>
      </c>
      <c r="B2617" s="15">
        <v>1996</v>
      </c>
      <c r="C2617" s="15">
        <v>8</v>
      </c>
      <c r="D2617" s="15">
        <v>8</v>
      </c>
      <c r="E2617" s="22" t="s">
        <v>17</v>
      </c>
      <c r="F2617" s="11" t="s">
        <v>18</v>
      </c>
      <c r="G2617" s="15">
        <v>147</v>
      </c>
      <c r="H2617" s="15" t="s">
        <v>29</v>
      </c>
      <c r="I2617" s="25">
        <v>13.5</v>
      </c>
      <c r="J2617" s="11" t="s">
        <v>19</v>
      </c>
      <c r="K2617" s="11" t="s">
        <v>20</v>
      </c>
      <c r="L2617" s="11" t="s">
        <v>21</v>
      </c>
      <c r="M2617" s="11" t="s">
        <v>46</v>
      </c>
      <c r="N2617" s="11" t="s">
        <v>24</v>
      </c>
      <c r="O2617" s="16" t="s">
        <v>29</v>
      </c>
      <c r="P2617" s="15">
        <v>221</v>
      </c>
      <c r="Q2617" s="8"/>
      <c r="R2617">
        <v>13.72</v>
      </c>
      <c r="S2617">
        <v>2579.86</v>
      </c>
      <c r="T2617">
        <v>5.23</v>
      </c>
      <c r="U2617">
        <v>9.85</v>
      </c>
      <c r="V2617">
        <v>137</v>
      </c>
      <c r="W2617" s="317">
        <v>3.9</v>
      </c>
      <c r="X2617" s="190">
        <f t="shared" si="121"/>
        <v>52.65</v>
      </c>
      <c r="Y2617" s="8"/>
      <c r="Z2617" s="8"/>
    </row>
    <row r="2618" spans="1:26" ht="12.75" customHeight="1" x14ac:dyDescent="0.2">
      <c r="A2618" s="15">
        <v>21</v>
      </c>
      <c r="B2618" s="15">
        <v>1996</v>
      </c>
      <c r="C2618" s="15">
        <v>8</v>
      </c>
      <c r="D2618" s="15">
        <v>8</v>
      </c>
      <c r="E2618" s="22" t="s">
        <v>17</v>
      </c>
      <c r="F2618" s="11" t="s">
        <v>28</v>
      </c>
      <c r="G2618" s="11" t="s">
        <v>29</v>
      </c>
      <c r="H2618" s="15" t="s">
        <v>29</v>
      </c>
      <c r="I2618" s="25" t="s">
        <v>29</v>
      </c>
      <c r="J2618" s="11" t="s">
        <v>19</v>
      </c>
      <c r="K2618" s="11" t="s">
        <v>20</v>
      </c>
      <c r="L2618" s="11" t="s">
        <v>30</v>
      </c>
      <c r="M2618" s="11" t="s">
        <v>29</v>
      </c>
      <c r="N2618" s="11" t="s">
        <v>29</v>
      </c>
      <c r="O2618" s="16" t="s">
        <v>29</v>
      </c>
      <c r="P2618" s="15">
        <v>221</v>
      </c>
      <c r="Q2618" s="8"/>
      <c r="W2618" s="317">
        <v>4.5999999999999996</v>
      </c>
      <c r="X2618" s="190"/>
      <c r="Y2618" s="8"/>
      <c r="Z2618" s="8"/>
    </row>
    <row r="2619" spans="1:26" ht="12.75" customHeight="1" x14ac:dyDescent="0.2">
      <c r="A2619" s="15">
        <v>22</v>
      </c>
      <c r="B2619" s="15">
        <v>1996</v>
      </c>
      <c r="C2619" s="15">
        <v>8</v>
      </c>
      <c r="D2619" s="15">
        <v>8</v>
      </c>
      <c r="E2619" s="22" t="s">
        <v>17</v>
      </c>
      <c r="F2619" s="11" t="s">
        <v>28</v>
      </c>
      <c r="G2619" s="11" t="s">
        <v>29</v>
      </c>
      <c r="H2619" s="15" t="s">
        <v>29</v>
      </c>
      <c r="I2619" s="25" t="s">
        <v>29</v>
      </c>
      <c r="J2619" s="11" t="s">
        <v>19</v>
      </c>
      <c r="K2619" s="11" t="s">
        <v>20</v>
      </c>
      <c r="L2619" s="11" t="s">
        <v>35</v>
      </c>
      <c r="M2619" s="11" t="s">
        <v>29</v>
      </c>
      <c r="N2619" s="11" t="s">
        <v>29</v>
      </c>
      <c r="O2619" s="16" t="s">
        <v>29</v>
      </c>
      <c r="P2619" s="15">
        <v>221</v>
      </c>
      <c r="Q2619" s="8"/>
      <c r="W2619" s="317">
        <v>3.9</v>
      </c>
      <c r="X2619" s="190"/>
      <c r="Y2619" s="8"/>
      <c r="Z2619" s="8"/>
    </row>
    <row r="2620" spans="1:26" ht="12.75" customHeight="1" x14ac:dyDescent="0.2">
      <c r="A2620" s="15">
        <v>23</v>
      </c>
      <c r="B2620" s="15">
        <v>1996</v>
      </c>
      <c r="C2620" s="15">
        <v>8</v>
      </c>
      <c r="D2620" s="15">
        <v>8</v>
      </c>
      <c r="E2620" s="22" t="s">
        <v>17</v>
      </c>
      <c r="F2620" s="11" t="s">
        <v>18</v>
      </c>
      <c r="G2620" s="15">
        <v>138</v>
      </c>
      <c r="H2620" s="15" t="s">
        <v>29</v>
      </c>
      <c r="I2620" s="25">
        <v>8</v>
      </c>
      <c r="J2620" s="11" t="s">
        <v>19</v>
      </c>
      <c r="K2620" s="11" t="s">
        <v>20</v>
      </c>
      <c r="L2620" s="11" t="s">
        <v>21</v>
      </c>
      <c r="M2620" s="11" t="s">
        <v>27</v>
      </c>
      <c r="N2620" s="11" t="s">
        <v>25</v>
      </c>
      <c r="O2620" s="16" t="s">
        <v>29</v>
      </c>
      <c r="P2620" s="15">
        <v>221</v>
      </c>
      <c r="Q2620" s="8"/>
      <c r="R2620">
        <v>12.88</v>
      </c>
      <c r="S2620">
        <v>2134.4299999999998</v>
      </c>
      <c r="T2620">
        <v>3.75</v>
      </c>
      <c r="U2620">
        <v>9.25</v>
      </c>
      <c r="V2620">
        <v>129</v>
      </c>
      <c r="W2620" s="317">
        <v>3.9</v>
      </c>
      <c r="X2620" s="190">
        <f t="shared" si="121"/>
        <v>31.2</v>
      </c>
      <c r="Y2620" s="8"/>
      <c r="Z2620" s="8"/>
    </row>
    <row r="2621" spans="1:26" ht="12.75" customHeight="1" x14ac:dyDescent="0.2">
      <c r="A2621" s="15">
        <v>24</v>
      </c>
      <c r="B2621" s="15">
        <v>1996</v>
      </c>
      <c r="C2621" s="15">
        <v>8</v>
      </c>
      <c r="D2621" s="15">
        <v>8</v>
      </c>
      <c r="E2621" s="22" t="s">
        <v>17</v>
      </c>
      <c r="F2621" s="11" t="s">
        <v>18</v>
      </c>
      <c r="G2621" s="15">
        <v>147</v>
      </c>
      <c r="H2621" s="15" t="s">
        <v>29</v>
      </c>
      <c r="I2621" s="25">
        <v>11</v>
      </c>
      <c r="J2621" s="11" t="s">
        <v>19</v>
      </c>
      <c r="K2621" s="11" t="s">
        <v>20</v>
      </c>
      <c r="L2621" s="11" t="s">
        <v>21</v>
      </c>
      <c r="M2621" s="11" t="s">
        <v>27</v>
      </c>
      <c r="N2621" s="11" t="s">
        <v>24</v>
      </c>
      <c r="O2621" s="16" t="s">
        <v>29</v>
      </c>
      <c r="P2621" s="15">
        <v>221</v>
      </c>
      <c r="Q2621" s="8"/>
      <c r="R2621">
        <v>13.72</v>
      </c>
      <c r="S2621">
        <v>2579.86</v>
      </c>
      <c r="T2621">
        <v>4.26</v>
      </c>
      <c r="U2621">
        <v>9.85</v>
      </c>
      <c r="V2621">
        <v>137</v>
      </c>
      <c r="W2621" s="317">
        <v>3.9</v>
      </c>
      <c r="X2621" s="190">
        <f t="shared" si="121"/>
        <v>42.9</v>
      </c>
      <c r="Y2621" s="8"/>
      <c r="Z2621" s="8"/>
    </row>
    <row r="2622" spans="1:26" ht="12.75" customHeight="1" x14ac:dyDescent="0.2">
      <c r="A2622" s="15">
        <v>25</v>
      </c>
      <c r="B2622" s="15">
        <v>1996</v>
      </c>
      <c r="C2622" s="15">
        <v>8</v>
      </c>
      <c r="D2622" s="15">
        <v>8</v>
      </c>
      <c r="E2622" s="22" t="s">
        <v>17</v>
      </c>
      <c r="F2622" s="11" t="s">
        <v>28</v>
      </c>
      <c r="G2622" s="11" t="s">
        <v>29</v>
      </c>
      <c r="H2622" s="15" t="s">
        <v>29</v>
      </c>
      <c r="I2622" s="25" t="s">
        <v>29</v>
      </c>
      <c r="J2622" s="11" t="s">
        <v>19</v>
      </c>
      <c r="K2622" s="11" t="s">
        <v>41</v>
      </c>
      <c r="L2622" s="11" t="s">
        <v>41</v>
      </c>
      <c r="M2622" s="11" t="s">
        <v>29</v>
      </c>
      <c r="N2622" s="11" t="s">
        <v>29</v>
      </c>
      <c r="O2622" s="16" t="s">
        <v>29</v>
      </c>
      <c r="P2622" s="15">
        <v>221</v>
      </c>
      <c r="Q2622" s="8"/>
      <c r="W2622" s="8"/>
      <c r="X2622" s="8"/>
      <c r="Y2622" s="8"/>
      <c r="Z2622" s="8"/>
    </row>
    <row r="2623" spans="1:26" ht="12.75" customHeight="1" x14ac:dyDescent="0.2">
      <c r="A2623" s="15">
        <v>26</v>
      </c>
      <c r="B2623" s="15">
        <v>1996</v>
      </c>
      <c r="C2623" s="15">
        <v>8</v>
      </c>
      <c r="D2623" s="15">
        <v>8</v>
      </c>
      <c r="E2623" s="22" t="s">
        <v>17</v>
      </c>
      <c r="F2623" s="11" t="s">
        <v>18</v>
      </c>
      <c r="G2623" s="15">
        <v>139</v>
      </c>
      <c r="H2623" s="15" t="s">
        <v>29</v>
      </c>
      <c r="I2623" s="25">
        <v>13.5</v>
      </c>
      <c r="J2623" s="11" t="s">
        <v>19</v>
      </c>
      <c r="K2623" s="11" t="s">
        <v>20</v>
      </c>
      <c r="L2623" s="11" t="s">
        <v>21</v>
      </c>
      <c r="M2623" s="11" t="s">
        <v>45</v>
      </c>
      <c r="N2623" s="11" t="s">
        <v>24</v>
      </c>
      <c r="O2623" s="16" t="s">
        <v>29</v>
      </c>
      <c r="P2623" s="15">
        <v>221</v>
      </c>
      <c r="Q2623" s="8"/>
      <c r="R2623">
        <v>12.97</v>
      </c>
      <c r="S2623">
        <v>2181.17</v>
      </c>
      <c r="T2623">
        <v>6.19</v>
      </c>
      <c r="U2623">
        <v>9.31</v>
      </c>
      <c r="V2623">
        <v>130</v>
      </c>
      <c r="W2623" s="317">
        <v>3.9</v>
      </c>
      <c r="X2623" s="190">
        <f t="shared" ref="X2623:X2628" si="122">I2623*W2623</f>
        <v>52.65</v>
      </c>
      <c r="Y2623" s="8"/>
      <c r="Z2623" s="8"/>
    </row>
    <row r="2624" spans="1:26" ht="12.75" customHeight="1" x14ac:dyDescent="0.2">
      <c r="A2624" s="15">
        <v>27</v>
      </c>
      <c r="B2624" s="15">
        <v>1996</v>
      </c>
      <c r="C2624" s="15">
        <v>8</v>
      </c>
      <c r="D2624" s="15">
        <v>8</v>
      </c>
      <c r="E2624" s="22" t="s">
        <v>17</v>
      </c>
      <c r="F2624" s="11" t="s">
        <v>18</v>
      </c>
      <c r="G2624" s="15">
        <v>149</v>
      </c>
      <c r="H2624" s="15" t="s">
        <v>29</v>
      </c>
      <c r="I2624" s="25">
        <v>14</v>
      </c>
      <c r="J2624" s="11" t="s">
        <v>19</v>
      </c>
      <c r="K2624" s="11" t="s">
        <v>20</v>
      </c>
      <c r="L2624" s="11" t="s">
        <v>21</v>
      </c>
      <c r="M2624" s="11" t="s">
        <v>27</v>
      </c>
      <c r="N2624" s="11" t="s">
        <v>24</v>
      </c>
      <c r="O2624" s="16" t="s">
        <v>29</v>
      </c>
      <c r="P2624" s="15">
        <v>221</v>
      </c>
      <c r="Q2624" s="8"/>
      <c r="R2624">
        <v>13.9</v>
      </c>
      <c r="S2624">
        <v>2686.6</v>
      </c>
      <c r="T2624">
        <v>5.21</v>
      </c>
      <c r="U2624">
        <v>9.98</v>
      </c>
      <c r="V2624">
        <v>139</v>
      </c>
      <c r="W2624" s="317">
        <v>3.9</v>
      </c>
      <c r="X2624" s="190">
        <f t="shared" si="122"/>
        <v>54.6</v>
      </c>
      <c r="Y2624" s="8"/>
      <c r="Z2624" s="8"/>
    </row>
    <row r="2625" spans="1:26" ht="12.75" customHeight="1" x14ac:dyDescent="0.2">
      <c r="A2625" s="15">
        <v>28</v>
      </c>
      <c r="B2625" s="15">
        <v>1996</v>
      </c>
      <c r="C2625" s="15">
        <v>8</v>
      </c>
      <c r="D2625" s="15">
        <v>8</v>
      </c>
      <c r="E2625" s="22" t="s">
        <v>17</v>
      </c>
      <c r="F2625" s="11" t="s">
        <v>18</v>
      </c>
      <c r="G2625" s="15">
        <v>151</v>
      </c>
      <c r="H2625" s="15" t="s">
        <v>29</v>
      </c>
      <c r="I2625" s="25">
        <v>12</v>
      </c>
      <c r="J2625" s="11" t="s">
        <v>19</v>
      </c>
      <c r="K2625" s="11" t="s">
        <v>20</v>
      </c>
      <c r="L2625" s="11" t="s">
        <v>21</v>
      </c>
      <c r="M2625" s="11" t="s">
        <v>27</v>
      </c>
      <c r="N2625" s="11" t="s">
        <v>23</v>
      </c>
      <c r="O2625" s="16" t="s">
        <v>29</v>
      </c>
      <c r="P2625" s="15">
        <v>221</v>
      </c>
      <c r="Q2625" s="8"/>
      <c r="R2625">
        <v>14.09</v>
      </c>
      <c r="S2625">
        <v>2796.25</v>
      </c>
      <c r="T2625">
        <v>4.29</v>
      </c>
      <c r="U2625">
        <v>10.119999999999999</v>
      </c>
      <c r="V2625">
        <v>141</v>
      </c>
      <c r="W2625" s="317">
        <v>3.9</v>
      </c>
      <c r="X2625" s="190">
        <f t="shared" si="122"/>
        <v>46.8</v>
      </c>
      <c r="Y2625" s="8"/>
      <c r="Z2625" s="8"/>
    </row>
    <row r="2626" spans="1:26" ht="12.75" customHeight="1" x14ac:dyDescent="0.2">
      <c r="A2626" s="15">
        <v>29</v>
      </c>
      <c r="B2626" s="15">
        <v>1996</v>
      </c>
      <c r="C2626" s="15">
        <v>8</v>
      </c>
      <c r="D2626" s="15">
        <v>8</v>
      </c>
      <c r="E2626" s="22" t="s">
        <v>17</v>
      </c>
      <c r="F2626" s="11" t="s">
        <v>18</v>
      </c>
      <c r="G2626" s="15">
        <v>133</v>
      </c>
      <c r="H2626" s="15" t="s">
        <v>29</v>
      </c>
      <c r="I2626" s="25">
        <v>8.5</v>
      </c>
      <c r="J2626" s="11" t="s">
        <v>19</v>
      </c>
      <c r="K2626" s="11" t="s">
        <v>20</v>
      </c>
      <c r="L2626" s="11" t="s">
        <v>21</v>
      </c>
      <c r="M2626" s="11" t="s">
        <v>27</v>
      </c>
      <c r="N2626" s="11" t="s">
        <v>23</v>
      </c>
      <c r="O2626" s="16" t="s">
        <v>29</v>
      </c>
      <c r="P2626" s="15">
        <v>221</v>
      </c>
      <c r="Q2626" s="8"/>
      <c r="R2626">
        <v>12.41</v>
      </c>
      <c r="S2626">
        <v>1910.73</v>
      </c>
      <c r="T2626">
        <v>4.45</v>
      </c>
      <c r="U2626">
        <v>8.91</v>
      </c>
      <c r="V2626">
        <v>124</v>
      </c>
      <c r="W2626" s="317">
        <v>3.9</v>
      </c>
      <c r="X2626" s="190">
        <f t="shared" si="122"/>
        <v>33.15</v>
      </c>
      <c r="Y2626" s="8"/>
      <c r="Z2626" s="8"/>
    </row>
    <row r="2627" spans="1:26" ht="12.75" customHeight="1" x14ac:dyDescent="0.2">
      <c r="A2627" s="15">
        <v>30</v>
      </c>
      <c r="B2627" s="15">
        <v>1996</v>
      </c>
      <c r="C2627" s="15">
        <v>8</v>
      </c>
      <c r="D2627" s="15">
        <v>8</v>
      </c>
      <c r="E2627" s="22" t="s">
        <v>17</v>
      </c>
      <c r="F2627" s="11" t="s">
        <v>18</v>
      </c>
      <c r="G2627" s="15">
        <v>140</v>
      </c>
      <c r="H2627" s="15" t="s">
        <v>29</v>
      </c>
      <c r="I2627" s="25">
        <v>11.5</v>
      </c>
      <c r="J2627" s="11" t="s">
        <v>19</v>
      </c>
      <c r="K2627" s="11" t="s">
        <v>20</v>
      </c>
      <c r="L2627" s="11" t="s">
        <v>21</v>
      </c>
      <c r="M2627" s="11" t="s">
        <v>45</v>
      </c>
      <c r="N2627" s="11" t="s">
        <v>25</v>
      </c>
      <c r="O2627" s="16" t="s">
        <v>29</v>
      </c>
      <c r="P2627" s="15">
        <v>221</v>
      </c>
      <c r="Q2627" s="8"/>
      <c r="R2627">
        <v>13.06</v>
      </c>
      <c r="S2627">
        <v>2228.58</v>
      </c>
      <c r="T2627">
        <v>5.16</v>
      </c>
      <c r="U2627">
        <v>9.3800000000000008</v>
      </c>
      <c r="V2627">
        <v>131</v>
      </c>
      <c r="W2627" s="317">
        <v>3.9</v>
      </c>
      <c r="X2627" s="190">
        <f t="shared" si="122"/>
        <v>44.85</v>
      </c>
      <c r="Y2627" s="8"/>
      <c r="Z2627" s="8"/>
    </row>
    <row r="2628" spans="1:26" ht="12.75" customHeight="1" x14ac:dyDescent="0.2">
      <c r="A2628" s="15">
        <v>31</v>
      </c>
      <c r="B2628" s="15">
        <v>1996</v>
      </c>
      <c r="C2628" s="15">
        <v>8</v>
      </c>
      <c r="D2628" s="15">
        <v>8</v>
      </c>
      <c r="E2628" s="22" t="s">
        <v>17</v>
      </c>
      <c r="F2628" s="11" t="s">
        <v>18</v>
      </c>
      <c r="G2628" s="15">
        <v>148</v>
      </c>
      <c r="H2628" s="15" t="s">
        <v>29</v>
      </c>
      <c r="I2628" s="25">
        <v>10.5</v>
      </c>
      <c r="J2628" s="11" t="s">
        <v>19</v>
      </c>
      <c r="K2628" s="11" t="s">
        <v>20</v>
      </c>
      <c r="L2628" s="11" t="s">
        <v>21</v>
      </c>
      <c r="M2628" s="11" t="s">
        <v>27</v>
      </c>
      <c r="N2628" s="11" t="s">
        <v>24</v>
      </c>
      <c r="O2628" s="16" t="s">
        <v>29</v>
      </c>
      <c r="P2628" s="15">
        <v>221</v>
      </c>
      <c r="Q2628" s="8"/>
      <c r="R2628">
        <v>13.81</v>
      </c>
      <c r="S2628">
        <v>2632.87</v>
      </c>
      <c r="T2628">
        <v>3.99</v>
      </c>
      <c r="U2628">
        <v>9.92</v>
      </c>
      <c r="V2628">
        <v>138</v>
      </c>
      <c r="W2628" s="317">
        <v>3.9</v>
      </c>
      <c r="X2628" s="190">
        <f t="shared" si="122"/>
        <v>40.949999999999996</v>
      </c>
      <c r="Y2628" s="8"/>
      <c r="Z2628" s="8"/>
    </row>
    <row r="2629" spans="1:26" ht="12.75" customHeight="1" x14ac:dyDescent="0.2">
      <c r="A2629" s="15">
        <v>32</v>
      </c>
      <c r="B2629" s="15">
        <v>1996</v>
      </c>
      <c r="C2629" s="15">
        <v>8</v>
      </c>
      <c r="D2629" s="15">
        <v>8</v>
      </c>
      <c r="E2629" s="22" t="s">
        <v>17</v>
      </c>
      <c r="F2629" s="11" t="s">
        <v>18</v>
      </c>
      <c r="G2629" s="15">
        <v>115</v>
      </c>
      <c r="H2629" s="15" t="s">
        <v>29</v>
      </c>
      <c r="I2629" s="25">
        <v>13.5</v>
      </c>
      <c r="J2629" s="11" t="s">
        <v>36</v>
      </c>
      <c r="K2629" s="11" t="s">
        <v>29</v>
      </c>
      <c r="L2629" s="11" t="s">
        <v>29</v>
      </c>
      <c r="M2629" s="11" t="s">
        <v>29</v>
      </c>
      <c r="N2629" s="11" t="s">
        <v>24</v>
      </c>
      <c r="O2629" s="16" t="s">
        <v>29</v>
      </c>
      <c r="P2629" s="15">
        <v>221</v>
      </c>
      <c r="Q2629" s="8"/>
      <c r="R2629">
        <v>10.73</v>
      </c>
      <c r="S2629">
        <v>1235.2</v>
      </c>
      <c r="T2629">
        <v>10.93</v>
      </c>
      <c r="U2629">
        <v>7.71</v>
      </c>
      <c r="V2629">
        <v>107</v>
      </c>
      <c r="W2629" s="8"/>
      <c r="X2629" s="8"/>
      <c r="Y2629" s="8"/>
      <c r="Z2629" s="8"/>
    </row>
    <row r="2630" spans="1:26" ht="12.75" customHeight="1" x14ac:dyDescent="0.2">
      <c r="A2630" s="15">
        <v>33</v>
      </c>
      <c r="B2630" s="15">
        <v>1996</v>
      </c>
      <c r="C2630" s="15">
        <v>8</v>
      </c>
      <c r="D2630" s="15">
        <v>8</v>
      </c>
      <c r="E2630" s="22" t="s">
        <v>17</v>
      </c>
      <c r="F2630" s="11" t="s">
        <v>18</v>
      </c>
      <c r="G2630" s="15">
        <v>136</v>
      </c>
      <c r="H2630" s="15" t="s">
        <v>29</v>
      </c>
      <c r="I2630" s="25">
        <v>7.5</v>
      </c>
      <c r="J2630" s="11" t="s">
        <v>19</v>
      </c>
      <c r="K2630" s="11" t="s">
        <v>20</v>
      </c>
      <c r="L2630" s="11" t="s">
        <v>21</v>
      </c>
      <c r="M2630" s="11" t="s">
        <v>27</v>
      </c>
      <c r="N2630" s="11" t="s">
        <v>24</v>
      </c>
      <c r="O2630" s="16" t="s">
        <v>29</v>
      </c>
      <c r="P2630" s="15">
        <v>221</v>
      </c>
      <c r="Q2630" s="8"/>
      <c r="R2630">
        <v>12.69</v>
      </c>
      <c r="S2630">
        <v>2042.97</v>
      </c>
      <c r="T2630">
        <v>3.67</v>
      </c>
      <c r="U2630">
        <v>9.11</v>
      </c>
      <c r="V2630">
        <v>127</v>
      </c>
      <c r="W2630" s="317">
        <v>3.9</v>
      </c>
      <c r="X2630" s="190">
        <f t="shared" ref="X2630:X2637" si="123">I2630*W2630</f>
        <v>29.25</v>
      </c>
      <c r="Y2630" s="8"/>
      <c r="Z2630" s="8"/>
    </row>
    <row r="2631" spans="1:26" ht="12.75" customHeight="1" x14ac:dyDescent="0.2">
      <c r="A2631" s="15">
        <v>34</v>
      </c>
      <c r="B2631" s="15">
        <v>1996</v>
      </c>
      <c r="C2631" s="15">
        <v>8</v>
      </c>
      <c r="D2631" s="15">
        <v>8</v>
      </c>
      <c r="E2631" s="22" t="s">
        <v>17</v>
      </c>
      <c r="F2631" s="11" t="s">
        <v>18</v>
      </c>
      <c r="G2631" s="15">
        <v>152</v>
      </c>
      <c r="H2631" s="15" t="s">
        <v>29</v>
      </c>
      <c r="I2631" s="25">
        <v>14</v>
      </c>
      <c r="J2631" s="11" t="s">
        <v>19</v>
      </c>
      <c r="K2631" s="11" t="s">
        <v>20</v>
      </c>
      <c r="L2631" s="11" t="s">
        <v>21</v>
      </c>
      <c r="M2631" s="11" t="s">
        <v>46</v>
      </c>
      <c r="N2631" s="11" t="s">
        <v>24</v>
      </c>
      <c r="O2631" s="16" t="s">
        <v>29</v>
      </c>
      <c r="P2631" s="15">
        <v>221</v>
      </c>
      <c r="Q2631" s="8"/>
      <c r="R2631">
        <v>14.18</v>
      </c>
      <c r="S2631">
        <v>2852.17</v>
      </c>
      <c r="T2631">
        <v>4.91</v>
      </c>
      <c r="U2631">
        <v>10.18</v>
      </c>
      <c r="V2631">
        <v>142</v>
      </c>
      <c r="W2631" s="317">
        <v>3.9</v>
      </c>
      <c r="X2631" s="190">
        <f t="shared" si="123"/>
        <v>54.6</v>
      </c>
      <c r="Y2631" s="8"/>
      <c r="Z2631" s="8"/>
    </row>
    <row r="2632" spans="1:26" ht="12.75" customHeight="1" x14ac:dyDescent="0.2">
      <c r="A2632" s="15">
        <v>35</v>
      </c>
      <c r="B2632" s="15">
        <v>1996</v>
      </c>
      <c r="C2632" s="15">
        <v>8</v>
      </c>
      <c r="D2632" s="15">
        <v>8</v>
      </c>
      <c r="E2632" s="22" t="s">
        <v>17</v>
      </c>
      <c r="F2632" s="11" t="s">
        <v>28</v>
      </c>
      <c r="G2632" s="11" t="s">
        <v>29</v>
      </c>
      <c r="H2632" s="15" t="s">
        <v>29</v>
      </c>
      <c r="I2632" s="25" t="s">
        <v>29</v>
      </c>
      <c r="J2632" s="11" t="s">
        <v>19</v>
      </c>
      <c r="K2632" s="11" t="s">
        <v>20</v>
      </c>
      <c r="L2632" s="11" t="s">
        <v>35</v>
      </c>
      <c r="M2632" s="11" t="s">
        <v>29</v>
      </c>
      <c r="N2632" s="11" t="s">
        <v>29</v>
      </c>
      <c r="O2632" s="16" t="s">
        <v>29</v>
      </c>
      <c r="P2632" s="15">
        <v>221</v>
      </c>
      <c r="Q2632" s="8"/>
      <c r="W2632" s="317">
        <v>3.9</v>
      </c>
      <c r="X2632" s="190"/>
      <c r="Y2632" s="8"/>
      <c r="Z2632" s="8"/>
    </row>
    <row r="2633" spans="1:26" ht="12.75" customHeight="1" x14ac:dyDescent="0.2">
      <c r="A2633" s="15">
        <v>36</v>
      </c>
      <c r="B2633" s="15">
        <v>1996</v>
      </c>
      <c r="C2633" s="15">
        <v>8</v>
      </c>
      <c r="D2633" s="15">
        <v>8</v>
      </c>
      <c r="E2633" s="22" t="s">
        <v>17</v>
      </c>
      <c r="F2633" s="11" t="s">
        <v>18</v>
      </c>
      <c r="G2633" s="15">
        <v>144</v>
      </c>
      <c r="H2633" s="15" t="s">
        <v>29</v>
      </c>
      <c r="I2633" s="25">
        <v>10</v>
      </c>
      <c r="J2633" s="11" t="s">
        <v>19</v>
      </c>
      <c r="K2633" s="11" t="s">
        <v>20</v>
      </c>
      <c r="L2633" s="11" t="s">
        <v>21</v>
      </c>
      <c r="M2633" s="11" t="s">
        <v>27</v>
      </c>
      <c r="N2633" s="11" t="s">
        <v>23</v>
      </c>
      <c r="O2633" s="16" t="s">
        <v>29</v>
      </c>
      <c r="P2633" s="15">
        <v>221</v>
      </c>
      <c r="Q2633" s="8"/>
      <c r="R2633">
        <v>13.44</v>
      </c>
      <c r="S2633">
        <v>2425.12</v>
      </c>
      <c r="T2633">
        <v>4.12</v>
      </c>
      <c r="U2633">
        <v>9.65</v>
      </c>
      <c r="V2633">
        <v>134</v>
      </c>
      <c r="W2633" s="317">
        <v>3.9</v>
      </c>
      <c r="X2633" s="190">
        <f t="shared" si="123"/>
        <v>39</v>
      </c>
      <c r="Y2633" s="8"/>
      <c r="Z2633" s="8"/>
    </row>
    <row r="2634" spans="1:26" ht="12.75" customHeight="1" x14ac:dyDescent="0.2">
      <c r="A2634" s="15">
        <v>37</v>
      </c>
      <c r="B2634" s="15">
        <v>1996</v>
      </c>
      <c r="C2634" s="15">
        <v>8</v>
      </c>
      <c r="D2634" s="15">
        <v>8</v>
      </c>
      <c r="E2634" s="22" t="s">
        <v>17</v>
      </c>
      <c r="F2634" s="11" t="s">
        <v>18</v>
      </c>
      <c r="G2634" s="15">
        <v>154</v>
      </c>
      <c r="H2634" s="15" t="s">
        <v>29</v>
      </c>
      <c r="I2634" s="25">
        <v>13.5</v>
      </c>
      <c r="J2634" s="11" t="s">
        <v>19</v>
      </c>
      <c r="K2634" s="11" t="s">
        <v>20</v>
      </c>
      <c r="L2634" s="11" t="s">
        <v>21</v>
      </c>
      <c r="M2634" s="11" t="s">
        <v>27</v>
      </c>
      <c r="N2634" s="11" t="s">
        <v>24</v>
      </c>
      <c r="O2634" s="16" t="s">
        <v>29</v>
      </c>
      <c r="P2634" s="15">
        <v>221</v>
      </c>
      <c r="Q2634" s="8"/>
      <c r="R2634">
        <v>14.37</v>
      </c>
      <c r="S2634">
        <v>2966.25</v>
      </c>
      <c r="T2634">
        <v>4.55</v>
      </c>
      <c r="U2634">
        <v>10.32</v>
      </c>
      <c r="V2634">
        <v>144</v>
      </c>
      <c r="W2634" s="317">
        <v>3.9</v>
      </c>
      <c r="X2634" s="190">
        <f t="shared" si="123"/>
        <v>52.65</v>
      </c>
      <c r="Y2634" s="8"/>
      <c r="Z2634" s="8"/>
    </row>
    <row r="2635" spans="1:26" ht="12.75" customHeight="1" x14ac:dyDescent="0.2">
      <c r="A2635" s="15">
        <v>38</v>
      </c>
      <c r="B2635" s="15">
        <v>1996</v>
      </c>
      <c r="C2635" s="15">
        <v>8</v>
      </c>
      <c r="D2635" s="15">
        <v>8</v>
      </c>
      <c r="E2635" s="22" t="s">
        <v>17</v>
      </c>
      <c r="F2635" s="11" t="s">
        <v>18</v>
      </c>
      <c r="G2635" s="15">
        <v>156</v>
      </c>
      <c r="H2635" s="15" t="s">
        <v>29</v>
      </c>
      <c r="I2635" s="25">
        <v>16</v>
      </c>
      <c r="J2635" s="11" t="s">
        <v>19</v>
      </c>
      <c r="K2635" s="11" t="s">
        <v>20</v>
      </c>
      <c r="L2635" s="11" t="s">
        <v>21</v>
      </c>
      <c r="M2635" s="11" t="s">
        <v>27</v>
      </c>
      <c r="N2635" s="11" t="s">
        <v>24</v>
      </c>
      <c r="O2635" s="16" t="s">
        <v>29</v>
      </c>
      <c r="P2635" s="15">
        <v>221</v>
      </c>
      <c r="Q2635" s="8"/>
      <c r="R2635">
        <v>14.55</v>
      </c>
      <c r="S2635">
        <v>3083.32</v>
      </c>
      <c r="T2635">
        <v>5.19</v>
      </c>
      <c r="U2635">
        <v>10.45</v>
      </c>
      <c r="V2635">
        <v>146</v>
      </c>
      <c r="W2635" s="317">
        <v>3.9</v>
      </c>
      <c r="X2635" s="190">
        <f t="shared" si="123"/>
        <v>62.4</v>
      </c>
      <c r="Y2635" s="8"/>
      <c r="Z2635" s="8"/>
    </row>
    <row r="2636" spans="1:26" ht="12.75" customHeight="1" x14ac:dyDescent="0.2">
      <c r="A2636" s="15">
        <v>39</v>
      </c>
      <c r="B2636" s="15">
        <v>1996</v>
      </c>
      <c r="C2636" s="15">
        <v>8</v>
      </c>
      <c r="D2636" s="15">
        <v>8</v>
      </c>
      <c r="E2636" s="22" t="s">
        <v>17</v>
      </c>
      <c r="F2636" s="11" t="s">
        <v>18</v>
      </c>
      <c r="G2636" s="15">
        <v>150</v>
      </c>
      <c r="H2636" s="15" t="s">
        <v>29</v>
      </c>
      <c r="I2636" s="25">
        <v>15</v>
      </c>
      <c r="J2636" s="11" t="s">
        <v>19</v>
      </c>
      <c r="K2636" s="11" t="s">
        <v>20</v>
      </c>
      <c r="L2636" s="11" t="s">
        <v>21</v>
      </c>
      <c r="M2636" s="11" t="s">
        <v>46</v>
      </c>
      <c r="N2636" s="11" t="s">
        <v>24</v>
      </c>
      <c r="O2636" s="16" t="s">
        <v>29</v>
      </c>
      <c r="P2636" s="15">
        <v>221</v>
      </c>
      <c r="Q2636" s="8"/>
      <c r="R2636">
        <v>14</v>
      </c>
      <c r="S2636">
        <v>2741.06</v>
      </c>
      <c r="T2636">
        <v>5.47</v>
      </c>
      <c r="U2636">
        <v>10.050000000000001</v>
      </c>
      <c r="V2636">
        <v>140</v>
      </c>
      <c r="W2636" s="317">
        <v>3.9</v>
      </c>
      <c r="X2636" s="190">
        <f t="shared" si="123"/>
        <v>58.5</v>
      </c>
      <c r="Y2636" s="8"/>
      <c r="Z2636" s="8"/>
    </row>
    <row r="2637" spans="1:26" ht="12.75" customHeight="1" x14ac:dyDescent="0.2">
      <c r="A2637" s="15">
        <v>40</v>
      </c>
      <c r="B2637" s="15">
        <v>1996</v>
      </c>
      <c r="C2637" s="15">
        <v>8</v>
      </c>
      <c r="D2637" s="15">
        <v>8</v>
      </c>
      <c r="E2637" s="22" t="s">
        <v>17</v>
      </c>
      <c r="F2637" s="11" t="s">
        <v>18</v>
      </c>
      <c r="G2637" s="15">
        <v>153</v>
      </c>
      <c r="H2637" s="15" t="s">
        <v>29</v>
      </c>
      <c r="I2637" s="25">
        <v>11</v>
      </c>
      <c r="J2637" s="11" t="s">
        <v>19</v>
      </c>
      <c r="K2637" s="11" t="s">
        <v>20</v>
      </c>
      <c r="L2637" s="11" t="s">
        <v>21</v>
      </c>
      <c r="M2637" s="11" t="s">
        <v>27</v>
      </c>
      <c r="N2637" s="11" t="s">
        <v>25</v>
      </c>
      <c r="O2637" s="16" t="s">
        <v>29</v>
      </c>
      <c r="P2637" s="15">
        <v>221</v>
      </c>
      <c r="Q2637" s="8"/>
      <c r="R2637">
        <v>14.27</v>
      </c>
      <c r="S2637">
        <v>2908.84</v>
      </c>
      <c r="T2637">
        <v>3.78</v>
      </c>
      <c r="U2637">
        <v>10.25</v>
      </c>
      <c r="V2637">
        <v>143</v>
      </c>
      <c r="W2637" s="317">
        <v>3.9</v>
      </c>
      <c r="X2637" s="190">
        <f t="shared" si="123"/>
        <v>42.9</v>
      </c>
      <c r="Y2637" s="8"/>
      <c r="Z2637" s="8"/>
    </row>
    <row r="2638" spans="1:26" ht="12.75" customHeight="1" x14ac:dyDescent="0.2">
      <c r="A2638" s="15">
        <v>41</v>
      </c>
      <c r="B2638" s="15">
        <v>1996</v>
      </c>
      <c r="C2638" s="15">
        <v>8</v>
      </c>
      <c r="D2638" s="15">
        <v>8</v>
      </c>
      <c r="E2638" s="22" t="s">
        <v>17</v>
      </c>
      <c r="F2638" s="11" t="s">
        <v>28</v>
      </c>
      <c r="G2638" s="11" t="s">
        <v>29</v>
      </c>
      <c r="H2638" s="15" t="s">
        <v>29</v>
      </c>
      <c r="I2638" s="25" t="s">
        <v>29</v>
      </c>
      <c r="J2638" s="11" t="s">
        <v>19</v>
      </c>
      <c r="K2638" s="11" t="s">
        <v>41</v>
      </c>
      <c r="L2638" s="11" t="s">
        <v>41</v>
      </c>
      <c r="M2638" s="11" t="s">
        <v>29</v>
      </c>
      <c r="N2638" s="11" t="s">
        <v>29</v>
      </c>
      <c r="O2638" s="16" t="s">
        <v>29</v>
      </c>
      <c r="P2638" s="15">
        <v>221</v>
      </c>
      <c r="Q2638" s="8"/>
      <c r="W2638" s="8"/>
      <c r="X2638" s="8"/>
      <c r="Y2638" s="8"/>
      <c r="Z2638" s="8"/>
    </row>
    <row r="2639" spans="1:26" ht="12.75" customHeight="1" x14ac:dyDescent="0.2">
      <c r="A2639" s="15">
        <v>42</v>
      </c>
      <c r="B2639" s="15">
        <v>1996</v>
      </c>
      <c r="C2639" s="15">
        <v>8</v>
      </c>
      <c r="D2639" s="15">
        <v>8</v>
      </c>
      <c r="E2639" s="22" t="s">
        <v>17</v>
      </c>
      <c r="F2639" s="11" t="s">
        <v>18</v>
      </c>
      <c r="G2639" s="15">
        <v>158</v>
      </c>
      <c r="H2639" s="15" t="s">
        <v>29</v>
      </c>
      <c r="I2639" s="25">
        <v>15</v>
      </c>
      <c r="J2639" s="11" t="s">
        <v>19</v>
      </c>
      <c r="K2639" s="11" t="s">
        <v>20</v>
      </c>
      <c r="L2639" s="11" t="s">
        <v>21</v>
      </c>
      <c r="M2639" s="11" t="s">
        <v>27</v>
      </c>
      <c r="N2639" s="11" t="s">
        <v>25</v>
      </c>
      <c r="O2639" s="16" t="s">
        <v>29</v>
      </c>
      <c r="P2639" s="15">
        <v>221</v>
      </c>
      <c r="Q2639" s="8"/>
      <c r="R2639">
        <v>14.74</v>
      </c>
      <c r="S2639">
        <v>3203.44</v>
      </c>
      <c r="T2639">
        <v>4.68</v>
      </c>
      <c r="U2639">
        <v>10.59</v>
      </c>
      <c r="V2639">
        <v>147</v>
      </c>
      <c r="W2639" s="317">
        <v>3.9</v>
      </c>
      <c r="X2639" s="190">
        <f t="shared" ref="X2639:X2656" si="124">I2639*W2639</f>
        <v>58.5</v>
      </c>
      <c r="Y2639" s="8"/>
      <c r="Z2639" s="8"/>
    </row>
    <row r="2640" spans="1:26" ht="12.75" customHeight="1" x14ac:dyDescent="0.2">
      <c r="A2640" s="15">
        <v>43</v>
      </c>
      <c r="B2640" s="15">
        <v>1996</v>
      </c>
      <c r="C2640" s="15">
        <v>8</v>
      </c>
      <c r="D2640" s="15">
        <v>8</v>
      </c>
      <c r="E2640" s="22" t="s">
        <v>17</v>
      </c>
      <c r="F2640" s="11" t="s">
        <v>18</v>
      </c>
      <c r="G2640" s="15">
        <v>152</v>
      </c>
      <c r="H2640" s="15" t="s">
        <v>29</v>
      </c>
      <c r="I2640" s="25">
        <v>12</v>
      </c>
      <c r="J2640" s="11" t="s">
        <v>19</v>
      </c>
      <c r="K2640" s="11" t="s">
        <v>20</v>
      </c>
      <c r="L2640" s="11" t="s">
        <v>21</v>
      </c>
      <c r="M2640" s="11" t="s">
        <v>46</v>
      </c>
      <c r="N2640" s="11" t="s">
        <v>24</v>
      </c>
      <c r="O2640" s="16" t="s">
        <v>29</v>
      </c>
      <c r="P2640" s="15">
        <v>221</v>
      </c>
      <c r="Q2640" s="8"/>
      <c r="R2640">
        <v>14.18</v>
      </c>
      <c r="S2640">
        <v>2852.17</v>
      </c>
      <c r="T2640">
        <v>4.21</v>
      </c>
      <c r="U2640">
        <v>10.18</v>
      </c>
      <c r="V2640">
        <v>142</v>
      </c>
      <c r="W2640" s="317">
        <v>3.9</v>
      </c>
      <c r="X2640" s="190">
        <f t="shared" si="124"/>
        <v>46.8</v>
      </c>
      <c r="Y2640" s="8"/>
      <c r="Z2640" s="8"/>
    </row>
    <row r="2641" spans="1:26" ht="12.75" customHeight="1" x14ac:dyDescent="0.2">
      <c r="A2641" s="15">
        <v>44</v>
      </c>
      <c r="B2641" s="15">
        <v>1996</v>
      </c>
      <c r="C2641" s="15">
        <v>8</v>
      </c>
      <c r="D2641" s="15">
        <v>8</v>
      </c>
      <c r="E2641" s="22" t="s">
        <v>17</v>
      </c>
      <c r="F2641" s="11" t="s">
        <v>18</v>
      </c>
      <c r="G2641" s="15">
        <v>138</v>
      </c>
      <c r="H2641" s="15" t="s">
        <v>29</v>
      </c>
      <c r="I2641" s="25">
        <v>8</v>
      </c>
      <c r="J2641" s="11" t="s">
        <v>19</v>
      </c>
      <c r="K2641" s="11" t="s">
        <v>20</v>
      </c>
      <c r="L2641" s="11" t="s">
        <v>21</v>
      </c>
      <c r="M2641" s="11" t="s">
        <v>27</v>
      </c>
      <c r="N2641" s="11" t="s">
        <v>25</v>
      </c>
      <c r="O2641" s="16" t="s">
        <v>29</v>
      </c>
      <c r="P2641" s="15">
        <v>221</v>
      </c>
      <c r="Q2641" s="8"/>
      <c r="R2641">
        <v>12.88</v>
      </c>
      <c r="S2641">
        <v>2134.4299999999998</v>
      </c>
      <c r="T2641">
        <v>3.75</v>
      </c>
      <c r="U2641">
        <v>9.25</v>
      </c>
      <c r="V2641">
        <v>129</v>
      </c>
      <c r="W2641" s="317">
        <v>3.9</v>
      </c>
      <c r="X2641" s="190">
        <f t="shared" si="124"/>
        <v>31.2</v>
      </c>
      <c r="Y2641" s="8"/>
      <c r="Z2641" s="8"/>
    </row>
    <row r="2642" spans="1:26" ht="12.75" customHeight="1" x14ac:dyDescent="0.2">
      <c r="A2642" s="15">
        <v>45</v>
      </c>
      <c r="B2642" s="15">
        <v>1996</v>
      </c>
      <c r="C2642" s="15">
        <v>6</v>
      </c>
      <c r="D2642" s="15">
        <v>8</v>
      </c>
      <c r="E2642" s="22" t="s">
        <v>17</v>
      </c>
      <c r="F2642" s="11" t="s">
        <v>18</v>
      </c>
      <c r="G2642" s="15">
        <v>145</v>
      </c>
      <c r="H2642" s="15" t="s">
        <v>29</v>
      </c>
      <c r="I2642" s="25">
        <v>11.5</v>
      </c>
      <c r="J2642" s="11" t="s">
        <v>19</v>
      </c>
      <c r="K2642" s="11" t="s">
        <v>20</v>
      </c>
      <c r="L2642" s="11" t="s">
        <v>21</v>
      </c>
      <c r="M2642" s="11" t="s">
        <v>45</v>
      </c>
      <c r="N2642" s="11" t="s">
        <v>24</v>
      </c>
      <c r="O2642" s="16" t="s">
        <v>29</v>
      </c>
      <c r="P2642" s="15">
        <v>219</v>
      </c>
      <c r="Q2642" s="8"/>
      <c r="R2642">
        <v>13.53</v>
      </c>
      <c r="S2642">
        <v>2475.9899999999998</v>
      </c>
      <c r="T2642">
        <v>4.6399999999999997</v>
      </c>
      <c r="U2642">
        <v>9.7200000000000006</v>
      </c>
      <c r="V2642">
        <v>135</v>
      </c>
      <c r="W2642" s="317">
        <v>3.9</v>
      </c>
      <c r="X2642" s="190">
        <f t="shared" si="124"/>
        <v>44.85</v>
      </c>
      <c r="Y2642" s="8"/>
      <c r="Z2642" s="8"/>
    </row>
    <row r="2643" spans="1:26" ht="12.75" customHeight="1" x14ac:dyDescent="0.2">
      <c r="A2643" s="15">
        <v>46</v>
      </c>
      <c r="B2643" s="15">
        <v>1996</v>
      </c>
      <c r="C2643" s="15">
        <v>6</v>
      </c>
      <c r="D2643" s="15">
        <v>8</v>
      </c>
      <c r="E2643" s="22" t="s">
        <v>17</v>
      </c>
      <c r="F2643" s="11" t="s">
        <v>18</v>
      </c>
      <c r="G2643" s="15">
        <v>145</v>
      </c>
      <c r="H2643" s="15" t="s">
        <v>29</v>
      </c>
      <c r="I2643" s="25">
        <v>18</v>
      </c>
      <c r="J2643" s="11" t="s">
        <v>19</v>
      </c>
      <c r="K2643" s="11" t="s">
        <v>20</v>
      </c>
      <c r="L2643" s="11" t="s">
        <v>30</v>
      </c>
      <c r="M2643" s="11" t="s">
        <v>27</v>
      </c>
      <c r="N2643" s="11" t="s">
        <v>24</v>
      </c>
      <c r="O2643" s="16" t="s">
        <v>29</v>
      </c>
      <c r="P2643" s="15">
        <v>219</v>
      </c>
      <c r="Q2643" s="8"/>
      <c r="R2643">
        <v>13.53</v>
      </c>
      <c r="S2643">
        <v>2475.9899999999998</v>
      </c>
      <c r="T2643">
        <v>7.27</v>
      </c>
      <c r="U2643">
        <v>9.7200000000000006</v>
      </c>
      <c r="V2643">
        <v>135</v>
      </c>
      <c r="W2643" s="317">
        <v>4.5999999999999996</v>
      </c>
      <c r="X2643" s="190">
        <f t="shared" si="124"/>
        <v>82.8</v>
      </c>
      <c r="Y2643" s="8"/>
      <c r="Z2643" s="8"/>
    </row>
    <row r="2644" spans="1:26" ht="12.75" customHeight="1" x14ac:dyDescent="0.2">
      <c r="A2644" s="15">
        <v>47</v>
      </c>
      <c r="B2644" s="15">
        <v>1996</v>
      </c>
      <c r="C2644" s="15">
        <v>6</v>
      </c>
      <c r="D2644" s="15">
        <v>8</v>
      </c>
      <c r="E2644" s="22" t="s">
        <v>17</v>
      </c>
      <c r="F2644" s="11" t="s">
        <v>18</v>
      </c>
      <c r="G2644" s="15">
        <v>158</v>
      </c>
      <c r="H2644" s="15" t="s">
        <v>29</v>
      </c>
      <c r="I2644" s="25">
        <v>12.5</v>
      </c>
      <c r="J2644" s="11" t="s">
        <v>19</v>
      </c>
      <c r="K2644" s="11" t="s">
        <v>20</v>
      </c>
      <c r="L2644" s="11" t="s">
        <v>21</v>
      </c>
      <c r="M2644" s="11" t="s">
        <v>27</v>
      </c>
      <c r="N2644" s="11" t="s">
        <v>24</v>
      </c>
      <c r="O2644" s="16" t="s">
        <v>29</v>
      </c>
      <c r="P2644" s="15">
        <v>219</v>
      </c>
      <c r="Q2644" s="8"/>
      <c r="R2644">
        <v>14.74</v>
      </c>
      <c r="S2644">
        <v>3203.44</v>
      </c>
      <c r="T2644">
        <v>3.9</v>
      </c>
      <c r="U2644">
        <v>10.59</v>
      </c>
      <c r="V2644">
        <v>147</v>
      </c>
      <c r="W2644" s="317">
        <v>3.9</v>
      </c>
      <c r="X2644" s="190">
        <f t="shared" si="124"/>
        <v>48.75</v>
      </c>
      <c r="Y2644" s="8"/>
      <c r="Z2644" s="8"/>
    </row>
    <row r="2645" spans="1:26" ht="12.75" customHeight="1" x14ac:dyDescent="0.2">
      <c r="A2645" s="15">
        <v>48</v>
      </c>
      <c r="B2645" s="15">
        <v>1996</v>
      </c>
      <c r="C2645" s="15">
        <v>6</v>
      </c>
      <c r="D2645" s="15">
        <v>8</v>
      </c>
      <c r="E2645" s="22" t="s">
        <v>17</v>
      </c>
      <c r="F2645" s="11" t="s">
        <v>18</v>
      </c>
      <c r="G2645" s="15">
        <v>150</v>
      </c>
      <c r="H2645" s="15" t="s">
        <v>29</v>
      </c>
      <c r="I2645" s="25">
        <v>10</v>
      </c>
      <c r="J2645" s="11" t="s">
        <v>19</v>
      </c>
      <c r="K2645" s="11" t="s">
        <v>20</v>
      </c>
      <c r="L2645" s="11" t="s">
        <v>21</v>
      </c>
      <c r="M2645" s="11" t="s">
        <v>27</v>
      </c>
      <c r="N2645" s="11" t="s">
        <v>24</v>
      </c>
      <c r="O2645" s="16" t="s">
        <v>29</v>
      </c>
      <c r="P2645" s="15">
        <v>219</v>
      </c>
      <c r="Q2645" s="8"/>
      <c r="R2645">
        <v>14</v>
      </c>
      <c r="S2645">
        <v>2741.06</v>
      </c>
      <c r="T2645">
        <v>3.65</v>
      </c>
      <c r="U2645">
        <v>10.050000000000001</v>
      </c>
      <c r="V2645">
        <v>140</v>
      </c>
      <c r="W2645" s="317">
        <v>3.9</v>
      </c>
      <c r="X2645" s="190">
        <f t="shared" si="124"/>
        <v>39</v>
      </c>
      <c r="Y2645" s="8"/>
      <c r="Z2645" s="8"/>
    </row>
    <row r="2646" spans="1:26" ht="12.75" customHeight="1" x14ac:dyDescent="0.2">
      <c r="A2646" s="15">
        <v>49</v>
      </c>
      <c r="B2646" s="15">
        <v>1996</v>
      </c>
      <c r="C2646" s="15">
        <v>6</v>
      </c>
      <c r="D2646" s="15">
        <v>8</v>
      </c>
      <c r="E2646" s="22" t="s">
        <v>17</v>
      </c>
      <c r="F2646" s="11" t="s">
        <v>18</v>
      </c>
      <c r="G2646" s="15">
        <v>151</v>
      </c>
      <c r="H2646" s="15" t="s">
        <v>29</v>
      </c>
      <c r="I2646" s="25">
        <v>11.5</v>
      </c>
      <c r="J2646" s="11" t="s">
        <v>19</v>
      </c>
      <c r="K2646" s="11" t="s">
        <v>20</v>
      </c>
      <c r="L2646" s="11" t="s">
        <v>21</v>
      </c>
      <c r="M2646" s="11" t="s">
        <v>27</v>
      </c>
      <c r="N2646" s="11" t="s">
        <v>24</v>
      </c>
      <c r="O2646" s="16" t="s">
        <v>29</v>
      </c>
      <c r="P2646" s="15">
        <v>219</v>
      </c>
      <c r="Q2646" s="8"/>
      <c r="R2646">
        <v>14.09</v>
      </c>
      <c r="S2646">
        <v>2796.25</v>
      </c>
      <c r="T2646">
        <v>4.1100000000000003</v>
      </c>
      <c r="U2646">
        <v>10.119999999999999</v>
      </c>
      <c r="V2646">
        <v>141</v>
      </c>
      <c r="W2646" s="317">
        <v>3.9</v>
      </c>
      <c r="X2646" s="190">
        <f t="shared" si="124"/>
        <v>44.85</v>
      </c>
      <c r="Y2646" s="8"/>
      <c r="Z2646" s="8"/>
    </row>
    <row r="2647" spans="1:26" ht="12.75" customHeight="1" x14ac:dyDescent="0.2">
      <c r="A2647" s="15">
        <v>50</v>
      </c>
      <c r="B2647" s="15">
        <v>1996</v>
      </c>
      <c r="C2647" s="15">
        <v>6</v>
      </c>
      <c r="D2647" s="15">
        <v>8</v>
      </c>
      <c r="E2647" s="22" t="s">
        <v>17</v>
      </c>
      <c r="F2647" s="11" t="s">
        <v>18</v>
      </c>
      <c r="G2647" s="15">
        <v>146</v>
      </c>
      <c r="H2647" s="15" t="s">
        <v>29</v>
      </c>
      <c r="I2647" s="25">
        <v>12.5</v>
      </c>
      <c r="J2647" s="11" t="s">
        <v>19</v>
      </c>
      <c r="K2647" s="11" t="s">
        <v>20</v>
      </c>
      <c r="L2647" s="11" t="s">
        <v>21</v>
      </c>
      <c r="M2647" s="11" t="s">
        <v>27</v>
      </c>
      <c r="N2647" s="11" t="s">
        <v>24</v>
      </c>
      <c r="O2647" s="16" t="s">
        <v>29</v>
      </c>
      <c r="P2647" s="15">
        <v>219</v>
      </c>
      <c r="Q2647" s="8"/>
      <c r="R2647">
        <v>13.62</v>
      </c>
      <c r="S2647">
        <v>2527.5700000000002</v>
      </c>
      <c r="T2647">
        <v>4.95</v>
      </c>
      <c r="U2647">
        <v>9.7799999999999994</v>
      </c>
      <c r="V2647">
        <v>136</v>
      </c>
      <c r="W2647" s="317">
        <v>3.9</v>
      </c>
      <c r="X2647" s="190">
        <f t="shared" si="124"/>
        <v>48.75</v>
      </c>
      <c r="Y2647" s="8"/>
      <c r="Z2647" s="8"/>
    </row>
    <row r="2648" spans="1:26" ht="12.75" customHeight="1" x14ac:dyDescent="0.2">
      <c r="A2648" s="15">
        <v>51</v>
      </c>
      <c r="B2648" s="15">
        <v>1996</v>
      </c>
      <c r="C2648" s="15">
        <v>6</v>
      </c>
      <c r="D2648" s="15">
        <v>8</v>
      </c>
      <c r="E2648" s="22" t="s">
        <v>17</v>
      </c>
      <c r="F2648" s="11" t="s">
        <v>28</v>
      </c>
      <c r="G2648" s="11" t="s">
        <v>29</v>
      </c>
      <c r="H2648" s="15" t="s">
        <v>29</v>
      </c>
      <c r="I2648" s="25" t="s">
        <v>29</v>
      </c>
      <c r="J2648" s="11" t="s">
        <v>19</v>
      </c>
      <c r="K2648" s="11" t="s">
        <v>20</v>
      </c>
      <c r="L2648" s="11" t="s">
        <v>21</v>
      </c>
      <c r="M2648" s="11" t="s">
        <v>29</v>
      </c>
      <c r="N2648" s="11" t="s">
        <v>29</v>
      </c>
      <c r="O2648" s="16" t="s">
        <v>29</v>
      </c>
      <c r="P2648" s="15">
        <v>219</v>
      </c>
      <c r="Q2648" s="8"/>
      <c r="W2648" s="317">
        <v>3.9</v>
      </c>
      <c r="X2648" s="190"/>
      <c r="Y2648" s="8"/>
      <c r="Z2648" s="8"/>
    </row>
    <row r="2649" spans="1:26" ht="12.75" customHeight="1" x14ac:dyDescent="0.2">
      <c r="A2649" s="15">
        <v>52</v>
      </c>
      <c r="B2649" s="15">
        <v>1996</v>
      </c>
      <c r="C2649" s="15">
        <v>6</v>
      </c>
      <c r="D2649" s="15">
        <v>8</v>
      </c>
      <c r="E2649" s="22" t="s">
        <v>17</v>
      </c>
      <c r="F2649" s="11" t="s">
        <v>18</v>
      </c>
      <c r="G2649" s="15">
        <v>150</v>
      </c>
      <c r="H2649" s="15" t="s">
        <v>29</v>
      </c>
      <c r="I2649" s="25">
        <v>13</v>
      </c>
      <c r="J2649" s="11" t="s">
        <v>19</v>
      </c>
      <c r="K2649" s="11" t="s">
        <v>20</v>
      </c>
      <c r="L2649" s="11" t="s">
        <v>21</v>
      </c>
      <c r="M2649" s="11" t="s">
        <v>29</v>
      </c>
      <c r="N2649" s="11" t="s">
        <v>23</v>
      </c>
      <c r="O2649" s="16" t="s">
        <v>29</v>
      </c>
      <c r="P2649" s="15">
        <v>219</v>
      </c>
      <c r="Q2649" s="8"/>
      <c r="R2649">
        <v>14</v>
      </c>
      <c r="S2649">
        <v>2741.06</v>
      </c>
      <c r="T2649">
        <v>4.74</v>
      </c>
      <c r="U2649">
        <v>10.050000000000001</v>
      </c>
      <c r="V2649">
        <v>140</v>
      </c>
      <c r="W2649" s="317">
        <v>3.9</v>
      </c>
      <c r="X2649" s="190">
        <f t="shared" si="124"/>
        <v>50.699999999999996</v>
      </c>
      <c r="Y2649" s="8"/>
      <c r="Z2649" s="8"/>
    </row>
    <row r="2650" spans="1:26" ht="12.75" customHeight="1" x14ac:dyDescent="0.2">
      <c r="A2650" s="15">
        <v>53</v>
      </c>
      <c r="B2650" s="15">
        <v>1996</v>
      </c>
      <c r="C2650" s="15">
        <v>6</v>
      </c>
      <c r="D2650" s="15">
        <v>8</v>
      </c>
      <c r="E2650" s="22" t="s">
        <v>17</v>
      </c>
      <c r="F2650" s="11" t="s">
        <v>18</v>
      </c>
      <c r="G2650" s="15">
        <v>137</v>
      </c>
      <c r="H2650" s="15" t="s">
        <v>29</v>
      </c>
      <c r="I2650" s="25">
        <v>7.5</v>
      </c>
      <c r="J2650" s="11" t="s">
        <v>19</v>
      </c>
      <c r="K2650" s="11" t="s">
        <v>20</v>
      </c>
      <c r="L2650" s="11" t="s">
        <v>21</v>
      </c>
      <c r="M2650" s="11" t="s">
        <v>218</v>
      </c>
      <c r="N2650" s="11" t="s">
        <v>24</v>
      </c>
      <c r="O2650" s="16" t="s">
        <v>29</v>
      </c>
      <c r="P2650" s="15">
        <v>219</v>
      </c>
      <c r="Q2650" s="8"/>
      <c r="R2650">
        <v>12.78</v>
      </c>
      <c r="S2650">
        <v>2088.37</v>
      </c>
      <c r="T2650">
        <v>3.59</v>
      </c>
      <c r="U2650">
        <v>9.18</v>
      </c>
      <c r="V2650">
        <v>128</v>
      </c>
      <c r="W2650" s="317">
        <v>3.9</v>
      </c>
      <c r="X2650" s="190">
        <f t="shared" si="124"/>
        <v>29.25</v>
      </c>
      <c r="Y2650" s="8"/>
      <c r="Z2650" s="8"/>
    </row>
    <row r="2651" spans="1:26" ht="12.75" customHeight="1" x14ac:dyDescent="0.2">
      <c r="A2651" s="15">
        <v>54</v>
      </c>
      <c r="B2651" s="15">
        <v>1996</v>
      </c>
      <c r="C2651" s="15">
        <v>6</v>
      </c>
      <c r="D2651" s="15">
        <v>8</v>
      </c>
      <c r="E2651" s="22" t="s">
        <v>17</v>
      </c>
      <c r="F2651" s="11" t="s">
        <v>18</v>
      </c>
      <c r="G2651" s="15">
        <v>161</v>
      </c>
      <c r="H2651" s="15" t="s">
        <v>29</v>
      </c>
      <c r="I2651" s="25">
        <v>14</v>
      </c>
      <c r="J2651" s="11" t="s">
        <v>19</v>
      </c>
      <c r="K2651" s="11" t="s">
        <v>20</v>
      </c>
      <c r="L2651" s="11" t="s">
        <v>21</v>
      </c>
      <c r="M2651" s="11" t="s">
        <v>27</v>
      </c>
      <c r="N2651" s="11" t="s">
        <v>24</v>
      </c>
      <c r="O2651" s="16" t="s">
        <v>29</v>
      </c>
      <c r="P2651" s="15">
        <v>219</v>
      </c>
      <c r="Q2651" s="8"/>
      <c r="R2651">
        <v>15.02</v>
      </c>
      <c r="S2651">
        <v>3389.4</v>
      </c>
      <c r="T2651">
        <v>4.13</v>
      </c>
      <c r="U2651">
        <v>10.79</v>
      </c>
      <c r="V2651">
        <v>150</v>
      </c>
      <c r="W2651" s="317">
        <v>3.9</v>
      </c>
      <c r="X2651" s="190">
        <f t="shared" si="124"/>
        <v>54.6</v>
      </c>
      <c r="Y2651" s="8"/>
      <c r="Z2651" s="8"/>
    </row>
    <row r="2652" spans="1:26" ht="12.75" customHeight="1" x14ac:dyDescent="0.2">
      <c r="A2652" s="15">
        <v>55</v>
      </c>
      <c r="B2652" s="15">
        <v>1996</v>
      </c>
      <c r="C2652" s="15">
        <v>6</v>
      </c>
      <c r="D2652" s="15">
        <v>8</v>
      </c>
      <c r="E2652" s="22" t="s">
        <v>17</v>
      </c>
      <c r="F2652" s="11" t="s">
        <v>18</v>
      </c>
      <c r="G2652" s="15">
        <v>159</v>
      </c>
      <c r="H2652" s="15" t="s">
        <v>29</v>
      </c>
      <c r="I2652" s="25">
        <v>12.5</v>
      </c>
      <c r="J2652" s="11" t="s">
        <v>19</v>
      </c>
      <c r="K2652" s="11" t="s">
        <v>20</v>
      </c>
      <c r="L2652" s="11" t="s">
        <v>21</v>
      </c>
      <c r="M2652" s="11" t="s">
        <v>27</v>
      </c>
      <c r="N2652" s="11" t="s">
        <v>23</v>
      </c>
      <c r="O2652" s="16" t="s">
        <v>29</v>
      </c>
      <c r="P2652" s="15">
        <v>219</v>
      </c>
      <c r="Q2652" s="8"/>
      <c r="R2652">
        <v>14.83</v>
      </c>
      <c r="S2652">
        <v>3264.65</v>
      </c>
      <c r="T2652">
        <v>3.83</v>
      </c>
      <c r="U2652">
        <v>10.65</v>
      </c>
      <c r="V2652">
        <v>148</v>
      </c>
      <c r="W2652" s="317">
        <v>3.9</v>
      </c>
      <c r="X2652" s="190">
        <f t="shared" si="124"/>
        <v>48.75</v>
      </c>
      <c r="Y2652" s="8"/>
      <c r="Z2652" s="8"/>
    </row>
    <row r="2653" spans="1:26" ht="12.75" customHeight="1" x14ac:dyDescent="0.2">
      <c r="A2653" s="15">
        <v>56</v>
      </c>
      <c r="B2653" s="15">
        <v>1996</v>
      </c>
      <c r="C2653" s="15">
        <v>6</v>
      </c>
      <c r="D2653" s="15">
        <v>8</v>
      </c>
      <c r="E2653" s="22" t="s">
        <v>17</v>
      </c>
      <c r="F2653" s="11" t="s">
        <v>18</v>
      </c>
      <c r="G2653" s="15">
        <v>139</v>
      </c>
      <c r="H2653" s="15" t="s">
        <v>29</v>
      </c>
      <c r="I2653" s="25">
        <v>9.5</v>
      </c>
      <c r="J2653" s="11" t="s">
        <v>19</v>
      </c>
      <c r="K2653" s="11" t="s">
        <v>20</v>
      </c>
      <c r="L2653" s="11" t="s">
        <v>21</v>
      </c>
      <c r="M2653" s="11" t="s">
        <v>45</v>
      </c>
      <c r="N2653" s="11" t="s">
        <v>25</v>
      </c>
      <c r="O2653" s="16" t="s">
        <v>29</v>
      </c>
      <c r="P2653" s="15">
        <v>219</v>
      </c>
      <c r="Q2653" s="8"/>
      <c r="R2653">
        <v>12.97</v>
      </c>
      <c r="S2653">
        <v>2181.17</v>
      </c>
      <c r="T2653">
        <v>4.3600000000000003</v>
      </c>
      <c r="U2653">
        <v>9.31</v>
      </c>
      <c r="V2653">
        <v>130</v>
      </c>
      <c r="W2653" s="317">
        <v>3.9</v>
      </c>
      <c r="X2653" s="190">
        <f t="shared" si="124"/>
        <v>37.049999999999997</v>
      </c>
      <c r="Y2653" s="8"/>
      <c r="Z2653" s="8"/>
    </row>
    <row r="2654" spans="1:26" ht="12.75" customHeight="1" x14ac:dyDescent="0.2">
      <c r="A2654" s="15">
        <v>57</v>
      </c>
      <c r="B2654" s="15">
        <v>1996</v>
      </c>
      <c r="C2654" s="15">
        <v>6</v>
      </c>
      <c r="D2654" s="15">
        <v>8</v>
      </c>
      <c r="E2654" s="22" t="s">
        <v>17</v>
      </c>
      <c r="F2654" s="11" t="s">
        <v>18</v>
      </c>
      <c r="G2654" s="15">
        <v>140</v>
      </c>
      <c r="H2654" s="15" t="s">
        <v>29</v>
      </c>
      <c r="I2654" s="25">
        <v>8</v>
      </c>
      <c r="J2654" s="11" t="s">
        <v>19</v>
      </c>
      <c r="K2654" s="11" t="s">
        <v>20</v>
      </c>
      <c r="L2654" s="11" t="s">
        <v>21</v>
      </c>
      <c r="M2654" s="11" t="s">
        <v>27</v>
      </c>
      <c r="N2654" s="11" t="s">
        <v>25</v>
      </c>
      <c r="O2654" s="16" t="s">
        <v>29</v>
      </c>
      <c r="P2654" s="15">
        <v>219</v>
      </c>
      <c r="Q2654" s="8"/>
      <c r="R2654">
        <v>13.06</v>
      </c>
      <c r="S2654">
        <v>2228.58</v>
      </c>
      <c r="T2654">
        <v>3.59</v>
      </c>
      <c r="U2654">
        <v>9.3800000000000008</v>
      </c>
      <c r="V2654">
        <v>131</v>
      </c>
      <c r="W2654" s="317">
        <v>3.9</v>
      </c>
      <c r="X2654" s="190">
        <f t="shared" si="124"/>
        <v>31.2</v>
      </c>
      <c r="Y2654" s="8"/>
      <c r="Z2654" s="8"/>
    </row>
    <row r="2655" spans="1:26" ht="12.75" customHeight="1" x14ac:dyDescent="0.2">
      <c r="A2655" s="15">
        <v>58</v>
      </c>
      <c r="B2655" s="15">
        <v>1996</v>
      </c>
      <c r="C2655" s="15">
        <v>6</v>
      </c>
      <c r="D2655" s="15">
        <v>8</v>
      </c>
      <c r="E2655" s="22" t="s">
        <v>17</v>
      </c>
      <c r="F2655" s="11" t="s">
        <v>18</v>
      </c>
      <c r="G2655" s="15">
        <v>168</v>
      </c>
      <c r="H2655" s="15" t="s">
        <v>29</v>
      </c>
      <c r="I2655" s="25">
        <v>15.5</v>
      </c>
      <c r="J2655" s="11" t="s">
        <v>19</v>
      </c>
      <c r="K2655" s="11" t="s">
        <v>20</v>
      </c>
      <c r="L2655" s="11" t="s">
        <v>21</v>
      </c>
      <c r="M2655" s="11" t="s">
        <v>27</v>
      </c>
      <c r="N2655" s="11" t="s">
        <v>24</v>
      </c>
      <c r="O2655" s="16" t="s">
        <v>29</v>
      </c>
      <c r="P2655" s="15">
        <v>219</v>
      </c>
      <c r="Q2655" s="8"/>
      <c r="R2655">
        <v>15.67</v>
      </c>
      <c r="S2655">
        <v>3850.99</v>
      </c>
      <c r="T2655">
        <v>4.0199999999999996</v>
      </c>
      <c r="U2655">
        <v>11.26</v>
      </c>
      <c r="V2655">
        <v>157</v>
      </c>
      <c r="W2655" s="317">
        <v>3.9</v>
      </c>
      <c r="X2655" s="190">
        <f t="shared" si="124"/>
        <v>60.449999999999996</v>
      </c>
      <c r="Y2655" s="8"/>
      <c r="Z2655" s="8"/>
    </row>
    <row r="2656" spans="1:26" ht="12.75" customHeight="1" x14ac:dyDescent="0.2">
      <c r="A2656" s="15">
        <v>59</v>
      </c>
      <c r="B2656" s="15">
        <v>1996</v>
      </c>
      <c r="C2656" s="15">
        <v>6</v>
      </c>
      <c r="D2656" s="15">
        <v>8</v>
      </c>
      <c r="E2656" s="22" t="s">
        <v>17</v>
      </c>
      <c r="F2656" s="11" t="s">
        <v>18</v>
      </c>
      <c r="G2656" s="15">
        <v>161</v>
      </c>
      <c r="H2656" s="15" t="s">
        <v>29</v>
      </c>
      <c r="I2656" s="25">
        <v>21</v>
      </c>
      <c r="J2656" s="11" t="s">
        <v>19</v>
      </c>
      <c r="K2656" s="11" t="s">
        <v>34</v>
      </c>
      <c r="L2656" s="11" t="s">
        <v>41</v>
      </c>
      <c r="M2656" s="11" t="s">
        <v>218</v>
      </c>
      <c r="N2656" s="11" t="s">
        <v>23</v>
      </c>
      <c r="O2656" s="16" t="s">
        <v>29</v>
      </c>
      <c r="P2656" s="15">
        <v>219</v>
      </c>
      <c r="Q2656" s="8"/>
      <c r="R2656">
        <v>15.02</v>
      </c>
      <c r="S2656">
        <v>3389.4</v>
      </c>
      <c r="T2656">
        <v>6.2</v>
      </c>
      <c r="U2656">
        <v>10.79</v>
      </c>
      <c r="V2656">
        <v>150</v>
      </c>
      <c r="W2656" s="317">
        <v>3.8</v>
      </c>
      <c r="X2656" s="190">
        <f t="shared" si="124"/>
        <v>79.8</v>
      </c>
      <c r="Y2656" s="8"/>
      <c r="Z2656" s="8"/>
    </row>
    <row r="2657" spans="1:26" ht="12.75" customHeight="1" x14ac:dyDescent="0.2">
      <c r="A2657" s="15">
        <v>60</v>
      </c>
      <c r="B2657" s="15">
        <v>1996</v>
      </c>
      <c r="C2657" s="15">
        <v>6</v>
      </c>
      <c r="D2657" s="15">
        <v>8</v>
      </c>
      <c r="E2657" s="22" t="s">
        <v>17</v>
      </c>
      <c r="F2657" s="11" t="s">
        <v>18</v>
      </c>
      <c r="G2657" s="15">
        <v>147</v>
      </c>
      <c r="H2657" s="15" t="s">
        <v>29</v>
      </c>
      <c r="I2657" s="25">
        <v>12.5</v>
      </c>
      <c r="J2657" s="11" t="s">
        <v>19</v>
      </c>
      <c r="K2657" s="11" t="s">
        <v>20</v>
      </c>
      <c r="L2657" s="11" t="s">
        <v>30</v>
      </c>
      <c r="M2657" s="11" t="s">
        <v>29</v>
      </c>
      <c r="N2657" s="11" t="s">
        <v>25</v>
      </c>
      <c r="O2657" s="16" t="s">
        <v>29</v>
      </c>
      <c r="P2657" s="15">
        <v>219</v>
      </c>
      <c r="Q2657" s="8"/>
      <c r="R2657">
        <v>13.72</v>
      </c>
      <c r="S2657">
        <v>2579.86</v>
      </c>
      <c r="T2657">
        <v>4.8499999999999996</v>
      </c>
      <c r="U2657">
        <v>9.85</v>
      </c>
      <c r="V2657">
        <v>137</v>
      </c>
      <c r="W2657" s="317">
        <v>4.5999999999999996</v>
      </c>
      <c r="X2657" s="190">
        <f t="shared" ref="X2657:X2686" si="125">I2657*W2657</f>
        <v>57.499999999999993</v>
      </c>
      <c r="Y2657" s="8"/>
      <c r="Z2657" s="8"/>
    </row>
    <row r="2658" spans="1:26" ht="12.75" customHeight="1" x14ac:dyDescent="0.2">
      <c r="A2658" s="15">
        <v>61</v>
      </c>
      <c r="B2658" s="15">
        <v>1996</v>
      </c>
      <c r="C2658" s="15">
        <v>5</v>
      </c>
      <c r="D2658" s="15">
        <v>8</v>
      </c>
      <c r="E2658" s="22" t="s">
        <v>17</v>
      </c>
      <c r="F2658" s="11" t="s">
        <v>28</v>
      </c>
      <c r="G2658" s="11" t="s">
        <v>29</v>
      </c>
      <c r="H2658" s="15" t="s">
        <v>29</v>
      </c>
      <c r="I2658" s="19" t="s">
        <v>29</v>
      </c>
      <c r="J2658" s="11" t="s">
        <v>19</v>
      </c>
      <c r="K2658" s="11" t="s">
        <v>20</v>
      </c>
      <c r="L2658" s="11" t="s">
        <v>21</v>
      </c>
      <c r="M2658" s="11" t="s">
        <v>29</v>
      </c>
      <c r="N2658" s="11" t="s">
        <v>25</v>
      </c>
      <c r="O2658" s="16" t="s">
        <v>29</v>
      </c>
      <c r="P2658" s="15">
        <v>218</v>
      </c>
      <c r="Q2658" s="8"/>
      <c r="W2658" s="317">
        <v>3.9</v>
      </c>
      <c r="X2658" s="190"/>
      <c r="Y2658" s="8"/>
      <c r="Z2658" s="8"/>
    </row>
    <row r="2659" spans="1:26" ht="12.75" customHeight="1" x14ac:dyDescent="0.2">
      <c r="A2659" s="15">
        <v>62</v>
      </c>
      <c r="B2659" s="15">
        <v>1996</v>
      </c>
      <c r="C2659" s="15">
        <v>5</v>
      </c>
      <c r="D2659" s="15">
        <v>8</v>
      </c>
      <c r="E2659" s="22" t="s">
        <v>17</v>
      </c>
      <c r="F2659" s="11" t="s">
        <v>18</v>
      </c>
      <c r="G2659" s="15">
        <v>159</v>
      </c>
      <c r="H2659" s="15" t="s">
        <v>29</v>
      </c>
      <c r="I2659" s="25">
        <v>22</v>
      </c>
      <c r="J2659" s="11" t="s">
        <v>19</v>
      </c>
      <c r="K2659" s="11" t="s">
        <v>20</v>
      </c>
      <c r="L2659" s="11" t="s">
        <v>30</v>
      </c>
      <c r="M2659" s="11" t="s">
        <v>29</v>
      </c>
      <c r="N2659" s="11" t="s">
        <v>23</v>
      </c>
      <c r="O2659" s="16" t="s">
        <v>29</v>
      </c>
      <c r="P2659" s="15">
        <v>218</v>
      </c>
      <c r="Q2659" s="8"/>
      <c r="R2659">
        <v>14.83</v>
      </c>
      <c r="S2659">
        <v>3264.65</v>
      </c>
      <c r="T2659">
        <v>6.74</v>
      </c>
      <c r="U2659">
        <v>10.65</v>
      </c>
      <c r="V2659">
        <v>148</v>
      </c>
      <c r="W2659" s="317">
        <v>4.5999999999999996</v>
      </c>
      <c r="X2659" s="190">
        <f t="shared" si="125"/>
        <v>101.19999999999999</v>
      </c>
      <c r="Y2659" s="8"/>
      <c r="Z2659" s="8"/>
    </row>
    <row r="2660" spans="1:26" ht="12.75" customHeight="1" x14ac:dyDescent="0.2">
      <c r="A2660" s="15">
        <v>63</v>
      </c>
      <c r="B2660" s="15">
        <v>1996</v>
      </c>
      <c r="C2660" s="15">
        <v>5</v>
      </c>
      <c r="D2660" s="15">
        <v>8</v>
      </c>
      <c r="E2660" s="22" t="s">
        <v>17</v>
      </c>
      <c r="F2660" s="11" t="s">
        <v>18</v>
      </c>
      <c r="G2660" s="15">
        <v>153</v>
      </c>
      <c r="H2660" s="15" t="s">
        <v>29</v>
      </c>
      <c r="I2660" s="25">
        <v>10.5</v>
      </c>
      <c r="J2660" s="11" t="s">
        <v>19</v>
      </c>
      <c r="K2660" s="11" t="s">
        <v>20</v>
      </c>
      <c r="L2660" s="11" t="s">
        <v>21</v>
      </c>
      <c r="M2660" s="11" t="s">
        <v>29</v>
      </c>
      <c r="N2660" s="11" t="s">
        <v>33</v>
      </c>
      <c r="O2660" s="16" t="s">
        <v>29</v>
      </c>
      <c r="P2660" s="15">
        <v>218</v>
      </c>
      <c r="Q2660" s="8"/>
      <c r="R2660">
        <v>14.27</v>
      </c>
      <c r="S2660">
        <v>2908.84</v>
      </c>
      <c r="T2660">
        <v>3.61</v>
      </c>
      <c r="U2660">
        <v>10.25</v>
      </c>
      <c r="V2660">
        <v>143</v>
      </c>
      <c r="W2660" s="317">
        <v>3.9</v>
      </c>
      <c r="X2660" s="190">
        <f t="shared" si="125"/>
        <v>40.949999999999996</v>
      </c>
      <c r="Y2660" s="8"/>
      <c r="Z2660" s="8"/>
    </row>
    <row r="2661" spans="1:26" ht="12.75" customHeight="1" x14ac:dyDescent="0.2">
      <c r="A2661" s="15">
        <v>64</v>
      </c>
      <c r="B2661" s="15">
        <v>1996</v>
      </c>
      <c r="C2661" s="15">
        <v>5</v>
      </c>
      <c r="D2661" s="15">
        <v>8</v>
      </c>
      <c r="E2661" s="22" t="s">
        <v>17</v>
      </c>
      <c r="F2661" s="11" t="s">
        <v>18</v>
      </c>
      <c r="G2661" s="15">
        <v>171</v>
      </c>
      <c r="H2661" s="15" t="s">
        <v>29</v>
      </c>
      <c r="I2661" s="25">
        <v>18</v>
      </c>
      <c r="J2661" s="11" t="s">
        <v>19</v>
      </c>
      <c r="K2661" s="11" t="s">
        <v>20</v>
      </c>
      <c r="L2661" s="11" t="s">
        <v>21</v>
      </c>
      <c r="M2661" s="11" t="s">
        <v>29</v>
      </c>
      <c r="N2661" s="11" t="s">
        <v>23</v>
      </c>
      <c r="O2661" s="16" t="s">
        <v>29</v>
      </c>
      <c r="P2661" s="15">
        <v>218</v>
      </c>
      <c r="Q2661" s="8"/>
      <c r="R2661">
        <v>15.95</v>
      </c>
      <c r="S2661">
        <v>4061</v>
      </c>
      <c r="T2661">
        <v>4.43</v>
      </c>
      <c r="U2661">
        <v>11.46</v>
      </c>
      <c r="V2661">
        <v>160</v>
      </c>
      <c r="W2661" s="317">
        <v>3.9</v>
      </c>
      <c r="X2661" s="190">
        <f t="shared" si="125"/>
        <v>70.2</v>
      </c>
      <c r="Y2661" s="8"/>
      <c r="Z2661" s="8"/>
    </row>
    <row r="2662" spans="1:26" ht="12.75" customHeight="1" x14ac:dyDescent="0.2">
      <c r="A2662" s="15">
        <v>65</v>
      </c>
      <c r="B2662" s="15">
        <v>1996</v>
      </c>
      <c r="C2662" s="15">
        <v>5</v>
      </c>
      <c r="D2662" s="15">
        <v>8</v>
      </c>
      <c r="E2662" s="22" t="s">
        <v>17</v>
      </c>
      <c r="F2662" s="11" t="s">
        <v>18</v>
      </c>
      <c r="G2662" s="15">
        <v>142</v>
      </c>
      <c r="H2662" s="15" t="s">
        <v>29</v>
      </c>
      <c r="I2662" s="25">
        <v>10</v>
      </c>
      <c r="J2662" s="11" t="s">
        <v>19</v>
      </c>
      <c r="K2662" s="11" t="s">
        <v>20</v>
      </c>
      <c r="L2662" s="11" t="s">
        <v>21</v>
      </c>
      <c r="M2662" s="11" t="s">
        <v>29</v>
      </c>
      <c r="N2662" s="11" t="s">
        <v>33</v>
      </c>
      <c r="O2662" s="16" t="s">
        <v>29</v>
      </c>
      <c r="P2662" s="15">
        <v>218</v>
      </c>
      <c r="Q2662" s="8"/>
      <c r="R2662">
        <v>13.25</v>
      </c>
      <c r="S2662">
        <v>2325.4699999999998</v>
      </c>
      <c r="T2662">
        <v>4.3</v>
      </c>
      <c r="U2662">
        <v>9.51</v>
      </c>
      <c r="V2662">
        <v>132</v>
      </c>
      <c r="W2662" s="317">
        <v>3.9</v>
      </c>
      <c r="X2662" s="190">
        <f t="shared" si="125"/>
        <v>39</v>
      </c>
      <c r="Y2662" s="8"/>
      <c r="Z2662" s="8"/>
    </row>
    <row r="2663" spans="1:26" ht="12.75" customHeight="1" x14ac:dyDescent="0.2">
      <c r="A2663" s="15">
        <v>66</v>
      </c>
      <c r="B2663" s="15">
        <v>1996</v>
      </c>
      <c r="C2663" s="15">
        <v>5</v>
      </c>
      <c r="D2663" s="15">
        <v>8</v>
      </c>
      <c r="E2663" s="22" t="s">
        <v>17</v>
      </c>
      <c r="F2663" s="11" t="s">
        <v>18</v>
      </c>
      <c r="G2663" s="15">
        <v>159</v>
      </c>
      <c r="H2663" s="15" t="s">
        <v>29</v>
      </c>
      <c r="I2663" s="25">
        <v>12</v>
      </c>
      <c r="J2663" s="11" t="s">
        <v>19</v>
      </c>
      <c r="K2663" s="11" t="s">
        <v>20</v>
      </c>
      <c r="L2663" s="11" t="s">
        <v>21</v>
      </c>
      <c r="M2663" s="11" t="s">
        <v>29</v>
      </c>
      <c r="N2663" s="11" t="s">
        <v>25</v>
      </c>
      <c r="O2663" s="16" t="s">
        <v>29</v>
      </c>
      <c r="P2663" s="15">
        <v>218</v>
      </c>
      <c r="Q2663" s="8"/>
      <c r="R2663">
        <v>14.83</v>
      </c>
      <c r="S2663">
        <v>3264.65</v>
      </c>
      <c r="T2663">
        <v>3.68</v>
      </c>
      <c r="U2663">
        <v>10.65</v>
      </c>
      <c r="V2663">
        <v>148</v>
      </c>
      <c r="W2663" s="317">
        <v>3.9</v>
      </c>
      <c r="X2663" s="190">
        <f t="shared" si="125"/>
        <v>46.8</v>
      </c>
      <c r="Y2663" s="8"/>
      <c r="Z2663" s="8"/>
    </row>
    <row r="2664" spans="1:26" ht="12.75" customHeight="1" x14ac:dyDescent="0.2">
      <c r="A2664" s="15">
        <v>67</v>
      </c>
      <c r="B2664" s="15">
        <v>1996</v>
      </c>
      <c r="C2664" s="15">
        <v>5</v>
      </c>
      <c r="D2664" s="15">
        <v>8</v>
      </c>
      <c r="E2664" s="22" t="s">
        <v>17</v>
      </c>
      <c r="F2664" s="11" t="s">
        <v>28</v>
      </c>
      <c r="G2664" s="11" t="s">
        <v>29</v>
      </c>
      <c r="H2664" s="15" t="s">
        <v>29</v>
      </c>
      <c r="I2664" s="25">
        <v>10</v>
      </c>
      <c r="J2664" s="11" t="s">
        <v>19</v>
      </c>
      <c r="K2664" s="11" t="s">
        <v>20</v>
      </c>
      <c r="L2664" s="11" t="s">
        <v>21</v>
      </c>
      <c r="M2664" s="11" t="s">
        <v>29</v>
      </c>
      <c r="N2664" s="11" t="s">
        <v>25</v>
      </c>
      <c r="O2664" s="16" t="s">
        <v>29</v>
      </c>
      <c r="P2664" s="15">
        <v>218</v>
      </c>
      <c r="Q2664" s="8"/>
      <c r="W2664" s="317">
        <v>3.9</v>
      </c>
      <c r="X2664" s="190">
        <f t="shared" si="125"/>
        <v>39</v>
      </c>
      <c r="Y2664" s="8"/>
      <c r="Z2664" s="8"/>
    </row>
    <row r="2665" spans="1:26" ht="12.75" customHeight="1" x14ac:dyDescent="0.2">
      <c r="A2665" s="15">
        <v>68</v>
      </c>
      <c r="B2665" s="15">
        <v>1996</v>
      </c>
      <c r="C2665" s="15">
        <v>5</v>
      </c>
      <c r="D2665" s="15">
        <v>8</v>
      </c>
      <c r="E2665" s="22" t="s">
        <v>17</v>
      </c>
      <c r="F2665" s="11" t="s">
        <v>18</v>
      </c>
      <c r="G2665" s="15">
        <v>149</v>
      </c>
      <c r="H2665" s="15" t="s">
        <v>29</v>
      </c>
      <c r="I2665" s="25">
        <v>11</v>
      </c>
      <c r="J2665" s="11" t="s">
        <v>19</v>
      </c>
      <c r="K2665" s="11" t="s">
        <v>20</v>
      </c>
      <c r="L2665" s="11" t="s">
        <v>21</v>
      </c>
      <c r="M2665" s="11" t="s">
        <v>29</v>
      </c>
      <c r="N2665" s="11" t="s">
        <v>23</v>
      </c>
      <c r="O2665" s="16" t="s">
        <v>29</v>
      </c>
      <c r="P2665" s="15">
        <v>218</v>
      </c>
      <c r="Q2665" s="8"/>
      <c r="R2665">
        <v>13.9</v>
      </c>
      <c r="S2665">
        <v>2686.6</v>
      </c>
      <c r="T2665">
        <v>4.09</v>
      </c>
      <c r="U2665">
        <v>9.98</v>
      </c>
      <c r="V2665">
        <v>139</v>
      </c>
      <c r="W2665" s="317">
        <v>3.9</v>
      </c>
      <c r="X2665" s="190">
        <f t="shared" si="125"/>
        <v>42.9</v>
      </c>
      <c r="Y2665" s="8"/>
      <c r="Z2665" s="8"/>
    </row>
    <row r="2666" spans="1:26" ht="12.75" customHeight="1" x14ac:dyDescent="0.2">
      <c r="A2666" s="15">
        <v>69</v>
      </c>
      <c r="B2666" s="15">
        <v>1996</v>
      </c>
      <c r="C2666" s="15">
        <v>5</v>
      </c>
      <c r="D2666" s="15">
        <v>8</v>
      </c>
      <c r="E2666" s="22" t="s">
        <v>17</v>
      </c>
      <c r="F2666" s="11" t="s">
        <v>28</v>
      </c>
      <c r="G2666" s="11" t="s">
        <v>29</v>
      </c>
      <c r="H2666" s="15" t="s">
        <v>29</v>
      </c>
      <c r="I2666" s="25">
        <v>7</v>
      </c>
      <c r="J2666" s="11" t="s">
        <v>19</v>
      </c>
      <c r="K2666" s="11" t="s">
        <v>20</v>
      </c>
      <c r="L2666" s="11" t="s">
        <v>21</v>
      </c>
      <c r="M2666" s="11" t="s">
        <v>29</v>
      </c>
      <c r="N2666" s="11" t="s">
        <v>25</v>
      </c>
      <c r="O2666" s="16" t="s">
        <v>29</v>
      </c>
      <c r="P2666" s="15">
        <v>218</v>
      </c>
      <c r="Q2666" s="8"/>
      <c r="W2666" s="317">
        <v>3.9</v>
      </c>
      <c r="X2666" s="190">
        <f t="shared" si="125"/>
        <v>27.3</v>
      </c>
      <c r="Y2666" s="8"/>
      <c r="Z2666" s="8"/>
    </row>
    <row r="2667" spans="1:26" ht="12.75" customHeight="1" x14ac:dyDescent="0.2">
      <c r="A2667" s="15">
        <v>70</v>
      </c>
      <c r="B2667" s="15">
        <v>1996</v>
      </c>
      <c r="C2667" s="15">
        <v>5</v>
      </c>
      <c r="D2667" s="15">
        <v>8</v>
      </c>
      <c r="E2667" s="22" t="s">
        <v>17</v>
      </c>
      <c r="F2667" s="11" t="s">
        <v>18</v>
      </c>
      <c r="G2667" s="15">
        <v>152</v>
      </c>
      <c r="H2667" s="15" t="s">
        <v>29</v>
      </c>
      <c r="I2667" s="25">
        <v>13.5</v>
      </c>
      <c r="J2667" s="11" t="s">
        <v>19</v>
      </c>
      <c r="K2667" s="11" t="s">
        <v>20</v>
      </c>
      <c r="L2667" s="11" t="s">
        <v>21</v>
      </c>
      <c r="M2667" s="11" t="s">
        <v>45</v>
      </c>
      <c r="N2667" s="11" t="s">
        <v>23</v>
      </c>
      <c r="O2667" s="16" t="s">
        <v>29</v>
      </c>
      <c r="P2667" s="15">
        <v>218</v>
      </c>
      <c r="Q2667" s="8"/>
      <c r="R2667">
        <v>14.18</v>
      </c>
      <c r="S2667">
        <v>2852.17</v>
      </c>
      <c r="T2667">
        <v>4.7300000000000004</v>
      </c>
      <c r="U2667">
        <v>10.18</v>
      </c>
      <c r="V2667">
        <v>142</v>
      </c>
      <c r="W2667" s="317">
        <v>3.9</v>
      </c>
      <c r="X2667" s="190">
        <f t="shared" si="125"/>
        <v>52.65</v>
      </c>
      <c r="Y2667" s="8"/>
      <c r="Z2667" s="8"/>
    </row>
    <row r="2668" spans="1:26" ht="12.75" customHeight="1" x14ac:dyDescent="0.2">
      <c r="A2668" s="15">
        <v>71</v>
      </c>
      <c r="B2668" s="15">
        <v>1996</v>
      </c>
      <c r="C2668" s="15">
        <v>5</v>
      </c>
      <c r="D2668" s="15">
        <v>8</v>
      </c>
      <c r="E2668" s="22" t="s">
        <v>17</v>
      </c>
      <c r="F2668" s="11" t="s">
        <v>18</v>
      </c>
      <c r="G2668" s="15">
        <v>157</v>
      </c>
      <c r="H2668" s="15" t="s">
        <v>29</v>
      </c>
      <c r="I2668" s="25">
        <v>15</v>
      </c>
      <c r="J2668" s="11" t="s">
        <v>19</v>
      </c>
      <c r="K2668" s="11" t="s">
        <v>20</v>
      </c>
      <c r="L2668" s="11" t="s">
        <v>21</v>
      </c>
      <c r="M2668" s="11" t="s">
        <v>29</v>
      </c>
      <c r="N2668" s="11" t="s">
        <v>23</v>
      </c>
      <c r="O2668" s="16" t="s">
        <v>29</v>
      </c>
      <c r="P2668" s="15">
        <v>218</v>
      </c>
      <c r="Q2668" s="8"/>
      <c r="R2668">
        <v>14.65</v>
      </c>
      <c r="S2668">
        <v>3143</v>
      </c>
      <c r="T2668">
        <v>4.7699999999999996</v>
      </c>
      <c r="U2668">
        <v>10.52</v>
      </c>
      <c r="V2668">
        <v>146</v>
      </c>
      <c r="W2668" s="317">
        <v>3.9</v>
      </c>
      <c r="X2668" s="190">
        <f t="shared" si="125"/>
        <v>58.5</v>
      </c>
      <c r="Y2668" s="8"/>
      <c r="Z2668" s="8"/>
    </row>
    <row r="2669" spans="1:26" ht="12.75" customHeight="1" x14ac:dyDescent="0.2">
      <c r="A2669" s="15">
        <v>72</v>
      </c>
      <c r="B2669" s="15">
        <v>1996</v>
      </c>
      <c r="C2669" s="15">
        <v>5</v>
      </c>
      <c r="D2669" s="15">
        <v>8</v>
      </c>
      <c r="E2669" s="22" t="s">
        <v>17</v>
      </c>
      <c r="F2669" s="11" t="s">
        <v>28</v>
      </c>
      <c r="G2669" s="11" t="s">
        <v>29</v>
      </c>
      <c r="H2669" s="15" t="s">
        <v>29</v>
      </c>
      <c r="I2669" s="25">
        <v>5</v>
      </c>
      <c r="J2669" s="11" t="s">
        <v>19</v>
      </c>
      <c r="K2669" s="11" t="s">
        <v>20</v>
      </c>
      <c r="L2669" s="11" t="s">
        <v>21</v>
      </c>
      <c r="M2669" s="11" t="s">
        <v>29</v>
      </c>
      <c r="N2669" s="11" t="s">
        <v>25</v>
      </c>
      <c r="O2669" s="16" t="s">
        <v>29</v>
      </c>
      <c r="P2669" s="15">
        <v>218</v>
      </c>
      <c r="Q2669" s="8"/>
      <c r="W2669" s="317">
        <v>3.9</v>
      </c>
      <c r="X2669" s="190">
        <f t="shared" si="125"/>
        <v>19.5</v>
      </c>
      <c r="Y2669" s="8"/>
      <c r="Z2669" s="8"/>
    </row>
    <row r="2670" spans="1:26" ht="12.75" customHeight="1" x14ac:dyDescent="0.2">
      <c r="A2670" s="15">
        <v>73</v>
      </c>
      <c r="B2670" s="15">
        <v>1996</v>
      </c>
      <c r="C2670" s="15">
        <v>5</v>
      </c>
      <c r="D2670" s="15">
        <v>8</v>
      </c>
      <c r="E2670" s="22" t="s">
        <v>17</v>
      </c>
      <c r="F2670" s="11" t="s">
        <v>18</v>
      </c>
      <c r="G2670" s="15">
        <v>151</v>
      </c>
      <c r="H2670" s="15" t="s">
        <v>29</v>
      </c>
      <c r="I2670" s="25">
        <v>8.5</v>
      </c>
      <c r="J2670" s="11" t="s">
        <v>19</v>
      </c>
      <c r="K2670" s="11" t="s">
        <v>20</v>
      </c>
      <c r="L2670" s="11" t="s">
        <v>21</v>
      </c>
      <c r="M2670" s="11" t="s">
        <v>29</v>
      </c>
      <c r="N2670" s="11" t="s">
        <v>23</v>
      </c>
      <c r="O2670" s="16" t="s">
        <v>29</v>
      </c>
      <c r="P2670" s="15">
        <v>218</v>
      </c>
      <c r="Q2670" s="8"/>
      <c r="R2670">
        <v>14.09</v>
      </c>
      <c r="S2670">
        <v>2796.25</v>
      </c>
      <c r="T2670">
        <v>3.04</v>
      </c>
      <c r="U2670">
        <v>10.119999999999999</v>
      </c>
      <c r="V2670">
        <v>141</v>
      </c>
      <c r="W2670" s="317">
        <v>3.9</v>
      </c>
      <c r="X2670" s="190">
        <f t="shared" si="125"/>
        <v>33.15</v>
      </c>
      <c r="Y2670" s="8"/>
      <c r="Z2670" s="8"/>
    </row>
    <row r="2671" spans="1:26" ht="12.75" customHeight="1" x14ac:dyDescent="0.2">
      <c r="A2671" s="15">
        <v>74</v>
      </c>
      <c r="B2671" s="15">
        <v>1996</v>
      </c>
      <c r="C2671" s="15">
        <v>5</v>
      </c>
      <c r="D2671" s="15">
        <v>8</v>
      </c>
      <c r="E2671" s="22" t="s">
        <v>17</v>
      </c>
      <c r="F2671" s="11" t="s">
        <v>18</v>
      </c>
      <c r="G2671" s="15">
        <v>145</v>
      </c>
      <c r="H2671" s="15" t="s">
        <v>29</v>
      </c>
      <c r="I2671" s="25">
        <v>16</v>
      </c>
      <c r="J2671" s="11" t="s">
        <v>19</v>
      </c>
      <c r="K2671" s="11" t="s">
        <v>20</v>
      </c>
      <c r="L2671" s="11" t="s">
        <v>30</v>
      </c>
      <c r="M2671" s="11" t="s">
        <v>29</v>
      </c>
      <c r="N2671" s="11" t="s">
        <v>23</v>
      </c>
      <c r="O2671" s="16" t="s">
        <v>29</v>
      </c>
      <c r="P2671" s="15">
        <v>218</v>
      </c>
      <c r="Q2671" s="8"/>
      <c r="R2671">
        <v>13.53</v>
      </c>
      <c r="S2671">
        <v>2475.9899999999998</v>
      </c>
      <c r="T2671">
        <v>6.46</v>
      </c>
      <c r="U2671">
        <v>9.7200000000000006</v>
      </c>
      <c r="V2671">
        <v>135</v>
      </c>
      <c r="W2671" s="317">
        <v>4.5999999999999996</v>
      </c>
      <c r="X2671" s="190">
        <f t="shared" si="125"/>
        <v>73.599999999999994</v>
      </c>
      <c r="Y2671" s="8"/>
      <c r="Z2671" s="8"/>
    </row>
    <row r="2672" spans="1:26" ht="12.75" customHeight="1" x14ac:dyDescent="0.2">
      <c r="A2672" s="15">
        <v>75</v>
      </c>
      <c r="B2672" s="15">
        <v>1996</v>
      </c>
      <c r="C2672" s="15">
        <v>5</v>
      </c>
      <c r="D2672" s="15">
        <v>8</v>
      </c>
      <c r="E2672" s="22" t="s">
        <v>17</v>
      </c>
      <c r="F2672" s="11" t="s">
        <v>18</v>
      </c>
      <c r="G2672" s="15">
        <v>142</v>
      </c>
      <c r="H2672" s="15" t="s">
        <v>29</v>
      </c>
      <c r="I2672" s="25">
        <v>9.5</v>
      </c>
      <c r="J2672" s="11" t="s">
        <v>19</v>
      </c>
      <c r="K2672" s="11" t="s">
        <v>20</v>
      </c>
      <c r="L2672" s="11" t="s">
        <v>21</v>
      </c>
      <c r="M2672" s="11" t="s">
        <v>27</v>
      </c>
      <c r="N2672" s="11" t="s">
        <v>23</v>
      </c>
      <c r="O2672" s="16" t="s">
        <v>29</v>
      </c>
      <c r="P2672" s="15">
        <v>218</v>
      </c>
      <c r="Q2672" s="8"/>
      <c r="R2672">
        <v>13.25</v>
      </c>
      <c r="S2672">
        <v>2325.4699999999998</v>
      </c>
      <c r="T2672">
        <v>4.09</v>
      </c>
      <c r="U2672">
        <v>9.51</v>
      </c>
      <c r="V2672">
        <v>132</v>
      </c>
      <c r="W2672" s="317">
        <v>3.9</v>
      </c>
      <c r="X2672" s="190">
        <f t="shared" si="125"/>
        <v>37.049999999999997</v>
      </c>
      <c r="Y2672" s="8"/>
      <c r="Z2672" s="8"/>
    </row>
    <row r="2673" spans="1:26" ht="12.75" customHeight="1" x14ac:dyDescent="0.2">
      <c r="A2673" s="15">
        <v>76</v>
      </c>
      <c r="B2673" s="15">
        <v>1996</v>
      </c>
      <c r="C2673" s="15">
        <v>5</v>
      </c>
      <c r="D2673" s="15">
        <v>8</v>
      </c>
      <c r="E2673" s="22" t="s">
        <v>17</v>
      </c>
      <c r="F2673" s="11" t="s">
        <v>18</v>
      </c>
      <c r="G2673" s="15">
        <v>130</v>
      </c>
      <c r="H2673" s="15" t="s">
        <v>29</v>
      </c>
      <c r="I2673" s="25">
        <v>10.5</v>
      </c>
      <c r="J2673" s="11" t="s">
        <v>19</v>
      </c>
      <c r="K2673" s="11" t="s">
        <v>20</v>
      </c>
      <c r="L2673" s="11" t="s">
        <v>21</v>
      </c>
      <c r="M2673" s="11" t="s">
        <v>45</v>
      </c>
      <c r="N2673" s="11" t="s">
        <v>25</v>
      </c>
      <c r="O2673" s="16" t="s">
        <v>29</v>
      </c>
      <c r="P2673" s="15">
        <v>218</v>
      </c>
      <c r="Q2673" s="8"/>
      <c r="R2673">
        <v>12.13</v>
      </c>
      <c r="S2673">
        <v>1784.33</v>
      </c>
      <c r="T2673">
        <v>5.88</v>
      </c>
      <c r="U2673">
        <v>8.7100000000000009</v>
      </c>
      <c r="V2673">
        <v>121</v>
      </c>
      <c r="W2673" s="317">
        <v>3.9</v>
      </c>
      <c r="X2673" s="190">
        <f t="shared" si="125"/>
        <v>40.949999999999996</v>
      </c>
      <c r="Y2673" s="8"/>
      <c r="Z2673" s="8"/>
    </row>
    <row r="2674" spans="1:26" ht="12.75" customHeight="1" x14ac:dyDescent="0.2">
      <c r="A2674" s="15">
        <v>77</v>
      </c>
      <c r="B2674" s="15">
        <v>1996</v>
      </c>
      <c r="C2674" s="15">
        <v>5</v>
      </c>
      <c r="D2674" s="15">
        <v>8</v>
      </c>
      <c r="E2674" s="22" t="s">
        <v>17</v>
      </c>
      <c r="F2674" s="11" t="s">
        <v>18</v>
      </c>
      <c r="G2674" s="15">
        <v>145</v>
      </c>
      <c r="H2674" s="15" t="s">
        <v>29</v>
      </c>
      <c r="I2674" s="25">
        <v>13</v>
      </c>
      <c r="J2674" s="11" t="s">
        <v>19</v>
      </c>
      <c r="K2674" s="11" t="s">
        <v>20</v>
      </c>
      <c r="L2674" s="11" t="s">
        <v>30</v>
      </c>
      <c r="M2674" s="11" t="s">
        <v>27</v>
      </c>
      <c r="N2674" s="11" t="s">
        <v>25</v>
      </c>
      <c r="O2674" s="16" t="s">
        <v>29</v>
      </c>
      <c r="P2674" s="15">
        <v>218</v>
      </c>
      <c r="Q2674" s="8"/>
      <c r="R2674">
        <v>13.53</v>
      </c>
      <c r="S2674">
        <v>2475.9899999999998</v>
      </c>
      <c r="T2674">
        <v>5.25</v>
      </c>
      <c r="U2674">
        <v>9.7200000000000006</v>
      </c>
      <c r="V2674">
        <v>135</v>
      </c>
      <c r="W2674" s="317">
        <v>4.5999999999999996</v>
      </c>
      <c r="X2674" s="190">
        <f t="shared" si="125"/>
        <v>59.8</v>
      </c>
      <c r="Y2674" s="8"/>
      <c r="Z2674" s="8"/>
    </row>
    <row r="2675" spans="1:26" ht="12.75" customHeight="1" x14ac:dyDescent="0.2">
      <c r="A2675" s="15">
        <v>78</v>
      </c>
      <c r="B2675" s="15">
        <v>1996</v>
      </c>
      <c r="C2675" s="15">
        <v>5</v>
      </c>
      <c r="D2675" s="15">
        <v>8</v>
      </c>
      <c r="E2675" s="22" t="s">
        <v>17</v>
      </c>
      <c r="F2675" s="11" t="s">
        <v>18</v>
      </c>
      <c r="G2675" s="15">
        <v>153</v>
      </c>
      <c r="H2675" s="15" t="s">
        <v>29</v>
      </c>
      <c r="I2675" s="25">
        <v>11</v>
      </c>
      <c r="J2675" s="11" t="s">
        <v>19</v>
      </c>
      <c r="K2675" s="11" t="s">
        <v>20</v>
      </c>
      <c r="L2675" s="11" t="s">
        <v>21</v>
      </c>
      <c r="M2675" s="11" t="s">
        <v>45</v>
      </c>
      <c r="N2675" s="11" t="s">
        <v>29</v>
      </c>
      <c r="O2675" s="16" t="s">
        <v>29</v>
      </c>
      <c r="P2675" s="15">
        <v>218</v>
      </c>
      <c r="Q2675" s="8"/>
      <c r="R2675">
        <v>14.27</v>
      </c>
      <c r="S2675">
        <v>2908.84</v>
      </c>
      <c r="T2675">
        <v>3.78</v>
      </c>
      <c r="U2675">
        <v>10.25</v>
      </c>
      <c r="V2675">
        <v>143</v>
      </c>
      <c r="W2675" s="317">
        <v>3.9</v>
      </c>
      <c r="X2675" s="190">
        <f t="shared" si="125"/>
        <v>42.9</v>
      </c>
      <c r="Y2675" s="8"/>
      <c r="Z2675" s="8"/>
    </row>
    <row r="2676" spans="1:26" ht="12.75" customHeight="1" x14ac:dyDescent="0.2">
      <c r="A2676" s="15">
        <v>79</v>
      </c>
      <c r="B2676" s="15">
        <v>1996</v>
      </c>
      <c r="C2676" s="15">
        <v>5</v>
      </c>
      <c r="D2676" s="15">
        <v>8</v>
      </c>
      <c r="E2676" s="22" t="s">
        <v>17</v>
      </c>
      <c r="F2676" s="11" t="s">
        <v>18</v>
      </c>
      <c r="G2676" s="15">
        <v>145</v>
      </c>
      <c r="H2676" s="15" t="s">
        <v>29</v>
      </c>
      <c r="I2676" s="25">
        <v>8.5</v>
      </c>
      <c r="J2676" s="11" t="s">
        <v>19</v>
      </c>
      <c r="K2676" s="11" t="s">
        <v>20</v>
      </c>
      <c r="L2676" s="11" t="s">
        <v>21</v>
      </c>
      <c r="M2676" s="11" t="s">
        <v>29</v>
      </c>
      <c r="N2676" s="11" t="s">
        <v>25</v>
      </c>
      <c r="O2676" s="16" t="s">
        <v>29</v>
      </c>
      <c r="P2676" s="15">
        <v>218</v>
      </c>
      <c r="Q2676" s="8"/>
      <c r="R2676">
        <v>13.53</v>
      </c>
      <c r="S2676">
        <v>2475.9899999999998</v>
      </c>
      <c r="T2676">
        <v>3.43</v>
      </c>
      <c r="U2676">
        <v>9.7200000000000006</v>
      </c>
      <c r="V2676">
        <v>135</v>
      </c>
      <c r="W2676" s="317">
        <v>3.9</v>
      </c>
      <c r="X2676" s="190">
        <f t="shared" si="125"/>
        <v>33.15</v>
      </c>
      <c r="Y2676" s="8"/>
      <c r="Z2676" s="8"/>
    </row>
    <row r="2677" spans="1:26" ht="12.75" customHeight="1" x14ac:dyDescent="0.2">
      <c r="A2677" s="15">
        <v>80</v>
      </c>
      <c r="B2677" s="15">
        <v>1996</v>
      </c>
      <c r="C2677" s="15">
        <v>5</v>
      </c>
      <c r="D2677" s="15">
        <v>8</v>
      </c>
      <c r="E2677" s="22" t="s">
        <v>17</v>
      </c>
      <c r="F2677" s="11" t="s">
        <v>18</v>
      </c>
      <c r="G2677" s="15">
        <v>163</v>
      </c>
      <c r="H2677" s="15" t="s">
        <v>29</v>
      </c>
      <c r="I2677" s="25">
        <v>11</v>
      </c>
      <c r="J2677" s="11" t="s">
        <v>19</v>
      </c>
      <c r="K2677" s="11" t="s">
        <v>20</v>
      </c>
      <c r="L2677" s="11" t="s">
        <v>21</v>
      </c>
      <c r="M2677" s="11" t="s">
        <v>45</v>
      </c>
      <c r="N2677" s="11" t="s">
        <v>25</v>
      </c>
      <c r="O2677" s="16" t="s">
        <v>29</v>
      </c>
      <c r="P2677" s="15">
        <v>218</v>
      </c>
      <c r="Q2677" s="8"/>
      <c r="R2677">
        <v>15.21</v>
      </c>
      <c r="S2677">
        <v>3517.29</v>
      </c>
      <c r="T2677">
        <v>3.13</v>
      </c>
      <c r="U2677">
        <v>10.92</v>
      </c>
      <c r="V2677">
        <v>152</v>
      </c>
      <c r="W2677" s="317">
        <v>3.9</v>
      </c>
      <c r="X2677" s="190">
        <f t="shared" si="125"/>
        <v>42.9</v>
      </c>
      <c r="Y2677" s="8"/>
      <c r="Z2677" s="8"/>
    </row>
    <row r="2678" spans="1:26" ht="12.75" customHeight="1" x14ac:dyDescent="0.2">
      <c r="A2678" s="15">
        <v>81</v>
      </c>
      <c r="B2678" s="15">
        <v>1996</v>
      </c>
      <c r="C2678" s="15">
        <v>5</v>
      </c>
      <c r="D2678" s="15">
        <v>8</v>
      </c>
      <c r="E2678" s="22" t="s">
        <v>17</v>
      </c>
      <c r="F2678" s="11" t="s">
        <v>18</v>
      </c>
      <c r="G2678" s="15">
        <v>132</v>
      </c>
      <c r="H2678" s="15" t="s">
        <v>29</v>
      </c>
      <c r="I2678" s="25">
        <v>8.5</v>
      </c>
      <c r="J2678" s="11" t="s">
        <v>19</v>
      </c>
      <c r="K2678" s="11" t="s">
        <v>20</v>
      </c>
      <c r="L2678" s="11" t="s">
        <v>21</v>
      </c>
      <c r="M2678" s="11" t="s">
        <v>29</v>
      </c>
      <c r="N2678" s="11" t="s">
        <v>25</v>
      </c>
      <c r="O2678" s="16" t="s">
        <v>29</v>
      </c>
      <c r="P2678" s="15">
        <v>218</v>
      </c>
      <c r="Q2678" s="8"/>
      <c r="R2678">
        <v>12.32</v>
      </c>
      <c r="S2678">
        <v>1867.96</v>
      </c>
      <c r="T2678">
        <v>4.55</v>
      </c>
      <c r="U2678">
        <v>8.84</v>
      </c>
      <c r="V2678">
        <v>123</v>
      </c>
      <c r="W2678" s="317">
        <v>3.9</v>
      </c>
      <c r="X2678" s="190">
        <f t="shared" si="125"/>
        <v>33.15</v>
      </c>
      <c r="Y2678" s="8"/>
      <c r="Z2678" s="8"/>
    </row>
    <row r="2679" spans="1:26" ht="12.75" customHeight="1" x14ac:dyDescent="0.2">
      <c r="A2679" s="15">
        <v>82</v>
      </c>
      <c r="B2679" s="15">
        <v>1996</v>
      </c>
      <c r="C2679" s="15">
        <v>5</v>
      </c>
      <c r="D2679" s="15">
        <v>8</v>
      </c>
      <c r="E2679" s="22" t="s">
        <v>17</v>
      </c>
      <c r="F2679" s="11" t="s">
        <v>18</v>
      </c>
      <c r="G2679" s="15">
        <v>150</v>
      </c>
      <c r="H2679" s="15" t="s">
        <v>29</v>
      </c>
      <c r="I2679" s="25">
        <v>13</v>
      </c>
      <c r="J2679" s="11" t="s">
        <v>19</v>
      </c>
      <c r="K2679" s="11" t="s">
        <v>20</v>
      </c>
      <c r="L2679" s="11" t="s">
        <v>21</v>
      </c>
      <c r="M2679" s="11" t="s">
        <v>45</v>
      </c>
      <c r="N2679" s="11" t="s">
        <v>24</v>
      </c>
      <c r="O2679" s="16" t="s">
        <v>29</v>
      </c>
      <c r="P2679" s="15">
        <v>218</v>
      </c>
      <c r="Q2679" s="8"/>
      <c r="R2679">
        <v>14</v>
      </c>
      <c r="S2679">
        <v>2741.06</v>
      </c>
      <c r="T2679">
        <v>4.74</v>
      </c>
      <c r="U2679">
        <v>10.050000000000001</v>
      </c>
      <c r="V2679">
        <v>140</v>
      </c>
      <c r="W2679" s="317">
        <v>3.9</v>
      </c>
      <c r="X2679" s="190">
        <f t="shared" si="125"/>
        <v>50.699999999999996</v>
      </c>
      <c r="Y2679" s="8"/>
      <c r="Z2679" s="8"/>
    </row>
    <row r="2680" spans="1:26" ht="12.75" customHeight="1" x14ac:dyDescent="0.2">
      <c r="A2680" s="15">
        <v>83</v>
      </c>
      <c r="B2680" s="15">
        <v>1996</v>
      </c>
      <c r="C2680" s="15">
        <v>5</v>
      </c>
      <c r="D2680" s="15">
        <v>8</v>
      </c>
      <c r="E2680" s="22" t="s">
        <v>17</v>
      </c>
      <c r="F2680" s="11" t="s">
        <v>28</v>
      </c>
      <c r="G2680" s="11" t="s">
        <v>29</v>
      </c>
      <c r="H2680" s="15" t="s">
        <v>29</v>
      </c>
      <c r="I2680" s="25" t="s">
        <v>29</v>
      </c>
      <c r="J2680" s="11" t="s">
        <v>19</v>
      </c>
      <c r="K2680" s="11" t="s">
        <v>20</v>
      </c>
      <c r="L2680" s="11" t="s">
        <v>21</v>
      </c>
      <c r="M2680" s="11" t="s">
        <v>29</v>
      </c>
      <c r="N2680" s="11" t="s">
        <v>29</v>
      </c>
      <c r="O2680" s="16" t="s">
        <v>29</v>
      </c>
      <c r="P2680" s="15">
        <v>218</v>
      </c>
      <c r="Q2680" s="8"/>
      <c r="W2680" s="317">
        <v>3.9</v>
      </c>
      <c r="X2680" s="190"/>
      <c r="Y2680" s="8"/>
      <c r="Z2680" s="8"/>
    </row>
    <row r="2681" spans="1:26" ht="12.75" customHeight="1" x14ac:dyDescent="0.2">
      <c r="A2681" s="15">
        <v>1</v>
      </c>
      <c r="B2681" s="15">
        <v>1995</v>
      </c>
      <c r="C2681" s="15">
        <v>11</v>
      </c>
      <c r="D2681" s="15">
        <v>8</v>
      </c>
      <c r="E2681" s="22" t="s">
        <v>17</v>
      </c>
      <c r="F2681" s="11" t="s">
        <v>18</v>
      </c>
      <c r="G2681" s="15">
        <v>139</v>
      </c>
      <c r="H2681" s="15" t="s">
        <v>29</v>
      </c>
      <c r="I2681" s="25">
        <v>14</v>
      </c>
      <c r="J2681" s="11" t="s">
        <v>19</v>
      </c>
      <c r="K2681" s="11" t="s">
        <v>20</v>
      </c>
      <c r="L2681" s="11" t="s">
        <v>30</v>
      </c>
      <c r="M2681" s="11" t="s">
        <v>29</v>
      </c>
      <c r="N2681" s="11" t="s">
        <v>23</v>
      </c>
      <c r="O2681" s="16" t="s">
        <v>29</v>
      </c>
      <c r="P2681" s="15">
        <v>223</v>
      </c>
      <c r="Q2681" s="8"/>
      <c r="R2681">
        <v>12.97</v>
      </c>
      <c r="S2681">
        <v>2181.17</v>
      </c>
      <c r="T2681">
        <v>6.42</v>
      </c>
      <c r="U2681">
        <v>9.31</v>
      </c>
      <c r="V2681">
        <v>130</v>
      </c>
      <c r="W2681" s="317">
        <v>4.5999999999999996</v>
      </c>
      <c r="X2681" s="190">
        <f t="shared" si="125"/>
        <v>64.399999999999991</v>
      </c>
      <c r="Y2681" s="8"/>
      <c r="Z2681" s="8"/>
    </row>
    <row r="2682" spans="1:26" ht="12.75" customHeight="1" x14ac:dyDescent="0.2">
      <c r="A2682" s="15">
        <v>2</v>
      </c>
      <c r="B2682" s="15">
        <v>1995</v>
      </c>
      <c r="C2682" s="15">
        <v>11</v>
      </c>
      <c r="D2682" s="15">
        <v>8</v>
      </c>
      <c r="E2682" s="22" t="s">
        <v>17</v>
      </c>
      <c r="F2682" s="11" t="s">
        <v>18</v>
      </c>
      <c r="G2682" s="15">
        <v>141</v>
      </c>
      <c r="H2682" s="15" t="s">
        <v>29</v>
      </c>
      <c r="I2682" s="25">
        <v>10.5</v>
      </c>
      <c r="J2682" s="11" t="s">
        <v>19</v>
      </c>
      <c r="K2682" s="11" t="s">
        <v>20</v>
      </c>
      <c r="L2682" s="11" t="s">
        <v>30</v>
      </c>
      <c r="M2682" s="11" t="s">
        <v>29</v>
      </c>
      <c r="N2682" s="11" t="s">
        <v>25</v>
      </c>
      <c r="O2682" s="16" t="s">
        <v>29</v>
      </c>
      <c r="P2682" s="15">
        <v>223</v>
      </c>
      <c r="Q2682" s="8"/>
      <c r="R2682">
        <v>13.16</v>
      </c>
      <c r="S2682">
        <v>2276.6799999999998</v>
      </c>
      <c r="T2682">
        <v>4.6100000000000003</v>
      </c>
      <c r="U2682">
        <v>9.4499999999999993</v>
      </c>
      <c r="V2682">
        <v>132</v>
      </c>
      <c r="W2682" s="317">
        <v>4.5999999999999996</v>
      </c>
      <c r="X2682" s="190">
        <f t="shared" si="125"/>
        <v>48.3</v>
      </c>
      <c r="Y2682" s="8"/>
      <c r="Z2682" s="8"/>
    </row>
    <row r="2683" spans="1:26" ht="12.75" customHeight="1" x14ac:dyDescent="0.2">
      <c r="A2683" s="15">
        <v>3</v>
      </c>
      <c r="B2683" s="15">
        <v>1995</v>
      </c>
      <c r="C2683" s="15">
        <v>11</v>
      </c>
      <c r="D2683" s="15">
        <v>8</v>
      </c>
      <c r="E2683" s="22" t="s">
        <v>17</v>
      </c>
      <c r="F2683" s="11" t="s">
        <v>18</v>
      </c>
      <c r="G2683" s="15">
        <v>124</v>
      </c>
      <c r="H2683" s="15" t="s">
        <v>29</v>
      </c>
      <c r="I2683" s="25">
        <v>7.5</v>
      </c>
      <c r="J2683" s="11" t="s">
        <v>19</v>
      </c>
      <c r="K2683" s="11" t="s">
        <v>20</v>
      </c>
      <c r="L2683" s="11" t="s">
        <v>30</v>
      </c>
      <c r="M2683" s="11" t="s">
        <v>29</v>
      </c>
      <c r="N2683" s="11" t="s">
        <v>24</v>
      </c>
      <c r="O2683" s="16" t="s">
        <v>29</v>
      </c>
      <c r="P2683" s="15">
        <v>223</v>
      </c>
      <c r="Q2683" s="8"/>
      <c r="R2683">
        <v>11.57</v>
      </c>
      <c r="S2683">
        <v>1548.5</v>
      </c>
      <c r="T2683">
        <v>4.84</v>
      </c>
      <c r="U2683">
        <v>8.31</v>
      </c>
      <c r="V2683">
        <v>116</v>
      </c>
      <c r="W2683" s="317">
        <v>4.5999999999999996</v>
      </c>
      <c r="X2683" s="190">
        <f t="shared" si="125"/>
        <v>34.5</v>
      </c>
      <c r="Y2683" s="8"/>
      <c r="Z2683" s="8"/>
    </row>
    <row r="2684" spans="1:26" ht="12.75" customHeight="1" x14ac:dyDescent="0.2">
      <c r="A2684" s="15">
        <v>4</v>
      </c>
      <c r="B2684" s="15">
        <v>1995</v>
      </c>
      <c r="C2684" s="15">
        <v>11</v>
      </c>
      <c r="D2684" s="15">
        <v>8</v>
      </c>
      <c r="E2684" s="22" t="s">
        <v>17</v>
      </c>
      <c r="F2684" s="11" t="s">
        <v>28</v>
      </c>
      <c r="G2684" s="11" t="s">
        <v>29</v>
      </c>
      <c r="H2684" s="15" t="s">
        <v>29</v>
      </c>
      <c r="I2684" s="25" t="s">
        <v>29</v>
      </c>
      <c r="J2684" s="11" t="s">
        <v>19</v>
      </c>
      <c r="K2684" s="11" t="s">
        <v>20</v>
      </c>
      <c r="L2684" s="11" t="s">
        <v>30</v>
      </c>
      <c r="M2684" s="11" t="s">
        <v>29</v>
      </c>
      <c r="N2684" s="11" t="s">
        <v>29</v>
      </c>
      <c r="O2684" s="16" t="s">
        <v>29</v>
      </c>
      <c r="P2684" s="15">
        <v>223</v>
      </c>
      <c r="Q2684" s="8"/>
      <c r="W2684" s="317">
        <v>4.5999999999999996</v>
      </c>
      <c r="X2684" s="190"/>
      <c r="Y2684" s="8"/>
      <c r="Z2684" s="8"/>
    </row>
    <row r="2685" spans="1:26" ht="12.75" customHeight="1" x14ac:dyDescent="0.2">
      <c r="A2685" s="15">
        <v>5</v>
      </c>
      <c r="B2685" s="15">
        <v>1995</v>
      </c>
      <c r="C2685" s="15">
        <v>11</v>
      </c>
      <c r="D2685" s="15">
        <v>8</v>
      </c>
      <c r="E2685" s="22" t="s">
        <v>17</v>
      </c>
      <c r="F2685" s="11" t="s">
        <v>18</v>
      </c>
      <c r="G2685" s="15">
        <v>137</v>
      </c>
      <c r="H2685" s="15" t="s">
        <v>29</v>
      </c>
      <c r="I2685" s="25">
        <v>8</v>
      </c>
      <c r="J2685" s="11" t="s">
        <v>19</v>
      </c>
      <c r="K2685" s="11" t="s">
        <v>20</v>
      </c>
      <c r="L2685" s="11" t="s">
        <v>21</v>
      </c>
      <c r="M2685" s="11" t="s">
        <v>29</v>
      </c>
      <c r="N2685" s="11" t="s">
        <v>23</v>
      </c>
      <c r="O2685" s="16" t="s">
        <v>29</v>
      </c>
      <c r="P2685" s="15">
        <v>223</v>
      </c>
      <c r="Q2685" s="8"/>
      <c r="R2685">
        <v>12.78</v>
      </c>
      <c r="S2685">
        <v>2088.37</v>
      </c>
      <c r="T2685">
        <v>3.83</v>
      </c>
      <c r="U2685">
        <v>9.18</v>
      </c>
      <c r="V2685">
        <v>128</v>
      </c>
      <c r="W2685" s="317">
        <v>3.9</v>
      </c>
      <c r="X2685" s="190">
        <f t="shared" si="125"/>
        <v>31.2</v>
      </c>
      <c r="Y2685" s="8"/>
      <c r="Z2685" s="8"/>
    </row>
    <row r="2686" spans="1:26" ht="12.75" customHeight="1" x14ac:dyDescent="0.2">
      <c r="A2686" s="15">
        <v>6</v>
      </c>
      <c r="B2686" s="15">
        <v>1995</v>
      </c>
      <c r="C2686" s="15">
        <v>11</v>
      </c>
      <c r="D2686" s="15">
        <v>8</v>
      </c>
      <c r="E2686" s="22" t="s">
        <v>17</v>
      </c>
      <c r="F2686" s="11" t="s">
        <v>18</v>
      </c>
      <c r="G2686" s="15">
        <v>141</v>
      </c>
      <c r="H2686" s="15" t="s">
        <v>29</v>
      </c>
      <c r="I2686" s="25">
        <v>17.5</v>
      </c>
      <c r="J2686" s="11" t="s">
        <v>19</v>
      </c>
      <c r="K2686" s="11" t="s">
        <v>34</v>
      </c>
      <c r="L2686" s="11" t="s">
        <v>41</v>
      </c>
      <c r="M2686" s="11" t="s">
        <v>29</v>
      </c>
      <c r="N2686" s="11" t="s">
        <v>29</v>
      </c>
      <c r="O2686" s="16" t="s">
        <v>29</v>
      </c>
      <c r="P2686" s="15">
        <v>223</v>
      </c>
      <c r="Q2686" s="8"/>
      <c r="R2686">
        <v>13.16</v>
      </c>
      <c r="S2686">
        <v>2276.6799999999998</v>
      </c>
      <c r="T2686">
        <v>7.69</v>
      </c>
      <c r="U2686">
        <v>9.4499999999999993</v>
      </c>
      <c r="V2686">
        <v>132</v>
      </c>
      <c r="W2686" s="317">
        <v>3.8</v>
      </c>
      <c r="X2686" s="190">
        <f t="shared" si="125"/>
        <v>66.5</v>
      </c>
      <c r="Y2686" s="8"/>
      <c r="Z2686" s="8"/>
    </row>
    <row r="2687" spans="1:26" ht="12.75" customHeight="1" x14ac:dyDescent="0.2">
      <c r="A2687" s="15">
        <v>7</v>
      </c>
      <c r="B2687" s="15">
        <v>1995</v>
      </c>
      <c r="C2687" s="15">
        <v>11</v>
      </c>
      <c r="D2687" s="15">
        <v>8</v>
      </c>
      <c r="E2687" s="22" t="s">
        <v>17</v>
      </c>
      <c r="F2687" s="11" t="s">
        <v>18</v>
      </c>
      <c r="G2687" s="15">
        <v>105</v>
      </c>
      <c r="H2687" s="15" t="s">
        <v>29</v>
      </c>
      <c r="I2687" s="25">
        <v>2.2000000000000002</v>
      </c>
      <c r="J2687" s="11" t="s">
        <v>32</v>
      </c>
      <c r="K2687" s="11" t="s">
        <v>29</v>
      </c>
      <c r="L2687" s="11" t="s">
        <v>29</v>
      </c>
      <c r="M2687" s="11" t="s">
        <v>29</v>
      </c>
      <c r="N2687" s="11" t="s">
        <v>24</v>
      </c>
      <c r="O2687" s="16" t="s">
        <v>29</v>
      </c>
      <c r="P2687" s="15">
        <v>223</v>
      </c>
      <c r="Q2687" s="8"/>
      <c r="R2687">
        <v>9.8000000000000007</v>
      </c>
      <c r="S2687">
        <v>940.18</v>
      </c>
      <c r="T2687">
        <v>2.34</v>
      </c>
      <c r="U2687">
        <v>7.04</v>
      </c>
      <c r="V2687">
        <v>98</v>
      </c>
      <c r="W2687" s="8"/>
      <c r="X2687" s="8"/>
      <c r="Y2687" s="8"/>
      <c r="Z2687" s="8"/>
    </row>
    <row r="2688" spans="1:26" ht="12.75" customHeight="1" x14ac:dyDescent="0.2">
      <c r="A2688" s="15">
        <v>8</v>
      </c>
      <c r="B2688" s="15">
        <v>1995</v>
      </c>
      <c r="C2688" s="15">
        <v>8</v>
      </c>
      <c r="D2688" s="15">
        <v>8</v>
      </c>
      <c r="E2688" s="22" t="s">
        <v>17</v>
      </c>
      <c r="F2688" s="11" t="s">
        <v>18</v>
      </c>
      <c r="G2688" s="15">
        <v>127</v>
      </c>
      <c r="H2688" s="15" t="s">
        <v>29</v>
      </c>
      <c r="I2688" s="25">
        <v>11.5</v>
      </c>
      <c r="J2688" s="11" t="s">
        <v>19</v>
      </c>
      <c r="K2688" s="11" t="s">
        <v>20</v>
      </c>
      <c r="L2688" s="11" t="s">
        <v>30</v>
      </c>
      <c r="M2688" s="11" t="s">
        <v>45</v>
      </c>
      <c r="N2688" s="11" t="s">
        <v>23</v>
      </c>
      <c r="O2688" s="16" t="s">
        <v>29</v>
      </c>
      <c r="P2688" s="15">
        <v>220</v>
      </c>
      <c r="Q2688" s="8"/>
      <c r="R2688">
        <v>11.85</v>
      </c>
      <c r="S2688">
        <v>1663.63</v>
      </c>
      <c r="T2688">
        <v>6.91</v>
      </c>
      <c r="U2688">
        <v>8.51</v>
      </c>
      <c r="V2688">
        <v>118</v>
      </c>
      <c r="W2688" s="317">
        <v>4.5999999999999996</v>
      </c>
      <c r="X2688" s="190">
        <f>I2688*W2688</f>
        <v>52.9</v>
      </c>
      <c r="Y2688" s="8"/>
      <c r="Z2688" s="8"/>
    </row>
    <row r="2689" spans="1:26" ht="12.75" customHeight="1" x14ac:dyDescent="0.2">
      <c r="A2689" s="15">
        <v>9</v>
      </c>
      <c r="B2689" s="15">
        <v>1995</v>
      </c>
      <c r="C2689" s="15">
        <v>8</v>
      </c>
      <c r="D2689" s="15">
        <v>8</v>
      </c>
      <c r="E2689" s="22" t="s">
        <v>17</v>
      </c>
      <c r="F2689" s="11" t="s">
        <v>18</v>
      </c>
      <c r="G2689" s="15">
        <v>132</v>
      </c>
      <c r="H2689" s="15" t="s">
        <v>29</v>
      </c>
      <c r="I2689" s="25">
        <v>11.5</v>
      </c>
      <c r="J2689" s="11" t="s">
        <v>19</v>
      </c>
      <c r="K2689" s="11" t="s">
        <v>20</v>
      </c>
      <c r="L2689" s="11" t="s">
        <v>30</v>
      </c>
      <c r="M2689" s="11" t="s">
        <v>45</v>
      </c>
      <c r="N2689" s="11" t="s">
        <v>24</v>
      </c>
      <c r="O2689" s="16" t="s">
        <v>29</v>
      </c>
      <c r="P2689" s="15">
        <v>220</v>
      </c>
      <c r="Q2689" s="8"/>
      <c r="R2689">
        <v>12.32</v>
      </c>
      <c r="S2689">
        <v>1867.96</v>
      </c>
      <c r="T2689">
        <v>6.16</v>
      </c>
      <c r="U2689">
        <v>8.84</v>
      </c>
      <c r="V2689">
        <v>123</v>
      </c>
      <c r="W2689" s="317">
        <v>4.5999999999999996</v>
      </c>
      <c r="X2689" s="190">
        <f>I2689*W2689</f>
        <v>52.9</v>
      </c>
      <c r="Y2689" s="8"/>
      <c r="Z2689" s="8"/>
    </row>
    <row r="2690" spans="1:26" ht="12.75" customHeight="1" x14ac:dyDescent="0.2">
      <c r="A2690" s="15">
        <v>10</v>
      </c>
      <c r="B2690" s="15">
        <v>1995</v>
      </c>
      <c r="C2690" s="15">
        <v>8</v>
      </c>
      <c r="D2690" s="15">
        <v>8</v>
      </c>
      <c r="E2690" s="22" t="s">
        <v>17</v>
      </c>
      <c r="F2690" s="11" t="s">
        <v>18</v>
      </c>
      <c r="G2690" s="15">
        <v>142</v>
      </c>
      <c r="H2690" s="15" t="s">
        <v>29</v>
      </c>
      <c r="I2690" s="25">
        <v>12</v>
      </c>
      <c r="J2690" s="11" t="s">
        <v>19</v>
      </c>
      <c r="K2690" s="11" t="s">
        <v>20</v>
      </c>
      <c r="L2690" s="11" t="s">
        <v>30</v>
      </c>
      <c r="M2690" s="11" t="s">
        <v>45</v>
      </c>
      <c r="N2690" s="11" t="s">
        <v>23</v>
      </c>
      <c r="O2690" s="16" t="s">
        <v>29</v>
      </c>
      <c r="P2690" s="15">
        <v>220</v>
      </c>
      <c r="Q2690" s="8"/>
      <c r="R2690">
        <v>13.25</v>
      </c>
      <c r="S2690">
        <v>2325.4699999999998</v>
      </c>
      <c r="T2690">
        <v>5.16</v>
      </c>
      <c r="U2690">
        <v>9.51</v>
      </c>
      <c r="V2690">
        <v>132</v>
      </c>
      <c r="W2690" s="317">
        <v>4.5999999999999996</v>
      </c>
      <c r="X2690" s="190">
        <f>I2690*W2690</f>
        <v>55.199999999999996</v>
      </c>
      <c r="Y2690" s="8"/>
      <c r="Z2690" s="8"/>
    </row>
    <row r="2691" spans="1:26" ht="12.75" customHeight="1" x14ac:dyDescent="0.2">
      <c r="A2691" s="15">
        <v>11</v>
      </c>
      <c r="B2691" s="15">
        <v>1995</v>
      </c>
      <c r="C2691" s="15">
        <v>8</v>
      </c>
      <c r="D2691" s="15">
        <v>8</v>
      </c>
      <c r="E2691" s="22" t="s">
        <v>17</v>
      </c>
      <c r="F2691" s="11" t="s">
        <v>18</v>
      </c>
      <c r="G2691" s="15">
        <v>146</v>
      </c>
      <c r="H2691" s="15" t="s">
        <v>29</v>
      </c>
      <c r="I2691" s="25">
        <v>15</v>
      </c>
      <c r="J2691" s="11" t="s">
        <v>19</v>
      </c>
      <c r="K2691" s="11" t="s">
        <v>20</v>
      </c>
      <c r="L2691" s="11" t="s">
        <v>30</v>
      </c>
      <c r="M2691" s="11" t="s">
        <v>45</v>
      </c>
      <c r="N2691" s="11" t="s">
        <v>24</v>
      </c>
      <c r="O2691" s="16" t="s">
        <v>29</v>
      </c>
      <c r="P2691" s="15">
        <v>220</v>
      </c>
      <c r="Q2691" s="8"/>
      <c r="R2691">
        <v>13.62</v>
      </c>
      <c r="S2691">
        <v>2527.5700000000002</v>
      </c>
      <c r="T2691">
        <v>5.93</v>
      </c>
      <c r="U2691">
        <v>9.7799999999999994</v>
      </c>
      <c r="V2691">
        <v>136</v>
      </c>
      <c r="W2691" s="317">
        <v>4.5999999999999996</v>
      </c>
      <c r="X2691" s="190">
        <f>I2691*W2691</f>
        <v>69</v>
      </c>
      <c r="Y2691" s="8"/>
      <c r="Z2691" s="8"/>
    </row>
    <row r="2692" spans="1:26" ht="12.75" customHeight="1" x14ac:dyDescent="0.2">
      <c r="A2692" s="15">
        <v>12</v>
      </c>
      <c r="B2692" s="15">
        <v>1995</v>
      </c>
      <c r="C2692" s="15">
        <v>8</v>
      </c>
      <c r="D2692" s="15">
        <v>8</v>
      </c>
      <c r="E2692" s="22" t="s">
        <v>17</v>
      </c>
      <c r="F2692" s="11" t="s">
        <v>18</v>
      </c>
      <c r="G2692" s="15">
        <v>135</v>
      </c>
      <c r="H2692" s="15" t="s">
        <v>29</v>
      </c>
      <c r="I2692" s="25">
        <v>8</v>
      </c>
      <c r="J2692" s="11" t="s">
        <v>19</v>
      </c>
      <c r="K2692" s="11" t="s">
        <v>20</v>
      </c>
      <c r="L2692" s="11" t="s">
        <v>21</v>
      </c>
      <c r="M2692" s="11" t="s">
        <v>45</v>
      </c>
      <c r="N2692" s="11" t="s">
        <v>25</v>
      </c>
      <c r="O2692" s="16" t="s">
        <v>29</v>
      </c>
      <c r="P2692" s="15">
        <v>220</v>
      </c>
      <c r="Q2692" s="8"/>
      <c r="R2692">
        <v>12.6</v>
      </c>
      <c r="S2692">
        <v>1998.23</v>
      </c>
      <c r="T2692">
        <v>4</v>
      </c>
      <c r="U2692">
        <v>9.0500000000000007</v>
      </c>
      <c r="V2692">
        <v>126</v>
      </c>
      <c r="W2692" s="317">
        <v>3.9</v>
      </c>
      <c r="X2692" s="190">
        <f>I2692*W2692</f>
        <v>31.2</v>
      </c>
      <c r="Y2692" s="8"/>
      <c r="Z2692" s="8"/>
    </row>
    <row r="2693" spans="1:26" ht="12.75" customHeight="1" x14ac:dyDescent="0.2">
      <c r="A2693" s="15">
        <v>13</v>
      </c>
      <c r="B2693" s="15">
        <v>1995</v>
      </c>
      <c r="C2693" s="15">
        <v>8</v>
      </c>
      <c r="D2693" s="15">
        <v>8</v>
      </c>
      <c r="E2693" s="22" t="s">
        <v>17</v>
      </c>
      <c r="F2693" s="11" t="s">
        <v>18</v>
      </c>
      <c r="G2693" s="15">
        <v>112</v>
      </c>
      <c r="H2693" s="15" t="s">
        <v>29</v>
      </c>
      <c r="I2693" s="25">
        <v>4.5</v>
      </c>
      <c r="J2693" s="11" t="s">
        <v>19</v>
      </c>
      <c r="K2693" s="11" t="s">
        <v>41</v>
      </c>
      <c r="L2693" s="11" t="s">
        <v>35</v>
      </c>
      <c r="M2693" s="11" t="s">
        <v>29</v>
      </c>
      <c r="N2693" s="11" t="s">
        <v>24</v>
      </c>
      <c r="O2693" s="16" t="s">
        <v>29</v>
      </c>
      <c r="P2693" s="15">
        <v>220</v>
      </c>
      <c r="Q2693" s="8"/>
      <c r="R2693">
        <v>10.45</v>
      </c>
      <c r="S2693">
        <v>1141.04</v>
      </c>
      <c r="T2693">
        <v>3.94</v>
      </c>
      <c r="U2693">
        <v>7.5</v>
      </c>
      <c r="V2693">
        <v>104</v>
      </c>
      <c r="W2693" s="8"/>
      <c r="X2693" s="8"/>
      <c r="Y2693" s="8"/>
      <c r="Z2693" s="8"/>
    </row>
    <row r="2694" spans="1:26" ht="12.75" customHeight="1" x14ac:dyDescent="0.2">
      <c r="A2694" s="15">
        <v>14</v>
      </c>
      <c r="B2694" s="15">
        <v>1995</v>
      </c>
      <c r="C2694" s="15">
        <v>8</v>
      </c>
      <c r="D2694" s="15">
        <v>8</v>
      </c>
      <c r="E2694" s="22" t="s">
        <v>17</v>
      </c>
      <c r="F2694" s="11" t="s">
        <v>28</v>
      </c>
      <c r="G2694" s="11" t="s">
        <v>29</v>
      </c>
      <c r="H2694" s="15" t="s">
        <v>29</v>
      </c>
      <c r="I2694" s="25" t="s">
        <v>29</v>
      </c>
      <c r="J2694" s="11" t="s">
        <v>19</v>
      </c>
      <c r="K2694" s="11" t="s">
        <v>41</v>
      </c>
      <c r="L2694" s="11" t="s">
        <v>41</v>
      </c>
      <c r="M2694" s="11" t="s">
        <v>29</v>
      </c>
      <c r="N2694" s="11" t="s">
        <v>29</v>
      </c>
      <c r="O2694" s="16" t="s">
        <v>29</v>
      </c>
      <c r="P2694" s="15">
        <v>220</v>
      </c>
      <c r="Q2694" s="8"/>
      <c r="W2694" s="8"/>
      <c r="X2694" s="8"/>
      <c r="Y2694" s="8"/>
      <c r="Z2694" s="8"/>
    </row>
    <row r="2695" spans="1:26" ht="12.75" customHeight="1" x14ac:dyDescent="0.2">
      <c r="A2695" s="15">
        <v>15</v>
      </c>
      <c r="B2695" s="15">
        <v>1995</v>
      </c>
      <c r="C2695" s="15">
        <v>8</v>
      </c>
      <c r="D2695" s="15">
        <v>8</v>
      </c>
      <c r="E2695" s="22" t="s">
        <v>17</v>
      </c>
      <c r="F2695" s="11" t="s">
        <v>28</v>
      </c>
      <c r="G2695" s="11" t="s">
        <v>29</v>
      </c>
      <c r="H2695" s="15" t="s">
        <v>29</v>
      </c>
      <c r="I2695" s="25" t="s">
        <v>29</v>
      </c>
      <c r="J2695" s="11" t="s">
        <v>32</v>
      </c>
      <c r="K2695" s="11" t="s">
        <v>29</v>
      </c>
      <c r="L2695" s="11" t="s">
        <v>35</v>
      </c>
      <c r="M2695" s="11" t="s">
        <v>29</v>
      </c>
      <c r="N2695" s="11" t="s">
        <v>29</v>
      </c>
      <c r="O2695" s="16" t="s">
        <v>29</v>
      </c>
      <c r="P2695" s="15">
        <v>220</v>
      </c>
      <c r="Q2695" s="8"/>
      <c r="W2695" s="8"/>
      <c r="X2695" s="8"/>
      <c r="Y2695" s="8"/>
      <c r="Z2695" s="8"/>
    </row>
    <row r="2696" spans="1:26" ht="12.75" customHeight="1" x14ac:dyDescent="0.2">
      <c r="A2696" s="15">
        <v>16</v>
      </c>
      <c r="B2696" s="15">
        <v>1995</v>
      </c>
      <c r="C2696" s="15">
        <v>8</v>
      </c>
      <c r="D2696" s="15">
        <v>8</v>
      </c>
      <c r="E2696" s="22" t="s">
        <v>17</v>
      </c>
      <c r="F2696" s="11" t="s">
        <v>18</v>
      </c>
      <c r="G2696" s="15">
        <v>127</v>
      </c>
      <c r="H2696" s="15" t="s">
        <v>29</v>
      </c>
      <c r="I2696" s="25">
        <v>11</v>
      </c>
      <c r="J2696" s="11" t="s">
        <v>209</v>
      </c>
      <c r="K2696" s="11" t="s">
        <v>29</v>
      </c>
      <c r="L2696" s="11" t="s">
        <v>29</v>
      </c>
      <c r="M2696" s="11" t="s">
        <v>27</v>
      </c>
      <c r="N2696" s="11" t="s">
        <v>24</v>
      </c>
      <c r="O2696" s="16" t="s">
        <v>29</v>
      </c>
      <c r="P2696" s="15">
        <v>220</v>
      </c>
      <c r="Q2696" s="8"/>
      <c r="R2696">
        <v>11.85</v>
      </c>
      <c r="S2696">
        <v>1663.63</v>
      </c>
      <c r="T2696">
        <v>6.61</v>
      </c>
      <c r="U2696">
        <v>8.51</v>
      </c>
      <c r="V2696">
        <v>118</v>
      </c>
      <c r="W2696" s="8"/>
      <c r="X2696" s="8"/>
      <c r="Y2696" s="8"/>
      <c r="Z2696" s="8"/>
    </row>
    <row r="2697" spans="1:26" ht="12.75" customHeight="1" x14ac:dyDescent="0.2">
      <c r="A2697" s="15">
        <v>17</v>
      </c>
      <c r="B2697" s="15">
        <v>1995</v>
      </c>
      <c r="C2697" s="15">
        <v>8</v>
      </c>
      <c r="D2697" s="15">
        <v>8</v>
      </c>
      <c r="E2697" s="22" t="s">
        <v>17</v>
      </c>
      <c r="F2697" s="11" t="s">
        <v>18</v>
      </c>
      <c r="G2697" s="15">
        <v>104</v>
      </c>
      <c r="H2697" s="15" t="s">
        <v>29</v>
      </c>
      <c r="I2697" s="25">
        <v>2</v>
      </c>
      <c r="J2697" s="11" t="s">
        <v>32</v>
      </c>
      <c r="K2697" s="11" t="s">
        <v>29</v>
      </c>
      <c r="L2697" s="11" t="s">
        <v>35</v>
      </c>
      <c r="M2697" s="11" t="s">
        <v>46</v>
      </c>
      <c r="N2697" s="11" t="s">
        <v>24</v>
      </c>
      <c r="O2697" s="16" t="s">
        <v>29</v>
      </c>
      <c r="P2697" s="15">
        <v>220</v>
      </c>
      <c r="Q2697" s="8"/>
      <c r="R2697">
        <v>9.6999999999999993</v>
      </c>
      <c r="S2697">
        <v>913.58</v>
      </c>
      <c r="T2697">
        <v>2.19</v>
      </c>
      <c r="U2697">
        <v>6.97</v>
      </c>
      <c r="V2697">
        <v>97</v>
      </c>
      <c r="W2697" s="8"/>
      <c r="X2697" s="8"/>
      <c r="Y2697" s="8"/>
      <c r="Z2697" s="8"/>
    </row>
    <row r="2698" spans="1:26" ht="12.75" customHeight="1" x14ac:dyDescent="0.2">
      <c r="A2698" s="15">
        <v>18</v>
      </c>
      <c r="B2698" s="15">
        <v>1995</v>
      </c>
      <c r="C2698" s="15">
        <v>8</v>
      </c>
      <c r="D2698" s="15">
        <v>8</v>
      </c>
      <c r="E2698" s="22" t="s">
        <v>17</v>
      </c>
      <c r="F2698" s="11" t="s">
        <v>18</v>
      </c>
      <c r="G2698" s="15">
        <v>164</v>
      </c>
      <c r="H2698" s="15" t="s">
        <v>29</v>
      </c>
      <c r="I2698" s="25">
        <v>16</v>
      </c>
      <c r="J2698" s="11" t="s">
        <v>19</v>
      </c>
      <c r="K2698" s="11" t="s">
        <v>20</v>
      </c>
      <c r="L2698" s="11" t="s">
        <v>30</v>
      </c>
      <c r="M2698" s="11" t="s">
        <v>46</v>
      </c>
      <c r="N2698" s="11" t="s">
        <v>23</v>
      </c>
      <c r="O2698" s="16" t="s">
        <v>29</v>
      </c>
      <c r="P2698" s="15">
        <v>220</v>
      </c>
      <c r="Q2698" s="8"/>
      <c r="R2698">
        <v>15.3</v>
      </c>
      <c r="S2698">
        <v>3582.42</v>
      </c>
      <c r="T2698">
        <v>4.47</v>
      </c>
      <c r="U2698">
        <v>10.99</v>
      </c>
      <c r="V2698">
        <v>153</v>
      </c>
      <c r="W2698" s="317">
        <v>4.5999999999999996</v>
      </c>
      <c r="X2698" s="190">
        <f>I2698*W2698</f>
        <v>73.599999999999994</v>
      </c>
      <c r="Y2698" s="8"/>
      <c r="Z2698" s="8"/>
    </row>
    <row r="2699" spans="1:26" ht="12.75" customHeight="1" x14ac:dyDescent="0.2">
      <c r="A2699" s="15">
        <v>19</v>
      </c>
      <c r="B2699" s="15">
        <v>1995</v>
      </c>
      <c r="C2699" s="15">
        <v>8</v>
      </c>
      <c r="D2699" s="15">
        <v>8</v>
      </c>
      <c r="E2699" s="22" t="s">
        <v>17</v>
      </c>
      <c r="F2699" s="11" t="s">
        <v>18</v>
      </c>
      <c r="G2699" s="15">
        <v>143</v>
      </c>
      <c r="H2699" s="15" t="s">
        <v>29</v>
      </c>
      <c r="I2699" s="25">
        <v>12</v>
      </c>
      <c r="J2699" s="11" t="s">
        <v>19</v>
      </c>
      <c r="K2699" s="11" t="s">
        <v>20</v>
      </c>
      <c r="L2699" s="11" t="s">
        <v>21</v>
      </c>
      <c r="M2699" s="11" t="s">
        <v>46</v>
      </c>
      <c r="N2699" s="11" t="s">
        <v>24</v>
      </c>
      <c r="O2699" s="16" t="s">
        <v>29</v>
      </c>
      <c r="P2699" s="15">
        <v>220</v>
      </c>
      <c r="Q2699" s="8"/>
      <c r="R2699">
        <v>13.34</v>
      </c>
      <c r="S2699">
        <v>2374.94</v>
      </c>
      <c r="T2699">
        <v>5.05</v>
      </c>
      <c r="U2699">
        <v>9.58</v>
      </c>
      <c r="V2699">
        <v>133</v>
      </c>
      <c r="W2699" s="317">
        <v>3.9</v>
      </c>
      <c r="X2699" s="190">
        <f>I2699*W2699</f>
        <v>46.8</v>
      </c>
      <c r="Y2699" s="8"/>
      <c r="Z2699" s="8"/>
    </row>
    <row r="2700" spans="1:26" ht="12.75" customHeight="1" x14ac:dyDescent="0.2">
      <c r="A2700" s="15">
        <v>20</v>
      </c>
      <c r="B2700" s="15">
        <v>1995</v>
      </c>
      <c r="C2700" s="15">
        <v>8</v>
      </c>
      <c r="D2700" s="15">
        <v>8</v>
      </c>
      <c r="E2700" s="22" t="s">
        <v>17</v>
      </c>
      <c r="F2700" s="11" t="s">
        <v>18</v>
      </c>
      <c r="G2700" s="15">
        <v>100</v>
      </c>
      <c r="H2700" s="15" t="s">
        <v>29</v>
      </c>
      <c r="I2700" s="25">
        <v>2</v>
      </c>
      <c r="J2700" s="11" t="s">
        <v>32</v>
      </c>
      <c r="K2700" s="11" t="s">
        <v>29</v>
      </c>
      <c r="L2700" s="11" t="s">
        <v>35</v>
      </c>
      <c r="M2700" s="11" t="s">
        <v>47</v>
      </c>
      <c r="N2700" s="11" t="s">
        <v>29</v>
      </c>
      <c r="O2700" s="16" t="s">
        <v>29</v>
      </c>
      <c r="P2700" s="15">
        <v>220</v>
      </c>
      <c r="Q2700" s="8"/>
      <c r="R2700">
        <v>9.33</v>
      </c>
      <c r="S2700">
        <v>812.17</v>
      </c>
      <c r="T2700">
        <v>2.46</v>
      </c>
      <c r="U2700">
        <v>6.7</v>
      </c>
      <c r="V2700">
        <v>93</v>
      </c>
      <c r="W2700" s="8"/>
      <c r="X2700" s="8"/>
      <c r="Y2700" s="8"/>
      <c r="Z2700" s="8"/>
    </row>
    <row r="2701" spans="1:26" ht="12.75" customHeight="1" x14ac:dyDescent="0.2">
      <c r="A2701" s="15">
        <v>21</v>
      </c>
      <c r="B2701" s="15">
        <v>1995</v>
      </c>
      <c r="C2701" s="15">
        <v>8</v>
      </c>
      <c r="D2701" s="15">
        <v>8</v>
      </c>
      <c r="E2701" s="22" t="s">
        <v>17</v>
      </c>
      <c r="F2701" s="11" t="s">
        <v>18</v>
      </c>
      <c r="G2701" s="15">
        <v>107</v>
      </c>
      <c r="H2701" s="15" t="s">
        <v>29</v>
      </c>
      <c r="I2701" s="25">
        <v>2.5</v>
      </c>
      <c r="J2701" s="11" t="s">
        <v>32</v>
      </c>
      <c r="K2701" s="11" t="s">
        <v>29</v>
      </c>
      <c r="L2701" s="11" t="s">
        <v>35</v>
      </c>
      <c r="M2701" s="11" t="s">
        <v>46</v>
      </c>
      <c r="N2701" s="11" t="s">
        <v>24</v>
      </c>
      <c r="O2701" s="16" t="s">
        <v>29</v>
      </c>
      <c r="P2701" s="15">
        <v>220</v>
      </c>
      <c r="Q2701" s="8"/>
      <c r="R2701">
        <v>9.98</v>
      </c>
      <c r="S2701">
        <v>994.94</v>
      </c>
      <c r="T2701">
        <v>2.5099999999999998</v>
      </c>
      <c r="U2701">
        <v>7.17</v>
      </c>
      <c r="V2701">
        <v>100</v>
      </c>
      <c r="W2701" s="8"/>
      <c r="X2701" s="8"/>
      <c r="Y2701" s="8"/>
      <c r="Z2701" s="8"/>
    </row>
    <row r="2702" spans="1:26" ht="12.75" customHeight="1" x14ac:dyDescent="0.2">
      <c r="A2702" s="15">
        <v>22</v>
      </c>
      <c r="B2702" s="15">
        <v>1995</v>
      </c>
      <c r="C2702" s="15">
        <v>8</v>
      </c>
      <c r="D2702" s="15">
        <v>8</v>
      </c>
      <c r="E2702" s="22" t="s">
        <v>17</v>
      </c>
      <c r="F2702" s="11" t="s">
        <v>18</v>
      </c>
      <c r="G2702" s="15">
        <v>150</v>
      </c>
      <c r="H2702" s="15" t="s">
        <v>29</v>
      </c>
      <c r="I2702" s="25">
        <v>16</v>
      </c>
      <c r="J2702" s="11" t="s">
        <v>19</v>
      </c>
      <c r="K2702" s="11" t="s">
        <v>20</v>
      </c>
      <c r="L2702" s="11" t="s">
        <v>30</v>
      </c>
      <c r="M2702" s="11" t="s">
        <v>46</v>
      </c>
      <c r="N2702" s="11" t="s">
        <v>23</v>
      </c>
      <c r="O2702" s="16" t="s">
        <v>29</v>
      </c>
      <c r="P2702" s="15">
        <v>220</v>
      </c>
      <c r="Q2702" s="8"/>
      <c r="R2702">
        <v>14</v>
      </c>
      <c r="S2702">
        <v>2741.06</v>
      </c>
      <c r="T2702">
        <v>5.84</v>
      </c>
      <c r="U2702">
        <v>10.050000000000001</v>
      </c>
      <c r="V2702">
        <v>140</v>
      </c>
      <c r="W2702" s="317">
        <v>4.5999999999999996</v>
      </c>
      <c r="X2702" s="190">
        <f>I2702*W2702</f>
        <v>73.599999999999994</v>
      </c>
      <c r="Y2702" s="8"/>
      <c r="Z2702" s="8"/>
    </row>
    <row r="2703" spans="1:26" ht="12.75" customHeight="1" x14ac:dyDescent="0.2">
      <c r="A2703" s="15">
        <v>23</v>
      </c>
      <c r="B2703" s="15">
        <v>1995</v>
      </c>
      <c r="C2703" s="15">
        <v>8</v>
      </c>
      <c r="D2703" s="15">
        <v>8</v>
      </c>
      <c r="E2703" s="22" t="s">
        <v>17</v>
      </c>
      <c r="F2703" s="11" t="s">
        <v>18</v>
      </c>
      <c r="G2703" s="15">
        <v>115</v>
      </c>
      <c r="H2703" s="15" t="s">
        <v>29</v>
      </c>
      <c r="I2703" s="25">
        <v>2.9</v>
      </c>
      <c r="J2703" s="11" t="s">
        <v>32</v>
      </c>
      <c r="K2703" s="11" t="s">
        <v>29</v>
      </c>
      <c r="L2703" s="11" t="s">
        <v>35</v>
      </c>
      <c r="M2703" s="11" t="s">
        <v>46</v>
      </c>
      <c r="N2703" s="11" t="s">
        <v>29</v>
      </c>
      <c r="O2703" s="16" t="s">
        <v>29</v>
      </c>
      <c r="P2703" s="15">
        <v>220</v>
      </c>
      <c r="Q2703" s="8"/>
      <c r="R2703">
        <v>10.73</v>
      </c>
      <c r="S2703">
        <v>1235.2</v>
      </c>
      <c r="T2703">
        <v>2.35</v>
      </c>
      <c r="U2703">
        <v>7.71</v>
      </c>
      <c r="V2703">
        <v>107</v>
      </c>
      <c r="W2703" s="8"/>
      <c r="X2703" s="8"/>
      <c r="Y2703" s="8"/>
      <c r="Z2703" s="8"/>
    </row>
    <row r="2704" spans="1:26" ht="12.75" customHeight="1" x14ac:dyDescent="0.2">
      <c r="A2704" s="15">
        <v>24</v>
      </c>
      <c r="B2704" s="15">
        <v>1995</v>
      </c>
      <c r="C2704" s="15">
        <v>8</v>
      </c>
      <c r="D2704" s="15">
        <v>8</v>
      </c>
      <c r="E2704" s="22" t="s">
        <v>17</v>
      </c>
      <c r="F2704" s="11" t="s">
        <v>18</v>
      </c>
      <c r="G2704" s="15">
        <v>130</v>
      </c>
      <c r="H2704" s="15" t="s">
        <v>29</v>
      </c>
      <c r="I2704" s="25">
        <v>11</v>
      </c>
      <c r="J2704" s="11" t="s">
        <v>19</v>
      </c>
      <c r="K2704" s="11" t="s">
        <v>20</v>
      </c>
      <c r="L2704" s="11" t="s">
        <v>30</v>
      </c>
      <c r="M2704" s="11" t="s">
        <v>46</v>
      </c>
      <c r="N2704" s="11" t="s">
        <v>24</v>
      </c>
      <c r="O2704" s="16" t="s">
        <v>29</v>
      </c>
      <c r="P2704" s="15">
        <v>220</v>
      </c>
      <c r="Q2704" s="8"/>
      <c r="R2704">
        <v>12.13</v>
      </c>
      <c r="S2704">
        <v>1784.33</v>
      </c>
      <c r="T2704">
        <v>6.16</v>
      </c>
      <c r="U2704">
        <v>8.7100000000000009</v>
      </c>
      <c r="V2704">
        <v>121</v>
      </c>
      <c r="W2704" s="317">
        <v>4.5999999999999996</v>
      </c>
      <c r="X2704" s="190">
        <f>I2704*W2704</f>
        <v>50.599999999999994</v>
      </c>
      <c r="Y2704" s="8"/>
      <c r="Z2704" s="8"/>
    </row>
    <row r="2705" spans="1:26" ht="12.75" customHeight="1" x14ac:dyDescent="0.2">
      <c r="A2705" s="15">
        <v>25</v>
      </c>
      <c r="B2705" s="15">
        <v>1995</v>
      </c>
      <c r="C2705" s="15">
        <v>8</v>
      </c>
      <c r="D2705" s="15">
        <v>8</v>
      </c>
      <c r="E2705" s="22" t="s">
        <v>17</v>
      </c>
      <c r="F2705" s="11" t="s">
        <v>18</v>
      </c>
      <c r="G2705" s="15">
        <v>115</v>
      </c>
      <c r="H2705" s="15" t="s">
        <v>29</v>
      </c>
      <c r="I2705" s="25">
        <v>5.9</v>
      </c>
      <c r="J2705" s="11" t="s">
        <v>19</v>
      </c>
      <c r="K2705" s="11" t="s">
        <v>41</v>
      </c>
      <c r="L2705" s="11" t="s">
        <v>35</v>
      </c>
      <c r="M2705" s="11" t="s">
        <v>46</v>
      </c>
      <c r="N2705" s="11" t="s">
        <v>24</v>
      </c>
      <c r="O2705" s="16" t="s">
        <v>29</v>
      </c>
      <c r="P2705" s="15">
        <v>220</v>
      </c>
      <c r="Q2705" s="8"/>
      <c r="R2705">
        <v>10.73</v>
      </c>
      <c r="S2705">
        <v>1235.2</v>
      </c>
      <c r="T2705">
        <v>4.78</v>
      </c>
      <c r="U2705">
        <v>7.71</v>
      </c>
      <c r="V2705">
        <v>107</v>
      </c>
      <c r="W2705" s="8"/>
      <c r="X2705" s="8"/>
      <c r="Y2705" s="8"/>
      <c r="Z2705" s="8"/>
    </row>
    <row r="2706" spans="1:26" ht="12.75" customHeight="1" x14ac:dyDescent="0.2">
      <c r="A2706" s="15">
        <v>26</v>
      </c>
      <c r="B2706" s="15">
        <v>1995</v>
      </c>
      <c r="C2706" s="15">
        <v>8</v>
      </c>
      <c r="D2706" s="15">
        <v>8</v>
      </c>
      <c r="E2706" s="22" t="s">
        <v>17</v>
      </c>
      <c r="F2706" s="11" t="s">
        <v>18</v>
      </c>
      <c r="G2706" s="15">
        <v>142</v>
      </c>
      <c r="H2706" s="15" t="s">
        <v>29</v>
      </c>
      <c r="I2706" s="25">
        <v>13.5</v>
      </c>
      <c r="J2706" s="11" t="s">
        <v>19</v>
      </c>
      <c r="K2706" s="11" t="s">
        <v>20</v>
      </c>
      <c r="L2706" s="11" t="s">
        <v>30</v>
      </c>
      <c r="M2706" s="11" t="s">
        <v>45</v>
      </c>
      <c r="N2706" s="11" t="s">
        <v>24</v>
      </c>
      <c r="O2706" s="16" t="s">
        <v>29</v>
      </c>
      <c r="P2706" s="15">
        <v>220</v>
      </c>
      <c r="Q2706" s="8"/>
      <c r="R2706">
        <v>13.25</v>
      </c>
      <c r="S2706">
        <v>2325.4699999999998</v>
      </c>
      <c r="T2706">
        <v>5.81</v>
      </c>
      <c r="U2706">
        <v>9.51</v>
      </c>
      <c r="V2706">
        <v>132</v>
      </c>
      <c r="W2706" s="317">
        <v>4.5999999999999996</v>
      </c>
      <c r="X2706" s="190">
        <f>I2706*W2706</f>
        <v>62.099999999999994</v>
      </c>
      <c r="Y2706" s="8"/>
      <c r="Z2706" s="8"/>
    </row>
    <row r="2707" spans="1:26" ht="12.75" customHeight="1" x14ac:dyDescent="0.2">
      <c r="A2707" s="15">
        <v>27</v>
      </c>
      <c r="B2707" s="15">
        <v>1995</v>
      </c>
      <c r="C2707" s="15">
        <v>8</v>
      </c>
      <c r="D2707" s="15">
        <v>8</v>
      </c>
      <c r="E2707" s="22" t="s">
        <v>17</v>
      </c>
      <c r="F2707" s="11" t="s">
        <v>18</v>
      </c>
      <c r="G2707" s="15">
        <v>112</v>
      </c>
      <c r="H2707" s="15" t="s">
        <v>29</v>
      </c>
      <c r="I2707" s="25">
        <v>2.5</v>
      </c>
      <c r="J2707" s="11" t="s">
        <v>32</v>
      </c>
      <c r="K2707" s="11" t="s">
        <v>29</v>
      </c>
      <c r="L2707" s="11" t="s">
        <v>35</v>
      </c>
      <c r="M2707" s="11" t="s">
        <v>46</v>
      </c>
      <c r="N2707" s="11" t="s">
        <v>24</v>
      </c>
      <c r="O2707" s="16" t="s">
        <v>29</v>
      </c>
      <c r="P2707" s="15">
        <v>220</v>
      </c>
      <c r="Q2707" s="8"/>
      <c r="R2707">
        <v>10.45</v>
      </c>
      <c r="S2707">
        <v>1141.04</v>
      </c>
      <c r="T2707">
        <v>2.19</v>
      </c>
      <c r="U2707">
        <v>7.5</v>
      </c>
      <c r="V2707">
        <v>104</v>
      </c>
      <c r="W2707" s="8"/>
      <c r="X2707" s="8"/>
      <c r="Y2707" s="8"/>
      <c r="Z2707" s="8"/>
    </row>
    <row r="2708" spans="1:26" ht="12.75" customHeight="1" x14ac:dyDescent="0.2">
      <c r="A2708" s="15">
        <v>28</v>
      </c>
      <c r="B2708" s="15">
        <v>1995</v>
      </c>
      <c r="C2708" s="15">
        <v>8</v>
      </c>
      <c r="D2708" s="15">
        <v>8</v>
      </c>
      <c r="E2708" s="22" t="s">
        <v>17</v>
      </c>
      <c r="F2708" s="11" t="s">
        <v>18</v>
      </c>
      <c r="G2708" s="15">
        <v>99</v>
      </c>
      <c r="H2708" s="15" t="s">
        <v>29</v>
      </c>
      <c r="I2708" s="25">
        <v>3.5</v>
      </c>
      <c r="J2708" s="11" t="s">
        <v>19</v>
      </c>
      <c r="K2708" s="11" t="s">
        <v>41</v>
      </c>
      <c r="L2708" s="11" t="s">
        <v>35</v>
      </c>
      <c r="M2708" s="11" t="s">
        <v>46</v>
      </c>
      <c r="N2708" s="11" t="s">
        <v>24</v>
      </c>
      <c r="O2708" s="16" t="s">
        <v>29</v>
      </c>
      <c r="P2708" s="15">
        <v>220</v>
      </c>
      <c r="Q2708" s="8"/>
      <c r="R2708">
        <v>9.24</v>
      </c>
      <c r="S2708">
        <v>788.04</v>
      </c>
      <c r="T2708">
        <v>4.4400000000000004</v>
      </c>
      <c r="U2708">
        <v>6.63</v>
      </c>
      <c r="V2708">
        <v>92</v>
      </c>
      <c r="W2708" s="8"/>
      <c r="X2708" s="8"/>
      <c r="Y2708" s="8"/>
      <c r="Z2708" s="8"/>
    </row>
    <row r="2709" spans="1:26" ht="12.75" customHeight="1" x14ac:dyDescent="0.2">
      <c r="A2709" s="15">
        <v>29</v>
      </c>
      <c r="B2709" s="15">
        <v>1995</v>
      </c>
      <c r="C2709" s="15">
        <v>8</v>
      </c>
      <c r="D2709" s="15">
        <v>8</v>
      </c>
      <c r="E2709" s="22" t="s">
        <v>17</v>
      </c>
      <c r="F2709" s="11" t="s">
        <v>18</v>
      </c>
      <c r="G2709" s="15">
        <v>135</v>
      </c>
      <c r="H2709" s="15" t="s">
        <v>29</v>
      </c>
      <c r="I2709" s="25">
        <v>9</v>
      </c>
      <c r="J2709" s="11" t="s">
        <v>19</v>
      </c>
      <c r="K2709" s="11" t="s">
        <v>41</v>
      </c>
      <c r="L2709" s="11" t="s">
        <v>41</v>
      </c>
      <c r="M2709" s="11" t="s">
        <v>27</v>
      </c>
      <c r="N2709" s="11" t="s">
        <v>25</v>
      </c>
      <c r="O2709" s="16" t="s">
        <v>29</v>
      </c>
      <c r="P2709" s="15">
        <v>220</v>
      </c>
      <c r="Q2709" s="8"/>
      <c r="R2709">
        <v>12.6</v>
      </c>
      <c r="S2709">
        <v>1998.23</v>
      </c>
      <c r="T2709">
        <v>4.5</v>
      </c>
      <c r="U2709">
        <v>9.0500000000000007</v>
      </c>
      <c r="V2709">
        <v>126</v>
      </c>
      <c r="W2709" s="8"/>
      <c r="X2709" s="8"/>
      <c r="Y2709" s="8"/>
      <c r="Z2709" s="8"/>
    </row>
    <row r="2710" spans="1:26" ht="12.75" customHeight="1" x14ac:dyDescent="0.2">
      <c r="A2710" s="15">
        <v>30</v>
      </c>
      <c r="B2710" s="15">
        <v>1995</v>
      </c>
      <c r="C2710" s="15">
        <v>8</v>
      </c>
      <c r="D2710" s="15">
        <v>8</v>
      </c>
      <c r="E2710" s="22" t="s">
        <v>17</v>
      </c>
      <c r="F2710" s="11" t="s">
        <v>28</v>
      </c>
      <c r="G2710" s="11" t="s">
        <v>29</v>
      </c>
      <c r="H2710" s="15" t="s">
        <v>29</v>
      </c>
      <c r="I2710" s="25" t="s">
        <v>29</v>
      </c>
      <c r="J2710" s="11" t="s">
        <v>32</v>
      </c>
      <c r="K2710" s="11" t="s">
        <v>29</v>
      </c>
      <c r="L2710" s="11" t="s">
        <v>35</v>
      </c>
      <c r="M2710" s="11" t="s">
        <v>29</v>
      </c>
      <c r="N2710" s="11" t="s">
        <v>29</v>
      </c>
      <c r="O2710" s="16" t="s">
        <v>29</v>
      </c>
      <c r="P2710" s="15">
        <v>220</v>
      </c>
      <c r="Q2710" s="8"/>
      <c r="W2710" s="8"/>
      <c r="X2710" s="8"/>
      <c r="Y2710" s="8"/>
      <c r="Z2710" s="8"/>
    </row>
    <row r="2711" spans="1:26" ht="12.75" customHeight="1" x14ac:dyDescent="0.2">
      <c r="A2711" s="15">
        <v>31</v>
      </c>
      <c r="B2711" s="15">
        <v>1995</v>
      </c>
      <c r="C2711" s="15">
        <v>8</v>
      </c>
      <c r="D2711" s="15">
        <v>8</v>
      </c>
      <c r="E2711" s="22" t="s">
        <v>17</v>
      </c>
      <c r="F2711" s="11" t="s">
        <v>28</v>
      </c>
      <c r="G2711" s="11" t="s">
        <v>29</v>
      </c>
      <c r="H2711" s="15" t="s">
        <v>29</v>
      </c>
      <c r="I2711" s="25" t="s">
        <v>29</v>
      </c>
      <c r="J2711" s="11" t="s">
        <v>32</v>
      </c>
      <c r="K2711" s="11" t="s">
        <v>29</v>
      </c>
      <c r="L2711" s="11" t="s">
        <v>35</v>
      </c>
      <c r="M2711" s="11" t="s">
        <v>29</v>
      </c>
      <c r="N2711" s="11" t="s">
        <v>29</v>
      </c>
      <c r="O2711" s="16" t="s">
        <v>29</v>
      </c>
      <c r="P2711" s="15">
        <v>220</v>
      </c>
      <c r="Q2711" s="8"/>
      <c r="W2711" s="8"/>
      <c r="X2711" s="8"/>
      <c r="Y2711" s="8"/>
      <c r="Z2711" s="8"/>
    </row>
    <row r="2712" spans="1:26" ht="12.75" customHeight="1" x14ac:dyDescent="0.2">
      <c r="A2712" s="15">
        <v>32</v>
      </c>
      <c r="B2712" s="15">
        <v>1995</v>
      </c>
      <c r="C2712" s="15">
        <v>8</v>
      </c>
      <c r="D2712" s="15">
        <v>8</v>
      </c>
      <c r="E2712" s="22" t="s">
        <v>17</v>
      </c>
      <c r="F2712" s="11" t="s">
        <v>18</v>
      </c>
      <c r="G2712" s="15">
        <v>127</v>
      </c>
      <c r="H2712" s="15" t="s">
        <v>29</v>
      </c>
      <c r="I2712" s="25">
        <v>6.5</v>
      </c>
      <c r="J2712" s="11" t="s">
        <v>19</v>
      </c>
      <c r="K2712" s="11" t="s">
        <v>20</v>
      </c>
      <c r="L2712" s="11" t="s">
        <v>21</v>
      </c>
      <c r="M2712" s="11" t="s">
        <v>46</v>
      </c>
      <c r="N2712" s="11" t="s">
        <v>25</v>
      </c>
      <c r="O2712" s="16" t="s">
        <v>29</v>
      </c>
      <c r="P2712" s="15">
        <v>220</v>
      </c>
      <c r="Q2712" s="8"/>
      <c r="R2712">
        <v>11.85</v>
      </c>
      <c r="S2712">
        <v>1663.63</v>
      </c>
      <c r="T2712">
        <v>3.91</v>
      </c>
      <c r="U2712">
        <v>8.51</v>
      </c>
      <c r="V2712">
        <v>118</v>
      </c>
      <c r="W2712" s="317">
        <v>3.9</v>
      </c>
      <c r="X2712" s="190">
        <f>I2712*W2712</f>
        <v>25.349999999999998</v>
      </c>
      <c r="Y2712" s="8"/>
      <c r="Z2712" s="8"/>
    </row>
    <row r="2713" spans="1:26" ht="12.75" customHeight="1" x14ac:dyDescent="0.2">
      <c r="A2713" s="15">
        <v>33</v>
      </c>
      <c r="B2713" s="15">
        <v>1995</v>
      </c>
      <c r="C2713" s="15">
        <v>8</v>
      </c>
      <c r="D2713" s="15">
        <v>8</v>
      </c>
      <c r="E2713" s="22" t="s">
        <v>17</v>
      </c>
      <c r="F2713" s="11" t="s">
        <v>18</v>
      </c>
      <c r="G2713" s="15">
        <v>162</v>
      </c>
      <c r="H2713" s="15" t="s">
        <v>29</v>
      </c>
      <c r="I2713" s="25">
        <v>18</v>
      </c>
      <c r="J2713" s="11" t="s">
        <v>19</v>
      </c>
      <c r="K2713" s="11" t="s">
        <v>20</v>
      </c>
      <c r="L2713" s="11" t="s">
        <v>30</v>
      </c>
      <c r="M2713" s="11" t="s">
        <v>46</v>
      </c>
      <c r="N2713" s="11" t="s">
        <v>23</v>
      </c>
      <c r="O2713" s="16" t="s">
        <v>29</v>
      </c>
      <c r="P2713" s="15">
        <v>220</v>
      </c>
      <c r="Q2713" s="8"/>
      <c r="R2713">
        <v>15.11</v>
      </c>
      <c r="S2713">
        <v>3452.95</v>
      </c>
      <c r="T2713">
        <v>5.21</v>
      </c>
      <c r="U2713">
        <v>10.85</v>
      </c>
      <c r="V2713">
        <v>151</v>
      </c>
      <c r="W2713" s="317">
        <v>4.5999999999999996</v>
      </c>
      <c r="X2713" s="190">
        <f>I2713*W2713</f>
        <v>82.8</v>
      </c>
      <c r="Y2713" s="8"/>
      <c r="Z2713" s="8"/>
    </row>
    <row r="2714" spans="1:26" ht="12.75" customHeight="1" x14ac:dyDescent="0.2">
      <c r="A2714" s="15">
        <v>34</v>
      </c>
      <c r="B2714" s="15">
        <v>1995</v>
      </c>
      <c r="C2714" s="15">
        <v>8</v>
      </c>
      <c r="D2714" s="15">
        <v>8</v>
      </c>
      <c r="E2714" s="22" t="s">
        <v>17</v>
      </c>
      <c r="F2714" s="11" t="s">
        <v>18</v>
      </c>
      <c r="G2714" s="15">
        <v>104</v>
      </c>
      <c r="H2714" s="15" t="s">
        <v>29</v>
      </c>
      <c r="I2714" s="25">
        <v>2.7</v>
      </c>
      <c r="J2714" s="11" t="s">
        <v>32</v>
      </c>
      <c r="K2714" s="11" t="s">
        <v>29</v>
      </c>
      <c r="L2714" s="11" t="s">
        <v>35</v>
      </c>
      <c r="M2714" s="11" t="s">
        <v>46</v>
      </c>
      <c r="N2714" s="11" t="s">
        <v>24</v>
      </c>
      <c r="O2714" s="16" t="s">
        <v>29</v>
      </c>
      <c r="P2714" s="15">
        <v>220</v>
      </c>
      <c r="Q2714" s="8"/>
      <c r="R2714">
        <v>9.6999999999999993</v>
      </c>
      <c r="S2714">
        <v>913.58</v>
      </c>
      <c r="T2714">
        <v>2.96</v>
      </c>
      <c r="U2714">
        <v>6.97</v>
      </c>
      <c r="V2714">
        <v>97</v>
      </c>
      <c r="W2714" s="8"/>
      <c r="X2714" s="8"/>
      <c r="Y2714" s="8"/>
      <c r="Z2714" s="8"/>
    </row>
    <row r="2715" spans="1:26" ht="12.75" customHeight="1" x14ac:dyDescent="0.2">
      <c r="A2715" s="15">
        <v>35</v>
      </c>
      <c r="B2715" s="15">
        <v>1995</v>
      </c>
      <c r="C2715" s="15">
        <v>8</v>
      </c>
      <c r="D2715" s="15">
        <v>8</v>
      </c>
      <c r="E2715" s="22" t="s">
        <v>17</v>
      </c>
      <c r="F2715" s="11" t="s">
        <v>18</v>
      </c>
      <c r="G2715" s="15">
        <v>106</v>
      </c>
      <c r="H2715" s="15" t="s">
        <v>29</v>
      </c>
      <c r="I2715" s="25">
        <v>2.4</v>
      </c>
      <c r="J2715" s="11" t="s">
        <v>32</v>
      </c>
      <c r="K2715" s="11" t="s">
        <v>29</v>
      </c>
      <c r="L2715" s="11" t="s">
        <v>35</v>
      </c>
      <c r="M2715" s="11" t="s">
        <v>45</v>
      </c>
      <c r="N2715" s="11" t="s">
        <v>24</v>
      </c>
      <c r="O2715" s="16" t="s">
        <v>29</v>
      </c>
      <c r="P2715" s="15">
        <v>220</v>
      </c>
      <c r="Q2715" s="8"/>
      <c r="R2715">
        <v>9.89</v>
      </c>
      <c r="S2715">
        <v>967.3</v>
      </c>
      <c r="T2715">
        <v>2.48</v>
      </c>
      <c r="U2715">
        <v>7.1</v>
      </c>
      <c r="V2715">
        <v>99</v>
      </c>
      <c r="W2715" s="8"/>
      <c r="X2715" s="8"/>
      <c r="Y2715" s="8"/>
      <c r="Z2715" s="8"/>
    </row>
    <row r="2716" spans="1:26" ht="12.75" customHeight="1" x14ac:dyDescent="0.2">
      <c r="A2716" s="15">
        <v>36</v>
      </c>
      <c r="B2716" s="15">
        <v>1995</v>
      </c>
      <c r="C2716" s="15">
        <v>8</v>
      </c>
      <c r="D2716" s="15">
        <v>8</v>
      </c>
      <c r="E2716" s="22" t="s">
        <v>17</v>
      </c>
      <c r="F2716" s="11" t="s">
        <v>18</v>
      </c>
      <c r="G2716" s="15">
        <v>108</v>
      </c>
      <c r="H2716" s="15" t="s">
        <v>29</v>
      </c>
      <c r="I2716" s="25">
        <v>2.2000000000000002</v>
      </c>
      <c r="J2716" s="11" t="s">
        <v>32</v>
      </c>
      <c r="K2716" s="11" t="s">
        <v>29</v>
      </c>
      <c r="L2716" s="11" t="s">
        <v>35</v>
      </c>
      <c r="M2716" s="11" t="s">
        <v>46</v>
      </c>
      <c r="N2716" s="11" t="s">
        <v>24</v>
      </c>
      <c r="O2716" s="16" t="s">
        <v>29</v>
      </c>
      <c r="P2716" s="15">
        <v>220</v>
      </c>
      <c r="Q2716" s="8"/>
      <c r="R2716">
        <v>10.08</v>
      </c>
      <c r="S2716">
        <v>1023.1</v>
      </c>
      <c r="T2716">
        <v>2.15</v>
      </c>
      <c r="U2716">
        <v>7.24</v>
      </c>
      <c r="V2716">
        <v>101</v>
      </c>
      <c r="W2716" s="8"/>
      <c r="X2716" s="8"/>
      <c r="Y2716" s="8"/>
      <c r="Z2716" s="8"/>
    </row>
    <row r="2717" spans="1:26" ht="12.75" customHeight="1" x14ac:dyDescent="0.2">
      <c r="A2717" s="15">
        <v>37</v>
      </c>
      <c r="B2717" s="15">
        <v>1995</v>
      </c>
      <c r="C2717" s="15">
        <v>8</v>
      </c>
      <c r="D2717" s="15">
        <v>8</v>
      </c>
      <c r="E2717" s="22" t="s">
        <v>17</v>
      </c>
      <c r="F2717" s="11" t="s">
        <v>18</v>
      </c>
      <c r="G2717" s="15">
        <v>130</v>
      </c>
      <c r="H2717" s="15" t="s">
        <v>29</v>
      </c>
      <c r="I2717" s="25">
        <v>10</v>
      </c>
      <c r="J2717" s="11" t="s">
        <v>19</v>
      </c>
      <c r="K2717" s="11" t="s">
        <v>20</v>
      </c>
      <c r="L2717" s="11" t="s">
        <v>30</v>
      </c>
      <c r="M2717" s="11" t="s">
        <v>27</v>
      </c>
      <c r="N2717" s="11" t="s">
        <v>25</v>
      </c>
      <c r="O2717" s="16" t="s">
        <v>29</v>
      </c>
      <c r="P2717" s="15">
        <v>220</v>
      </c>
      <c r="Q2717" s="8"/>
      <c r="R2717">
        <v>12.13</v>
      </c>
      <c r="S2717">
        <v>1784.33</v>
      </c>
      <c r="T2717">
        <v>5.6</v>
      </c>
      <c r="U2717">
        <v>8.7100000000000009</v>
      </c>
      <c r="V2717">
        <v>121</v>
      </c>
      <c r="W2717" s="317">
        <v>4.5999999999999996</v>
      </c>
      <c r="X2717" s="190">
        <f>I2717*W2717</f>
        <v>46</v>
      </c>
      <c r="Y2717" s="8"/>
      <c r="Z2717" s="8"/>
    </row>
    <row r="2718" spans="1:26" ht="12.75" customHeight="1" x14ac:dyDescent="0.2">
      <c r="A2718" s="15">
        <v>38</v>
      </c>
      <c r="B2718" s="15">
        <v>1995</v>
      </c>
      <c r="C2718" s="15">
        <v>8</v>
      </c>
      <c r="D2718" s="15">
        <v>8</v>
      </c>
      <c r="E2718" s="22" t="s">
        <v>17</v>
      </c>
      <c r="F2718" s="11" t="s">
        <v>18</v>
      </c>
      <c r="G2718" s="15">
        <v>140</v>
      </c>
      <c r="H2718" s="15" t="s">
        <v>29</v>
      </c>
      <c r="I2718" s="25">
        <v>11</v>
      </c>
      <c r="J2718" s="11" t="s">
        <v>19</v>
      </c>
      <c r="K2718" s="11" t="s">
        <v>20</v>
      </c>
      <c r="L2718" s="11" t="s">
        <v>30</v>
      </c>
      <c r="M2718" s="11" t="s">
        <v>46</v>
      </c>
      <c r="N2718" s="11" t="s">
        <v>33</v>
      </c>
      <c r="O2718" s="16" t="s">
        <v>29</v>
      </c>
      <c r="P2718" s="15">
        <v>220</v>
      </c>
      <c r="Q2718" s="8"/>
      <c r="R2718">
        <v>13.06</v>
      </c>
      <c r="S2718">
        <v>2228.58</v>
      </c>
      <c r="T2718">
        <v>4.9400000000000004</v>
      </c>
      <c r="U2718">
        <v>9.3800000000000008</v>
      </c>
      <c r="V2718">
        <v>131</v>
      </c>
      <c r="W2718" s="317">
        <v>4.5999999999999996</v>
      </c>
      <c r="X2718" s="190">
        <f>I2718*W2718</f>
        <v>50.599999999999994</v>
      </c>
      <c r="Y2718" s="8"/>
      <c r="Z2718" s="8"/>
    </row>
    <row r="2719" spans="1:26" ht="12.75" customHeight="1" x14ac:dyDescent="0.2">
      <c r="A2719" s="15">
        <v>39</v>
      </c>
      <c r="B2719" s="15">
        <v>1995</v>
      </c>
      <c r="C2719" s="15">
        <v>8</v>
      </c>
      <c r="D2719" s="15">
        <v>8</v>
      </c>
      <c r="E2719" s="22" t="s">
        <v>17</v>
      </c>
      <c r="F2719" s="11" t="s">
        <v>18</v>
      </c>
      <c r="G2719" s="15">
        <v>131</v>
      </c>
      <c r="H2719" s="15" t="s">
        <v>29</v>
      </c>
      <c r="I2719" s="25">
        <v>9</v>
      </c>
      <c r="J2719" s="11" t="s">
        <v>19</v>
      </c>
      <c r="K2719" s="11" t="s">
        <v>20</v>
      </c>
      <c r="L2719" s="11" t="s">
        <v>30</v>
      </c>
      <c r="M2719" s="11" t="s">
        <v>27</v>
      </c>
      <c r="N2719" s="11" t="s">
        <v>25</v>
      </c>
      <c r="O2719" s="16" t="s">
        <v>29</v>
      </c>
      <c r="P2719" s="15">
        <v>220</v>
      </c>
      <c r="Q2719" s="8"/>
      <c r="R2719">
        <v>12.22</v>
      </c>
      <c r="S2719">
        <v>1825.82</v>
      </c>
      <c r="T2719">
        <v>4.93</v>
      </c>
      <c r="U2719">
        <v>8.7799999999999994</v>
      </c>
      <c r="V2719">
        <v>122</v>
      </c>
      <c r="W2719" s="317">
        <v>4.5999999999999996</v>
      </c>
      <c r="X2719" s="190">
        <f>I2719*W2719</f>
        <v>41.4</v>
      </c>
      <c r="Y2719" s="8"/>
      <c r="Z2719" s="8"/>
    </row>
    <row r="2720" spans="1:26" ht="12.75" customHeight="1" x14ac:dyDescent="0.2">
      <c r="A2720" s="15">
        <v>40</v>
      </c>
      <c r="B2720" s="15">
        <v>1995</v>
      </c>
      <c r="C2720" s="15">
        <v>8</v>
      </c>
      <c r="D2720" s="15">
        <v>8</v>
      </c>
      <c r="E2720" s="22" t="s">
        <v>17</v>
      </c>
      <c r="F2720" s="11" t="s">
        <v>18</v>
      </c>
      <c r="G2720" s="15">
        <v>134</v>
      </c>
      <c r="H2720" s="15" t="s">
        <v>29</v>
      </c>
      <c r="I2720" s="25">
        <v>13</v>
      </c>
      <c r="J2720" s="11" t="s">
        <v>19</v>
      </c>
      <c r="K2720" s="11" t="s">
        <v>20</v>
      </c>
      <c r="L2720" s="11" t="s">
        <v>30</v>
      </c>
      <c r="M2720" s="11" t="s">
        <v>46</v>
      </c>
      <c r="N2720" s="11" t="s">
        <v>24</v>
      </c>
      <c r="O2720" s="16" t="s">
        <v>29</v>
      </c>
      <c r="P2720" s="15">
        <v>220</v>
      </c>
      <c r="Q2720" s="8"/>
      <c r="R2720">
        <v>12.5</v>
      </c>
      <c r="S2720">
        <v>1954.16</v>
      </c>
      <c r="T2720">
        <v>6.65</v>
      </c>
      <c r="U2720">
        <v>8.98</v>
      </c>
      <c r="V2720">
        <v>125</v>
      </c>
      <c r="W2720" s="317">
        <v>4.5999999999999996</v>
      </c>
      <c r="X2720" s="190">
        <f>I2720*W2720</f>
        <v>59.8</v>
      </c>
      <c r="Y2720" s="8"/>
      <c r="Z2720" s="8"/>
    </row>
    <row r="2721" spans="1:26" ht="12.75" customHeight="1" x14ac:dyDescent="0.2">
      <c r="A2721" s="15">
        <v>41</v>
      </c>
      <c r="B2721" s="15">
        <v>1995</v>
      </c>
      <c r="C2721" s="15">
        <v>8</v>
      </c>
      <c r="D2721" s="15">
        <v>8</v>
      </c>
      <c r="E2721" s="22" t="s">
        <v>17</v>
      </c>
      <c r="F2721" s="11" t="s">
        <v>18</v>
      </c>
      <c r="G2721" s="15">
        <v>129</v>
      </c>
      <c r="H2721" s="15" t="s">
        <v>29</v>
      </c>
      <c r="I2721" s="25">
        <v>9.5</v>
      </c>
      <c r="J2721" s="11" t="s">
        <v>19</v>
      </c>
      <c r="K2721" s="11" t="s">
        <v>20</v>
      </c>
      <c r="L2721" s="11" t="s">
        <v>30</v>
      </c>
      <c r="M2721" s="11" t="s">
        <v>45</v>
      </c>
      <c r="N2721" s="11" t="s">
        <v>24</v>
      </c>
      <c r="O2721" s="16" t="s">
        <v>29</v>
      </c>
      <c r="P2721" s="15">
        <v>220</v>
      </c>
      <c r="Q2721" s="8"/>
      <c r="R2721">
        <v>12.04</v>
      </c>
      <c r="S2721">
        <v>1743.47</v>
      </c>
      <c r="T2721">
        <v>5.45</v>
      </c>
      <c r="U2721">
        <v>8.64</v>
      </c>
      <c r="V2721">
        <v>120</v>
      </c>
      <c r="W2721" s="317">
        <v>4.5999999999999996</v>
      </c>
      <c r="X2721" s="190">
        <f>I2721*W2721</f>
        <v>43.699999999999996</v>
      </c>
      <c r="Y2721" s="8"/>
      <c r="Z2721" s="8"/>
    </row>
    <row r="2722" spans="1:26" ht="12.75" customHeight="1" x14ac:dyDescent="0.2">
      <c r="A2722" s="15">
        <v>42</v>
      </c>
      <c r="B2722" s="15">
        <v>1995</v>
      </c>
      <c r="C2722" s="15">
        <v>8</v>
      </c>
      <c r="D2722" s="15">
        <v>8</v>
      </c>
      <c r="E2722" s="22" t="s">
        <v>17</v>
      </c>
      <c r="F2722" s="11" t="s">
        <v>18</v>
      </c>
      <c r="G2722" s="15">
        <v>109</v>
      </c>
      <c r="H2722" s="15" t="s">
        <v>29</v>
      </c>
      <c r="I2722" s="25">
        <v>8</v>
      </c>
      <c r="J2722" s="11" t="s">
        <v>36</v>
      </c>
      <c r="K2722" s="11" t="s">
        <v>29</v>
      </c>
      <c r="L2722" s="11" t="s">
        <v>29</v>
      </c>
      <c r="M2722" s="11" t="s">
        <v>46</v>
      </c>
      <c r="N2722" s="11" t="s">
        <v>24</v>
      </c>
      <c r="O2722" s="16" t="s">
        <v>29</v>
      </c>
      <c r="P2722" s="15">
        <v>220</v>
      </c>
      <c r="Q2722" s="8"/>
      <c r="R2722">
        <v>10.17</v>
      </c>
      <c r="S2722">
        <v>1051.78</v>
      </c>
      <c r="T2722">
        <v>7.61</v>
      </c>
      <c r="U2722">
        <v>7.3</v>
      </c>
      <c r="V2722">
        <v>102</v>
      </c>
      <c r="W2722" s="8"/>
      <c r="X2722" s="8"/>
      <c r="Y2722" s="8"/>
      <c r="Z2722" s="8"/>
    </row>
    <row r="2723" spans="1:26" ht="12.75" customHeight="1" x14ac:dyDescent="0.2">
      <c r="A2723" s="15">
        <v>43</v>
      </c>
      <c r="B2723" s="15">
        <v>1995</v>
      </c>
      <c r="C2723" s="15">
        <v>8</v>
      </c>
      <c r="D2723" s="15">
        <v>8</v>
      </c>
      <c r="E2723" s="22" t="s">
        <v>17</v>
      </c>
      <c r="F2723" s="11" t="s">
        <v>18</v>
      </c>
      <c r="G2723" s="15">
        <v>130</v>
      </c>
      <c r="H2723" s="15" t="s">
        <v>29</v>
      </c>
      <c r="I2723" s="25">
        <v>12</v>
      </c>
      <c r="J2723" s="11" t="s">
        <v>19</v>
      </c>
      <c r="K2723" s="11" t="s">
        <v>20</v>
      </c>
      <c r="L2723" s="11" t="s">
        <v>30</v>
      </c>
      <c r="M2723" s="11" t="s">
        <v>27</v>
      </c>
      <c r="N2723" s="11" t="s">
        <v>25</v>
      </c>
      <c r="O2723" s="16" t="s">
        <v>29</v>
      </c>
      <c r="P2723" s="15">
        <v>220</v>
      </c>
      <c r="Q2723" s="8"/>
      <c r="R2723">
        <v>12.13</v>
      </c>
      <c r="S2723">
        <v>1784.33</v>
      </c>
      <c r="T2723">
        <v>6.73</v>
      </c>
      <c r="U2723">
        <v>8.7100000000000009</v>
      </c>
      <c r="V2723">
        <v>121</v>
      </c>
      <c r="W2723" s="317">
        <v>4.5999999999999996</v>
      </c>
      <c r="X2723" s="190">
        <f>I2723*W2723</f>
        <v>55.199999999999996</v>
      </c>
      <c r="Y2723" s="8"/>
      <c r="Z2723" s="8"/>
    </row>
    <row r="2724" spans="1:26" ht="12.75" customHeight="1" x14ac:dyDescent="0.2">
      <c r="A2724" s="15">
        <v>44</v>
      </c>
      <c r="B2724" s="15">
        <v>1995</v>
      </c>
      <c r="C2724" s="15">
        <v>8</v>
      </c>
      <c r="D2724" s="15">
        <v>8</v>
      </c>
      <c r="E2724" s="22" t="s">
        <v>17</v>
      </c>
      <c r="F2724" s="11" t="s">
        <v>18</v>
      </c>
      <c r="G2724" s="15">
        <v>108</v>
      </c>
      <c r="H2724" s="15" t="s">
        <v>29</v>
      </c>
      <c r="I2724" s="25">
        <v>2.2999999999999998</v>
      </c>
      <c r="J2724" s="11" t="s">
        <v>32</v>
      </c>
      <c r="K2724" s="11" t="s">
        <v>29</v>
      </c>
      <c r="L2724" s="11" t="s">
        <v>35</v>
      </c>
      <c r="M2724" s="11" t="s">
        <v>29</v>
      </c>
      <c r="N2724" s="11" t="s">
        <v>29</v>
      </c>
      <c r="O2724" s="16" t="s">
        <v>29</v>
      </c>
      <c r="P2724" s="15">
        <v>220</v>
      </c>
      <c r="Q2724" s="8"/>
      <c r="R2724">
        <v>10.08</v>
      </c>
      <c r="S2724">
        <v>1023.1</v>
      </c>
      <c r="T2724">
        <v>2.25</v>
      </c>
      <c r="U2724">
        <v>7.24</v>
      </c>
      <c r="V2724">
        <v>101</v>
      </c>
      <c r="W2724" s="8"/>
      <c r="X2724" s="8"/>
      <c r="Y2724" s="8"/>
      <c r="Z2724" s="8"/>
    </row>
    <row r="2725" spans="1:26" ht="12.75" customHeight="1" x14ac:dyDescent="0.2">
      <c r="A2725" s="15">
        <v>45</v>
      </c>
      <c r="B2725" s="15">
        <v>1995</v>
      </c>
      <c r="C2725" s="15">
        <v>8</v>
      </c>
      <c r="D2725" s="15">
        <v>8</v>
      </c>
      <c r="E2725" s="22" t="s">
        <v>17</v>
      </c>
      <c r="F2725" s="11" t="s">
        <v>18</v>
      </c>
      <c r="G2725" s="15">
        <v>97</v>
      </c>
      <c r="H2725" s="15" t="s">
        <v>29</v>
      </c>
      <c r="I2725" s="25">
        <v>1.7</v>
      </c>
      <c r="J2725" s="11" t="s">
        <v>32</v>
      </c>
      <c r="K2725" s="11" t="s">
        <v>29</v>
      </c>
      <c r="L2725" s="11" t="s">
        <v>35</v>
      </c>
      <c r="M2725" s="11" t="s">
        <v>29</v>
      </c>
      <c r="N2725" s="11" t="s">
        <v>29</v>
      </c>
      <c r="O2725" s="16" t="s">
        <v>29</v>
      </c>
      <c r="P2725" s="15">
        <v>220</v>
      </c>
      <c r="Q2725" s="8"/>
      <c r="R2725">
        <v>9.0500000000000007</v>
      </c>
      <c r="S2725">
        <v>741.24</v>
      </c>
      <c r="T2725">
        <v>2.29</v>
      </c>
      <c r="U2725">
        <v>6.5</v>
      </c>
      <c r="V2725">
        <v>91</v>
      </c>
      <c r="W2725" s="8"/>
      <c r="X2725" s="8"/>
      <c r="Y2725" s="8"/>
      <c r="Z2725" s="8"/>
    </row>
    <row r="2726" spans="1:26" ht="12.75" customHeight="1" x14ac:dyDescent="0.2">
      <c r="A2726" s="15">
        <v>46</v>
      </c>
      <c r="B2726" s="15">
        <v>1995</v>
      </c>
      <c r="C2726" s="15">
        <v>8</v>
      </c>
      <c r="D2726" s="15">
        <v>8</v>
      </c>
      <c r="E2726" s="22" t="s">
        <v>17</v>
      </c>
      <c r="F2726" s="11" t="s">
        <v>28</v>
      </c>
      <c r="G2726" s="11" t="s">
        <v>29</v>
      </c>
      <c r="H2726" s="15" t="s">
        <v>29</v>
      </c>
      <c r="I2726" s="25" t="s">
        <v>29</v>
      </c>
      <c r="J2726" s="11" t="s">
        <v>19</v>
      </c>
      <c r="K2726" s="11" t="s">
        <v>20</v>
      </c>
      <c r="L2726" s="11" t="s">
        <v>30</v>
      </c>
      <c r="M2726" s="11" t="s">
        <v>29</v>
      </c>
      <c r="N2726" s="11" t="s">
        <v>23</v>
      </c>
      <c r="O2726" s="16" t="s">
        <v>29</v>
      </c>
      <c r="P2726" s="15">
        <v>220</v>
      </c>
      <c r="Q2726" s="8"/>
      <c r="W2726" s="317">
        <v>4.5999999999999996</v>
      </c>
      <c r="X2726" s="190"/>
      <c r="Y2726" s="8"/>
      <c r="Z2726" s="8"/>
    </row>
    <row r="2727" spans="1:26" ht="12.75" customHeight="1" x14ac:dyDescent="0.2">
      <c r="A2727" s="15">
        <v>47</v>
      </c>
      <c r="B2727" s="15">
        <v>1995</v>
      </c>
      <c r="C2727" s="15">
        <v>8</v>
      </c>
      <c r="D2727" s="15">
        <v>8</v>
      </c>
      <c r="E2727" s="22" t="s">
        <v>17</v>
      </c>
      <c r="F2727" s="11" t="s">
        <v>18</v>
      </c>
      <c r="G2727" s="15">
        <v>106</v>
      </c>
      <c r="H2727" s="15" t="s">
        <v>29</v>
      </c>
      <c r="I2727" s="25">
        <v>2</v>
      </c>
      <c r="J2727" s="11" t="s">
        <v>32</v>
      </c>
      <c r="K2727" s="11" t="s">
        <v>29</v>
      </c>
      <c r="L2727" s="11" t="s">
        <v>35</v>
      </c>
      <c r="M2727" s="11" t="s">
        <v>29</v>
      </c>
      <c r="N2727" s="11" t="s">
        <v>29</v>
      </c>
      <c r="O2727" s="16" t="s">
        <v>29</v>
      </c>
      <c r="P2727" s="15">
        <v>220</v>
      </c>
      <c r="Q2727" s="8"/>
      <c r="R2727">
        <v>9.89</v>
      </c>
      <c r="S2727">
        <v>967.3</v>
      </c>
      <c r="T2727">
        <v>2.0699999999999998</v>
      </c>
      <c r="U2727">
        <v>7.1</v>
      </c>
      <c r="V2727">
        <v>99</v>
      </c>
      <c r="W2727" s="8"/>
      <c r="X2727" s="8"/>
      <c r="Y2727" s="8"/>
      <c r="Z2727" s="8"/>
    </row>
    <row r="2728" spans="1:26" ht="12.75" customHeight="1" x14ac:dyDescent="0.2">
      <c r="A2728" s="15">
        <v>48</v>
      </c>
      <c r="B2728" s="15">
        <v>1995</v>
      </c>
      <c r="C2728" s="15">
        <v>8</v>
      </c>
      <c r="D2728" s="15">
        <v>8</v>
      </c>
      <c r="E2728" s="22" t="s">
        <v>17</v>
      </c>
      <c r="F2728" s="11" t="s">
        <v>18</v>
      </c>
      <c r="G2728" s="15">
        <v>121</v>
      </c>
      <c r="H2728" s="15" t="s">
        <v>29</v>
      </c>
      <c r="I2728" s="25">
        <v>6.1</v>
      </c>
      <c r="J2728" s="11" t="s">
        <v>19</v>
      </c>
      <c r="K2728" s="11" t="s">
        <v>41</v>
      </c>
      <c r="L2728" s="11" t="s">
        <v>35</v>
      </c>
      <c r="M2728" s="11" t="s">
        <v>29</v>
      </c>
      <c r="N2728" s="11" t="s">
        <v>25</v>
      </c>
      <c r="O2728" s="16" t="s">
        <v>29</v>
      </c>
      <c r="P2728" s="15">
        <v>220</v>
      </c>
      <c r="Q2728" s="8"/>
      <c r="R2728">
        <v>11.29</v>
      </c>
      <c r="S2728">
        <v>1438.8</v>
      </c>
      <c r="T2728">
        <v>4.24</v>
      </c>
      <c r="U2728">
        <v>8.11</v>
      </c>
      <c r="V2728">
        <v>113</v>
      </c>
      <c r="W2728" s="8"/>
      <c r="X2728" s="8"/>
      <c r="Y2728" s="8"/>
      <c r="Z2728" s="8"/>
    </row>
    <row r="2729" spans="1:26" ht="12.75" customHeight="1" x14ac:dyDescent="0.2">
      <c r="A2729" s="15">
        <v>49</v>
      </c>
      <c r="B2729" s="15">
        <v>1995</v>
      </c>
      <c r="C2729" s="15">
        <v>8</v>
      </c>
      <c r="D2729" s="15">
        <v>8</v>
      </c>
      <c r="E2729" s="22" t="s">
        <v>17</v>
      </c>
      <c r="F2729" s="11" t="s">
        <v>18</v>
      </c>
      <c r="G2729" s="15">
        <v>102</v>
      </c>
      <c r="H2729" s="15" t="s">
        <v>29</v>
      </c>
      <c r="I2729" s="25">
        <v>2.2000000000000002</v>
      </c>
      <c r="J2729" s="11" t="s">
        <v>32</v>
      </c>
      <c r="K2729" s="11" t="s">
        <v>29</v>
      </c>
      <c r="L2729" s="11" t="s">
        <v>35</v>
      </c>
      <c r="M2729" s="11" t="s">
        <v>46</v>
      </c>
      <c r="N2729" s="11" t="s">
        <v>24</v>
      </c>
      <c r="O2729" s="16" t="s">
        <v>29</v>
      </c>
      <c r="P2729" s="15">
        <v>220</v>
      </c>
      <c r="Q2729" s="8"/>
      <c r="R2729">
        <v>9.52</v>
      </c>
      <c r="S2729">
        <v>861.88</v>
      </c>
      <c r="T2729">
        <v>2.5499999999999998</v>
      </c>
      <c r="U2729">
        <v>6.83</v>
      </c>
      <c r="V2729">
        <v>95</v>
      </c>
      <c r="W2729" s="8"/>
      <c r="X2729" s="8"/>
      <c r="Y2729" s="8"/>
      <c r="Z2729" s="8"/>
    </row>
    <row r="2730" spans="1:26" ht="12.75" customHeight="1" x14ac:dyDescent="0.2">
      <c r="A2730" s="15">
        <v>50</v>
      </c>
      <c r="B2730" s="15">
        <v>1995</v>
      </c>
      <c r="C2730" s="15">
        <v>8</v>
      </c>
      <c r="D2730" s="15">
        <v>8</v>
      </c>
      <c r="E2730" s="22" t="s">
        <v>17</v>
      </c>
      <c r="F2730" s="11" t="s">
        <v>18</v>
      </c>
      <c r="G2730" s="15">
        <v>109</v>
      </c>
      <c r="H2730" s="15" t="s">
        <v>29</v>
      </c>
      <c r="I2730" s="25">
        <v>2.5</v>
      </c>
      <c r="J2730" s="11" t="s">
        <v>32</v>
      </c>
      <c r="K2730" s="11" t="s">
        <v>29</v>
      </c>
      <c r="L2730" s="11" t="s">
        <v>35</v>
      </c>
      <c r="M2730" s="11" t="s">
        <v>46</v>
      </c>
      <c r="N2730" s="11" t="s">
        <v>24</v>
      </c>
      <c r="O2730" s="16" t="s">
        <v>29</v>
      </c>
      <c r="P2730" s="15">
        <v>220</v>
      </c>
      <c r="Q2730" s="8"/>
      <c r="R2730">
        <v>10.17</v>
      </c>
      <c r="S2730">
        <v>1051.78</v>
      </c>
      <c r="T2730">
        <v>2.38</v>
      </c>
      <c r="U2730">
        <v>7.3</v>
      </c>
      <c r="V2730">
        <v>102</v>
      </c>
      <c r="W2730" s="8"/>
      <c r="X2730" s="8"/>
      <c r="Y2730" s="8"/>
      <c r="Z2730" s="8"/>
    </row>
    <row r="2731" spans="1:26" ht="12.75" customHeight="1" x14ac:dyDescent="0.2">
      <c r="A2731" s="15">
        <v>51</v>
      </c>
      <c r="B2731" s="15">
        <v>1995</v>
      </c>
      <c r="C2731" s="15">
        <v>8</v>
      </c>
      <c r="D2731" s="15">
        <v>8</v>
      </c>
      <c r="E2731" s="22" t="s">
        <v>17</v>
      </c>
      <c r="F2731" s="11" t="s">
        <v>18</v>
      </c>
      <c r="G2731" s="15">
        <v>132</v>
      </c>
      <c r="H2731" s="15" t="s">
        <v>29</v>
      </c>
      <c r="I2731" s="25">
        <v>8.5</v>
      </c>
      <c r="J2731" s="11" t="s">
        <v>19</v>
      </c>
      <c r="K2731" s="11" t="s">
        <v>41</v>
      </c>
      <c r="L2731" s="11" t="s">
        <v>35</v>
      </c>
      <c r="M2731" s="11" t="s">
        <v>46</v>
      </c>
      <c r="N2731" s="11" t="s">
        <v>23</v>
      </c>
      <c r="O2731" s="16" t="s">
        <v>29</v>
      </c>
      <c r="P2731" s="15">
        <v>220</v>
      </c>
      <c r="Q2731" s="8"/>
      <c r="R2731">
        <v>12.32</v>
      </c>
      <c r="S2731">
        <v>1867.96</v>
      </c>
      <c r="T2731">
        <v>4.55</v>
      </c>
      <c r="U2731">
        <v>8.84</v>
      </c>
      <c r="V2731">
        <v>123</v>
      </c>
      <c r="W2731" s="8"/>
      <c r="X2731" s="8"/>
      <c r="Y2731" s="8"/>
      <c r="Z2731" s="8"/>
    </row>
    <row r="2732" spans="1:26" ht="12.75" customHeight="1" x14ac:dyDescent="0.2">
      <c r="A2732" s="15">
        <v>52</v>
      </c>
      <c r="B2732" s="15">
        <v>1995</v>
      </c>
      <c r="C2732" s="15">
        <v>8</v>
      </c>
      <c r="D2732" s="15">
        <v>8</v>
      </c>
      <c r="E2732" s="22" t="s">
        <v>17</v>
      </c>
      <c r="F2732" s="11" t="s">
        <v>18</v>
      </c>
      <c r="G2732" s="15">
        <v>107</v>
      </c>
      <c r="H2732" s="15" t="s">
        <v>29</v>
      </c>
      <c r="I2732" s="25">
        <v>2.4</v>
      </c>
      <c r="J2732" s="11" t="s">
        <v>32</v>
      </c>
      <c r="K2732" s="11" t="s">
        <v>29</v>
      </c>
      <c r="L2732" s="11" t="s">
        <v>35</v>
      </c>
      <c r="M2732" s="11" t="s">
        <v>46</v>
      </c>
      <c r="N2732" s="11" t="s">
        <v>24</v>
      </c>
      <c r="O2732" s="16" t="s">
        <v>29</v>
      </c>
      <c r="P2732" s="15">
        <v>220</v>
      </c>
      <c r="Q2732" s="8"/>
      <c r="R2732">
        <v>9.98</v>
      </c>
      <c r="S2732">
        <v>994.94</v>
      </c>
      <c r="T2732">
        <v>2.41</v>
      </c>
      <c r="U2732">
        <v>7.17</v>
      </c>
      <c r="V2732">
        <v>100</v>
      </c>
      <c r="W2732" s="8"/>
      <c r="X2732" s="8"/>
      <c r="Y2732" s="8"/>
      <c r="Z2732" s="8"/>
    </row>
    <row r="2733" spans="1:26" ht="12.75" customHeight="1" x14ac:dyDescent="0.2">
      <c r="A2733" s="15">
        <v>53</v>
      </c>
      <c r="B2733" s="15">
        <v>1995</v>
      </c>
      <c r="C2733" s="15">
        <v>8</v>
      </c>
      <c r="D2733" s="15">
        <v>8</v>
      </c>
      <c r="E2733" s="22" t="s">
        <v>17</v>
      </c>
      <c r="F2733" s="11" t="s">
        <v>18</v>
      </c>
      <c r="G2733" s="15">
        <v>129</v>
      </c>
      <c r="H2733" s="15" t="s">
        <v>29</v>
      </c>
      <c r="I2733" s="25">
        <v>12</v>
      </c>
      <c r="J2733" s="11" t="s">
        <v>19</v>
      </c>
      <c r="K2733" s="11" t="s">
        <v>20</v>
      </c>
      <c r="L2733" s="11" t="s">
        <v>30</v>
      </c>
      <c r="M2733" s="11" t="s">
        <v>46</v>
      </c>
      <c r="N2733" s="11" t="s">
        <v>33</v>
      </c>
      <c r="O2733" s="16" t="s">
        <v>29</v>
      </c>
      <c r="P2733" s="15">
        <v>220</v>
      </c>
      <c r="Q2733" s="8"/>
      <c r="R2733">
        <v>12.04</v>
      </c>
      <c r="S2733">
        <v>1743.47</v>
      </c>
      <c r="T2733">
        <v>6.88</v>
      </c>
      <c r="U2733">
        <v>8.64</v>
      </c>
      <c r="V2733">
        <v>120</v>
      </c>
      <c r="W2733" s="317">
        <v>4.5999999999999996</v>
      </c>
      <c r="X2733" s="190">
        <f>I2733*W2733</f>
        <v>55.199999999999996</v>
      </c>
      <c r="Y2733" s="8"/>
      <c r="Z2733" s="8"/>
    </row>
    <row r="2734" spans="1:26" ht="12.75" customHeight="1" x14ac:dyDescent="0.2">
      <c r="A2734" s="15">
        <v>54</v>
      </c>
      <c r="B2734" s="15">
        <v>1995</v>
      </c>
      <c r="C2734" s="15">
        <v>8</v>
      </c>
      <c r="D2734" s="15">
        <v>8</v>
      </c>
      <c r="E2734" s="22" t="s">
        <v>17</v>
      </c>
      <c r="F2734" s="11" t="s">
        <v>28</v>
      </c>
      <c r="G2734" s="11" t="s">
        <v>29</v>
      </c>
      <c r="H2734" s="15" t="s">
        <v>29</v>
      </c>
      <c r="I2734" s="25" t="s">
        <v>29</v>
      </c>
      <c r="J2734" s="11" t="s">
        <v>19</v>
      </c>
      <c r="K2734" s="11" t="s">
        <v>20</v>
      </c>
      <c r="L2734" s="11" t="s">
        <v>30</v>
      </c>
      <c r="M2734" s="11" t="s">
        <v>29</v>
      </c>
      <c r="N2734" s="11" t="s">
        <v>29</v>
      </c>
      <c r="O2734" s="16" t="s">
        <v>29</v>
      </c>
      <c r="P2734" s="15">
        <v>220</v>
      </c>
      <c r="Q2734" s="8"/>
      <c r="W2734" s="317">
        <v>4.5999999999999996</v>
      </c>
      <c r="X2734" s="190"/>
      <c r="Y2734" s="8"/>
      <c r="Z2734" s="8"/>
    </row>
    <row r="2735" spans="1:26" ht="12.75" customHeight="1" x14ac:dyDescent="0.2">
      <c r="A2735" s="15">
        <v>55</v>
      </c>
      <c r="B2735" s="15">
        <v>1995</v>
      </c>
      <c r="C2735" s="15">
        <v>8</v>
      </c>
      <c r="D2735" s="15">
        <v>8</v>
      </c>
      <c r="E2735" s="22" t="s">
        <v>17</v>
      </c>
      <c r="F2735" s="11" t="s">
        <v>18</v>
      </c>
      <c r="G2735" s="15">
        <v>137</v>
      </c>
      <c r="H2735" s="15" t="s">
        <v>29</v>
      </c>
      <c r="I2735" s="25">
        <v>14</v>
      </c>
      <c r="J2735" s="11" t="s">
        <v>19</v>
      </c>
      <c r="K2735" s="11" t="s">
        <v>20</v>
      </c>
      <c r="L2735" s="11" t="s">
        <v>30</v>
      </c>
      <c r="M2735" s="11" t="s">
        <v>29</v>
      </c>
      <c r="N2735" s="11" t="s">
        <v>23</v>
      </c>
      <c r="O2735" s="16" t="s">
        <v>29</v>
      </c>
      <c r="P2735" s="15">
        <v>220</v>
      </c>
      <c r="Q2735" s="8"/>
      <c r="R2735">
        <v>12.78</v>
      </c>
      <c r="S2735">
        <v>2088.37</v>
      </c>
      <c r="T2735">
        <v>6.7</v>
      </c>
      <c r="U2735">
        <v>9.18</v>
      </c>
      <c r="V2735">
        <v>128</v>
      </c>
      <c r="W2735" s="317">
        <v>4.5999999999999996</v>
      </c>
      <c r="X2735" s="190">
        <f>I2735*W2735</f>
        <v>64.399999999999991</v>
      </c>
      <c r="Y2735" s="8"/>
      <c r="Z2735" s="8"/>
    </row>
    <row r="2736" spans="1:26" ht="12.75" customHeight="1" x14ac:dyDescent="0.2">
      <c r="A2736" s="15">
        <v>56</v>
      </c>
      <c r="B2736" s="15">
        <v>1995</v>
      </c>
      <c r="C2736" s="15">
        <v>8</v>
      </c>
      <c r="D2736" s="15">
        <v>8</v>
      </c>
      <c r="E2736" s="22" t="s">
        <v>17</v>
      </c>
      <c r="F2736" s="11" t="s">
        <v>18</v>
      </c>
      <c r="G2736" s="15">
        <v>134</v>
      </c>
      <c r="H2736" s="15" t="s">
        <v>29</v>
      </c>
      <c r="I2736" s="25">
        <v>12</v>
      </c>
      <c r="J2736" s="11" t="s">
        <v>19</v>
      </c>
      <c r="K2736" s="11" t="s">
        <v>20</v>
      </c>
      <c r="L2736" s="11" t="s">
        <v>30</v>
      </c>
      <c r="M2736" s="11" t="s">
        <v>46</v>
      </c>
      <c r="N2736" s="11" t="s">
        <v>24</v>
      </c>
      <c r="O2736" s="16" t="s">
        <v>29</v>
      </c>
      <c r="P2736" s="15">
        <v>220</v>
      </c>
      <c r="Q2736" s="8"/>
      <c r="R2736">
        <v>12.5</v>
      </c>
      <c r="S2736">
        <v>1954.16</v>
      </c>
      <c r="T2736">
        <v>6.14</v>
      </c>
      <c r="U2736">
        <v>8.98</v>
      </c>
      <c r="V2736">
        <v>125</v>
      </c>
      <c r="W2736" s="317">
        <v>4.5999999999999996</v>
      </c>
      <c r="X2736" s="190">
        <f>I2736*W2736</f>
        <v>55.199999999999996</v>
      </c>
      <c r="Y2736" s="8"/>
      <c r="Z2736" s="8"/>
    </row>
    <row r="2737" spans="1:26" ht="12.75" customHeight="1" x14ac:dyDescent="0.2">
      <c r="A2737" s="15">
        <v>57</v>
      </c>
      <c r="B2737" s="15">
        <v>1995</v>
      </c>
      <c r="C2737" s="15">
        <v>8</v>
      </c>
      <c r="D2737" s="15">
        <v>8</v>
      </c>
      <c r="E2737" s="22" t="s">
        <v>17</v>
      </c>
      <c r="F2737" s="11" t="s">
        <v>18</v>
      </c>
      <c r="G2737" s="15">
        <v>123</v>
      </c>
      <c r="H2737" s="15" t="s">
        <v>29</v>
      </c>
      <c r="I2737" s="25">
        <v>7.3</v>
      </c>
      <c r="J2737" s="11" t="s">
        <v>19</v>
      </c>
      <c r="K2737" s="11" t="s">
        <v>20</v>
      </c>
      <c r="L2737" s="11" t="s">
        <v>21</v>
      </c>
      <c r="M2737" s="11" t="s">
        <v>46</v>
      </c>
      <c r="N2737" s="11" t="s">
        <v>24</v>
      </c>
      <c r="O2737" s="16" t="s">
        <v>29</v>
      </c>
      <c r="P2737" s="15">
        <v>220</v>
      </c>
      <c r="Q2737" s="8"/>
      <c r="R2737">
        <v>11.48</v>
      </c>
      <c r="S2737">
        <v>1511.33</v>
      </c>
      <c r="T2737">
        <v>4.83</v>
      </c>
      <c r="U2737">
        <v>8.24</v>
      </c>
      <c r="V2737">
        <v>115</v>
      </c>
      <c r="W2737" s="317">
        <v>3.9</v>
      </c>
      <c r="X2737" s="190">
        <f>I2737*W2737</f>
        <v>28.47</v>
      </c>
      <c r="Y2737" s="8"/>
      <c r="Z2737" s="8"/>
    </row>
    <row r="2738" spans="1:26" ht="12.75" customHeight="1" x14ac:dyDescent="0.2">
      <c r="A2738" s="15">
        <v>58</v>
      </c>
      <c r="B2738" s="15">
        <v>1995</v>
      </c>
      <c r="C2738" s="15">
        <v>8</v>
      </c>
      <c r="D2738" s="15">
        <v>8</v>
      </c>
      <c r="E2738" s="22" t="s">
        <v>17</v>
      </c>
      <c r="F2738" s="11" t="s">
        <v>28</v>
      </c>
      <c r="G2738" s="11" t="s">
        <v>29</v>
      </c>
      <c r="H2738" s="15" t="s">
        <v>29</v>
      </c>
      <c r="I2738" s="25" t="s">
        <v>29</v>
      </c>
      <c r="J2738" s="11" t="s">
        <v>32</v>
      </c>
      <c r="K2738" s="11" t="s">
        <v>29</v>
      </c>
      <c r="L2738" s="11" t="s">
        <v>35</v>
      </c>
      <c r="M2738" s="11" t="s">
        <v>29</v>
      </c>
      <c r="N2738" s="11" t="s">
        <v>29</v>
      </c>
      <c r="O2738" s="16" t="s">
        <v>29</v>
      </c>
      <c r="P2738" s="15">
        <v>220</v>
      </c>
      <c r="Q2738" s="8"/>
      <c r="W2738" s="8"/>
      <c r="X2738" s="8"/>
      <c r="Y2738" s="8"/>
      <c r="Z2738" s="8"/>
    </row>
    <row r="2739" spans="1:26" ht="12.75" customHeight="1" x14ac:dyDescent="0.2">
      <c r="A2739" s="15">
        <v>59</v>
      </c>
      <c r="B2739" s="15">
        <v>1995</v>
      </c>
      <c r="C2739" s="15">
        <v>8</v>
      </c>
      <c r="D2739" s="15">
        <v>8</v>
      </c>
      <c r="E2739" s="22" t="s">
        <v>17</v>
      </c>
      <c r="F2739" s="11" t="s">
        <v>28</v>
      </c>
      <c r="G2739" s="11" t="s">
        <v>29</v>
      </c>
      <c r="H2739" s="15" t="s">
        <v>29</v>
      </c>
      <c r="I2739" s="25" t="s">
        <v>29</v>
      </c>
      <c r="J2739" s="11" t="s">
        <v>32</v>
      </c>
      <c r="K2739" s="11" t="s">
        <v>29</v>
      </c>
      <c r="L2739" s="11" t="s">
        <v>35</v>
      </c>
      <c r="M2739" s="11" t="s">
        <v>29</v>
      </c>
      <c r="N2739" s="11" t="s">
        <v>29</v>
      </c>
      <c r="O2739" s="16" t="s">
        <v>29</v>
      </c>
      <c r="P2739" s="15">
        <v>220</v>
      </c>
      <c r="Q2739" s="8"/>
      <c r="W2739" s="8"/>
      <c r="X2739" s="8"/>
      <c r="Y2739" s="8"/>
      <c r="Z2739" s="8"/>
    </row>
    <row r="2740" spans="1:26" ht="12.75" customHeight="1" x14ac:dyDescent="0.2">
      <c r="A2740" s="15">
        <v>60</v>
      </c>
      <c r="B2740" s="15">
        <v>1995</v>
      </c>
      <c r="C2740" s="15">
        <v>8</v>
      </c>
      <c r="D2740" s="15">
        <v>8</v>
      </c>
      <c r="E2740" s="22" t="s">
        <v>17</v>
      </c>
      <c r="F2740" s="11" t="s">
        <v>18</v>
      </c>
      <c r="G2740" s="15">
        <v>109</v>
      </c>
      <c r="H2740" s="15" t="s">
        <v>29</v>
      </c>
      <c r="I2740" s="25">
        <v>8.6</v>
      </c>
      <c r="J2740" s="11" t="s">
        <v>36</v>
      </c>
      <c r="K2740" s="11" t="s">
        <v>29</v>
      </c>
      <c r="L2740" s="11" t="s">
        <v>29</v>
      </c>
      <c r="M2740" s="11" t="s">
        <v>46</v>
      </c>
      <c r="N2740" s="11" t="s">
        <v>24</v>
      </c>
      <c r="O2740" s="16" t="s">
        <v>29</v>
      </c>
      <c r="P2740" s="15">
        <v>220</v>
      </c>
      <c r="Q2740" s="8"/>
      <c r="R2740">
        <v>10.17</v>
      </c>
      <c r="S2740">
        <v>1051.78</v>
      </c>
      <c r="T2740">
        <v>8.18</v>
      </c>
      <c r="U2740">
        <v>7.3</v>
      </c>
      <c r="V2740">
        <v>102</v>
      </c>
      <c r="W2740" s="8"/>
      <c r="X2740" s="8"/>
      <c r="Y2740" s="8"/>
      <c r="Z2740" s="8"/>
    </row>
    <row r="2741" spans="1:26" ht="12.75" customHeight="1" x14ac:dyDescent="0.2">
      <c r="A2741" s="15">
        <v>61</v>
      </c>
      <c r="B2741" s="15">
        <v>1995</v>
      </c>
      <c r="C2741" s="15">
        <v>8</v>
      </c>
      <c r="D2741" s="15">
        <v>8</v>
      </c>
      <c r="E2741" s="22" t="s">
        <v>17</v>
      </c>
      <c r="F2741" s="11" t="s">
        <v>18</v>
      </c>
      <c r="G2741" s="15">
        <v>154</v>
      </c>
      <c r="H2741" s="15" t="s">
        <v>29</v>
      </c>
      <c r="I2741" s="25">
        <v>12.3</v>
      </c>
      <c r="J2741" s="11" t="s">
        <v>19</v>
      </c>
      <c r="K2741" s="11" t="s">
        <v>20</v>
      </c>
      <c r="L2741" s="11" t="s">
        <v>21</v>
      </c>
      <c r="M2741" s="11" t="s">
        <v>46</v>
      </c>
      <c r="N2741" s="11" t="s">
        <v>29</v>
      </c>
      <c r="O2741" s="16" t="s">
        <v>29</v>
      </c>
      <c r="P2741" s="15">
        <v>220</v>
      </c>
      <c r="Q2741" s="8"/>
      <c r="R2741">
        <v>14.37</v>
      </c>
      <c r="S2741">
        <v>2966.25</v>
      </c>
      <c r="T2741">
        <v>4.1500000000000004</v>
      </c>
      <c r="U2741">
        <v>10.32</v>
      </c>
      <c r="V2741">
        <v>144</v>
      </c>
      <c r="W2741" s="317">
        <v>3.9</v>
      </c>
      <c r="X2741" s="190">
        <f>I2741*W2741</f>
        <v>47.97</v>
      </c>
      <c r="Y2741" s="8"/>
      <c r="Z2741" s="8"/>
    </row>
    <row r="2742" spans="1:26" ht="12.75" customHeight="1" x14ac:dyDescent="0.2">
      <c r="A2742" s="15">
        <v>62</v>
      </c>
      <c r="B2742" s="15">
        <v>1995</v>
      </c>
      <c r="C2742" s="15">
        <v>5</v>
      </c>
      <c r="D2742" s="15">
        <v>8</v>
      </c>
      <c r="E2742" s="22" t="s">
        <v>17</v>
      </c>
      <c r="F2742" s="11" t="s">
        <v>18</v>
      </c>
      <c r="G2742" s="15">
        <v>153</v>
      </c>
      <c r="H2742" s="15" t="s">
        <v>29</v>
      </c>
      <c r="I2742" s="25">
        <v>12.5</v>
      </c>
      <c r="J2742" s="11" t="s">
        <v>19</v>
      </c>
      <c r="K2742" s="11" t="s">
        <v>20</v>
      </c>
      <c r="L2742" s="11" t="s">
        <v>21</v>
      </c>
      <c r="M2742" s="11" t="s">
        <v>46</v>
      </c>
      <c r="N2742" s="11" t="s">
        <v>25</v>
      </c>
      <c r="O2742" s="16" t="s">
        <v>29</v>
      </c>
      <c r="P2742" s="15">
        <v>217</v>
      </c>
      <c r="Q2742" s="8"/>
      <c r="R2742">
        <v>14.27</v>
      </c>
      <c r="S2742">
        <v>2908.84</v>
      </c>
      <c r="T2742">
        <v>4.3</v>
      </c>
      <c r="U2742">
        <v>10.25</v>
      </c>
      <c r="V2742">
        <v>143</v>
      </c>
      <c r="W2742" s="317">
        <v>3.9</v>
      </c>
      <c r="X2742" s="190">
        <f>I2742*W2742</f>
        <v>48.75</v>
      </c>
      <c r="Y2742" s="8"/>
      <c r="Z2742" s="8"/>
    </row>
    <row r="2743" spans="1:26" ht="12.75" customHeight="1" x14ac:dyDescent="0.2">
      <c r="A2743" s="15">
        <v>63</v>
      </c>
      <c r="B2743" s="15">
        <v>1995</v>
      </c>
      <c r="C2743" s="15">
        <v>5</v>
      </c>
      <c r="D2743" s="15">
        <v>8</v>
      </c>
      <c r="E2743" s="22" t="s">
        <v>17</v>
      </c>
      <c r="F2743" s="11" t="s">
        <v>28</v>
      </c>
      <c r="G2743" s="11" t="s">
        <v>29</v>
      </c>
      <c r="H2743" s="15" t="s">
        <v>29</v>
      </c>
      <c r="I2743" s="25" t="s">
        <v>29</v>
      </c>
      <c r="J2743" s="11" t="s">
        <v>19</v>
      </c>
      <c r="K2743" s="11" t="s">
        <v>20</v>
      </c>
      <c r="L2743" s="11" t="s">
        <v>30</v>
      </c>
      <c r="M2743" s="11" t="s">
        <v>45</v>
      </c>
      <c r="N2743" s="11" t="s">
        <v>29</v>
      </c>
      <c r="O2743" s="16" t="s">
        <v>29</v>
      </c>
      <c r="P2743" s="15">
        <v>217</v>
      </c>
      <c r="Q2743" s="8"/>
      <c r="W2743" s="317">
        <v>4.5999999999999996</v>
      </c>
      <c r="X2743" s="190"/>
      <c r="Y2743" s="8"/>
      <c r="Z2743" s="8"/>
    </row>
    <row r="2744" spans="1:26" ht="12.75" customHeight="1" x14ac:dyDescent="0.2">
      <c r="A2744" s="15">
        <v>64</v>
      </c>
      <c r="B2744" s="15">
        <v>1995</v>
      </c>
      <c r="C2744" s="15">
        <v>5</v>
      </c>
      <c r="D2744" s="15">
        <v>8</v>
      </c>
      <c r="E2744" s="22" t="s">
        <v>17</v>
      </c>
      <c r="F2744" s="11" t="s">
        <v>28</v>
      </c>
      <c r="G2744" s="11" t="s">
        <v>29</v>
      </c>
      <c r="H2744" s="15" t="s">
        <v>29</v>
      </c>
      <c r="I2744" s="25" t="s">
        <v>29</v>
      </c>
      <c r="J2744" s="11" t="s">
        <v>19</v>
      </c>
      <c r="K2744" s="11" t="s">
        <v>20</v>
      </c>
      <c r="L2744" s="11" t="s">
        <v>30</v>
      </c>
      <c r="M2744" s="11" t="s">
        <v>46</v>
      </c>
      <c r="N2744" s="11" t="s">
        <v>29</v>
      </c>
      <c r="O2744" s="16" t="s">
        <v>29</v>
      </c>
      <c r="P2744" s="15">
        <v>217</v>
      </c>
      <c r="Q2744" s="8"/>
      <c r="W2744" s="317">
        <v>4.5999999999999996</v>
      </c>
      <c r="X2744" s="190"/>
      <c r="Y2744" s="8"/>
      <c r="Z2744" s="8"/>
    </row>
    <row r="2745" spans="1:26" ht="12.75" customHeight="1" x14ac:dyDescent="0.2">
      <c r="A2745" s="15">
        <v>65</v>
      </c>
      <c r="B2745" s="15">
        <v>1995</v>
      </c>
      <c r="C2745" s="15">
        <v>5</v>
      </c>
      <c r="D2745" s="15">
        <v>8</v>
      </c>
      <c r="E2745" s="22" t="s">
        <v>17</v>
      </c>
      <c r="F2745" s="11" t="s">
        <v>28</v>
      </c>
      <c r="G2745" s="11" t="s">
        <v>29</v>
      </c>
      <c r="H2745" s="15" t="s">
        <v>29</v>
      </c>
      <c r="I2745" s="25" t="s">
        <v>29</v>
      </c>
      <c r="J2745" s="11" t="s">
        <v>19</v>
      </c>
      <c r="K2745" s="11" t="s">
        <v>20</v>
      </c>
      <c r="L2745" s="11" t="s">
        <v>21</v>
      </c>
      <c r="M2745" s="11" t="s">
        <v>27</v>
      </c>
      <c r="N2745" s="11" t="s">
        <v>29</v>
      </c>
      <c r="O2745" s="16" t="s">
        <v>29</v>
      </c>
      <c r="P2745" s="15">
        <v>217</v>
      </c>
      <c r="Q2745" s="8"/>
      <c r="W2745" s="317">
        <v>3.9</v>
      </c>
      <c r="X2745" s="190"/>
      <c r="Y2745" s="8"/>
      <c r="Z2745" s="8"/>
    </row>
    <row r="2746" spans="1:26" ht="12.75" customHeight="1" x14ac:dyDescent="0.2">
      <c r="A2746" s="15">
        <v>66</v>
      </c>
      <c r="B2746" s="15">
        <v>1995</v>
      </c>
      <c r="C2746" s="15">
        <v>5</v>
      </c>
      <c r="D2746" s="15">
        <v>8</v>
      </c>
      <c r="E2746" s="22" t="s">
        <v>17</v>
      </c>
      <c r="F2746" s="11" t="s">
        <v>28</v>
      </c>
      <c r="G2746" s="11" t="s">
        <v>29</v>
      </c>
      <c r="H2746" s="15" t="s">
        <v>29</v>
      </c>
      <c r="I2746" s="25" t="s">
        <v>29</v>
      </c>
      <c r="J2746" s="11" t="s">
        <v>19</v>
      </c>
      <c r="K2746" s="11" t="s">
        <v>20</v>
      </c>
      <c r="L2746" s="11" t="s">
        <v>30</v>
      </c>
      <c r="M2746" s="11" t="s">
        <v>27</v>
      </c>
      <c r="N2746" s="11" t="s">
        <v>29</v>
      </c>
      <c r="O2746" s="16" t="s">
        <v>29</v>
      </c>
      <c r="P2746" s="15">
        <v>217</v>
      </c>
      <c r="Q2746" s="8"/>
      <c r="W2746" s="317">
        <v>4.5999999999999996</v>
      </c>
      <c r="X2746" s="190"/>
      <c r="Y2746" s="8"/>
      <c r="Z2746" s="8"/>
    </row>
    <row r="2747" spans="1:26" ht="12.75" customHeight="1" x14ac:dyDescent="0.2">
      <c r="A2747" s="15">
        <v>67</v>
      </c>
      <c r="B2747" s="15">
        <v>1995</v>
      </c>
      <c r="C2747" s="15">
        <v>5</v>
      </c>
      <c r="D2747" s="15">
        <v>8</v>
      </c>
      <c r="E2747" s="22" t="s">
        <v>17</v>
      </c>
      <c r="F2747" s="11" t="s">
        <v>28</v>
      </c>
      <c r="G2747" s="11" t="s">
        <v>29</v>
      </c>
      <c r="H2747" s="15" t="s">
        <v>29</v>
      </c>
      <c r="I2747" s="25" t="s">
        <v>29</v>
      </c>
      <c r="J2747" s="11" t="s">
        <v>19</v>
      </c>
      <c r="K2747" s="11" t="s">
        <v>20</v>
      </c>
      <c r="L2747" s="11" t="s">
        <v>30</v>
      </c>
      <c r="M2747" s="11" t="s">
        <v>45</v>
      </c>
      <c r="N2747" s="11" t="s">
        <v>29</v>
      </c>
      <c r="O2747" s="16" t="s">
        <v>29</v>
      </c>
      <c r="P2747" s="15">
        <v>217</v>
      </c>
      <c r="Q2747" s="8"/>
      <c r="W2747" s="317">
        <v>4.5999999999999996</v>
      </c>
      <c r="X2747" s="190"/>
      <c r="Y2747" s="8"/>
      <c r="Z2747" s="8"/>
    </row>
    <row r="2748" spans="1:26" ht="12.75" customHeight="1" x14ac:dyDescent="0.2">
      <c r="A2748" s="15">
        <v>68</v>
      </c>
      <c r="B2748" s="15">
        <v>1995</v>
      </c>
      <c r="C2748" s="15">
        <v>5</v>
      </c>
      <c r="D2748" s="15">
        <v>8</v>
      </c>
      <c r="E2748" s="22" t="s">
        <v>17</v>
      </c>
      <c r="F2748" s="11" t="s">
        <v>28</v>
      </c>
      <c r="G2748" s="11" t="s">
        <v>29</v>
      </c>
      <c r="H2748" s="15" t="s">
        <v>29</v>
      </c>
      <c r="I2748" s="25" t="s">
        <v>29</v>
      </c>
      <c r="J2748" s="11" t="s">
        <v>19</v>
      </c>
      <c r="K2748" s="11" t="s">
        <v>20</v>
      </c>
      <c r="L2748" s="11" t="s">
        <v>21</v>
      </c>
      <c r="M2748" s="11" t="s">
        <v>27</v>
      </c>
      <c r="N2748" s="11" t="s">
        <v>29</v>
      </c>
      <c r="O2748" s="16" t="s">
        <v>29</v>
      </c>
      <c r="P2748" s="15">
        <v>217</v>
      </c>
      <c r="Q2748" s="8"/>
      <c r="W2748" s="317">
        <v>3.9</v>
      </c>
      <c r="X2748" s="190"/>
      <c r="Y2748" s="8"/>
      <c r="Z2748" s="8"/>
    </row>
    <row r="2749" spans="1:26" ht="12.75" customHeight="1" x14ac:dyDescent="0.2">
      <c r="A2749" s="15">
        <v>69</v>
      </c>
      <c r="B2749" s="15">
        <v>1995</v>
      </c>
      <c r="C2749" s="15">
        <v>5</v>
      </c>
      <c r="D2749" s="15">
        <v>8</v>
      </c>
      <c r="E2749" s="22" t="s">
        <v>17</v>
      </c>
      <c r="F2749" s="11" t="s">
        <v>28</v>
      </c>
      <c r="G2749" s="11" t="s">
        <v>29</v>
      </c>
      <c r="H2749" s="15" t="s">
        <v>29</v>
      </c>
      <c r="I2749" s="25" t="s">
        <v>29</v>
      </c>
      <c r="J2749" s="11" t="s">
        <v>19</v>
      </c>
      <c r="K2749" s="11" t="s">
        <v>20</v>
      </c>
      <c r="L2749" s="11" t="s">
        <v>21</v>
      </c>
      <c r="M2749" s="11" t="s">
        <v>27</v>
      </c>
      <c r="N2749" s="11" t="s">
        <v>29</v>
      </c>
      <c r="O2749" s="16" t="s">
        <v>29</v>
      </c>
      <c r="P2749" s="15">
        <v>217</v>
      </c>
      <c r="Q2749" s="8"/>
      <c r="W2749" s="317">
        <v>3.9</v>
      </c>
      <c r="X2749" s="190"/>
      <c r="Y2749" s="8"/>
      <c r="Z2749" s="8"/>
    </row>
    <row r="2750" spans="1:26" ht="12.75" customHeight="1" x14ac:dyDescent="0.2">
      <c r="A2750" s="15">
        <v>70</v>
      </c>
      <c r="B2750" s="15">
        <v>1995</v>
      </c>
      <c r="C2750" s="15">
        <v>5</v>
      </c>
      <c r="D2750" s="15">
        <v>8</v>
      </c>
      <c r="E2750" s="22" t="s">
        <v>17</v>
      </c>
      <c r="F2750" s="11" t="s">
        <v>18</v>
      </c>
      <c r="G2750" s="15">
        <v>126</v>
      </c>
      <c r="H2750" s="15" t="s">
        <v>29</v>
      </c>
      <c r="I2750" s="25">
        <v>6.6</v>
      </c>
      <c r="J2750" s="11" t="s">
        <v>19</v>
      </c>
      <c r="K2750" s="11" t="s">
        <v>20</v>
      </c>
      <c r="L2750" s="11" t="s">
        <v>21</v>
      </c>
      <c r="M2750" s="11" t="s">
        <v>224</v>
      </c>
      <c r="N2750" s="11" t="s">
        <v>25</v>
      </c>
      <c r="O2750" s="16" t="s">
        <v>29</v>
      </c>
      <c r="P2750" s="15">
        <v>217</v>
      </c>
      <c r="Q2750" s="8"/>
      <c r="R2750">
        <v>11.76</v>
      </c>
      <c r="S2750">
        <v>1624.64</v>
      </c>
      <c r="T2750">
        <v>4.0599999999999996</v>
      </c>
      <c r="U2750">
        <v>8.44</v>
      </c>
      <c r="V2750">
        <v>118</v>
      </c>
      <c r="W2750" s="317">
        <v>3.9</v>
      </c>
      <c r="X2750" s="190">
        <f>I2750*W2750</f>
        <v>25.74</v>
      </c>
      <c r="Y2750" s="8"/>
      <c r="Z2750" s="8"/>
    </row>
    <row r="2751" spans="1:26" ht="12.75" customHeight="1" x14ac:dyDescent="0.2">
      <c r="A2751" s="15">
        <v>71</v>
      </c>
      <c r="B2751" s="15">
        <v>1995</v>
      </c>
      <c r="C2751" s="15">
        <v>5</v>
      </c>
      <c r="D2751" s="15">
        <v>8</v>
      </c>
      <c r="E2751" s="22" t="s">
        <v>17</v>
      </c>
      <c r="F2751" s="11" t="s">
        <v>18</v>
      </c>
      <c r="G2751" s="15">
        <v>143</v>
      </c>
      <c r="H2751" s="15" t="s">
        <v>29</v>
      </c>
      <c r="I2751" s="25">
        <v>11.6</v>
      </c>
      <c r="J2751" s="11" t="s">
        <v>19</v>
      </c>
      <c r="K2751" s="11" t="s">
        <v>20</v>
      </c>
      <c r="L2751" s="11" t="s">
        <v>21</v>
      </c>
      <c r="M2751" s="11" t="s">
        <v>47</v>
      </c>
      <c r="N2751" s="11" t="s">
        <v>29</v>
      </c>
      <c r="O2751" s="16" t="s">
        <v>29</v>
      </c>
      <c r="P2751" s="15">
        <v>217</v>
      </c>
      <c r="Q2751" s="8"/>
      <c r="R2751">
        <v>13.34</v>
      </c>
      <c r="S2751">
        <v>2374.94</v>
      </c>
      <c r="T2751">
        <v>4.88</v>
      </c>
      <c r="U2751">
        <v>9.58</v>
      </c>
      <c r="V2751">
        <v>133</v>
      </c>
      <c r="W2751" s="317">
        <v>3.9</v>
      </c>
      <c r="X2751" s="190">
        <f>I2751*W2751</f>
        <v>45.239999999999995</v>
      </c>
      <c r="Y2751" s="8"/>
      <c r="Z2751" s="8"/>
    </row>
    <row r="2752" spans="1:26" ht="12.75" customHeight="1" x14ac:dyDescent="0.2">
      <c r="A2752" s="15">
        <v>72</v>
      </c>
      <c r="B2752" s="15">
        <v>1995</v>
      </c>
      <c r="C2752" s="15">
        <v>5</v>
      </c>
      <c r="D2752" s="15">
        <v>8</v>
      </c>
      <c r="E2752" s="22" t="s">
        <v>17</v>
      </c>
      <c r="F2752" s="11" t="s">
        <v>18</v>
      </c>
      <c r="G2752" s="15">
        <v>75</v>
      </c>
      <c r="H2752" s="15" t="s">
        <v>29</v>
      </c>
      <c r="I2752" s="25">
        <v>2.2999999999999998</v>
      </c>
      <c r="J2752" s="11" t="s">
        <v>36</v>
      </c>
      <c r="K2752" s="11" t="s">
        <v>29</v>
      </c>
      <c r="L2752" s="11" t="s">
        <v>29</v>
      </c>
      <c r="M2752" s="11" t="s">
        <v>46</v>
      </c>
      <c r="N2752" s="11" t="s">
        <v>24</v>
      </c>
      <c r="O2752" s="16" t="s">
        <v>29</v>
      </c>
      <c r="P2752" s="15">
        <v>217</v>
      </c>
      <c r="Q2752" s="8"/>
      <c r="R2752">
        <v>7</v>
      </c>
      <c r="S2752">
        <v>342.63</v>
      </c>
      <c r="T2752">
        <v>6.71</v>
      </c>
      <c r="U2752">
        <v>5.03</v>
      </c>
      <c r="V2752">
        <v>70</v>
      </c>
      <c r="W2752" s="8"/>
      <c r="X2752" s="8"/>
      <c r="Y2752" s="8"/>
      <c r="Z2752" s="8"/>
    </row>
    <row r="2753" spans="1:26" ht="12.75" customHeight="1" x14ac:dyDescent="0.2">
      <c r="A2753" s="15">
        <v>73</v>
      </c>
      <c r="B2753" s="15">
        <v>1995</v>
      </c>
      <c r="C2753" s="15">
        <v>5</v>
      </c>
      <c r="D2753" s="15">
        <v>8</v>
      </c>
      <c r="E2753" s="22" t="s">
        <v>17</v>
      </c>
      <c r="F2753" s="11" t="s">
        <v>18</v>
      </c>
      <c r="G2753" s="15">
        <v>104</v>
      </c>
      <c r="H2753" s="15" t="s">
        <v>29</v>
      </c>
      <c r="I2753" s="25">
        <v>2.2999999999999998</v>
      </c>
      <c r="J2753" s="11" t="s">
        <v>32</v>
      </c>
      <c r="K2753" s="11" t="s">
        <v>29</v>
      </c>
      <c r="L2753" s="11" t="s">
        <v>29</v>
      </c>
      <c r="M2753" s="11" t="s">
        <v>46</v>
      </c>
      <c r="N2753" s="11" t="s">
        <v>29</v>
      </c>
      <c r="O2753" s="16" t="s">
        <v>29</v>
      </c>
      <c r="P2753" s="15">
        <v>217</v>
      </c>
      <c r="Q2753" s="8"/>
      <c r="R2753">
        <v>9.6999999999999993</v>
      </c>
      <c r="S2753">
        <v>913.58</v>
      </c>
      <c r="T2753">
        <v>2.52</v>
      </c>
      <c r="U2753">
        <v>6.97</v>
      </c>
      <c r="V2753">
        <v>97</v>
      </c>
      <c r="W2753" s="8"/>
      <c r="X2753" s="8"/>
      <c r="Y2753" s="8"/>
      <c r="Z2753" s="8"/>
    </row>
    <row r="2754" spans="1:26" ht="12.75" customHeight="1" x14ac:dyDescent="0.2">
      <c r="A2754" s="15">
        <v>74</v>
      </c>
      <c r="B2754" s="15">
        <v>1995</v>
      </c>
      <c r="C2754" s="15">
        <v>5</v>
      </c>
      <c r="D2754" s="15">
        <v>8</v>
      </c>
      <c r="E2754" s="22" t="s">
        <v>17</v>
      </c>
      <c r="F2754" s="11" t="s">
        <v>28</v>
      </c>
      <c r="G2754" s="11" t="s">
        <v>29</v>
      </c>
      <c r="H2754" s="15" t="s">
        <v>29</v>
      </c>
      <c r="I2754" s="25" t="s">
        <v>29</v>
      </c>
      <c r="J2754" s="11" t="s">
        <v>32</v>
      </c>
      <c r="K2754" s="11" t="s">
        <v>29</v>
      </c>
      <c r="L2754" s="11" t="s">
        <v>29</v>
      </c>
      <c r="M2754" s="11" t="s">
        <v>29</v>
      </c>
      <c r="N2754" s="11" t="s">
        <v>24</v>
      </c>
      <c r="O2754" s="16" t="s">
        <v>29</v>
      </c>
      <c r="P2754" s="15">
        <v>217</v>
      </c>
      <c r="Q2754" s="8"/>
      <c r="W2754" s="8"/>
      <c r="X2754" s="8"/>
      <c r="Y2754" s="8"/>
      <c r="Z2754" s="8"/>
    </row>
    <row r="2755" spans="1:26" ht="12.75" customHeight="1" x14ac:dyDescent="0.2">
      <c r="A2755" s="15">
        <v>75</v>
      </c>
      <c r="B2755" s="15">
        <v>1995</v>
      </c>
      <c r="C2755" s="15">
        <v>5</v>
      </c>
      <c r="D2755" s="15">
        <v>8</v>
      </c>
      <c r="E2755" s="22" t="s">
        <v>17</v>
      </c>
      <c r="F2755" s="11" t="s">
        <v>18</v>
      </c>
      <c r="G2755" s="15">
        <v>140</v>
      </c>
      <c r="H2755" s="15" t="s">
        <v>29</v>
      </c>
      <c r="I2755" s="25">
        <v>13.1</v>
      </c>
      <c r="J2755" s="11" t="s">
        <v>19</v>
      </c>
      <c r="K2755" s="11" t="s">
        <v>20</v>
      </c>
      <c r="L2755" s="11" t="s">
        <v>30</v>
      </c>
      <c r="M2755" s="11" t="s">
        <v>46</v>
      </c>
      <c r="N2755" s="11" t="s">
        <v>29</v>
      </c>
      <c r="O2755" s="16" t="s">
        <v>29</v>
      </c>
      <c r="P2755" s="15">
        <v>217</v>
      </c>
      <c r="Q2755" s="8"/>
      <c r="R2755">
        <v>13.06</v>
      </c>
      <c r="S2755">
        <v>2228.58</v>
      </c>
      <c r="T2755">
        <v>5.88</v>
      </c>
      <c r="U2755">
        <v>9.3800000000000008</v>
      </c>
      <c r="V2755">
        <v>131</v>
      </c>
      <c r="W2755" s="317">
        <v>4.5999999999999996</v>
      </c>
      <c r="X2755" s="190">
        <f>I2755*W2755</f>
        <v>60.259999999999991</v>
      </c>
      <c r="Y2755" s="8"/>
      <c r="Z2755" s="8"/>
    </row>
    <row r="2756" spans="1:26" ht="12.75" customHeight="1" x14ac:dyDescent="0.2">
      <c r="A2756" s="15">
        <v>76</v>
      </c>
      <c r="B2756" s="15">
        <v>1995</v>
      </c>
      <c r="C2756" s="15">
        <v>5</v>
      </c>
      <c r="D2756" s="15">
        <v>8</v>
      </c>
      <c r="E2756" s="22" t="s">
        <v>17</v>
      </c>
      <c r="F2756" s="11" t="s">
        <v>18</v>
      </c>
      <c r="G2756" s="15">
        <v>133</v>
      </c>
      <c r="H2756" s="15" t="s">
        <v>29</v>
      </c>
      <c r="I2756" s="25">
        <v>11.1</v>
      </c>
      <c r="J2756" s="11" t="s">
        <v>19</v>
      </c>
      <c r="K2756" s="11" t="s">
        <v>20</v>
      </c>
      <c r="L2756" s="11" t="s">
        <v>30</v>
      </c>
      <c r="M2756" s="11" t="s">
        <v>27</v>
      </c>
      <c r="N2756" s="11" t="s">
        <v>25</v>
      </c>
      <c r="O2756" s="16" t="s">
        <v>29</v>
      </c>
      <c r="P2756" s="15">
        <v>217</v>
      </c>
      <c r="Q2756" s="8"/>
      <c r="R2756">
        <v>12.41</v>
      </c>
      <c r="S2756">
        <v>1910.73</v>
      </c>
      <c r="T2756">
        <v>5.81</v>
      </c>
      <c r="U2756">
        <v>8.91</v>
      </c>
      <c r="V2756">
        <v>124</v>
      </c>
      <c r="W2756" s="317">
        <v>4.5999999999999996</v>
      </c>
      <c r="X2756" s="190">
        <f>I2756*W2756</f>
        <v>51.059999999999995</v>
      </c>
      <c r="Y2756" s="8"/>
      <c r="Z2756" s="8"/>
    </row>
    <row r="2757" spans="1:26" ht="12.75" customHeight="1" x14ac:dyDescent="0.2">
      <c r="A2757" s="15">
        <v>77</v>
      </c>
      <c r="B2757" s="15">
        <v>1995</v>
      </c>
      <c r="C2757" s="15">
        <v>5</v>
      </c>
      <c r="D2757" s="15">
        <v>8</v>
      </c>
      <c r="E2757" s="22" t="s">
        <v>17</v>
      </c>
      <c r="F2757" s="11" t="s">
        <v>18</v>
      </c>
      <c r="G2757" s="11" t="s">
        <v>29</v>
      </c>
      <c r="H2757" s="15" t="s">
        <v>29</v>
      </c>
      <c r="I2757" s="25">
        <v>6</v>
      </c>
      <c r="J2757" s="11" t="s">
        <v>19</v>
      </c>
      <c r="K2757" s="11" t="s">
        <v>20</v>
      </c>
      <c r="L2757" s="11" t="s">
        <v>41</v>
      </c>
      <c r="M2757" s="11" t="s">
        <v>45</v>
      </c>
      <c r="N2757" s="11" t="s">
        <v>25</v>
      </c>
      <c r="O2757" s="16" t="s">
        <v>29</v>
      </c>
      <c r="P2757" s="15">
        <v>217</v>
      </c>
      <c r="Q2757" s="8"/>
      <c r="W2757" s="8"/>
      <c r="X2757" s="8"/>
      <c r="Y2757" s="8"/>
      <c r="Z2757" s="8"/>
    </row>
    <row r="2758" spans="1:26" ht="12.75" customHeight="1" x14ac:dyDescent="0.2">
      <c r="A2758" s="15">
        <v>78</v>
      </c>
      <c r="B2758" s="15">
        <v>1995</v>
      </c>
      <c r="C2758" s="15">
        <v>5</v>
      </c>
      <c r="D2758" s="15">
        <v>8</v>
      </c>
      <c r="E2758" s="22" t="s">
        <v>17</v>
      </c>
      <c r="F2758" s="11" t="s">
        <v>18</v>
      </c>
      <c r="G2758" s="15">
        <v>130</v>
      </c>
      <c r="H2758" s="15" t="s">
        <v>29</v>
      </c>
      <c r="I2758" s="25">
        <v>11.6</v>
      </c>
      <c r="J2758" s="11" t="s">
        <v>19</v>
      </c>
      <c r="K2758" s="11" t="s">
        <v>20</v>
      </c>
      <c r="L2758" s="11" t="s">
        <v>30</v>
      </c>
      <c r="M2758" s="11" t="s">
        <v>46</v>
      </c>
      <c r="N2758" s="11" t="s">
        <v>24</v>
      </c>
      <c r="O2758" s="16" t="s">
        <v>29</v>
      </c>
      <c r="P2758" s="15">
        <v>217</v>
      </c>
      <c r="Q2758" s="8"/>
      <c r="R2758">
        <v>12.13</v>
      </c>
      <c r="S2758">
        <v>1784.33</v>
      </c>
      <c r="T2758">
        <v>6.5</v>
      </c>
      <c r="U2758">
        <v>8.7100000000000009</v>
      </c>
      <c r="V2758">
        <v>121</v>
      </c>
      <c r="W2758" s="317">
        <v>4.5999999999999996</v>
      </c>
      <c r="X2758" s="190">
        <f>I2758*W2758</f>
        <v>53.359999999999992</v>
      </c>
      <c r="Y2758" s="8"/>
      <c r="Z2758" s="8"/>
    </row>
    <row r="2759" spans="1:26" ht="12.75" customHeight="1" x14ac:dyDescent="0.2">
      <c r="A2759" s="15">
        <v>79</v>
      </c>
      <c r="B2759" s="15">
        <v>1995</v>
      </c>
      <c r="C2759" s="15">
        <v>5</v>
      </c>
      <c r="D2759" s="15">
        <v>8</v>
      </c>
      <c r="E2759" s="22" t="s">
        <v>17</v>
      </c>
      <c r="F2759" s="11" t="s">
        <v>28</v>
      </c>
      <c r="G2759" s="11" t="s">
        <v>29</v>
      </c>
      <c r="H2759" s="15" t="s">
        <v>29</v>
      </c>
      <c r="I2759" s="25" t="s">
        <v>29</v>
      </c>
      <c r="J2759" s="11" t="s">
        <v>19</v>
      </c>
      <c r="K2759" s="11" t="s">
        <v>34</v>
      </c>
      <c r="L2759" s="11" t="s">
        <v>41</v>
      </c>
      <c r="M2759" s="11" t="s">
        <v>27</v>
      </c>
      <c r="N2759" s="11" t="s">
        <v>25</v>
      </c>
      <c r="O2759" s="16" t="s">
        <v>29</v>
      </c>
      <c r="P2759" s="15">
        <v>217</v>
      </c>
      <c r="Q2759" s="8"/>
      <c r="W2759" s="317">
        <v>3.8</v>
      </c>
      <c r="X2759" s="190"/>
      <c r="Y2759" s="8"/>
      <c r="Z2759" s="8"/>
    </row>
    <row r="2760" spans="1:26" ht="12.75" customHeight="1" x14ac:dyDescent="0.2">
      <c r="A2760" s="15">
        <v>80</v>
      </c>
      <c r="B2760" s="15">
        <v>1995</v>
      </c>
      <c r="C2760" s="15">
        <v>5</v>
      </c>
      <c r="D2760" s="15">
        <v>8</v>
      </c>
      <c r="E2760" s="22" t="s">
        <v>17</v>
      </c>
      <c r="F2760" s="11" t="s">
        <v>18</v>
      </c>
      <c r="G2760" s="15">
        <v>138</v>
      </c>
      <c r="H2760" s="15" t="s">
        <v>29</v>
      </c>
      <c r="I2760" s="25">
        <v>11.6</v>
      </c>
      <c r="J2760" s="11" t="s">
        <v>19</v>
      </c>
      <c r="K2760" s="11" t="s">
        <v>20</v>
      </c>
      <c r="L2760" s="11" t="s">
        <v>30</v>
      </c>
      <c r="M2760" s="11" t="s">
        <v>46</v>
      </c>
      <c r="N2760" s="11" t="s">
        <v>24</v>
      </c>
      <c r="O2760" s="16" t="s">
        <v>29</v>
      </c>
      <c r="P2760" s="15">
        <v>217</v>
      </c>
      <c r="Q2760" s="8"/>
      <c r="R2760">
        <v>12.88</v>
      </c>
      <c r="S2760">
        <v>2134.4299999999998</v>
      </c>
      <c r="T2760">
        <v>5.43</v>
      </c>
      <c r="U2760">
        <v>9.25</v>
      </c>
      <c r="V2760">
        <v>129</v>
      </c>
      <c r="W2760" s="317">
        <v>4.5999999999999996</v>
      </c>
      <c r="X2760" s="190">
        <f>I2760*W2760</f>
        <v>53.359999999999992</v>
      </c>
      <c r="Y2760" s="8"/>
      <c r="Z2760" s="8"/>
    </row>
    <row r="2761" spans="1:26" ht="12.75" customHeight="1" x14ac:dyDescent="0.2">
      <c r="A2761" s="15">
        <v>81</v>
      </c>
      <c r="B2761" s="15">
        <v>1995</v>
      </c>
      <c r="C2761" s="15">
        <v>5</v>
      </c>
      <c r="D2761" s="15">
        <v>8</v>
      </c>
      <c r="E2761" s="22" t="s">
        <v>17</v>
      </c>
      <c r="F2761" s="11" t="s">
        <v>28</v>
      </c>
      <c r="G2761" s="11" t="s">
        <v>29</v>
      </c>
      <c r="H2761" s="15" t="s">
        <v>29</v>
      </c>
      <c r="I2761" s="25" t="s">
        <v>29</v>
      </c>
      <c r="J2761" s="11" t="s">
        <v>19</v>
      </c>
      <c r="K2761" s="11" t="s">
        <v>34</v>
      </c>
      <c r="L2761" s="11" t="s">
        <v>41</v>
      </c>
      <c r="M2761" s="11" t="s">
        <v>45</v>
      </c>
      <c r="N2761" s="11" t="s">
        <v>29</v>
      </c>
      <c r="O2761" s="16" t="s">
        <v>29</v>
      </c>
      <c r="P2761" s="15">
        <v>217</v>
      </c>
      <c r="Q2761" s="8"/>
      <c r="W2761" s="317">
        <v>3.8</v>
      </c>
      <c r="X2761" s="190"/>
      <c r="Y2761" s="8"/>
      <c r="Z2761" s="8"/>
    </row>
    <row r="2762" spans="1:26" ht="12.75" customHeight="1" x14ac:dyDescent="0.2">
      <c r="A2762" s="15">
        <v>82</v>
      </c>
      <c r="B2762" s="15">
        <v>1995</v>
      </c>
      <c r="C2762" s="15">
        <v>5</v>
      </c>
      <c r="D2762" s="15">
        <v>8</v>
      </c>
      <c r="E2762" s="22" t="s">
        <v>17</v>
      </c>
      <c r="F2762" s="11" t="s">
        <v>28</v>
      </c>
      <c r="G2762" s="11" t="s">
        <v>29</v>
      </c>
      <c r="H2762" s="15" t="s">
        <v>29</v>
      </c>
      <c r="I2762" s="25" t="s">
        <v>29</v>
      </c>
      <c r="J2762" s="11" t="s">
        <v>19</v>
      </c>
      <c r="K2762" s="11" t="s">
        <v>34</v>
      </c>
      <c r="L2762" s="11" t="s">
        <v>41</v>
      </c>
      <c r="M2762" s="11" t="s">
        <v>45</v>
      </c>
      <c r="N2762" s="11" t="s">
        <v>29</v>
      </c>
      <c r="O2762" s="16" t="s">
        <v>29</v>
      </c>
      <c r="P2762" s="15">
        <v>217</v>
      </c>
      <c r="Q2762" s="8"/>
      <c r="W2762" s="317">
        <v>3.8</v>
      </c>
      <c r="X2762" s="190"/>
      <c r="Y2762" s="8"/>
      <c r="Z2762" s="8"/>
    </row>
    <row r="2763" spans="1:26" ht="12.75" customHeight="1" x14ac:dyDescent="0.2">
      <c r="A2763" s="15">
        <v>83</v>
      </c>
      <c r="B2763" s="15">
        <v>1995</v>
      </c>
      <c r="C2763" s="15">
        <v>5</v>
      </c>
      <c r="D2763" s="15">
        <v>8</v>
      </c>
      <c r="E2763" s="22" t="s">
        <v>17</v>
      </c>
      <c r="F2763" s="11" t="s">
        <v>28</v>
      </c>
      <c r="G2763" s="11" t="s">
        <v>29</v>
      </c>
      <c r="H2763" s="15" t="s">
        <v>29</v>
      </c>
      <c r="I2763" s="25" t="s">
        <v>29</v>
      </c>
      <c r="J2763" s="11" t="s">
        <v>19</v>
      </c>
      <c r="K2763" s="11" t="s">
        <v>41</v>
      </c>
      <c r="L2763" s="11" t="s">
        <v>35</v>
      </c>
      <c r="M2763" s="11" t="s">
        <v>46</v>
      </c>
      <c r="N2763" s="11" t="s">
        <v>29</v>
      </c>
      <c r="O2763" s="16" t="s">
        <v>29</v>
      </c>
      <c r="P2763" s="15">
        <v>217</v>
      </c>
      <c r="Q2763" s="8"/>
      <c r="W2763" s="8"/>
      <c r="X2763" s="8"/>
      <c r="Y2763" s="8"/>
      <c r="Z2763" s="8"/>
    </row>
    <row r="2764" spans="1:26" ht="12.75" customHeight="1" x14ac:dyDescent="0.2">
      <c r="A2764" s="15">
        <v>84</v>
      </c>
      <c r="B2764" s="15">
        <v>1995</v>
      </c>
      <c r="C2764" s="15">
        <v>5</v>
      </c>
      <c r="D2764" s="15">
        <v>8</v>
      </c>
      <c r="E2764" s="22" t="s">
        <v>17</v>
      </c>
      <c r="F2764" s="11" t="s">
        <v>28</v>
      </c>
      <c r="G2764" s="11" t="s">
        <v>29</v>
      </c>
      <c r="H2764" s="15" t="s">
        <v>29</v>
      </c>
      <c r="I2764" s="25" t="s">
        <v>29</v>
      </c>
      <c r="J2764" s="11" t="s">
        <v>19</v>
      </c>
      <c r="K2764" s="11" t="s">
        <v>41</v>
      </c>
      <c r="L2764" s="11" t="s">
        <v>35</v>
      </c>
      <c r="M2764" s="11" t="s">
        <v>46</v>
      </c>
      <c r="N2764" s="11" t="s">
        <v>29</v>
      </c>
      <c r="O2764" s="16" t="s">
        <v>29</v>
      </c>
      <c r="P2764" s="15">
        <v>217</v>
      </c>
      <c r="Q2764" s="8"/>
      <c r="W2764" s="8"/>
      <c r="X2764" s="8"/>
      <c r="Y2764" s="8"/>
      <c r="Z2764" s="8"/>
    </row>
    <row r="2765" spans="1:26" ht="12.75" customHeight="1" x14ac:dyDescent="0.2">
      <c r="A2765" s="15">
        <v>85</v>
      </c>
      <c r="B2765" s="15">
        <v>1995</v>
      </c>
      <c r="C2765" s="15">
        <v>5</v>
      </c>
      <c r="D2765" s="15">
        <v>8</v>
      </c>
      <c r="E2765" s="22" t="s">
        <v>17</v>
      </c>
      <c r="F2765" s="11" t="s">
        <v>28</v>
      </c>
      <c r="G2765" s="11" t="s">
        <v>29</v>
      </c>
      <c r="H2765" s="15" t="s">
        <v>29</v>
      </c>
      <c r="I2765" s="25" t="s">
        <v>29</v>
      </c>
      <c r="J2765" s="11" t="s">
        <v>19</v>
      </c>
      <c r="K2765" s="11" t="s">
        <v>20</v>
      </c>
      <c r="L2765" s="11" t="s">
        <v>21</v>
      </c>
      <c r="M2765" s="11" t="s">
        <v>47</v>
      </c>
      <c r="N2765" s="11" t="s">
        <v>29</v>
      </c>
      <c r="O2765" s="16" t="s">
        <v>29</v>
      </c>
      <c r="P2765" s="15">
        <v>217</v>
      </c>
      <c r="Q2765" s="8"/>
      <c r="W2765" s="317">
        <v>3.9</v>
      </c>
      <c r="X2765" s="190"/>
      <c r="Y2765" s="8"/>
      <c r="Z2765" s="8"/>
    </row>
    <row r="2766" spans="1:26" ht="12.75" customHeight="1" x14ac:dyDescent="0.2">
      <c r="A2766" s="15">
        <v>86</v>
      </c>
      <c r="B2766" s="15">
        <v>1995</v>
      </c>
      <c r="C2766" s="15">
        <v>5</v>
      </c>
      <c r="D2766" s="15">
        <v>8</v>
      </c>
      <c r="E2766" s="22" t="s">
        <v>17</v>
      </c>
      <c r="F2766" s="11" t="s">
        <v>28</v>
      </c>
      <c r="G2766" s="11" t="s">
        <v>29</v>
      </c>
      <c r="H2766" s="15" t="s">
        <v>29</v>
      </c>
      <c r="I2766" s="25" t="s">
        <v>29</v>
      </c>
      <c r="J2766" s="11" t="s">
        <v>19</v>
      </c>
      <c r="K2766" s="11" t="s">
        <v>20</v>
      </c>
      <c r="L2766" s="11" t="s">
        <v>21</v>
      </c>
      <c r="M2766" s="11" t="s">
        <v>45</v>
      </c>
      <c r="N2766" s="11" t="s">
        <v>29</v>
      </c>
      <c r="O2766" s="16" t="s">
        <v>29</v>
      </c>
      <c r="P2766" s="15">
        <v>217</v>
      </c>
      <c r="Q2766" s="8"/>
      <c r="W2766" s="317">
        <v>3.9</v>
      </c>
      <c r="X2766" s="190"/>
      <c r="Y2766" s="8"/>
      <c r="Z2766" s="8"/>
    </row>
    <row r="2767" spans="1:26" ht="12.75" customHeight="1" x14ac:dyDescent="0.2">
      <c r="A2767" s="15">
        <v>87</v>
      </c>
      <c r="B2767" s="15">
        <v>1995</v>
      </c>
      <c r="C2767" s="15">
        <v>5</v>
      </c>
      <c r="D2767" s="15">
        <v>8</v>
      </c>
      <c r="E2767" s="22" t="s">
        <v>17</v>
      </c>
      <c r="F2767" s="11" t="s">
        <v>28</v>
      </c>
      <c r="G2767" s="11" t="s">
        <v>29</v>
      </c>
      <c r="H2767" s="15" t="s">
        <v>29</v>
      </c>
      <c r="I2767" s="25" t="s">
        <v>29</v>
      </c>
      <c r="J2767" s="11" t="s">
        <v>19</v>
      </c>
      <c r="K2767" s="11" t="s">
        <v>20</v>
      </c>
      <c r="L2767" s="11" t="s">
        <v>30</v>
      </c>
      <c r="M2767" s="11" t="s">
        <v>45</v>
      </c>
      <c r="N2767" s="11" t="s">
        <v>29</v>
      </c>
      <c r="O2767" s="16" t="s">
        <v>29</v>
      </c>
      <c r="P2767" s="15">
        <v>217</v>
      </c>
      <c r="Q2767" s="8"/>
      <c r="W2767" s="317">
        <v>4.5999999999999996</v>
      </c>
      <c r="X2767" s="190"/>
      <c r="Y2767" s="8"/>
      <c r="Z2767" s="8"/>
    </row>
    <row r="2768" spans="1:26" ht="12.75" customHeight="1" x14ac:dyDescent="0.2">
      <c r="A2768" s="15">
        <v>88</v>
      </c>
      <c r="B2768" s="15">
        <v>1995</v>
      </c>
      <c r="C2768" s="15">
        <v>5</v>
      </c>
      <c r="D2768" s="15">
        <v>8</v>
      </c>
      <c r="E2768" s="22" t="s">
        <v>17</v>
      </c>
      <c r="F2768" s="11" t="s">
        <v>28</v>
      </c>
      <c r="G2768" s="11" t="s">
        <v>29</v>
      </c>
      <c r="H2768" s="15" t="s">
        <v>29</v>
      </c>
      <c r="I2768" s="25" t="s">
        <v>29</v>
      </c>
      <c r="J2768" s="11" t="s">
        <v>19</v>
      </c>
      <c r="K2768" s="11" t="s">
        <v>20</v>
      </c>
      <c r="L2768" s="11" t="s">
        <v>21</v>
      </c>
      <c r="M2768" s="11" t="s">
        <v>45</v>
      </c>
      <c r="N2768" s="11" t="s">
        <v>29</v>
      </c>
      <c r="O2768" s="16" t="s">
        <v>29</v>
      </c>
      <c r="P2768" s="15">
        <v>217</v>
      </c>
      <c r="Q2768" s="8"/>
      <c r="W2768" s="317">
        <v>3.9</v>
      </c>
      <c r="X2768" s="190"/>
      <c r="Y2768" s="8"/>
      <c r="Z2768" s="8"/>
    </row>
    <row r="2769" spans="1:26" ht="12.75" customHeight="1" x14ac:dyDescent="0.2">
      <c r="A2769" s="15">
        <v>89</v>
      </c>
      <c r="B2769" s="15">
        <v>1995</v>
      </c>
      <c r="C2769" s="15">
        <v>5</v>
      </c>
      <c r="D2769" s="15">
        <v>8</v>
      </c>
      <c r="E2769" s="22" t="s">
        <v>17</v>
      </c>
      <c r="F2769" s="11" t="s">
        <v>28</v>
      </c>
      <c r="G2769" s="11" t="s">
        <v>29</v>
      </c>
      <c r="H2769" s="15" t="s">
        <v>29</v>
      </c>
      <c r="I2769" s="25" t="s">
        <v>29</v>
      </c>
      <c r="J2769" s="11" t="s">
        <v>209</v>
      </c>
      <c r="K2769" s="11" t="s">
        <v>29</v>
      </c>
      <c r="L2769" s="11" t="s">
        <v>29</v>
      </c>
      <c r="M2769" s="11" t="s">
        <v>45</v>
      </c>
      <c r="N2769" s="11" t="s">
        <v>29</v>
      </c>
      <c r="O2769" s="16" t="s">
        <v>29</v>
      </c>
      <c r="P2769" s="15">
        <v>217</v>
      </c>
      <c r="Q2769" s="8"/>
      <c r="W2769" s="8"/>
      <c r="X2769" s="8"/>
      <c r="Y2769" s="8"/>
      <c r="Z2769" s="8"/>
    </row>
    <row r="2770" spans="1:26" ht="12.75" customHeight="1" x14ac:dyDescent="0.2">
      <c r="A2770" s="15">
        <v>90</v>
      </c>
      <c r="B2770" s="15">
        <v>1995</v>
      </c>
      <c r="C2770" s="15">
        <v>5</v>
      </c>
      <c r="D2770" s="15">
        <v>8</v>
      </c>
      <c r="E2770" s="22" t="s">
        <v>17</v>
      </c>
      <c r="F2770" s="11" t="s">
        <v>28</v>
      </c>
      <c r="G2770" s="11" t="s">
        <v>29</v>
      </c>
      <c r="H2770" s="15" t="s">
        <v>29</v>
      </c>
      <c r="I2770" s="25" t="s">
        <v>29</v>
      </c>
      <c r="J2770" s="11" t="s">
        <v>19</v>
      </c>
      <c r="K2770" s="11" t="s">
        <v>20</v>
      </c>
      <c r="L2770" s="11" t="s">
        <v>30</v>
      </c>
      <c r="M2770" s="11" t="s">
        <v>45</v>
      </c>
      <c r="N2770" s="11" t="s">
        <v>29</v>
      </c>
      <c r="O2770" s="16" t="s">
        <v>29</v>
      </c>
      <c r="P2770" s="15">
        <v>217</v>
      </c>
      <c r="Q2770" s="8"/>
      <c r="W2770" s="317">
        <v>4.5999999999999996</v>
      </c>
      <c r="X2770" s="190"/>
      <c r="Y2770" s="8"/>
      <c r="Z2770" s="8"/>
    </row>
    <row r="2771" spans="1:26" ht="12.75" customHeight="1" x14ac:dyDescent="0.2">
      <c r="A2771" s="15">
        <v>91</v>
      </c>
      <c r="B2771" s="15">
        <v>1995</v>
      </c>
      <c r="C2771" s="15">
        <v>5</v>
      </c>
      <c r="D2771" s="15">
        <v>8</v>
      </c>
      <c r="E2771" s="22" t="s">
        <v>17</v>
      </c>
      <c r="F2771" s="11" t="s">
        <v>28</v>
      </c>
      <c r="G2771" s="11" t="s">
        <v>29</v>
      </c>
      <c r="H2771" s="15" t="s">
        <v>29</v>
      </c>
      <c r="I2771" s="25" t="s">
        <v>29</v>
      </c>
      <c r="J2771" s="11" t="s">
        <v>32</v>
      </c>
      <c r="K2771" s="11" t="s">
        <v>29</v>
      </c>
      <c r="L2771" s="11" t="s">
        <v>29</v>
      </c>
      <c r="M2771" s="11" t="s">
        <v>46</v>
      </c>
      <c r="N2771" s="11" t="s">
        <v>29</v>
      </c>
      <c r="O2771" s="16" t="s">
        <v>29</v>
      </c>
      <c r="P2771" s="15">
        <v>217</v>
      </c>
      <c r="Q2771" s="8"/>
      <c r="W2771" s="8"/>
      <c r="X2771" s="8"/>
      <c r="Y2771" s="8"/>
      <c r="Z2771" s="8"/>
    </row>
    <row r="2772" spans="1:26" ht="12.75" customHeight="1" x14ac:dyDescent="0.2">
      <c r="A2772" s="15">
        <v>92</v>
      </c>
      <c r="B2772" s="15">
        <v>1995</v>
      </c>
      <c r="C2772" s="15">
        <v>5</v>
      </c>
      <c r="D2772" s="15">
        <v>8</v>
      </c>
      <c r="E2772" s="22" t="s">
        <v>17</v>
      </c>
      <c r="F2772" s="11" t="s">
        <v>28</v>
      </c>
      <c r="G2772" s="11" t="s">
        <v>29</v>
      </c>
      <c r="H2772" s="15" t="s">
        <v>29</v>
      </c>
      <c r="I2772" s="25" t="s">
        <v>29</v>
      </c>
      <c r="J2772" s="11" t="s">
        <v>32</v>
      </c>
      <c r="K2772" s="11" t="s">
        <v>29</v>
      </c>
      <c r="L2772" s="11" t="s">
        <v>29</v>
      </c>
      <c r="M2772" s="11" t="s">
        <v>46</v>
      </c>
      <c r="N2772" s="11" t="s">
        <v>29</v>
      </c>
      <c r="O2772" s="16" t="s">
        <v>29</v>
      </c>
      <c r="P2772" s="15">
        <v>217</v>
      </c>
      <c r="Q2772" s="8"/>
      <c r="W2772" s="8"/>
      <c r="X2772" s="8"/>
      <c r="Y2772" s="8"/>
      <c r="Z2772" s="8"/>
    </row>
    <row r="2773" spans="1:26" ht="12.75" customHeight="1" x14ac:dyDescent="0.2">
      <c r="A2773" s="15">
        <v>93</v>
      </c>
      <c r="B2773" s="15">
        <v>1995</v>
      </c>
      <c r="C2773" s="15">
        <v>5</v>
      </c>
      <c r="D2773" s="15">
        <v>8</v>
      </c>
      <c r="E2773" s="22" t="s">
        <v>17</v>
      </c>
      <c r="F2773" s="11" t="s">
        <v>28</v>
      </c>
      <c r="G2773" s="11" t="s">
        <v>29</v>
      </c>
      <c r="H2773" s="15" t="s">
        <v>29</v>
      </c>
      <c r="I2773" s="25" t="s">
        <v>29</v>
      </c>
      <c r="J2773" s="11" t="s">
        <v>19</v>
      </c>
      <c r="K2773" s="11" t="s">
        <v>20</v>
      </c>
      <c r="L2773" s="11" t="s">
        <v>30</v>
      </c>
      <c r="M2773" s="11" t="s">
        <v>27</v>
      </c>
      <c r="N2773" s="11" t="s">
        <v>29</v>
      </c>
      <c r="O2773" s="16" t="s">
        <v>29</v>
      </c>
      <c r="P2773" s="15">
        <v>217</v>
      </c>
      <c r="Q2773" s="8"/>
      <c r="W2773" s="317">
        <v>4.5999999999999996</v>
      </c>
      <c r="X2773" s="190"/>
      <c r="Y2773" s="8"/>
      <c r="Z2773" s="8"/>
    </row>
    <row r="2774" spans="1:26" ht="12.75" customHeight="1" x14ac:dyDescent="0.2">
      <c r="A2774" s="15">
        <v>94</v>
      </c>
      <c r="B2774" s="15">
        <v>1995</v>
      </c>
      <c r="C2774" s="15">
        <v>5</v>
      </c>
      <c r="D2774" s="15">
        <v>8</v>
      </c>
      <c r="E2774" s="22" t="s">
        <v>17</v>
      </c>
      <c r="F2774" s="11" t="s">
        <v>28</v>
      </c>
      <c r="G2774" s="11" t="s">
        <v>29</v>
      </c>
      <c r="H2774" s="15" t="s">
        <v>29</v>
      </c>
      <c r="I2774" s="25" t="s">
        <v>29</v>
      </c>
      <c r="J2774" s="11" t="s">
        <v>19</v>
      </c>
      <c r="K2774" s="11" t="s">
        <v>20</v>
      </c>
      <c r="L2774" s="11" t="s">
        <v>30</v>
      </c>
      <c r="M2774" s="11" t="s">
        <v>46</v>
      </c>
      <c r="N2774" s="11" t="s">
        <v>29</v>
      </c>
      <c r="O2774" s="16" t="s">
        <v>29</v>
      </c>
      <c r="P2774" s="15">
        <v>217</v>
      </c>
      <c r="Q2774" s="8"/>
      <c r="W2774" s="317">
        <v>4.5999999999999996</v>
      </c>
      <c r="X2774" s="190"/>
      <c r="Y2774" s="8"/>
      <c r="Z2774" s="8"/>
    </row>
    <row r="2775" spans="1:26" ht="12.75" customHeight="1" x14ac:dyDescent="0.2">
      <c r="A2775" s="15">
        <v>95</v>
      </c>
      <c r="B2775" s="15">
        <v>1995</v>
      </c>
      <c r="C2775" s="15">
        <v>5</v>
      </c>
      <c r="D2775" s="15">
        <v>8</v>
      </c>
      <c r="E2775" s="22" t="s">
        <v>17</v>
      </c>
      <c r="F2775" s="11" t="s">
        <v>28</v>
      </c>
      <c r="G2775" s="11" t="s">
        <v>29</v>
      </c>
      <c r="H2775" s="15" t="s">
        <v>29</v>
      </c>
      <c r="I2775" s="25" t="s">
        <v>29</v>
      </c>
      <c r="J2775" s="11" t="s">
        <v>32</v>
      </c>
      <c r="K2775" s="11" t="s">
        <v>29</v>
      </c>
      <c r="L2775" s="11" t="s">
        <v>29</v>
      </c>
      <c r="M2775" s="11" t="s">
        <v>46</v>
      </c>
      <c r="N2775" s="11" t="s">
        <v>29</v>
      </c>
      <c r="O2775" s="16" t="s">
        <v>29</v>
      </c>
      <c r="P2775" s="15">
        <v>217</v>
      </c>
      <c r="Q2775" s="8"/>
      <c r="W2775" s="8"/>
      <c r="X2775" s="8"/>
      <c r="Y2775" s="8"/>
      <c r="Z2775" s="8"/>
    </row>
    <row r="2776" spans="1:26" ht="12.75" customHeight="1" x14ac:dyDescent="0.2">
      <c r="A2776" s="15">
        <v>96</v>
      </c>
      <c r="B2776" s="15">
        <v>1995</v>
      </c>
      <c r="C2776" s="15">
        <v>5</v>
      </c>
      <c r="D2776" s="15">
        <v>8</v>
      </c>
      <c r="E2776" s="22" t="s">
        <v>17</v>
      </c>
      <c r="F2776" s="11" t="s">
        <v>28</v>
      </c>
      <c r="G2776" s="11" t="s">
        <v>29</v>
      </c>
      <c r="H2776" s="15" t="s">
        <v>29</v>
      </c>
      <c r="I2776" s="25" t="s">
        <v>29</v>
      </c>
      <c r="J2776" s="11" t="s">
        <v>32</v>
      </c>
      <c r="K2776" s="11" t="s">
        <v>29</v>
      </c>
      <c r="L2776" s="11" t="s">
        <v>29</v>
      </c>
      <c r="M2776" s="11" t="s">
        <v>46</v>
      </c>
      <c r="N2776" s="11" t="s">
        <v>29</v>
      </c>
      <c r="O2776" s="16" t="s">
        <v>29</v>
      </c>
      <c r="P2776" s="15">
        <v>217</v>
      </c>
      <c r="Q2776" s="8"/>
      <c r="W2776" s="8"/>
      <c r="X2776" s="8"/>
      <c r="Y2776" s="8"/>
      <c r="Z2776" s="8"/>
    </row>
    <row r="2777" spans="1:26" ht="12.75" customHeight="1" x14ac:dyDescent="0.2">
      <c r="A2777" s="15">
        <v>97</v>
      </c>
      <c r="B2777" s="15">
        <v>1995</v>
      </c>
      <c r="C2777" s="15">
        <v>5</v>
      </c>
      <c r="D2777" s="15">
        <v>8</v>
      </c>
      <c r="E2777" s="22" t="s">
        <v>17</v>
      </c>
      <c r="F2777" s="11" t="s">
        <v>28</v>
      </c>
      <c r="G2777" s="11" t="s">
        <v>29</v>
      </c>
      <c r="H2777" s="15" t="s">
        <v>29</v>
      </c>
      <c r="I2777" s="25" t="s">
        <v>29</v>
      </c>
      <c r="J2777" s="11" t="s">
        <v>32</v>
      </c>
      <c r="K2777" s="11" t="s">
        <v>29</v>
      </c>
      <c r="L2777" s="11" t="s">
        <v>29</v>
      </c>
      <c r="M2777" s="11" t="s">
        <v>46</v>
      </c>
      <c r="N2777" s="11" t="s">
        <v>29</v>
      </c>
      <c r="O2777" s="16" t="s">
        <v>29</v>
      </c>
      <c r="P2777" s="15">
        <v>217</v>
      </c>
      <c r="Q2777" s="8"/>
      <c r="W2777" s="8"/>
      <c r="X2777" s="8"/>
      <c r="Y2777" s="8"/>
      <c r="Z2777" s="8"/>
    </row>
    <row r="2778" spans="1:26" ht="12.75" customHeight="1" x14ac:dyDescent="0.2">
      <c r="A2778" s="15">
        <v>98</v>
      </c>
      <c r="B2778" s="15">
        <v>1995</v>
      </c>
      <c r="C2778" s="15">
        <v>5</v>
      </c>
      <c r="D2778" s="15">
        <v>8</v>
      </c>
      <c r="E2778" s="22" t="s">
        <v>17</v>
      </c>
      <c r="F2778" s="11" t="s">
        <v>28</v>
      </c>
      <c r="G2778" s="11" t="s">
        <v>29</v>
      </c>
      <c r="H2778" s="15" t="s">
        <v>29</v>
      </c>
      <c r="I2778" s="25" t="s">
        <v>29</v>
      </c>
      <c r="J2778" s="11" t="s">
        <v>19</v>
      </c>
      <c r="K2778" s="11" t="s">
        <v>34</v>
      </c>
      <c r="L2778" s="11" t="s">
        <v>41</v>
      </c>
      <c r="M2778" s="11" t="s">
        <v>45</v>
      </c>
      <c r="N2778" s="11" t="s">
        <v>29</v>
      </c>
      <c r="O2778" s="16" t="s">
        <v>29</v>
      </c>
      <c r="P2778" s="15">
        <v>217</v>
      </c>
      <c r="Q2778" s="8"/>
      <c r="W2778" s="317">
        <v>3.8</v>
      </c>
      <c r="X2778" s="190"/>
      <c r="Y2778" s="8"/>
      <c r="Z2778" s="8"/>
    </row>
    <row r="2779" spans="1:26" ht="12.75" customHeight="1" x14ac:dyDescent="0.2">
      <c r="A2779" s="15">
        <v>99</v>
      </c>
      <c r="B2779" s="15">
        <v>1995</v>
      </c>
      <c r="C2779" s="15">
        <v>5</v>
      </c>
      <c r="D2779" s="15">
        <v>8</v>
      </c>
      <c r="E2779" s="22" t="s">
        <v>17</v>
      </c>
      <c r="F2779" s="11" t="s">
        <v>28</v>
      </c>
      <c r="G2779" s="11" t="s">
        <v>29</v>
      </c>
      <c r="H2779" s="15" t="s">
        <v>29</v>
      </c>
      <c r="I2779" s="25" t="s">
        <v>29</v>
      </c>
      <c r="J2779" s="11" t="s">
        <v>19</v>
      </c>
      <c r="K2779" s="11" t="s">
        <v>34</v>
      </c>
      <c r="L2779" s="11" t="s">
        <v>41</v>
      </c>
      <c r="M2779" s="11" t="s">
        <v>45</v>
      </c>
      <c r="N2779" s="11" t="s">
        <v>29</v>
      </c>
      <c r="O2779" s="16" t="s">
        <v>29</v>
      </c>
      <c r="P2779" s="15">
        <v>217</v>
      </c>
      <c r="Q2779" s="8"/>
      <c r="W2779" s="317">
        <v>3.8</v>
      </c>
      <c r="X2779" s="190"/>
      <c r="Y2779" s="8"/>
      <c r="Z2779" s="8"/>
    </row>
    <row r="2780" spans="1:26" ht="12.75" customHeight="1" x14ac:dyDescent="0.2">
      <c r="A2780" s="15">
        <v>100</v>
      </c>
      <c r="B2780" s="15">
        <v>1995</v>
      </c>
      <c r="C2780" s="15">
        <v>5</v>
      </c>
      <c r="D2780" s="15">
        <v>8</v>
      </c>
      <c r="E2780" s="22" t="s">
        <v>17</v>
      </c>
      <c r="F2780" s="11" t="s">
        <v>28</v>
      </c>
      <c r="G2780" s="11" t="s">
        <v>29</v>
      </c>
      <c r="H2780" s="15" t="s">
        <v>29</v>
      </c>
      <c r="I2780" s="25" t="s">
        <v>29</v>
      </c>
      <c r="J2780" s="11" t="s">
        <v>19</v>
      </c>
      <c r="K2780" s="11" t="s">
        <v>20</v>
      </c>
      <c r="L2780" s="11" t="s">
        <v>30</v>
      </c>
      <c r="M2780" s="11" t="s">
        <v>27</v>
      </c>
      <c r="N2780" s="11" t="s">
        <v>29</v>
      </c>
      <c r="O2780" s="16" t="s">
        <v>29</v>
      </c>
      <c r="P2780" s="15">
        <v>217</v>
      </c>
      <c r="Q2780" s="8"/>
      <c r="W2780" s="317">
        <v>4.5999999999999996</v>
      </c>
      <c r="X2780" s="190"/>
      <c r="Y2780" s="8"/>
      <c r="Z2780" s="8"/>
    </row>
    <row r="2781" spans="1:26" ht="12.75" customHeight="1" x14ac:dyDescent="0.2">
      <c r="A2781" s="15">
        <v>101</v>
      </c>
      <c r="B2781" s="15">
        <v>1995</v>
      </c>
      <c r="C2781" s="15">
        <v>5</v>
      </c>
      <c r="D2781" s="15">
        <v>8</v>
      </c>
      <c r="E2781" s="22" t="s">
        <v>17</v>
      </c>
      <c r="F2781" s="11" t="s">
        <v>28</v>
      </c>
      <c r="G2781" s="11" t="s">
        <v>29</v>
      </c>
      <c r="H2781" s="15" t="s">
        <v>29</v>
      </c>
      <c r="I2781" s="25" t="s">
        <v>29</v>
      </c>
      <c r="J2781" s="11" t="s">
        <v>19</v>
      </c>
      <c r="K2781" s="11" t="s">
        <v>20</v>
      </c>
      <c r="L2781" s="11" t="s">
        <v>30</v>
      </c>
      <c r="M2781" s="11" t="s">
        <v>45</v>
      </c>
      <c r="N2781" s="11" t="s">
        <v>29</v>
      </c>
      <c r="O2781" s="16" t="s">
        <v>29</v>
      </c>
      <c r="P2781" s="15">
        <v>217</v>
      </c>
      <c r="Q2781" s="8"/>
      <c r="W2781" s="317">
        <v>4.5999999999999996</v>
      </c>
      <c r="X2781" s="190"/>
      <c r="Y2781" s="8"/>
      <c r="Z2781" s="8"/>
    </row>
    <row r="2782" spans="1:26" ht="12.75" customHeight="1" x14ac:dyDescent="0.2">
      <c r="A2782" s="15">
        <v>102</v>
      </c>
      <c r="B2782" s="15">
        <v>1995</v>
      </c>
      <c r="C2782" s="15">
        <v>5</v>
      </c>
      <c r="D2782" s="15">
        <v>8</v>
      </c>
      <c r="E2782" s="22" t="s">
        <v>17</v>
      </c>
      <c r="F2782" s="11" t="s">
        <v>28</v>
      </c>
      <c r="G2782" s="11" t="s">
        <v>29</v>
      </c>
      <c r="H2782" s="15" t="s">
        <v>29</v>
      </c>
      <c r="I2782" s="25" t="s">
        <v>29</v>
      </c>
      <c r="J2782" s="11" t="s">
        <v>19</v>
      </c>
      <c r="K2782" s="11" t="s">
        <v>20</v>
      </c>
      <c r="L2782" s="11" t="s">
        <v>21</v>
      </c>
      <c r="M2782" s="11" t="s">
        <v>46</v>
      </c>
      <c r="N2782" s="11" t="s">
        <v>29</v>
      </c>
      <c r="O2782" s="16" t="s">
        <v>29</v>
      </c>
      <c r="P2782" s="15">
        <v>217</v>
      </c>
      <c r="Q2782" s="8"/>
      <c r="W2782" s="317">
        <v>3.9</v>
      </c>
      <c r="X2782" s="190"/>
      <c r="Y2782" s="8"/>
      <c r="Z2782" s="8"/>
    </row>
    <row r="2783" spans="1:26" ht="12.75" customHeight="1" x14ac:dyDescent="0.2">
      <c r="A2783" s="15">
        <v>103</v>
      </c>
      <c r="B2783" s="15">
        <v>1995</v>
      </c>
      <c r="C2783" s="15">
        <v>5</v>
      </c>
      <c r="D2783" s="15">
        <v>8</v>
      </c>
      <c r="E2783" s="22" t="s">
        <v>17</v>
      </c>
      <c r="F2783" s="11" t="s">
        <v>28</v>
      </c>
      <c r="G2783" s="11" t="s">
        <v>29</v>
      </c>
      <c r="H2783" s="15" t="s">
        <v>29</v>
      </c>
      <c r="I2783" s="25" t="s">
        <v>29</v>
      </c>
      <c r="J2783" s="11" t="s">
        <v>19</v>
      </c>
      <c r="K2783" s="11" t="s">
        <v>34</v>
      </c>
      <c r="L2783" s="11" t="s">
        <v>41</v>
      </c>
      <c r="M2783" s="11" t="s">
        <v>46</v>
      </c>
      <c r="N2783" s="11" t="s">
        <v>29</v>
      </c>
      <c r="O2783" s="16" t="s">
        <v>29</v>
      </c>
      <c r="P2783" s="15">
        <v>217</v>
      </c>
      <c r="Q2783" s="8"/>
      <c r="W2783" s="317">
        <v>3.8</v>
      </c>
      <c r="X2783" s="190"/>
      <c r="Y2783" s="8"/>
      <c r="Z2783" s="8"/>
    </row>
    <row r="2784" spans="1:26" ht="12.75" customHeight="1" x14ac:dyDescent="0.2">
      <c r="A2784" s="15">
        <v>104</v>
      </c>
      <c r="B2784" s="15">
        <v>1995</v>
      </c>
      <c r="C2784" s="15">
        <v>5</v>
      </c>
      <c r="D2784" s="15">
        <v>8</v>
      </c>
      <c r="E2784" s="22" t="s">
        <v>17</v>
      </c>
      <c r="F2784" s="11" t="s">
        <v>18</v>
      </c>
      <c r="G2784" s="15">
        <v>133</v>
      </c>
      <c r="H2784" s="15" t="s">
        <v>29</v>
      </c>
      <c r="I2784" s="25">
        <v>13.1</v>
      </c>
      <c r="J2784" s="11" t="s">
        <v>19</v>
      </c>
      <c r="K2784" s="11" t="s">
        <v>20</v>
      </c>
      <c r="L2784" s="11" t="s">
        <v>30</v>
      </c>
      <c r="M2784" s="11" t="s">
        <v>46</v>
      </c>
      <c r="N2784" s="11" t="s">
        <v>24</v>
      </c>
      <c r="O2784" s="16" t="s">
        <v>29</v>
      </c>
      <c r="P2784" s="15">
        <v>217</v>
      </c>
      <c r="Q2784" s="8"/>
      <c r="R2784">
        <v>12.41</v>
      </c>
      <c r="S2784">
        <v>1910.73</v>
      </c>
      <c r="T2784">
        <v>6.86</v>
      </c>
      <c r="U2784">
        <v>8.91</v>
      </c>
      <c r="V2784">
        <v>124</v>
      </c>
      <c r="W2784" s="317">
        <v>4.5999999999999996</v>
      </c>
      <c r="X2784" s="190">
        <f>I2784*W2784</f>
        <v>60.259999999999991</v>
      </c>
      <c r="Y2784" s="8"/>
      <c r="Z2784" s="8"/>
    </row>
    <row r="2785" spans="1:26" ht="12.75" customHeight="1" x14ac:dyDescent="0.2">
      <c r="A2785" s="15">
        <v>105</v>
      </c>
      <c r="B2785" s="15">
        <v>1995</v>
      </c>
      <c r="C2785" s="15">
        <v>5</v>
      </c>
      <c r="D2785" s="15">
        <v>8</v>
      </c>
      <c r="E2785" s="22" t="s">
        <v>17</v>
      </c>
      <c r="F2785" s="11" t="s">
        <v>18</v>
      </c>
      <c r="G2785" s="15">
        <v>138</v>
      </c>
      <c r="H2785" s="15" t="s">
        <v>29</v>
      </c>
      <c r="I2785" s="25">
        <v>11.6</v>
      </c>
      <c r="J2785" s="11" t="s">
        <v>19</v>
      </c>
      <c r="K2785" s="11" t="s">
        <v>20</v>
      </c>
      <c r="L2785" s="11" t="s">
        <v>21</v>
      </c>
      <c r="M2785" s="11" t="s">
        <v>45</v>
      </c>
      <c r="N2785" s="11" t="s">
        <v>24</v>
      </c>
      <c r="O2785" s="16" t="s">
        <v>29</v>
      </c>
      <c r="P2785" s="15">
        <v>217</v>
      </c>
      <c r="Q2785" s="8"/>
      <c r="R2785">
        <v>12.88</v>
      </c>
      <c r="S2785">
        <v>2134.4299999999998</v>
      </c>
      <c r="T2785">
        <v>5.43</v>
      </c>
      <c r="U2785">
        <v>9.25</v>
      </c>
      <c r="V2785">
        <v>129</v>
      </c>
      <c r="W2785" s="317">
        <v>3.9</v>
      </c>
      <c r="X2785" s="190">
        <f>I2785*W2785</f>
        <v>45.239999999999995</v>
      </c>
      <c r="Y2785" s="8"/>
      <c r="Z2785" s="8"/>
    </row>
    <row r="2786" spans="1:26" ht="12.75" customHeight="1" x14ac:dyDescent="0.2">
      <c r="A2786" s="15">
        <v>106</v>
      </c>
      <c r="B2786" s="15">
        <v>1995</v>
      </c>
      <c r="C2786" s="15">
        <v>5</v>
      </c>
      <c r="D2786" s="15">
        <v>8</v>
      </c>
      <c r="E2786" s="22" t="s">
        <v>17</v>
      </c>
      <c r="F2786" s="11" t="s">
        <v>18</v>
      </c>
      <c r="G2786" s="15">
        <v>135</v>
      </c>
      <c r="H2786" s="15" t="s">
        <v>29</v>
      </c>
      <c r="I2786" s="25">
        <v>10.6</v>
      </c>
      <c r="J2786" s="11" t="s">
        <v>19</v>
      </c>
      <c r="K2786" s="11" t="s">
        <v>20</v>
      </c>
      <c r="L2786" s="11" t="s">
        <v>21</v>
      </c>
      <c r="M2786" s="11" t="s">
        <v>29</v>
      </c>
      <c r="N2786" s="11" t="s">
        <v>24</v>
      </c>
      <c r="O2786" s="16" t="s">
        <v>29</v>
      </c>
      <c r="P2786" s="15">
        <v>217</v>
      </c>
      <c r="Q2786" s="8"/>
      <c r="R2786">
        <v>12.6</v>
      </c>
      <c r="S2786">
        <v>1998.23</v>
      </c>
      <c r="T2786">
        <v>5.3</v>
      </c>
      <c r="U2786">
        <v>9.0500000000000007</v>
      </c>
      <c r="V2786">
        <v>126</v>
      </c>
      <c r="W2786" s="317">
        <v>3.9</v>
      </c>
      <c r="X2786" s="190">
        <f>I2786*W2786</f>
        <v>41.339999999999996</v>
      </c>
      <c r="Y2786" s="8"/>
      <c r="Z2786" s="8"/>
    </row>
    <row r="2787" spans="1:26" ht="12.75" customHeight="1" x14ac:dyDescent="0.2">
      <c r="A2787" s="15">
        <v>107</v>
      </c>
      <c r="B2787" s="15">
        <v>1995</v>
      </c>
      <c r="C2787" s="15">
        <v>5</v>
      </c>
      <c r="D2787" s="15">
        <v>8</v>
      </c>
      <c r="E2787" s="22" t="s">
        <v>17</v>
      </c>
      <c r="F2787" s="11" t="s">
        <v>18</v>
      </c>
      <c r="G2787" s="15">
        <v>143</v>
      </c>
      <c r="H2787" s="15" t="s">
        <v>29</v>
      </c>
      <c r="I2787" s="25">
        <v>11.1</v>
      </c>
      <c r="J2787" s="11" t="s">
        <v>19</v>
      </c>
      <c r="K2787" s="11" t="s">
        <v>20</v>
      </c>
      <c r="L2787" s="11" t="s">
        <v>21</v>
      </c>
      <c r="M2787" s="11" t="s">
        <v>29</v>
      </c>
      <c r="N2787" s="11" t="s">
        <v>24</v>
      </c>
      <c r="O2787" s="16" t="s">
        <v>29</v>
      </c>
      <c r="P2787" s="15">
        <v>217</v>
      </c>
      <c r="Q2787" s="8"/>
      <c r="R2787">
        <v>13.34</v>
      </c>
      <c r="S2787">
        <v>2374.94</v>
      </c>
      <c r="T2787">
        <v>4.67</v>
      </c>
      <c r="U2787">
        <v>9.58</v>
      </c>
      <c r="V2787">
        <v>133</v>
      </c>
      <c r="W2787" s="317">
        <v>3.9</v>
      </c>
      <c r="X2787" s="190">
        <f>I2787*W2787</f>
        <v>43.29</v>
      </c>
      <c r="Y2787" s="8"/>
      <c r="Z2787" s="8"/>
    </row>
    <row r="2788" spans="1:26" ht="12.75" customHeight="1" x14ac:dyDescent="0.2">
      <c r="A2788" s="15">
        <v>108</v>
      </c>
      <c r="B2788" s="15">
        <v>1995</v>
      </c>
      <c r="C2788" s="15">
        <v>5</v>
      </c>
      <c r="D2788" s="15">
        <v>8</v>
      </c>
      <c r="E2788" s="22" t="s">
        <v>17</v>
      </c>
      <c r="F2788" s="11" t="s">
        <v>18</v>
      </c>
      <c r="G2788" s="15">
        <v>157</v>
      </c>
      <c r="H2788" s="15" t="s">
        <v>29</v>
      </c>
      <c r="I2788" s="25">
        <v>17.100000000000001</v>
      </c>
      <c r="J2788" s="11" t="s">
        <v>19</v>
      </c>
      <c r="K2788" s="11" t="s">
        <v>20</v>
      </c>
      <c r="L2788" s="11" t="s">
        <v>30</v>
      </c>
      <c r="M2788" s="11" t="s">
        <v>29</v>
      </c>
      <c r="N2788" s="11" t="s">
        <v>25</v>
      </c>
      <c r="O2788" s="16" t="s">
        <v>29</v>
      </c>
      <c r="P2788" s="15">
        <v>217</v>
      </c>
      <c r="Q2788" s="8"/>
      <c r="R2788">
        <v>14.65</v>
      </c>
      <c r="S2788">
        <v>3143</v>
      </c>
      <c r="T2788">
        <v>5.44</v>
      </c>
      <c r="U2788">
        <v>10.52</v>
      </c>
      <c r="V2788">
        <v>146</v>
      </c>
      <c r="W2788" s="317">
        <v>4.5999999999999996</v>
      </c>
      <c r="X2788" s="190">
        <f>I2788*W2788</f>
        <v>78.66</v>
      </c>
      <c r="Y2788" s="8"/>
      <c r="Z2788" s="8"/>
    </row>
    <row r="2789" spans="1:26" ht="12.75" customHeight="1" x14ac:dyDescent="0.2">
      <c r="A2789" s="15">
        <v>109</v>
      </c>
      <c r="B2789" s="15">
        <v>1995</v>
      </c>
      <c r="C2789" s="15">
        <v>5</v>
      </c>
      <c r="D2789" s="15">
        <v>8</v>
      </c>
      <c r="E2789" s="22" t="s">
        <v>17</v>
      </c>
      <c r="F2789" s="11" t="s">
        <v>18</v>
      </c>
      <c r="G2789" s="15">
        <v>110</v>
      </c>
      <c r="H2789" s="15" t="s">
        <v>29</v>
      </c>
      <c r="I2789" s="25">
        <v>2.2000000000000002</v>
      </c>
      <c r="J2789" s="11" t="s">
        <v>32</v>
      </c>
      <c r="K2789" s="11" t="s">
        <v>29</v>
      </c>
      <c r="L2789" s="11" t="s">
        <v>29</v>
      </c>
      <c r="M2789" s="11" t="s">
        <v>29</v>
      </c>
      <c r="N2789" s="11" t="s">
        <v>24</v>
      </c>
      <c r="O2789" s="16" t="s">
        <v>29</v>
      </c>
      <c r="P2789" s="15">
        <v>217</v>
      </c>
      <c r="Q2789" s="8"/>
      <c r="R2789">
        <v>10.26</v>
      </c>
      <c r="S2789">
        <v>1080.99</v>
      </c>
      <c r="T2789">
        <v>2.04</v>
      </c>
      <c r="U2789">
        <v>7.37</v>
      </c>
      <c r="V2789">
        <v>103</v>
      </c>
      <c r="W2789" s="8"/>
      <c r="X2789" s="8"/>
      <c r="Y2789" s="8"/>
      <c r="Z2789" s="8"/>
    </row>
    <row r="2790" spans="1:26" ht="12.75" customHeight="1" x14ac:dyDescent="0.2">
      <c r="A2790" s="15">
        <v>110</v>
      </c>
      <c r="B2790" s="15">
        <v>1995</v>
      </c>
      <c r="C2790" s="15">
        <v>5</v>
      </c>
      <c r="D2790" s="15">
        <v>8</v>
      </c>
      <c r="E2790" s="22" t="s">
        <v>17</v>
      </c>
      <c r="F2790" s="11" t="s">
        <v>18</v>
      </c>
      <c r="G2790" s="15">
        <v>138</v>
      </c>
      <c r="H2790" s="15" t="s">
        <v>29</v>
      </c>
      <c r="I2790" s="25">
        <v>13.1</v>
      </c>
      <c r="J2790" s="11" t="s">
        <v>19</v>
      </c>
      <c r="K2790" s="11" t="s">
        <v>20</v>
      </c>
      <c r="L2790" s="11" t="s">
        <v>30</v>
      </c>
      <c r="M2790" s="11" t="s">
        <v>29</v>
      </c>
      <c r="N2790" s="11" t="s">
        <v>24</v>
      </c>
      <c r="O2790" s="16" t="s">
        <v>29</v>
      </c>
      <c r="P2790" s="15">
        <v>217</v>
      </c>
      <c r="Q2790" s="8"/>
      <c r="R2790">
        <v>12.88</v>
      </c>
      <c r="S2790">
        <v>2134.4299999999998</v>
      </c>
      <c r="T2790">
        <v>6.14</v>
      </c>
      <c r="U2790">
        <v>9.25</v>
      </c>
      <c r="V2790">
        <v>129</v>
      </c>
      <c r="W2790" s="317">
        <v>4.5999999999999996</v>
      </c>
      <c r="X2790" s="190">
        <f>I2790*W2790</f>
        <v>60.259999999999991</v>
      </c>
      <c r="Y2790" s="8"/>
      <c r="Z2790" s="8"/>
    </row>
    <row r="2791" spans="1:26" ht="12.75" customHeight="1" x14ac:dyDescent="0.2">
      <c r="A2791" s="15">
        <v>111</v>
      </c>
      <c r="B2791" s="15">
        <v>1995</v>
      </c>
      <c r="C2791" s="15">
        <v>5</v>
      </c>
      <c r="D2791" s="15">
        <v>8</v>
      </c>
      <c r="E2791" s="22" t="s">
        <v>17</v>
      </c>
      <c r="F2791" s="11" t="s">
        <v>18</v>
      </c>
      <c r="G2791" s="15">
        <v>144</v>
      </c>
      <c r="H2791" s="15" t="s">
        <v>29</v>
      </c>
      <c r="I2791" s="25">
        <v>10.1</v>
      </c>
      <c r="J2791" s="11" t="s">
        <v>19</v>
      </c>
      <c r="K2791" s="11" t="s">
        <v>20</v>
      </c>
      <c r="L2791" s="11" t="s">
        <v>21</v>
      </c>
      <c r="M2791" s="11" t="s">
        <v>29</v>
      </c>
      <c r="N2791" s="11" t="s">
        <v>25</v>
      </c>
      <c r="O2791" s="16" t="s">
        <v>29</v>
      </c>
      <c r="P2791" s="15">
        <v>217</v>
      </c>
      <c r="Q2791" s="8"/>
      <c r="R2791">
        <v>13.44</v>
      </c>
      <c r="S2791">
        <v>2425.12</v>
      </c>
      <c r="T2791">
        <v>4.16</v>
      </c>
      <c r="U2791">
        <v>9.65</v>
      </c>
      <c r="V2791">
        <v>134</v>
      </c>
      <c r="W2791" s="317">
        <v>3.9</v>
      </c>
      <c r="X2791" s="190">
        <f>I2791*W2791</f>
        <v>39.39</v>
      </c>
      <c r="Y2791" s="8"/>
      <c r="Z2791" s="8"/>
    </row>
    <row r="2792" spans="1:26" ht="12.75" customHeight="1" x14ac:dyDescent="0.2">
      <c r="A2792" s="15">
        <v>112</v>
      </c>
      <c r="B2792" s="15">
        <v>1995</v>
      </c>
      <c r="C2792" s="15">
        <v>5</v>
      </c>
      <c r="D2792" s="15">
        <v>8</v>
      </c>
      <c r="E2792" s="22" t="s">
        <v>17</v>
      </c>
      <c r="F2792" s="11" t="s">
        <v>18</v>
      </c>
      <c r="G2792" s="15">
        <v>146</v>
      </c>
      <c r="H2792" s="15" t="s">
        <v>29</v>
      </c>
      <c r="I2792" s="25">
        <v>14.6</v>
      </c>
      <c r="J2792" s="11" t="s">
        <v>19</v>
      </c>
      <c r="K2792" s="11" t="s">
        <v>20</v>
      </c>
      <c r="L2792" s="11" t="s">
        <v>30</v>
      </c>
      <c r="M2792" s="11" t="s">
        <v>29</v>
      </c>
      <c r="N2792" s="11" t="s">
        <v>24</v>
      </c>
      <c r="O2792" s="16" t="s">
        <v>29</v>
      </c>
      <c r="P2792" s="15">
        <v>217</v>
      </c>
      <c r="Q2792" s="8"/>
      <c r="R2792">
        <v>13.62</v>
      </c>
      <c r="S2792">
        <v>2527.5700000000002</v>
      </c>
      <c r="T2792">
        <v>5.78</v>
      </c>
      <c r="U2792">
        <v>9.7799999999999994</v>
      </c>
      <c r="V2792">
        <v>136</v>
      </c>
      <c r="W2792" s="317">
        <v>4.5999999999999996</v>
      </c>
      <c r="X2792" s="190">
        <f>I2792*W2792</f>
        <v>67.16</v>
      </c>
      <c r="Y2792" s="8"/>
      <c r="Z2792" s="8"/>
    </row>
    <row r="2793" spans="1:26" ht="12.75" customHeight="1" x14ac:dyDescent="0.2">
      <c r="A2793" s="15">
        <v>113</v>
      </c>
      <c r="B2793" s="15">
        <v>1995</v>
      </c>
      <c r="C2793" s="15">
        <v>5</v>
      </c>
      <c r="D2793" s="15">
        <v>8</v>
      </c>
      <c r="E2793" s="22" t="s">
        <v>17</v>
      </c>
      <c r="F2793" s="11" t="s">
        <v>18</v>
      </c>
      <c r="G2793" s="15">
        <v>149</v>
      </c>
      <c r="H2793" s="15" t="s">
        <v>29</v>
      </c>
      <c r="I2793" s="25">
        <v>16.399999999999999</v>
      </c>
      <c r="J2793" s="11" t="s">
        <v>19</v>
      </c>
      <c r="K2793" s="11" t="s">
        <v>20</v>
      </c>
      <c r="L2793" s="11" t="s">
        <v>30</v>
      </c>
      <c r="M2793" s="11" t="s">
        <v>29</v>
      </c>
      <c r="N2793" s="11" t="s">
        <v>24</v>
      </c>
      <c r="O2793" s="16" t="s">
        <v>29</v>
      </c>
      <c r="P2793" s="15">
        <v>217</v>
      </c>
      <c r="Q2793" s="8"/>
      <c r="R2793">
        <v>13.9</v>
      </c>
      <c r="S2793">
        <v>2686.6</v>
      </c>
      <c r="T2793">
        <v>6.1</v>
      </c>
      <c r="U2793">
        <v>9.98</v>
      </c>
      <c r="V2793">
        <v>139</v>
      </c>
      <c r="W2793" s="317">
        <v>4.5999999999999996</v>
      </c>
      <c r="X2793" s="190">
        <f>I2793*W2793</f>
        <v>75.439999999999984</v>
      </c>
      <c r="Y2793" s="8"/>
      <c r="Z2793" s="8"/>
    </row>
    <row r="2794" spans="1:26" ht="12.75" customHeight="1" x14ac:dyDescent="0.2">
      <c r="A2794" s="15">
        <v>114</v>
      </c>
      <c r="B2794" s="15">
        <v>1995</v>
      </c>
      <c r="C2794" s="15">
        <v>5</v>
      </c>
      <c r="D2794" s="15">
        <v>8</v>
      </c>
      <c r="E2794" s="22" t="s">
        <v>17</v>
      </c>
      <c r="F2794" s="11" t="s">
        <v>28</v>
      </c>
      <c r="G2794" s="11" t="s">
        <v>29</v>
      </c>
      <c r="H2794" s="15" t="s">
        <v>29</v>
      </c>
      <c r="I2794" s="25" t="s">
        <v>29</v>
      </c>
      <c r="J2794" s="11" t="s">
        <v>19</v>
      </c>
      <c r="K2794" s="11" t="s">
        <v>20</v>
      </c>
      <c r="L2794" s="11" t="s">
        <v>30</v>
      </c>
      <c r="M2794" s="11" t="s">
        <v>29</v>
      </c>
      <c r="N2794" s="11" t="s">
        <v>29</v>
      </c>
      <c r="O2794" s="16" t="s">
        <v>29</v>
      </c>
      <c r="P2794" s="15">
        <v>217</v>
      </c>
      <c r="Q2794" s="8"/>
      <c r="W2794" s="317">
        <v>4.5999999999999996</v>
      </c>
      <c r="X2794" s="190"/>
      <c r="Y2794" s="8"/>
      <c r="Z2794" s="8"/>
    </row>
    <row r="2795" spans="1:26" ht="12.75" customHeight="1" x14ac:dyDescent="0.2">
      <c r="A2795" s="15">
        <v>115</v>
      </c>
      <c r="B2795" s="15">
        <v>1995</v>
      </c>
      <c r="C2795" s="15">
        <v>5</v>
      </c>
      <c r="D2795" s="15">
        <v>8</v>
      </c>
      <c r="E2795" s="22" t="s">
        <v>17</v>
      </c>
      <c r="F2795" s="11" t="s">
        <v>18</v>
      </c>
      <c r="G2795" s="15">
        <v>143</v>
      </c>
      <c r="H2795" s="15" t="s">
        <v>29</v>
      </c>
      <c r="I2795" s="25">
        <v>15.1</v>
      </c>
      <c r="J2795" s="11" t="s">
        <v>19</v>
      </c>
      <c r="K2795" s="11" t="s">
        <v>34</v>
      </c>
      <c r="L2795" s="11" t="s">
        <v>41</v>
      </c>
      <c r="M2795" s="11" t="s">
        <v>29</v>
      </c>
      <c r="N2795" s="11" t="s">
        <v>23</v>
      </c>
      <c r="O2795" s="16" t="s">
        <v>29</v>
      </c>
      <c r="P2795" s="15">
        <v>217</v>
      </c>
      <c r="Q2795" s="8"/>
      <c r="R2795">
        <v>13.34</v>
      </c>
      <c r="S2795">
        <v>2374.94</v>
      </c>
      <c r="T2795">
        <v>6.36</v>
      </c>
      <c r="U2795">
        <v>9.58</v>
      </c>
      <c r="V2795">
        <v>133</v>
      </c>
      <c r="W2795" s="317">
        <v>3.8</v>
      </c>
      <c r="X2795" s="190">
        <f>I2795*W2795</f>
        <v>57.379999999999995</v>
      </c>
      <c r="Y2795" s="8"/>
      <c r="Z2795" s="8"/>
    </row>
    <row r="2796" spans="1:26" ht="12.75" customHeight="1" x14ac:dyDescent="0.2">
      <c r="A2796" s="15">
        <v>116</v>
      </c>
      <c r="B2796" s="15">
        <v>1995</v>
      </c>
      <c r="C2796" s="15">
        <v>5</v>
      </c>
      <c r="D2796" s="15">
        <v>8</v>
      </c>
      <c r="E2796" s="22" t="s">
        <v>17</v>
      </c>
      <c r="F2796" s="11" t="s">
        <v>18</v>
      </c>
      <c r="G2796" s="15">
        <v>138</v>
      </c>
      <c r="H2796" s="15" t="s">
        <v>29</v>
      </c>
      <c r="I2796" s="25">
        <v>9.6</v>
      </c>
      <c r="J2796" s="11" t="s">
        <v>19</v>
      </c>
      <c r="K2796" s="11" t="s">
        <v>20</v>
      </c>
      <c r="L2796" s="11" t="s">
        <v>21</v>
      </c>
      <c r="M2796" s="11" t="s">
        <v>29</v>
      </c>
      <c r="N2796" s="11" t="s">
        <v>24</v>
      </c>
      <c r="O2796" s="16" t="s">
        <v>29</v>
      </c>
      <c r="P2796" s="15">
        <v>217</v>
      </c>
      <c r="Q2796" s="8"/>
      <c r="R2796">
        <v>12.88</v>
      </c>
      <c r="S2796">
        <v>2134.4299999999998</v>
      </c>
      <c r="T2796">
        <v>4.5</v>
      </c>
      <c r="U2796">
        <v>9.25</v>
      </c>
      <c r="V2796">
        <v>129</v>
      </c>
      <c r="W2796" s="317">
        <v>3.9</v>
      </c>
      <c r="X2796" s="190">
        <f>I2796*W2796</f>
        <v>37.44</v>
      </c>
      <c r="Y2796" s="8"/>
      <c r="Z2796" s="8"/>
    </row>
    <row r="2797" spans="1:26" ht="12.75" customHeight="1" x14ac:dyDescent="0.2">
      <c r="A2797" s="15">
        <v>117</v>
      </c>
      <c r="B2797" s="15">
        <v>1995</v>
      </c>
      <c r="C2797" s="15">
        <v>5</v>
      </c>
      <c r="D2797" s="15">
        <v>8</v>
      </c>
      <c r="E2797" s="22" t="s">
        <v>17</v>
      </c>
      <c r="F2797" s="11" t="s">
        <v>18</v>
      </c>
      <c r="G2797" s="15">
        <v>122</v>
      </c>
      <c r="H2797" s="15" t="s">
        <v>29</v>
      </c>
      <c r="I2797" s="25">
        <v>8.6</v>
      </c>
      <c r="J2797" s="11" t="s">
        <v>19</v>
      </c>
      <c r="K2797" s="11" t="s">
        <v>20</v>
      </c>
      <c r="L2797" s="11" t="s">
        <v>30</v>
      </c>
      <c r="M2797" s="11" t="s">
        <v>29</v>
      </c>
      <c r="N2797" s="11" t="s">
        <v>23</v>
      </c>
      <c r="O2797" s="16" t="s">
        <v>29</v>
      </c>
      <c r="P2797" s="15">
        <v>217</v>
      </c>
      <c r="Q2797" s="8"/>
      <c r="R2797">
        <v>11.38</v>
      </c>
      <c r="S2797">
        <v>1474.77</v>
      </c>
      <c r="T2797">
        <v>5.83</v>
      </c>
      <c r="U2797">
        <v>8.17</v>
      </c>
      <c r="V2797">
        <v>114</v>
      </c>
      <c r="W2797" s="317">
        <v>4.5999999999999996</v>
      </c>
      <c r="X2797" s="190">
        <f>I2797*W2797</f>
        <v>39.559999999999995</v>
      </c>
      <c r="Y2797" s="8"/>
      <c r="Z2797" s="8"/>
    </row>
    <row r="2798" spans="1:26" ht="12.75" customHeight="1" x14ac:dyDescent="0.2">
      <c r="A2798" s="15">
        <v>118</v>
      </c>
      <c r="B2798" s="15">
        <v>1995</v>
      </c>
      <c r="C2798" s="15">
        <v>5</v>
      </c>
      <c r="D2798" s="15">
        <v>8</v>
      </c>
      <c r="E2798" s="22" t="s">
        <v>17</v>
      </c>
      <c r="F2798" s="11" t="s">
        <v>18</v>
      </c>
      <c r="G2798" s="15">
        <v>166</v>
      </c>
      <c r="H2798" s="15" t="s">
        <v>29</v>
      </c>
      <c r="I2798" s="25">
        <v>22.1</v>
      </c>
      <c r="J2798" s="11" t="s">
        <v>19</v>
      </c>
      <c r="K2798" s="11" t="s">
        <v>20</v>
      </c>
      <c r="L2798" s="11" t="s">
        <v>30</v>
      </c>
      <c r="M2798" s="11" t="s">
        <v>29</v>
      </c>
      <c r="N2798" s="11" t="s">
        <v>24</v>
      </c>
      <c r="O2798" s="16" t="s">
        <v>29</v>
      </c>
      <c r="P2798" s="15">
        <v>217</v>
      </c>
      <c r="Q2798" s="8"/>
      <c r="R2798">
        <v>15.49</v>
      </c>
      <c r="S2798">
        <v>3715.09</v>
      </c>
      <c r="T2798">
        <v>5.95</v>
      </c>
      <c r="U2798">
        <v>11.12</v>
      </c>
      <c r="V2798">
        <v>155</v>
      </c>
      <c r="W2798" s="317">
        <v>4.5999999999999996</v>
      </c>
      <c r="X2798" s="190">
        <f>I2798*W2798</f>
        <v>101.66</v>
      </c>
      <c r="Y2798" s="8"/>
      <c r="Z2798" s="8"/>
    </row>
    <row r="2799" spans="1:26" ht="12.75" customHeight="1" x14ac:dyDescent="0.2">
      <c r="A2799" s="15">
        <v>119</v>
      </c>
      <c r="B2799" s="15">
        <v>1995</v>
      </c>
      <c r="C2799" s="15">
        <v>5</v>
      </c>
      <c r="D2799" s="15">
        <v>8</v>
      </c>
      <c r="E2799" s="22" t="s">
        <v>17</v>
      </c>
      <c r="F2799" s="11" t="s">
        <v>28</v>
      </c>
      <c r="G2799" s="11" t="s">
        <v>29</v>
      </c>
      <c r="H2799" s="15" t="s">
        <v>29</v>
      </c>
      <c r="I2799" s="25" t="s">
        <v>29</v>
      </c>
      <c r="J2799" s="11" t="s">
        <v>19</v>
      </c>
      <c r="K2799" s="11" t="s">
        <v>41</v>
      </c>
      <c r="L2799" s="11" t="s">
        <v>41</v>
      </c>
      <c r="M2799" s="11" t="s">
        <v>29</v>
      </c>
      <c r="N2799" s="11" t="s">
        <v>29</v>
      </c>
      <c r="O2799" s="16" t="s">
        <v>29</v>
      </c>
      <c r="P2799" s="15">
        <v>217</v>
      </c>
      <c r="Q2799" s="8"/>
      <c r="W2799" s="8"/>
      <c r="X2799" s="8"/>
      <c r="Y2799" s="8"/>
      <c r="Z2799" s="8"/>
    </row>
    <row r="2800" spans="1:26" ht="12.75" customHeight="1" x14ac:dyDescent="0.2">
      <c r="A2800" s="15">
        <v>120</v>
      </c>
      <c r="B2800" s="15">
        <v>1995</v>
      </c>
      <c r="C2800" s="15">
        <v>5</v>
      </c>
      <c r="D2800" s="15">
        <v>8</v>
      </c>
      <c r="E2800" s="22" t="s">
        <v>17</v>
      </c>
      <c r="F2800" s="11" t="s">
        <v>28</v>
      </c>
      <c r="G2800" s="11" t="s">
        <v>29</v>
      </c>
      <c r="H2800" s="15" t="s">
        <v>29</v>
      </c>
      <c r="I2800" s="25" t="s">
        <v>29</v>
      </c>
      <c r="J2800" s="11" t="s">
        <v>32</v>
      </c>
      <c r="K2800" s="11" t="s">
        <v>29</v>
      </c>
      <c r="L2800" s="11" t="s">
        <v>29</v>
      </c>
      <c r="M2800" s="11" t="s">
        <v>29</v>
      </c>
      <c r="N2800" s="11" t="s">
        <v>29</v>
      </c>
      <c r="O2800" s="16" t="s">
        <v>29</v>
      </c>
      <c r="P2800" s="15">
        <v>217</v>
      </c>
      <c r="Q2800" s="8"/>
      <c r="W2800" s="8"/>
      <c r="X2800" s="8"/>
      <c r="Y2800" s="8"/>
      <c r="Z2800" s="8"/>
    </row>
    <row r="2801" spans="1:26" ht="12.75" customHeight="1" x14ac:dyDescent="0.2">
      <c r="A2801" s="15">
        <v>121</v>
      </c>
      <c r="B2801" s="15">
        <v>1995</v>
      </c>
      <c r="C2801" s="15">
        <v>5</v>
      </c>
      <c r="D2801" s="15">
        <v>8</v>
      </c>
      <c r="E2801" s="22" t="s">
        <v>17</v>
      </c>
      <c r="F2801" s="11" t="s">
        <v>28</v>
      </c>
      <c r="G2801" s="11" t="s">
        <v>29</v>
      </c>
      <c r="H2801" s="15" t="s">
        <v>29</v>
      </c>
      <c r="I2801" s="25" t="s">
        <v>29</v>
      </c>
      <c r="J2801" s="11" t="s">
        <v>32</v>
      </c>
      <c r="K2801" s="11" t="s">
        <v>29</v>
      </c>
      <c r="L2801" s="11" t="s">
        <v>29</v>
      </c>
      <c r="M2801" s="11" t="s">
        <v>29</v>
      </c>
      <c r="N2801" s="11" t="s">
        <v>29</v>
      </c>
      <c r="O2801" s="16" t="s">
        <v>29</v>
      </c>
      <c r="P2801" s="15">
        <v>217</v>
      </c>
      <c r="Q2801" s="8"/>
      <c r="W2801" s="8"/>
      <c r="X2801" s="8"/>
      <c r="Y2801" s="8"/>
      <c r="Z2801" s="8"/>
    </row>
    <row r="2802" spans="1:26" ht="12.75" customHeight="1" x14ac:dyDescent="0.2">
      <c r="A2802" s="15">
        <v>122</v>
      </c>
      <c r="B2802" s="15">
        <v>1995</v>
      </c>
      <c r="C2802" s="15">
        <v>5</v>
      </c>
      <c r="D2802" s="15">
        <v>8</v>
      </c>
      <c r="E2802" s="22" t="s">
        <v>17</v>
      </c>
      <c r="F2802" s="11" t="s">
        <v>18</v>
      </c>
      <c r="G2802" s="15">
        <v>139</v>
      </c>
      <c r="H2802" s="15" t="s">
        <v>29</v>
      </c>
      <c r="I2802" s="25">
        <v>12.1</v>
      </c>
      <c r="J2802" s="11" t="s">
        <v>19</v>
      </c>
      <c r="K2802" s="11" t="s">
        <v>20</v>
      </c>
      <c r="L2802" s="11" t="s">
        <v>30</v>
      </c>
      <c r="M2802" s="11" t="s">
        <v>29</v>
      </c>
      <c r="N2802" s="11" t="s">
        <v>24</v>
      </c>
      <c r="O2802" s="16" t="s">
        <v>29</v>
      </c>
      <c r="P2802" s="15">
        <v>217</v>
      </c>
      <c r="Q2802" s="8"/>
      <c r="R2802">
        <v>12.97</v>
      </c>
      <c r="S2802">
        <v>2181.17</v>
      </c>
      <c r="T2802">
        <v>5.55</v>
      </c>
      <c r="U2802">
        <v>9.31</v>
      </c>
      <c r="V2802">
        <v>130</v>
      </c>
      <c r="W2802" s="317">
        <v>4.5999999999999996</v>
      </c>
      <c r="X2802" s="190">
        <f>I2802*W2802</f>
        <v>55.66</v>
      </c>
      <c r="Y2802" s="8"/>
      <c r="Z2802" s="8"/>
    </row>
    <row r="2803" spans="1:26" ht="12.75" customHeight="1" x14ac:dyDescent="0.2">
      <c r="A2803" s="15">
        <v>123</v>
      </c>
      <c r="B2803" s="15">
        <v>1995</v>
      </c>
      <c r="C2803" s="15">
        <v>5</v>
      </c>
      <c r="D2803" s="15">
        <v>8</v>
      </c>
      <c r="E2803" s="22" t="s">
        <v>17</v>
      </c>
      <c r="F2803" s="11" t="s">
        <v>18</v>
      </c>
      <c r="G2803" s="15">
        <v>112</v>
      </c>
      <c r="H2803" s="15" t="s">
        <v>29</v>
      </c>
      <c r="I2803" s="25" t="s">
        <v>29</v>
      </c>
      <c r="J2803" s="11" t="s">
        <v>32</v>
      </c>
      <c r="K2803" s="11" t="s">
        <v>29</v>
      </c>
      <c r="L2803" s="11" t="s">
        <v>29</v>
      </c>
      <c r="M2803" s="11" t="s">
        <v>29</v>
      </c>
      <c r="N2803" s="11" t="s">
        <v>24</v>
      </c>
      <c r="O2803" s="16" t="s">
        <v>29</v>
      </c>
      <c r="P2803" s="15">
        <v>217</v>
      </c>
      <c r="Q2803" s="8"/>
      <c r="R2803">
        <v>10.45</v>
      </c>
      <c r="S2803">
        <v>1141.04</v>
      </c>
      <c r="U2803">
        <v>7.5</v>
      </c>
      <c r="V2803">
        <v>104</v>
      </c>
      <c r="W2803" s="8"/>
      <c r="X2803" s="8"/>
      <c r="Y2803" s="8"/>
      <c r="Z2803" s="8"/>
    </row>
    <row r="2804" spans="1:26" ht="12.75" customHeight="1" x14ac:dyDescent="0.2">
      <c r="A2804" s="15">
        <v>124</v>
      </c>
      <c r="B2804" s="15">
        <v>1995</v>
      </c>
      <c r="C2804" s="15">
        <v>5</v>
      </c>
      <c r="D2804" s="15">
        <v>8</v>
      </c>
      <c r="E2804" s="22" t="s">
        <v>17</v>
      </c>
      <c r="F2804" s="11" t="s">
        <v>18</v>
      </c>
      <c r="G2804" s="15">
        <v>93</v>
      </c>
      <c r="H2804" s="15" t="s">
        <v>29</v>
      </c>
      <c r="I2804" s="25">
        <v>1.4</v>
      </c>
      <c r="J2804" s="11" t="s">
        <v>32</v>
      </c>
      <c r="K2804" s="11" t="s">
        <v>29</v>
      </c>
      <c r="L2804" s="11" t="s">
        <v>29</v>
      </c>
      <c r="M2804" s="11" t="s">
        <v>29</v>
      </c>
      <c r="N2804" s="11" t="s">
        <v>29</v>
      </c>
      <c r="O2804" s="16" t="s">
        <v>29</v>
      </c>
      <c r="P2804" s="15">
        <v>217</v>
      </c>
      <c r="Q2804" s="8"/>
      <c r="R2804">
        <v>8.68</v>
      </c>
      <c r="S2804">
        <v>653.27</v>
      </c>
      <c r="T2804">
        <v>2.14</v>
      </c>
      <c r="U2804">
        <v>6.23</v>
      </c>
      <c r="V2804">
        <v>87</v>
      </c>
      <c r="W2804" s="8"/>
      <c r="X2804" s="8"/>
      <c r="Y2804" s="8"/>
      <c r="Z2804" s="8"/>
    </row>
    <row r="2805" spans="1:26" ht="12.75" customHeight="1" x14ac:dyDescent="0.2">
      <c r="A2805" s="15">
        <v>125</v>
      </c>
      <c r="B2805" s="15">
        <v>1995</v>
      </c>
      <c r="C2805" s="15">
        <v>5</v>
      </c>
      <c r="D2805" s="15">
        <v>8</v>
      </c>
      <c r="E2805" s="22" t="s">
        <v>17</v>
      </c>
      <c r="F2805" s="11" t="s">
        <v>18</v>
      </c>
      <c r="G2805" s="15">
        <v>151</v>
      </c>
      <c r="H2805" s="15" t="s">
        <v>29</v>
      </c>
      <c r="I2805" s="25">
        <v>17.100000000000001</v>
      </c>
      <c r="J2805" s="11" t="s">
        <v>19</v>
      </c>
      <c r="K2805" s="11" t="s">
        <v>34</v>
      </c>
      <c r="L2805" s="11" t="s">
        <v>41</v>
      </c>
      <c r="M2805" s="11" t="s">
        <v>29</v>
      </c>
      <c r="N2805" s="11" t="s">
        <v>23</v>
      </c>
      <c r="O2805" s="16" t="s">
        <v>29</v>
      </c>
      <c r="P2805" s="15">
        <v>217</v>
      </c>
      <c r="Q2805" s="8"/>
      <c r="R2805">
        <v>14.09</v>
      </c>
      <c r="S2805">
        <v>2796.25</v>
      </c>
      <c r="T2805">
        <v>6.12</v>
      </c>
      <c r="U2805">
        <v>10.119999999999999</v>
      </c>
      <c r="V2805">
        <v>141</v>
      </c>
      <c r="W2805" s="317">
        <v>3.8</v>
      </c>
      <c r="X2805" s="190">
        <f>I2805*W2805</f>
        <v>64.98</v>
      </c>
      <c r="Y2805" s="8"/>
      <c r="Z2805" s="8"/>
    </row>
    <row r="2806" spans="1:26" ht="12.75" customHeight="1" x14ac:dyDescent="0.2">
      <c r="A2806" s="15">
        <v>126</v>
      </c>
      <c r="B2806" s="15">
        <v>1995</v>
      </c>
      <c r="C2806" s="15">
        <v>4</v>
      </c>
      <c r="D2806" s="15">
        <v>8</v>
      </c>
      <c r="E2806" s="22" t="s">
        <v>17</v>
      </c>
      <c r="F2806" s="11" t="s">
        <v>18</v>
      </c>
      <c r="G2806" s="15">
        <v>105</v>
      </c>
      <c r="H2806" s="15" t="s">
        <v>29</v>
      </c>
      <c r="I2806" s="25">
        <v>2.2999999999999998</v>
      </c>
      <c r="J2806" s="11" t="s">
        <v>32</v>
      </c>
      <c r="K2806" s="11" t="s">
        <v>29</v>
      </c>
      <c r="L2806" s="11" t="s">
        <v>29</v>
      </c>
      <c r="M2806" s="11" t="s">
        <v>29</v>
      </c>
      <c r="N2806" s="11" t="s">
        <v>29</v>
      </c>
      <c r="O2806" s="16" t="s">
        <v>29</v>
      </c>
      <c r="P2806" s="15">
        <v>216</v>
      </c>
      <c r="Q2806" s="8"/>
      <c r="R2806">
        <v>9.8000000000000007</v>
      </c>
      <c r="S2806">
        <v>940.18</v>
      </c>
      <c r="T2806">
        <v>2.4500000000000002</v>
      </c>
      <c r="U2806">
        <v>7.04</v>
      </c>
      <c r="V2806">
        <v>98</v>
      </c>
      <c r="W2806" s="8"/>
      <c r="X2806" s="8"/>
      <c r="Y2806" s="8"/>
      <c r="Z2806" s="8"/>
    </row>
    <row r="2807" spans="1:26" ht="12.75" customHeight="1" x14ac:dyDescent="0.2">
      <c r="A2807" s="15">
        <v>127</v>
      </c>
      <c r="B2807" s="15">
        <v>1995</v>
      </c>
      <c r="C2807" s="15">
        <v>4</v>
      </c>
      <c r="D2807" s="15">
        <v>8</v>
      </c>
      <c r="E2807" s="22" t="s">
        <v>17</v>
      </c>
      <c r="F2807" s="11" t="s">
        <v>28</v>
      </c>
      <c r="G2807" s="11" t="s">
        <v>29</v>
      </c>
      <c r="H2807" s="15" t="s">
        <v>29</v>
      </c>
      <c r="I2807" s="25" t="s">
        <v>29</v>
      </c>
      <c r="J2807" s="11" t="s">
        <v>19</v>
      </c>
      <c r="K2807" s="11" t="s">
        <v>20</v>
      </c>
      <c r="L2807" s="11" t="s">
        <v>30</v>
      </c>
      <c r="M2807" s="11" t="s">
        <v>29</v>
      </c>
      <c r="N2807" s="11" t="s">
        <v>29</v>
      </c>
      <c r="O2807" s="16" t="s">
        <v>29</v>
      </c>
      <c r="P2807" s="15">
        <v>216</v>
      </c>
      <c r="Q2807" s="8"/>
      <c r="W2807" s="317">
        <v>4.5999999999999996</v>
      </c>
      <c r="X2807" s="190"/>
      <c r="Y2807" s="8"/>
      <c r="Z2807" s="8"/>
    </row>
    <row r="2808" spans="1:26" ht="12.75" customHeight="1" x14ac:dyDescent="0.2">
      <c r="A2808" s="15">
        <v>128</v>
      </c>
      <c r="B2808" s="15">
        <v>1995</v>
      </c>
      <c r="C2808" s="15">
        <v>4</v>
      </c>
      <c r="D2808" s="15">
        <v>8</v>
      </c>
      <c r="E2808" s="22" t="s">
        <v>17</v>
      </c>
      <c r="F2808" s="11" t="s">
        <v>18</v>
      </c>
      <c r="G2808" s="15">
        <v>102</v>
      </c>
      <c r="H2808" s="15" t="s">
        <v>29</v>
      </c>
      <c r="I2808" s="25">
        <v>5.6</v>
      </c>
      <c r="J2808" s="11" t="s">
        <v>237</v>
      </c>
      <c r="K2808" s="11" t="s">
        <v>29</v>
      </c>
      <c r="L2808" s="11" t="s">
        <v>29</v>
      </c>
      <c r="M2808" s="11" t="s">
        <v>29</v>
      </c>
      <c r="N2808" s="11" t="s">
        <v>25</v>
      </c>
      <c r="O2808" s="16" t="s">
        <v>29</v>
      </c>
      <c r="P2808" s="15">
        <v>216</v>
      </c>
      <c r="Q2808" s="8"/>
      <c r="R2808">
        <v>9.52</v>
      </c>
      <c r="S2808">
        <v>861.88</v>
      </c>
      <c r="T2808">
        <v>6.5</v>
      </c>
      <c r="U2808">
        <v>6.83</v>
      </c>
      <c r="V2808">
        <v>95</v>
      </c>
      <c r="W2808" s="8"/>
      <c r="X2808" s="8"/>
      <c r="Y2808" s="8"/>
      <c r="Z2808" s="8"/>
    </row>
    <row r="2809" spans="1:26" ht="12.75" customHeight="1" x14ac:dyDescent="0.2">
      <c r="A2809" s="15">
        <v>129</v>
      </c>
      <c r="B2809" s="15">
        <v>1995</v>
      </c>
      <c r="C2809" s="15">
        <v>4</v>
      </c>
      <c r="D2809" s="15">
        <v>8</v>
      </c>
      <c r="E2809" s="22" t="s">
        <v>17</v>
      </c>
      <c r="F2809" s="11" t="s">
        <v>28</v>
      </c>
      <c r="G2809" s="11" t="s">
        <v>29</v>
      </c>
      <c r="H2809" s="15" t="s">
        <v>29</v>
      </c>
      <c r="I2809" s="25" t="s">
        <v>29</v>
      </c>
      <c r="J2809" s="11" t="s">
        <v>19</v>
      </c>
      <c r="K2809" s="11" t="s">
        <v>20</v>
      </c>
      <c r="L2809" s="11" t="s">
        <v>30</v>
      </c>
      <c r="M2809" s="11" t="s">
        <v>29</v>
      </c>
      <c r="N2809" s="11" t="s">
        <v>29</v>
      </c>
      <c r="O2809" s="16" t="s">
        <v>29</v>
      </c>
      <c r="P2809" s="15">
        <v>216</v>
      </c>
      <c r="Q2809" s="8"/>
      <c r="W2809" s="317">
        <v>4.5999999999999996</v>
      </c>
      <c r="X2809" s="190"/>
      <c r="Y2809" s="8"/>
      <c r="Z2809" s="8"/>
    </row>
    <row r="2810" spans="1:26" ht="12.75" customHeight="1" x14ac:dyDescent="0.2">
      <c r="A2810" s="15">
        <v>130</v>
      </c>
      <c r="B2810" s="15">
        <v>1995</v>
      </c>
      <c r="C2810" s="15">
        <v>4</v>
      </c>
      <c r="D2810" s="15">
        <v>8</v>
      </c>
      <c r="E2810" s="22" t="s">
        <v>17</v>
      </c>
      <c r="F2810" s="11" t="s">
        <v>18</v>
      </c>
      <c r="G2810" s="11" t="s">
        <v>29</v>
      </c>
      <c r="H2810" s="15" t="s">
        <v>29</v>
      </c>
      <c r="I2810" s="25">
        <v>6.6</v>
      </c>
      <c r="J2810" s="11" t="s">
        <v>19</v>
      </c>
      <c r="K2810" s="11" t="s">
        <v>20</v>
      </c>
      <c r="L2810" s="11" t="s">
        <v>21</v>
      </c>
      <c r="M2810" s="11" t="s">
        <v>29</v>
      </c>
      <c r="N2810" s="11" t="s">
        <v>25</v>
      </c>
      <c r="O2810" s="16" t="s">
        <v>29</v>
      </c>
      <c r="P2810" s="15">
        <v>216</v>
      </c>
      <c r="Q2810" s="8"/>
      <c r="W2810" s="317">
        <v>3.9</v>
      </c>
      <c r="X2810" s="190">
        <f>I2810*W2810</f>
        <v>25.74</v>
      </c>
      <c r="Y2810" s="8"/>
      <c r="Z2810" s="8"/>
    </row>
    <row r="2811" spans="1:26" ht="12.75" customHeight="1" x14ac:dyDescent="0.2">
      <c r="A2811" s="15">
        <v>131</v>
      </c>
      <c r="B2811" s="15">
        <v>1995</v>
      </c>
      <c r="C2811" s="15">
        <v>4</v>
      </c>
      <c r="D2811" s="15">
        <v>8</v>
      </c>
      <c r="E2811" s="22" t="s">
        <v>17</v>
      </c>
      <c r="F2811" s="11" t="s">
        <v>18</v>
      </c>
      <c r="G2811" s="15">
        <v>133</v>
      </c>
      <c r="H2811" s="15" t="s">
        <v>29</v>
      </c>
      <c r="I2811" s="25">
        <v>9.1</v>
      </c>
      <c r="J2811" s="11" t="s">
        <v>19</v>
      </c>
      <c r="K2811" s="11" t="s">
        <v>20</v>
      </c>
      <c r="L2811" s="11" t="s">
        <v>35</v>
      </c>
      <c r="M2811" s="11" t="s">
        <v>29</v>
      </c>
      <c r="N2811" s="11" t="s">
        <v>29</v>
      </c>
      <c r="O2811" s="16" t="s">
        <v>29</v>
      </c>
      <c r="P2811" s="15">
        <v>216</v>
      </c>
      <c r="Q2811" s="8"/>
      <c r="R2811">
        <v>12.41</v>
      </c>
      <c r="S2811">
        <v>1910.73</v>
      </c>
      <c r="T2811">
        <v>4.76</v>
      </c>
      <c r="U2811">
        <v>8.91</v>
      </c>
      <c r="V2811">
        <v>124</v>
      </c>
      <c r="W2811" s="317">
        <v>3.9</v>
      </c>
      <c r="X2811" s="190">
        <f>I2811*W2811</f>
        <v>35.489999999999995</v>
      </c>
      <c r="Y2811" s="8"/>
      <c r="Z2811" s="8"/>
    </row>
    <row r="2812" spans="1:26" ht="12.75" customHeight="1" x14ac:dyDescent="0.2">
      <c r="A2812" s="15">
        <v>132</v>
      </c>
      <c r="B2812" s="15">
        <v>1995</v>
      </c>
      <c r="C2812" s="15">
        <v>4</v>
      </c>
      <c r="D2812" s="15">
        <v>8</v>
      </c>
      <c r="E2812" s="22" t="s">
        <v>17</v>
      </c>
      <c r="F2812" s="11" t="s">
        <v>18</v>
      </c>
      <c r="G2812" s="15">
        <v>122</v>
      </c>
      <c r="H2812" s="15" t="s">
        <v>29</v>
      </c>
      <c r="I2812" s="25">
        <v>9</v>
      </c>
      <c r="J2812" s="11" t="s">
        <v>237</v>
      </c>
      <c r="K2812" s="11" t="s">
        <v>29</v>
      </c>
      <c r="L2812" s="11" t="s">
        <v>29</v>
      </c>
      <c r="M2812" s="11" t="s">
        <v>29</v>
      </c>
      <c r="N2812" s="11" t="s">
        <v>23</v>
      </c>
      <c r="O2812" s="16" t="s">
        <v>29</v>
      </c>
      <c r="P2812" s="15">
        <v>216</v>
      </c>
      <c r="Q2812" s="8"/>
      <c r="R2812">
        <v>11.38</v>
      </c>
      <c r="S2812">
        <v>1474.77</v>
      </c>
      <c r="T2812">
        <v>6.1</v>
      </c>
      <c r="U2812">
        <v>8.17</v>
      </c>
      <c r="V2812">
        <v>114</v>
      </c>
      <c r="W2812" s="8"/>
      <c r="X2812" s="8"/>
      <c r="Y2812" s="8"/>
      <c r="Z2812" s="8"/>
    </row>
    <row r="2813" spans="1:26" ht="12.75" customHeight="1" x14ac:dyDescent="0.2">
      <c r="A2813" s="15">
        <v>133</v>
      </c>
      <c r="B2813" s="15">
        <v>1995</v>
      </c>
      <c r="C2813" s="15">
        <v>4</v>
      </c>
      <c r="D2813" s="15">
        <v>8</v>
      </c>
      <c r="E2813" s="22" t="s">
        <v>17</v>
      </c>
      <c r="F2813" s="11" t="s">
        <v>18</v>
      </c>
      <c r="G2813" s="15">
        <v>145</v>
      </c>
      <c r="H2813" s="15" t="s">
        <v>29</v>
      </c>
      <c r="I2813" s="25">
        <v>14.1</v>
      </c>
      <c r="J2813" s="11" t="s">
        <v>19</v>
      </c>
      <c r="K2813" s="11" t="s">
        <v>20</v>
      </c>
      <c r="L2813" s="11" t="s">
        <v>30</v>
      </c>
      <c r="M2813" s="11" t="s">
        <v>29</v>
      </c>
      <c r="N2813" s="11" t="s">
        <v>29</v>
      </c>
      <c r="O2813" s="16" t="s">
        <v>29</v>
      </c>
      <c r="P2813" s="15">
        <v>216</v>
      </c>
      <c r="Q2813" s="8"/>
      <c r="R2813">
        <v>13.53</v>
      </c>
      <c r="S2813">
        <v>2475.9899999999998</v>
      </c>
      <c r="T2813">
        <v>5.69</v>
      </c>
      <c r="U2813">
        <v>9.7200000000000006</v>
      </c>
      <c r="V2813">
        <v>135</v>
      </c>
      <c r="W2813" s="317">
        <v>4.5999999999999996</v>
      </c>
      <c r="X2813" s="190">
        <f>I2813*W2813</f>
        <v>64.86</v>
      </c>
      <c r="Y2813" s="8"/>
      <c r="Z2813" s="8"/>
    </row>
    <row r="2814" spans="1:26" ht="12.75" customHeight="1" x14ac:dyDescent="0.2">
      <c r="A2814" s="15">
        <v>134</v>
      </c>
      <c r="B2814" s="15">
        <v>1995</v>
      </c>
      <c r="C2814" s="15">
        <v>4</v>
      </c>
      <c r="D2814" s="15">
        <v>8</v>
      </c>
      <c r="E2814" s="22" t="s">
        <v>17</v>
      </c>
      <c r="F2814" s="11" t="s">
        <v>18</v>
      </c>
      <c r="G2814" s="15">
        <v>109</v>
      </c>
      <c r="H2814" s="15" t="s">
        <v>29</v>
      </c>
      <c r="I2814" s="25">
        <v>2.5</v>
      </c>
      <c r="J2814" s="11" t="s">
        <v>32</v>
      </c>
      <c r="K2814" s="11" t="s">
        <v>29</v>
      </c>
      <c r="L2814" s="11" t="s">
        <v>29</v>
      </c>
      <c r="M2814" s="11" t="s">
        <v>29</v>
      </c>
      <c r="N2814" s="11" t="s">
        <v>29</v>
      </c>
      <c r="O2814" s="16" t="s">
        <v>29</v>
      </c>
      <c r="P2814" s="15">
        <v>216</v>
      </c>
      <c r="Q2814" s="8"/>
      <c r="R2814">
        <v>10.17</v>
      </c>
      <c r="S2814">
        <v>1051.78</v>
      </c>
      <c r="T2814">
        <v>2.38</v>
      </c>
      <c r="U2814">
        <v>7.3</v>
      </c>
      <c r="V2814">
        <v>102</v>
      </c>
      <c r="W2814" s="8"/>
      <c r="X2814" s="8"/>
      <c r="Y2814" s="8"/>
      <c r="Z2814" s="8"/>
    </row>
    <row r="2815" spans="1:26" ht="12.75" customHeight="1" x14ac:dyDescent="0.2">
      <c r="A2815" s="15">
        <v>135</v>
      </c>
      <c r="B2815" s="15">
        <v>1995</v>
      </c>
      <c r="C2815" s="15">
        <v>4</v>
      </c>
      <c r="D2815" s="15">
        <v>8</v>
      </c>
      <c r="E2815" s="22" t="s">
        <v>17</v>
      </c>
      <c r="F2815" s="11" t="s">
        <v>18</v>
      </c>
      <c r="G2815" s="15">
        <v>113</v>
      </c>
      <c r="H2815" s="15" t="s">
        <v>29</v>
      </c>
      <c r="I2815" s="25">
        <v>3.1</v>
      </c>
      <c r="J2815" s="11" t="s">
        <v>32</v>
      </c>
      <c r="K2815" s="11" t="s">
        <v>29</v>
      </c>
      <c r="L2815" s="11" t="s">
        <v>29</v>
      </c>
      <c r="M2815" s="11" t="s">
        <v>29</v>
      </c>
      <c r="N2815" s="11" t="s">
        <v>29</v>
      </c>
      <c r="O2815" s="16" t="s">
        <v>29</v>
      </c>
      <c r="P2815" s="15">
        <v>216</v>
      </c>
      <c r="Q2815" s="8"/>
      <c r="R2815">
        <v>10.54</v>
      </c>
      <c r="S2815">
        <v>1171.8699999999999</v>
      </c>
      <c r="T2815">
        <v>2.65</v>
      </c>
      <c r="U2815">
        <v>7.57</v>
      </c>
      <c r="V2815">
        <v>105</v>
      </c>
      <c r="W2815" s="8"/>
      <c r="X2815" s="8"/>
      <c r="Y2815" s="8"/>
      <c r="Z2815" s="8"/>
    </row>
    <row r="2816" spans="1:26" ht="12.75" customHeight="1" x14ac:dyDescent="0.2">
      <c r="A2816" s="15">
        <v>136</v>
      </c>
      <c r="B2816" s="15">
        <v>1995</v>
      </c>
      <c r="C2816" s="15">
        <v>4</v>
      </c>
      <c r="D2816" s="15">
        <v>8</v>
      </c>
      <c r="E2816" s="22" t="s">
        <v>17</v>
      </c>
      <c r="F2816" s="11" t="s">
        <v>18</v>
      </c>
      <c r="G2816" s="15">
        <v>156</v>
      </c>
      <c r="H2816" s="15" t="s">
        <v>29</v>
      </c>
      <c r="I2816" s="25">
        <v>17.100000000000001</v>
      </c>
      <c r="J2816" s="11" t="s">
        <v>19</v>
      </c>
      <c r="K2816" s="11" t="s">
        <v>34</v>
      </c>
      <c r="L2816" s="11" t="s">
        <v>41</v>
      </c>
      <c r="M2816" s="11" t="s">
        <v>29</v>
      </c>
      <c r="N2816" s="11" t="s">
        <v>25</v>
      </c>
      <c r="O2816" s="16" t="s">
        <v>29</v>
      </c>
      <c r="P2816" s="15">
        <v>216</v>
      </c>
      <c r="Q2816" s="8"/>
      <c r="R2816">
        <v>14.55</v>
      </c>
      <c r="S2816">
        <v>3083.32</v>
      </c>
      <c r="T2816">
        <v>5.55</v>
      </c>
      <c r="U2816">
        <v>10.45</v>
      </c>
      <c r="V2816">
        <v>146</v>
      </c>
      <c r="W2816" s="317">
        <v>3.8</v>
      </c>
      <c r="X2816" s="190">
        <f t="shared" ref="X2816:X2821" si="126">I2816*W2816</f>
        <v>64.98</v>
      </c>
      <c r="Y2816" s="8"/>
      <c r="Z2816" s="8"/>
    </row>
    <row r="2817" spans="1:26" ht="12.75" customHeight="1" x14ac:dyDescent="0.2">
      <c r="A2817" s="15">
        <v>137</v>
      </c>
      <c r="B2817" s="15">
        <v>1995</v>
      </c>
      <c r="C2817" s="15">
        <v>4</v>
      </c>
      <c r="D2817" s="15">
        <v>8</v>
      </c>
      <c r="E2817" s="22" t="s">
        <v>17</v>
      </c>
      <c r="F2817" s="11" t="s">
        <v>18</v>
      </c>
      <c r="G2817" s="15">
        <v>115</v>
      </c>
      <c r="H2817" s="15" t="s">
        <v>29</v>
      </c>
      <c r="I2817" s="25">
        <v>7.4</v>
      </c>
      <c r="J2817" s="11" t="s">
        <v>19</v>
      </c>
      <c r="K2817" s="11" t="s">
        <v>20</v>
      </c>
      <c r="L2817" s="11" t="s">
        <v>30</v>
      </c>
      <c r="M2817" s="11" t="s">
        <v>29</v>
      </c>
      <c r="N2817" s="11" t="s">
        <v>25</v>
      </c>
      <c r="O2817" s="16" t="s">
        <v>29</v>
      </c>
      <c r="P2817" s="15">
        <v>216</v>
      </c>
      <c r="Q2817" s="8"/>
      <c r="R2817">
        <v>10.73</v>
      </c>
      <c r="S2817">
        <v>1235.2</v>
      </c>
      <c r="T2817">
        <v>5.99</v>
      </c>
      <c r="U2817">
        <v>7.71</v>
      </c>
      <c r="V2817">
        <v>107</v>
      </c>
      <c r="W2817" s="317">
        <v>4.5999999999999996</v>
      </c>
      <c r="X2817" s="190">
        <f t="shared" si="126"/>
        <v>34.04</v>
      </c>
      <c r="Y2817" s="8"/>
      <c r="Z2817" s="8"/>
    </row>
    <row r="2818" spans="1:26" ht="12.75" customHeight="1" x14ac:dyDescent="0.2">
      <c r="A2818" s="15">
        <v>138</v>
      </c>
      <c r="B2818" s="15">
        <v>1995</v>
      </c>
      <c r="C2818" s="15">
        <v>4</v>
      </c>
      <c r="D2818" s="15">
        <v>8</v>
      </c>
      <c r="E2818" s="22" t="s">
        <v>17</v>
      </c>
      <c r="F2818" s="11" t="s">
        <v>18</v>
      </c>
      <c r="G2818" s="15">
        <v>132</v>
      </c>
      <c r="H2818" s="15" t="s">
        <v>29</v>
      </c>
      <c r="I2818" s="25">
        <v>13.1</v>
      </c>
      <c r="J2818" s="11" t="s">
        <v>19</v>
      </c>
      <c r="K2818" s="11" t="s">
        <v>20</v>
      </c>
      <c r="L2818" s="11" t="s">
        <v>30</v>
      </c>
      <c r="M2818" s="11" t="s">
        <v>29</v>
      </c>
      <c r="N2818" s="11" t="s">
        <v>25</v>
      </c>
      <c r="O2818" s="16" t="s">
        <v>29</v>
      </c>
      <c r="P2818" s="15">
        <v>216</v>
      </c>
      <c r="Q2818" s="8"/>
      <c r="R2818">
        <v>12.32</v>
      </c>
      <c r="S2818">
        <v>1867.96</v>
      </c>
      <c r="T2818">
        <v>7.01</v>
      </c>
      <c r="U2818">
        <v>8.84</v>
      </c>
      <c r="V2818">
        <v>123</v>
      </c>
      <c r="W2818" s="317">
        <v>4.5999999999999996</v>
      </c>
      <c r="X2818" s="190">
        <f t="shared" si="126"/>
        <v>60.259999999999991</v>
      </c>
      <c r="Y2818" s="8"/>
      <c r="Z2818" s="8"/>
    </row>
    <row r="2819" spans="1:26" ht="12.75" customHeight="1" x14ac:dyDescent="0.2">
      <c r="A2819" s="15">
        <v>139</v>
      </c>
      <c r="B2819" s="15">
        <v>1995</v>
      </c>
      <c r="C2819" s="15">
        <v>4</v>
      </c>
      <c r="D2819" s="15">
        <v>8</v>
      </c>
      <c r="E2819" s="22" t="s">
        <v>17</v>
      </c>
      <c r="F2819" s="11" t="s">
        <v>18</v>
      </c>
      <c r="G2819" s="15">
        <v>129</v>
      </c>
      <c r="H2819" s="15" t="s">
        <v>29</v>
      </c>
      <c r="I2819" s="25">
        <v>9.6</v>
      </c>
      <c r="J2819" s="11" t="s">
        <v>19</v>
      </c>
      <c r="K2819" s="11" t="s">
        <v>20</v>
      </c>
      <c r="L2819" s="11" t="s">
        <v>30</v>
      </c>
      <c r="M2819" s="11" t="s">
        <v>29</v>
      </c>
      <c r="N2819" s="11" t="s">
        <v>25</v>
      </c>
      <c r="O2819" s="16" t="s">
        <v>29</v>
      </c>
      <c r="P2819" s="15">
        <v>216</v>
      </c>
      <c r="Q2819" s="8"/>
      <c r="R2819">
        <v>12.04</v>
      </c>
      <c r="S2819">
        <v>1743.47</v>
      </c>
      <c r="T2819">
        <v>5.51</v>
      </c>
      <c r="U2819">
        <v>8.64</v>
      </c>
      <c r="V2819">
        <v>120</v>
      </c>
      <c r="W2819" s="317">
        <v>4.5999999999999996</v>
      </c>
      <c r="X2819" s="190">
        <f t="shared" si="126"/>
        <v>44.16</v>
      </c>
      <c r="Y2819" s="8"/>
      <c r="Z2819" s="8"/>
    </row>
    <row r="2820" spans="1:26" ht="12.75" customHeight="1" x14ac:dyDescent="0.2">
      <c r="A2820" s="15">
        <v>140</v>
      </c>
      <c r="B2820" s="15">
        <v>1995</v>
      </c>
      <c r="C2820" s="15">
        <v>4</v>
      </c>
      <c r="D2820" s="15">
        <v>8</v>
      </c>
      <c r="E2820" s="22" t="s">
        <v>17</v>
      </c>
      <c r="F2820" s="11" t="s">
        <v>18</v>
      </c>
      <c r="G2820" s="15">
        <v>172</v>
      </c>
      <c r="H2820" s="15" t="s">
        <v>29</v>
      </c>
      <c r="I2820" s="25">
        <v>19.100000000000001</v>
      </c>
      <c r="J2820" s="11" t="s">
        <v>19</v>
      </c>
      <c r="K2820" s="11" t="s">
        <v>34</v>
      </c>
      <c r="L2820" s="11" t="s">
        <v>41</v>
      </c>
      <c r="M2820" s="11" t="s">
        <v>29</v>
      </c>
      <c r="N2820" s="11" t="s">
        <v>23</v>
      </c>
      <c r="O2820" s="16" t="s">
        <v>29</v>
      </c>
      <c r="P2820" s="15">
        <v>216</v>
      </c>
      <c r="Q2820" s="8"/>
      <c r="R2820">
        <v>16.05</v>
      </c>
      <c r="S2820">
        <v>4132.67</v>
      </c>
      <c r="T2820">
        <v>4.62</v>
      </c>
      <c r="U2820">
        <v>11.52</v>
      </c>
      <c r="V2820">
        <v>160</v>
      </c>
      <c r="W2820" s="317">
        <v>3.8</v>
      </c>
      <c r="X2820" s="190">
        <f t="shared" si="126"/>
        <v>72.58</v>
      </c>
      <c r="Y2820" s="8"/>
      <c r="Z2820" s="8"/>
    </row>
    <row r="2821" spans="1:26" ht="12.75" customHeight="1" x14ac:dyDescent="0.2">
      <c r="A2821" s="15">
        <v>141</v>
      </c>
      <c r="B2821" s="15">
        <v>1995</v>
      </c>
      <c r="C2821" s="15">
        <v>4</v>
      </c>
      <c r="D2821" s="15">
        <v>8</v>
      </c>
      <c r="E2821" s="22" t="s">
        <v>17</v>
      </c>
      <c r="F2821" s="11" t="s">
        <v>18</v>
      </c>
      <c r="G2821" s="15">
        <v>130</v>
      </c>
      <c r="H2821" s="15" t="s">
        <v>29</v>
      </c>
      <c r="I2821" s="25">
        <v>9.1</v>
      </c>
      <c r="J2821" s="11" t="s">
        <v>19</v>
      </c>
      <c r="K2821" s="11" t="s">
        <v>20</v>
      </c>
      <c r="L2821" s="11" t="s">
        <v>30</v>
      </c>
      <c r="M2821" s="11" t="s">
        <v>29</v>
      </c>
      <c r="N2821" s="11" t="s">
        <v>25</v>
      </c>
      <c r="O2821" s="16" t="s">
        <v>29</v>
      </c>
      <c r="P2821" s="15">
        <v>216</v>
      </c>
      <c r="Q2821" s="8"/>
      <c r="R2821">
        <v>12.13</v>
      </c>
      <c r="S2821">
        <v>1784.33</v>
      </c>
      <c r="T2821">
        <v>5.0999999999999996</v>
      </c>
      <c r="U2821">
        <v>8.7100000000000009</v>
      </c>
      <c r="V2821">
        <v>121</v>
      </c>
      <c r="W2821" s="317">
        <v>4.5999999999999996</v>
      </c>
      <c r="X2821" s="190">
        <f t="shared" si="126"/>
        <v>41.859999999999992</v>
      </c>
      <c r="Y2821" s="8"/>
      <c r="Z2821" s="8"/>
    </row>
    <row r="2822" spans="1:26" ht="12.75" customHeight="1" x14ac:dyDescent="0.2">
      <c r="A2822" s="15">
        <v>142</v>
      </c>
      <c r="B2822" s="15">
        <v>1995</v>
      </c>
      <c r="C2822" s="15">
        <v>4</v>
      </c>
      <c r="D2822" s="15">
        <v>8</v>
      </c>
      <c r="E2822" s="22" t="s">
        <v>17</v>
      </c>
      <c r="F2822" s="11" t="s">
        <v>18</v>
      </c>
      <c r="G2822" s="11" t="s">
        <v>29</v>
      </c>
      <c r="H2822" s="15" t="s">
        <v>29</v>
      </c>
      <c r="I2822" s="25">
        <v>11.1</v>
      </c>
      <c r="J2822" s="11" t="s">
        <v>19</v>
      </c>
      <c r="K2822" s="11" t="s">
        <v>20</v>
      </c>
      <c r="L2822" s="11" t="s">
        <v>41</v>
      </c>
      <c r="M2822" s="11" t="s">
        <v>29</v>
      </c>
      <c r="N2822" s="11" t="s">
        <v>25</v>
      </c>
      <c r="O2822" s="16" t="s">
        <v>29</v>
      </c>
      <c r="P2822" s="15">
        <v>216</v>
      </c>
      <c r="Q2822" s="8"/>
      <c r="W2822" s="8"/>
      <c r="X2822" s="8"/>
      <c r="Y2822" s="8"/>
      <c r="Z2822" s="8"/>
    </row>
    <row r="2823" spans="1:26" ht="12.75" customHeight="1" x14ac:dyDescent="0.2">
      <c r="A2823" s="15">
        <v>143</v>
      </c>
      <c r="B2823" s="15">
        <v>1995</v>
      </c>
      <c r="C2823" s="15">
        <v>4</v>
      </c>
      <c r="D2823" s="15">
        <v>8</v>
      </c>
      <c r="E2823" s="22" t="s">
        <v>17</v>
      </c>
      <c r="F2823" s="11" t="s">
        <v>18</v>
      </c>
      <c r="G2823" s="15">
        <v>102</v>
      </c>
      <c r="H2823" s="15" t="s">
        <v>29</v>
      </c>
      <c r="I2823" s="25">
        <v>2.4</v>
      </c>
      <c r="J2823" s="11" t="s">
        <v>32</v>
      </c>
      <c r="K2823" s="11" t="s">
        <v>29</v>
      </c>
      <c r="L2823" s="11" t="s">
        <v>29</v>
      </c>
      <c r="M2823" s="11" t="s">
        <v>29</v>
      </c>
      <c r="N2823" s="11" t="s">
        <v>29</v>
      </c>
      <c r="O2823" s="16" t="s">
        <v>29</v>
      </c>
      <c r="P2823" s="15">
        <v>216</v>
      </c>
      <c r="Q2823" s="8"/>
      <c r="R2823">
        <v>9.52</v>
      </c>
      <c r="S2823">
        <v>861.88</v>
      </c>
      <c r="T2823">
        <v>2.78</v>
      </c>
      <c r="U2823">
        <v>6.83</v>
      </c>
      <c r="V2823">
        <v>95</v>
      </c>
      <c r="W2823" s="8"/>
      <c r="X2823" s="8"/>
      <c r="Y2823" s="8"/>
      <c r="Z2823" s="8"/>
    </row>
    <row r="2824" spans="1:26" ht="12.75" customHeight="1" x14ac:dyDescent="0.2">
      <c r="A2824" s="15">
        <v>144</v>
      </c>
      <c r="B2824" s="15">
        <v>1995</v>
      </c>
      <c r="C2824" s="15">
        <v>4</v>
      </c>
      <c r="D2824" s="15">
        <v>8</v>
      </c>
      <c r="E2824" s="22" t="s">
        <v>17</v>
      </c>
      <c r="F2824" s="11" t="s">
        <v>18</v>
      </c>
      <c r="G2824" s="15">
        <v>105</v>
      </c>
      <c r="H2824" s="15" t="s">
        <v>29</v>
      </c>
      <c r="I2824" s="25">
        <v>2.6</v>
      </c>
      <c r="J2824" s="11" t="s">
        <v>32</v>
      </c>
      <c r="K2824" s="11" t="s">
        <v>29</v>
      </c>
      <c r="L2824" s="11" t="s">
        <v>29</v>
      </c>
      <c r="M2824" s="11" t="s">
        <v>29</v>
      </c>
      <c r="N2824" s="11" t="s">
        <v>25</v>
      </c>
      <c r="O2824" s="16" t="s">
        <v>29</v>
      </c>
      <c r="P2824" s="15">
        <v>216</v>
      </c>
      <c r="Q2824" s="8"/>
      <c r="R2824">
        <v>9.8000000000000007</v>
      </c>
      <c r="S2824">
        <v>940.18</v>
      </c>
      <c r="T2824">
        <v>2.77</v>
      </c>
      <c r="U2824">
        <v>7.04</v>
      </c>
      <c r="V2824">
        <v>98</v>
      </c>
      <c r="W2824" s="8"/>
      <c r="X2824" s="8"/>
      <c r="Y2824" s="8"/>
      <c r="Z2824" s="8"/>
    </row>
    <row r="2825" spans="1:26" ht="12.75" customHeight="1" x14ac:dyDescent="0.2">
      <c r="A2825" s="15">
        <v>145</v>
      </c>
      <c r="B2825" s="15">
        <v>1995</v>
      </c>
      <c r="C2825" s="15">
        <v>4</v>
      </c>
      <c r="D2825" s="15">
        <v>8</v>
      </c>
      <c r="E2825" s="22" t="s">
        <v>17</v>
      </c>
      <c r="F2825" s="11" t="s">
        <v>18</v>
      </c>
      <c r="G2825" s="15">
        <v>150</v>
      </c>
      <c r="H2825" s="15" t="s">
        <v>29</v>
      </c>
      <c r="I2825" s="25">
        <v>15.5</v>
      </c>
      <c r="J2825" s="11" t="s">
        <v>19</v>
      </c>
      <c r="K2825" s="11" t="s">
        <v>20</v>
      </c>
      <c r="L2825" s="11" t="s">
        <v>30</v>
      </c>
      <c r="M2825" s="11" t="s">
        <v>29</v>
      </c>
      <c r="N2825" s="11" t="s">
        <v>23</v>
      </c>
      <c r="O2825" s="16" t="s">
        <v>29</v>
      </c>
      <c r="P2825" s="15">
        <v>216</v>
      </c>
      <c r="Q2825" s="8"/>
      <c r="R2825">
        <v>14</v>
      </c>
      <c r="S2825">
        <v>2741.06</v>
      </c>
      <c r="T2825">
        <v>5.65</v>
      </c>
      <c r="U2825">
        <v>10.050000000000001</v>
      </c>
      <c r="V2825">
        <v>140</v>
      </c>
      <c r="W2825" s="317">
        <v>4.5999999999999996</v>
      </c>
      <c r="X2825" s="190">
        <f t="shared" ref="X2825:X2834" si="127">I2825*W2825</f>
        <v>71.3</v>
      </c>
      <c r="Y2825" s="8"/>
      <c r="Z2825" s="8"/>
    </row>
    <row r="2826" spans="1:26" ht="12.75" customHeight="1" x14ac:dyDescent="0.2">
      <c r="A2826" s="15">
        <v>146</v>
      </c>
      <c r="B2826" s="15">
        <v>1995</v>
      </c>
      <c r="C2826" s="15">
        <v>4</v>
      </c>
      <c r="D2826" s="15">
        <v>8</v>
      </c>
      <c r="E2826" s="22" t="s">
        <v>17</v>
      </c>
      <c r="F2826" s="11" t="s">
        <v>18</v>
      </c>
      <c r="G2826" s="15">
        <v>121</v>
      </c>
      <c r="H2826" s="15" t="s">
        <v>29</v>
      </c>
      <c r="I2826" s="25">
        <v>8.1999999999999993</v>
      </c>
      <c r="J2826" s="11" t="s">
        <v>19</v>
      </c>
      <c r="K2826" s="11" t="s">
        <v>20</v>
      </c>
      <c r="L2826" s="11" t="s">
        <v>30</v>
      </c>
      <c r="M2826" s="11" t="s">
        <v>29</v>
      </c>
      <c r="N2826" s="11" t="s">
        <v>29</v>
      </c>
      <c r="O2826" s="16" t="s">
        <v>29</v>
      </c>
      <c r="P2826" s="15">
        <v>216</v>
      </c>
      <c r="Q2826" s="8"/>
      <c r="R2826">
        <v>11.29</v>
      </c>
      <c r="S2826">
        <v>1438.8</v>
      </c>
      <c r="T2826">
        <v>5.7</v>
      </c>
      <c r="U2826">
        <v>8.11</v>
      </c>
      <c r="V2826">
        <v>113</v>
      </c>
      <c r="W2826" s="317">
        <v>4.5999999999999996</v>
      </c>
      <c r="X2826" s="190">
        <f t="shared" si="127"/>
        <v>37.719999999999992</v>
      </c>
      <c r="Y2826" s="8"/>
      <c r="Z2826" s="8"/>
    </row>
    <row r="2827" spans="1:26" ht="12.75" customHeight="1" x14ac:dyDescent="0.2">
      <c r="A2827" s="15">
        <v>147</v>
      </c>
      <c r="B2827" s="15">
        <v>1995</v>
      </c>
      <c r="C2827" s="15">
        <v>4</v>
      </c>
      <c r="D2827" s="15">
        <v>8</v>
      </c>
      <c r="E2827" s="22" t="s">
        <v>17</v>
      </c>
      <c r="F2827" s="11" t="s">
        <v>18</v>
      </c>
      <c r="G2827" s="15">
        <v>157</v>
      </c>
      <c r="H2827" s="15" t="s">
        <v>29</v>
      </c>
      <c r="I2827" s="25">
        <v>16.5</v>
      </c>
      <c r="J2827" s="11" t="s">
        <v>19</v>
      </c>
      <c r="K2827" s="11" t="s">
        <v>34</v>
      </c>
      <c r="L2827" s="11" t="s">
        <v>41</v>
      </c>
      <c r="M2827" s="11" t="s">
        <v>29</v>
      </c>
      <c r="N2827" s="11" t="s">
        <v>29</v>
      </c>
      <c r="O2827" s="16" t="s">
        <v>29</v>
      </c>
      <c r="P2827" s="15">
        <v>216</v>
      </c>
      <c r="Q2827" s="8"/>
      <c r="R2827">
        <v>14.65</v>
      </c>
      <c r="S2827">
        <v>3143</v>
      </c>
      <c r="T2827">
        <v>5.25</v>
      </c>
      <c r="U2827">
        <v>10.52</v>
      </c>
      <c r="V2827">
        <v>146</v>
      </c>
      <c r="W2827" s="317">
        <v>3.8</v>
      </c>
      <c r="X2827" s="190">
        <f t="shared" si="127"/>
        <v>62.699999999999996</v>
      </c>
      <c r="Y2827" s="8"/>
      <c r="Z2827" s="8"/>
    </row>
    <row r="2828" spans="1:26" ht="12.75" customHeight="1" x14ac:dyDescent="0.2">
      <c r="A2828" s="15">
        <v>148</v>
      </c>
      <c r="B2828" s="15">
        <v>1995</v>
      </c>
      <c r="C2828" s="15">
        <v>4</v>
      </c>
      <c r="D2828" s="15">
        <v>8</v>
      </c>
      <c r="E2828" s="22" t="s">
        <v>17</v>
      </c>
      <c r="F2828" s="11" t="s">
        <v>18</v>
      </c>
      <c r="G2828" s="15">
        <v>133</v>
      </c>
      <c r="H2828" s="15" t="s">
        <v>29</v>
      </c>
      <c r="I2828" s="25">
        <v>12.1</v>
      </c>
      <c r="J2828" s="11" t="s">
        <v>19</v>
      </c>
      <c r="K2828" s="11" t="s">
        <v>20</v>
      </c>
      <c r="L2828" s="11" t="s">
        <v>30</v>
      </c>
      <c r="M2828" s="11" t="s">
        <v>29</v>
      </c>
      <c r="N2828" s="11" t="s">
        <v>23</v>
      </c>
      <c r="O2828" s="16" t="s">
        <v>29</v>
      </c>
      <c r="P2828" s="15">
        <v>216</v>
      </c>
      <c r="Q2828" s="8"/>
      <c r="R2828">
        <v>12.41</v>
      </c>
      <c r="S2828">
        <v>1910.73</v>
      </c>
      <c r="T2828">
        <v>6.33</v>
      </c>
      <c r="U2828">
        <v>8.91</v>
      </c>
      <c r="V2828">
        <v>124</v>
      </c>
      <c r="W2828" s="317">
        <v>4.5999999999999996</v>
      </c>
      <c r="X2828" s="190">
        <f t="shared" si="127"/>
        <v>55.66</v>
      </c>
      <c r="Y2828" s="8"/>
      <c r="Z2828" s="8"/>
    </row>
    <row r="2829" spans="1:26" ht="12.75" customHeight="1" x14ac:dyDescent="0.2">
      <c r="A2829" s="15">
        <v>149</v>
      </c>
      <c r="B2829" s="15">
        <v>1995</v>
      </c>
      <c r="C2829" s="15">
        <v>4</v>
      </c>
      <c r="D2829" s="15">
        <v>8</v>
      </c>
      <c r="E2829" s="22" t="s">
        <v>17</v>
      </c>
      <c r="F2829" s="11" t="s">
        <v>18</v>
      </c>
      <c r="G2829" s="15">
        <v>155</v>
      </c>
      <c r="H2829" s="15" t="s">
        <v>29</v>
      </c>
      <c r="I2829" s="25">
        <v>18.100000000000001</v>
      </c>
      <c r="J2829" s="11" t="s">
        <v>19</v>
      </c>
      <c r="K2829" s="11" t="s">
        <v>20</v>
      </c>
      <c r="L2829" s="11" t="s">
        <v>30</v>
      </c>
      <c r="M2829" s="11" t="s">
        <v>29</v>
      </c>
      <c r="N2829" s="11" t="s">
        <v>29</v>
      </c>
      <c r="O2829" s="16" t="s">
        <v>29</v>
      </c>
      <c r="P2829" s="15">
        <v>216</v>
      </c>
      <c r="Q2829" s="8"/>
      <c r="R2829">
        <v>14.46</v>
      </c>
      <c r="S2829">
        <v>3024.41</v>
      </c>
      <c r="T2829">
        <v>5.98</v>
      </c>
      <c r="U2829">
        <v>10.39</v>
      </c>
      <c r="V2829">
        <v>145</v>
      </c>
      <c r="W2829" s="317">
        <v>4.5999999999999996</v>
      </c>
      <c r="X2829" s="190">
        <f t="shared" si="127"/>
        <v>83.26</v>
      </c>
      <c r="Y2829" s="8"/>
      <c r="Z2829" s="8"/>
    </row>
    <row r="2830" spans="1:26" ht="12.75" customHeight="1" x14ac:dyDescent="0.2">
      <c r="A2830" s="15">
        <v>150</v>
      </c>
      <c r="B2830" s="15">
        <v>1995</v>
      </c>
      <c r="C2830" s="15">
        <v>4</v>
      </c>
      <c r="D2830" s="15">
        <v>8</v>
      </c>
      <c r="E2830" s="22" t="s">
        <v>17</v>
      </c>
      <c r="F2830" s="11" t="s">
        <v>18</v>
      </c>
      <c r="G2830" s="15">
        <v>158</v>
      </c>
      <c r="H2830" s="15" t="s">
        <v>29</v>
      </c>
      <c r="I2830" s="25">
        <v>19.100000000000001</v>
      </c>
      <c r="J2830" s="11" t="s">
        <v>19</v>
      </c>
      <c r="K2830" s="11" t="s">
        <v>34</v>
      </c>
      <c r="L2830" s="11" t="s">
        <v>41</v>
      </c>
      <c r="M2830" s="11" t="s">
        <v>29</v>
      </c>
      <c r="N2830" s="11" t="s">
        <v>23</v>
      </c>
      <c r="O2830" s="16" t="s">
        <v>29</v>
      </c>
      <c r="P2830" s="15">
        <v>216</v>
      </c>
      <c r="Q2830" s="8"/>
      <c r="R2830">
        <v>14.74</v>
      </c>
      <c r="S2830">
        <v>3203.44</v>
      </c>
      <c r="T2830">
        <v>5.96</v>
      </c>
      <c r="U2830">
        <v>10.59</v>
      </c>
      <c r="V2830">
        <v>147</v>
      </c>
      <c r="W2830" s="317">
        <v>3.8</v>
      </c>
      <c r="X2830" s="190">
        <f t="shared" si="127"/>
        <v>72.58</v>
      </c>
      <c r="Y2830" s="8"/>
      <c r="Z2830" s="8"/>
    </row>
    <row r="2831" spans="1:26" ht="12.75" customHeight="1" x14ac:dyDescent="0.2">
      <c r="A2831" s="15">
        <v>151</v>
      </c>
      <c r="B2831" s="15">
        <v>1995</v>
      </c>
      <c r="C2831" s="15">
        <v>4</v>
      </c>
      <c r="D2831" s="15">
        <v>8</v>
      </c>
      <c r="E2831" s="22" t="s">
        <v>17</v>
      </c>
      <c r="F2831" s="11" t="s">
        <v>18</v>
      </c>
      <c r="G2831" s="15">
        <v>136</v>
      </c>
      <c r="H2831" s="15" t="s">
        <v>29</v>
      </c>
      <c r="I2831" s="25">
        <v>11.1</v>
      </c>
      <c r="J2831" s="11" t="s">
        <v>19</v>
      </c>
      <c r="K2831" s="11" t="s">
        <v>20</v>
      </c>
      <c r="L2831" s="11" t="s">
        <v>30</v>
      </c>
      <c r="M2831" s="11" t="s">
        <v>29</v>
      </c>
      <c r="N2831" s="11" t="s">
        <v>29</v>
      </c>
      <c r="O2831" s="16" t="s">
        <v>29</v>
      </c>
      <c r="P2831" s="15">
        <v>216</v>
      </c>
      <c r="Q2831" s="8"/>
      <c r="R2831">
        <v>12.69</v>
      </c>
      <c r="S2831">
        <v>2042.97</v>
      </c>
      <c r="T2831">
        <v>5.43</v>
      </c>
      <c r="U2831">
        <v>9.11</v>
      </c>
      <c r="V2831">
        <v>127</v>
      </c>
      <c r="W2831" s="317">
        <v>4.5999999999999996</v>
      </c>
      <c r="X2831" s="190">
        <f t="shared" si="127"/>
        <v>51.059999999999995</v>
      </c>
      <c r="Y2831" s="8"/>
      <c r="Z2831" s="8"/>
    </row>
    <row r="2832" spans="1:26" ht="12.75" customHeight="1" x14ac:dyDescent="0.2">
      <c r="A2832" s="15">
        <v>152</v>
      </c>
      <c r="B2832" s="15">
        <v>1995</v>
      </c>
      <c r="C2832" s="15">
        <v>4</v>
      </c>
      <c r="D2832" s="15">
        <v>8</v>
      </c>
      <c r="E2832" s="22" t="s">
        <v>17</v>
      </c>
      <c r="F2832" s="11" t="s">
        <v>18</v>
      </c>
      <c r="G2832" s="15">
        <v>135</v>
      </c>
      <c r="H2832" s="15" t="s">
        <v>29</v>
      </c>
      <c r="I2832" s="25">
        <v>11.1</v>
      </c>
      <c r="J2832" s="11" t="s">
        <v>19</v>
      </c>
      <c r="K2832" s="11" t="s">
        <v>20</v>
      </c>
      <c r="L2832" s="11" t="s">
        <v>30</v>
      </c>
      <c r="M2832" s="11" t="s">
        <v>29</v>
      </c>
      <c r="N2832" s="11" t="s">
        <v>25</v>
      </c>
      <c r="O2832" s="16" t="s">
        <v>29</v>
      </c>
      <c r="P2832" s="15">
        <v>216</v>
      </c>
      <c r="Q2832" s="8"/>
      <c r="R2832">
        <v>12.6</v>
      </c>
      <c r="S2832">
        <v>1998.23</v>
      </c>
      <c r="T2832">
        <v>5.55</v>
      </c>
      <c r="U2832">
        <v>9.0500000000000007</v>
      </c>
      <c r="V2832">
        <v>126</v>
      </c>
      <c r="W2832" s="317">
        <v>4.5999999999999996</v>
      </c>
      <c r="X2832" s="190">
        <f t="shared" si="127"/>
        <v>51.059999999999995</v>
      </c>
      <c r="Y2832" s="8"/>
      <c r="Z2832" s="8"/>
    </row>
    <row r="2833" spans="1:26" ht="12.75" customHeight="1" x14ac:dyDescent="0.2">
      <c r="A2833" s="15">
        <v>153</v>
      </c>
      <c r="B2833" s="15">
        <v>1995</v>
      </c>
      <c r="C2833" s="15">
        <v>4</v>
      </c>
      <c r="D2833" s="15">
        <v>8</v>
      </c>
      <c r="E2833" s="22" t="s">
        <v>17</v>
      </c>
      <c r="F2833" s="11" t="s">
        <v>18</v>
      </c>
      <c r="G2833" s="15">
        <v>132</v>
      </c>
      <c r="H2833" s="15" t="s">
        <v>29</v>
      </c>
      <c r="I2833" s="25">
        <v>12.6</v>
      </c>
      <c r="J2833" s="11" t="s">
        <v>19</v>
      </c>
      <c r="K2833" s="11" t="s">
        <v>20</v>
      </c>
      <c r="L2833" s="11" t="s">
        <v>30</v>
      </c>
      <c r="M2833" s="11" t="s">
        <v>29</v>
      </c>
      <c r="N2833" s="11" t="s">
        <v>25</v>
      </c>
      <c r="O2833" s="16" t="s">
        <v>29</v>
      </c>
      <c r="P2833" s="15">
        <v>216</v>
      </c>
      <c r="Q2833" s="8"/>
      <c r="R2833">
        <v>12.32</v>
      </c>
      <c r="S2833">
        <v>1867.96</v>
      </c>
      <c r="T2833">
        <v>6.75</v>
      </c>
      <c r="U2833">
        <v>8.84</v>
      </c>
      <c r="V2833">
        <v>123</v>
      </c>
      <c r="W2833" s="317">
        <v>4.5999999999999996</v>
      </c>
      <c r="X2833" s="190">
        <f t="shared" si="127"/>
        <v>57.959999999999994</v>
      </c>
      <c r="Y2833" s="8"/>
      <c r="Z2833" s="8"/>
    </row>
    <row r="2834" spans="1:26" ht="12.75" customHeight="1" x14ac:dyDescent="0.2">
      <c r="A2834" s="15">
        <v>154</v>
      </c>
      <c r="B2834" s="15">
        <v>1995</v>
      </c>
      <c r="C2834" s="15">
        <v>4</v>
      </c>
      <c r="D2834" s="15">
        <v>8</v>
      </c>
      <c r="E2834" s="22" t="s">
        <v>17</v>
      </c>
      <c r="F2834" s="11" t="s">
        <v>18</v>
      </c>
      <c r="G2834" s="15">
        <v>155</v>
      </c>
      <c r="H2834" s="15" t="s">
        <v>29</v>
      </c>
      <c r="I2834" s="25">
        <v>18.100000000000001</v>
      </c>
      <c r="J2834" s="11" t="s">
        <v>19</v>
      </c>
      <c r="K2834" s="11" t="s">
        <v>20</v>
      </c>
      <c r="L2834" s="11" t="s">
        <v>30</v>
      </c>
      <c r="M2834" s="11" t="s">
        <v>29</v>
      </c>
      <c r="N2834" s="11" t="s">
        <v>29</v>
      </c>
      <c r="O2834" s="16" t="s">
        <v>29</v>
      </c>
      <c r="P2834" s="15">
        <v>216</v>
      </c>
      <c r="Q2834" s="8"/>
      <c r="R2834">
        <v>14.46</v>
      </c>
      <c r="S2834">
        <v>3024.41</v>
      </c>
      <c r="T2834">
        <v>5.98</v>
      </c>
      <c r="U2834">
        <v>10.39</v>
      </c>
      <c r="V2834">
        <v>145</v>
      </c>
      <c r="W2834" s="317">
        <v>4.5999999999999996</v>
      </c>
      <c r="X2834" s="190">
        <f t="shared" si="127"/>
        <v>83.26</v>
      </c>
      <c r="Y2834" s="8"/>
      <c r="Z2834" s="8"/>
    </row>
    <row r="2835" spans="1:26" ht="12.75" customHeight="1" x14ac:dyDescent="0.2">
      <c r="A2835" s="15">
        <v>155</v>
      </c>
      <c r="B2835" s="15">
        <v>1995</v>
      </c>
      <c r="C2835" s="15">
        <v>4</v>
      </c>
      <c r="D2835" s="15">
        <v>8</v>
      </c>
      <c r="E2835" s="22" t="s">
        <v>17</v>
      </c>
      <c r="F2835" s="11" t="s">
        <v>28</v>
      </c>
      <c r="G2835" s="11" t="s">
        <v>29</v>
      </c>
      <c r="H2835" s="15" t="s">
        <v>29</v>
      </c>
      <c r="I2835" s="25" t="s">
        <v>29</v>
      </c>
      <c r="J2835" s="11" t="s">
        <v>19</v>
      </c>
      <c r="K2835" s="11" t="s">
        <v>41</v>
      </c>
      <c r="L2835" s="11" t="s">
        <v>41</v>
      </c>
      <c r="M2835" s="11" t="s">
        <v>29</v>
      </c>
      <c r="N2835" s="11" t="s">
        <v>25</v>
      </c>
      <c r="O2835" s="16" t="s">
        <v>29</v>
      </c>
      <c r="P2835" s="15">
        <v>216</v>
      </c>
      <c r="Q2835" s="8"/>
      <c r="W2835" s="8"/>
      <c r="X2835" s="8"/>
      <c r="Y2835" s="8"/>
      <c r="Z2835" s="8"/>
    </row>
    <row r="2836" spans="1:26" ht="12.75" customHeight="1" x14ac:dyDescent="0.2">
      <c r="A2836" s="15">
        <v>156</v>
      </c>
      <c r="B2836" s="15">
        <v>1995</v>
      </c>
      <c r="C2836" s="15">
        <v>4</v>
      </c>
      <c r="D2836" s="15">
        <v>8</v>
      </c>
      <c r="E2836" s="22" t="s">
        <v>17</v>
      </c>
      <c r="F2836" s="11" t="s">
        <v>18</v>
      </c>
      <c r="G2836" s="15">
        <v>105</v>
      </c>
      <c r="H2836" s="15" t="s">
        <v>29</v>
      </c>
      <c r="I2836" s="25">
        <v>2.5</v>
      </c>
      <c r="J2836" s="11" t="s">
        <v>32</v>
      </c>
      <c r="K2836" s="11" t="s">
        <v>29</v>
      </c>
      <c r="L2836" s="11" t="s">
        <v>29</v>
      </c>
      <c r="M2836" s="11" t="s">
        <v>29</v>
      </c>
      <c r="N2836" s="11" t="s">
        <v>25</v>
      </c>
      <c r="O2836" s="16" t="s">
        <v>29</v>
      </c>
      <c r="P2836" s="15">
        <v>216</v>
      </c>
      <c r="Q2836" s="8"/>
      <c r="R2836">
        <v>9.8000000000000007</v>
      </c>
      <c r="S2836">
        <v>940.18</v>
      </c>
      <c r="T2836">
        <v>2.66</v>
      </c>
      <c r="U2836">
        <v>7.04</v>
      </c>
      <c r="V2836">
        <v>98</v>
      </c>
      <c r="W2836" s="8"/>
      <c r="X2836" s="8"/>
      <c r="Y2836" s="8"/>
      <c r="Z2836" s="8"/>
    </row>
    <row r="2837" spans="1:26" ht="12.75" customHeight="1" x14ac:dyDescent="0.2">
      <c r="A2837" s="15">
        <v>157</v>
      </c>
      <c r="B2837" s="15">
        <v>1995</v>
      </c>
      <c r="C2837" s="15">
        <v>4</v>
      </c>
      <c r="D2837" s="15">
        <v>8</v>
      </c>
      <c r="E2837" s="22" t="s">
        <v>17</v>
      </c>
      <c r="F2837" s="11" t="s">
        <v>18</v>
      </c>
      <c r="G2837" s="15">
        <v>142</v>
      </c>
      <c r="H2837" s="15" t="s">
        <v>29</v>
      </c>
      <c r="I2837" s="25">
        <v>13.1</v>
      </c>
      <c r="J2837" s="11" t="s">
        <v>19</v>
      </c>
      <c r="K2837" s="11" t="s">
        <v>20</v>
      </c>
      <c r="L2837" s="11" t="s">
        <v>30</v>
      </c>
      <c r="M2837" s="11" t="s">
        <v>29</v>
      </c>
      <c r="N2837" s="11" t="s">
        <v>23</v>
      </c>
      <c r="O2837" s="16" t="s">
        <v>29</v>
      </c>
      <c r="P2837" s="15">
        <v>216</v>
      </c>
      <c r="Q2837" s="8"/>
      <c r="R2837">
        <v>13.25</v>
      </c>
      <c r="S2837">
        <v>2325.4699999999998</v>
      </c>
      <c r="T2837">
        <v>5.63</v>
      </c>
      <c r="U2837">
        <v>9.51</v>
      </c>
      <c r="V2837">
        <v>132</v>
      </c>
      <c r="W2837" s="317">
        <v>4.5999999999999996</v>
      </c>
      <c r="X2837" s="190">
        <f>I2837*W2837</f>
        <v>60.259999999999991</v>
      </c>
      <c r="Y2837" s="8"/>
      <c r="Z2837" s="8"/>
    </row>
    <row r="2838" spans="1:26" ht="12.75" customHeight="1" x14ac:dyDescent="0.2">
      <c r="A2838" s="15">
        <v>158</v>
      </c>
      <c r="B2838" s="15">
        <v>1995</v>
      </c>
      <c r="C2838" s="15">
        <v>4</v>
      </c>
      <c r="D2838" s="15">
        <v>8</v>
      </c>
      <c r="E2838" s="22" t="s">
        <v>17</v>
      </c>
      <c r="F2838" s="11" t="s">
        <v>18</v>
      </c>
      <c r="G2838" s="15">
        <v>125</v>
      </c>
      <c r="H2838" s="15" t="s">
        <v>29</v>
      </c>
      <c r="I2838" s="25">
        <v>10.1</v>
      </c>
      <c r="J2838" s="11" t="s">
        <v>19</v>
      </c>
      <c r="K2838" s="11" t="s">
        <v>20</v>
      </c>
      <c r="L2838" s="11" t="s">
        <v>30</v>
      </c>
      <c r="M2838" s="11" t="s">
        <v>29</v>
      </c>
      <c r="N2838" s="11" t="s">
        <v>23</v>
      </c>
      <c r="O2838" s="16" t="s">
        <v>29</v>
      </c>
      <c r="P2838" s="15">
        <v>216</v>
      </c>
      <c r="Q2838" s="8"/>
      <c r="R2838">
        <v>11.66</v>
      </c>
      <c r="S2838">
        <v>1586.26</v>
      </c>
      <c r="T2838">
        <v>6.37</v>
      </c>
      <c r="U2838">
        <v>8.3800000000000008</v>
      </c>
      <c r="V2838">
        <v>117</v>
      </c>
      <c r="W2838" s="317">
        <v>4.5999999999999996</v>
      </c>
      <c r="X2838" s="190">
        <f>I2838*W2838</f>
        <v>46.459999999999994</v>
      </c>
      <c r="Y2838" s="8"/>
      <c r="Z2838" s="8"/>
    </row>
    <row r="2839" spans="1:26" ht="12.75" customHeight="1" x14ac:dyDescent="0.2">
      <c r="A2839" s="15">
        <v>159</v>
      </c>
      <c r="B2839" s="15">
        <v>1995</v>
      </c>
      <c r="C2839" s="15">
        <v>4</v>
      </c>
      <c r="D2839" s="15">
        <v>8</v>
      </c>
      <c r="E2839" s="22" t="s">
        <v>17</v>
      </c>
      <c r="F2839" s="11" t="s">
        <v>18</v>
      </c>
      <c r="G2839" s="15">
        <v>136</v>
      </c>
      <c r="H2839" s="15" t="s">
        <v>29</v>
      </c>
      <c r="I2839" s="25">
        <v>13.1</v>
      </c>
      <c r="J2839" s="11" t="s">
        <v>19</v>
      </c>
      <c r="K2839" s="11" t="s">
        <v>34</v>
      </c>
      <c r="L2839" s="11" t="s">
        <v>41</v>
      </c>
      <c r="M2839" s="11" t="s">
        <v>29</v>
      </c>
      <c r="N2839" s="11" t="s">
        <v>29</v>
      </c>
      <c r="O2839" s="16" t="s">
        <v>29</v>
      </c>
      <c r="P2839" s="15">
        <v>216</v>
      </c>
      <c r="Q2839" s="8"/>
      <c r="R2839">
        <v>12.69</v>
      </c>
      <c r="S2839">
        <v>2042.97</v>
      </c>
      <c r="T2839">
        <v>6.41</v>
      </c>
      <c r="U2839">
        <v>9.11</v>
      </c>
      <c r="V2839">
        <v>127</v>
      </c>
      <c r="W2839" s="317">
        <v>3.8</v>
      </c>
      <c r="X2839" s="190">
        <f>I2839*W2839</f>
        <v>49.779999999999994</v>
      </c>
      <c r="Y2839" s="8"/>
      <c r="Z2839" s="8"/>
    </row>
    <row r="2840" spans="1:26" ht="12.75" customHeight="1" x14ac:dyDescent="0.2">
      <c r="A2840" s="15">
        <v>160</v>
      </c>
      <c r="B2840" s="15">
        <v>1995</v>
      </c>
      <c r="C2840" s="15">
        <v>4</v>
      </c>
      <c r="D2840" s="15">
        <v>8</v>
      </c>
      <c r="E2840" s="22" t="s">
        <v>17</v>
      </c>
      <c r="F2840" s="11" t="s">
        <v>18</v>
      </c>
      <c r="G2840" s="15">
        <v>164</v>
      </c>
      <c r="H2840" s="15" t="s">
        <v>29</v>
      </c>
      <c r="I2840" s="25">
        <v>17.399999999999999</v>
      </c>
      <c r="J2840" s="11" t="s">
        <v>19</v>
      </c>
      <c r="K2840" s="11" t="s">
        <v>20</v>
      </c>
      <c r="L2840" s="11" t="s">
        <v>21</v>
      </c>
      <c r="M2840" s="11" t="s">
        <v>29</v>
      </c>
      <c r="N2840" s="11" t="s">
        <v>29</v>
      </c>
      <c r="O2840" s="16" t="s">
        <v>29</v>
      </c>
      <c r="P2840" s="15">
        <v>216</v>
      </c>
      <c r="Q2840" s="8"/>
      <c r="R2840">
        <v>15.3</v>
      </c>
      <c r="S2840">
        <v>3582.42</v>
      </c>
      <c r="T2840">
        <v>4.8600000000000003</v>
      </c>
      <c r="U2840">
        <v>10.99</v>
      </c>
      <c r="V2840">
        <v>153</v>
      </c>
      <c r="W2840" s="317">
        <v>3.9</v>
      </c>
      <c r="X2840" s="190">
        <f>I2840*W2840</f>
        <v>67.86</v>
      </c>
      <c r="Y2840" s="8"/>
      <c r="Z2840" s="8"/>
    </row>
    <row r="2841" spans="1:26" ht="12.75" customHeight="1" x14ac:dyDescent="0.2">
      <c r="A2841" s="15">
        <v>161</v>
      </c>
      <c r="B2841" s="15">
        <v>1995</v>
      </c>
      <c r="C2841" s="15">
        <v>4</v>
      </c>
      <c r="D2841" s="15">
        <v>8</v>
      </c>
      <c r="E2841" s="22" t="s">
        <v>17</v>
      </c>
      <c r="F2841" s="11" t="s">
        <v>18</v>
      </c>
      <c r="G2841" s="15">
        <v>135</v>
      </c>
      <c r="H2841" s="15" t="s">
        <v>29</v>
      </c>
      <c r="I2841" s="25">
        <v>13.6</v>
      </c>
      <c r="J2841" s="11" t="s">
        <v>19</v>
      </c>
      <c r="K2841" s="11" t="s">
        <v>20</v>
      </c>
      <c r="L2841" s="11" t="s">
        <v>30</v>
      </c>
      <c r="M2841" s="11" t="s">
        <v>29</v>
      </c>
      <c r="N2841" s="11" t="s">
        <v>23</v>
      </c>
      <c r="O2841" s="16" t="s">
        <v>29</v>
      </c>
      <c r="P2841" s="15">
        <v>216</v>
      </c>
      <c r="Q2841" s="8"/>
      <c r="R2841">
        <v>12.6</v>
      </c>
      <c r="S2841">
        <v>1998.23</v>
      </c>
      <c r="T2841">
        <v>6.81</v>
      </c>
      <c r="U2841">
        <v>9.0500000000000007</v>
      </c>
      <c r="V2841">
        <v>126</v>
      </c>
      <c r="W2841" s="317">
        <v>4.5999999999999996</v>
      </c>
      <c r="X2841" s="190">
        <f>I2841*W2841</f>
        <v>62.559999999999995</v>
      </c>
      <c r="Y2841" s="8"/>
      <c r="Z2841" s="8"/>
    </row>
    <row r="2842" spans="1:26" ht="12.75" customHeight="1" x14ac:dyDescent="0.2">
      <c r="A2842" s="15">
        <v>162</v>
      </c>
      <c r="B2842" s="15">
        <v>1995</v>
      </c>
      <c r="C2842" s="15">
        <v>4</v>
      </c>
      <c r="D2842" s="15">
        <v>8</v>
      </c>
      <c r="E2842" s="22" t="s">
        <v>17</v>
      </c>
      <c r="F2842" s="11" t="s">
        <v>28</v>
      </c>
      <c r="G2842" s="11" t="s">
        <v>29</v>
      </c>
      <c r="H2842" s="15" t="s">
        <v>29</v>
      </c>
      <c r="I2842" s="25" t="s">
        <v>29</v>
      </c>
      <c r="J2842" s="11" t="s">
        <v>19</v>
      </c>
      <c r="K2842" s="11" t="s">
        <v>20</v>
      </c>
      <c r="L2842" s="11" t="s">
        <v>30</v>
      </c>
      <c r="M2842" s="11" t="s">
        <v>29</v>
      </c>
      <c r="N2842" s="11" t="s">
        <v>29</v>
      </c>
      <c r="O2842" s="16" t="s">
        <v>29</v>
      </c>
      <c r="P2842" s="15">
        <v>216</v>
      </c>
      <c r="Q2842" s="8"/>
      <c r="W2842" s="317">
        <v>4.5999999999999996</v>
      </c>
      <c r="X2842" s="190"/>
      <c r="Y2842" s="8"/>
      <c r="Z2842" s="8"/>
    </row>
    <row r="2843" spans="1:26" ht="12.75" customHeight="1" x14ac:dyDescent="0.2">
      <c r="A2843" s="15">
        <v>163</v>
      </c>
      <c r="B2843" s="15">
        <v>1995</v>
      </c>
      <c r="C2843" s="15">
        <v>4</v>
      </c>
      <c r="D2843" s="15">
        <v>8</v>
      </c>
      <c r="E2843" s="22" t="s">
        <v>17</v>
      </c>
      <c r="F2843" s="11" t="s">
        <v>18</v>
      </c>
      <c r="G2843" s="15">
        <v>150</v>
      </c>
      <c r="H2843" s="15" t="s">
        <v>29</v>
      </c>
      <c r="I2843" s="25">
        <v>18.5</v>
      </c>
      <c r="J2843" s="11" t="s">
        <v>19</v>
      </c>
      <c r="K2843" s="11" t="s">
        <v>34</v>
      </c>
      <c r="L2843" s="11" t="s">
        <v>41</v>
      </c>
      <c r="M2843" s="11" t="s">
        <v>29</v>
      </c>
      <c r="N2843" s="11" t="s">
        <v>29</v>
      </c>
      <c r="O2843" s="16" t="s">
        <v>29</v>
      </c>
      <c r="P2843" s="15">
        <v>216</v>
      </c>
      <c r="Q2843" s="8"/>
      <c r="R2843">
        <v>14</v>
      </c>
      <c r="S2843">
        <v>2741.06</v>
      </c>
      <c r="T2843">
        <v>6.75</v>
      </c>
      <c r="U2843">
        <v>10.050000000000001</v>
      </c>
      <c r="V2843">
        <v>140</v>
      </c>
      <c r="W2843" s="317">
        <v>3.8</v>
      </c>
      <c r="X2843" s="190">
        <f>I2843*W2843</f>
        <v>70.3</v>
      </c>
      <c r="Y2843" s="8"/>
      <c r="Z2843" s="8"/>
    </row>
    <row r="2844" spans="1:26" ht="12.75" customHeight="1" x14ac:dyDescent="0.2">
      <c r="A2844" s="15">
        <v>164</v>
      </c>
      <c r="B2844" s="15">
        <v>1995</v>
      </c>
      <c r="C2844" s="15">
        <v>4</v>
      </c>
      <c r="D2844" s="15">
        <v>8</v>
      </c>
      <c r="E2844" s="22" t="s">
        <v>17</v>
      </c>
      <c r="F2844" s="11" t="s">
        <v>18</v>
      </c>
      <c r="G2844" s="15">
        <v>138</v>
      </c>
      <c r="H2844" s="15" t="s">
        <v>29</v>
      </c>
      <c r="I2844" s="25">
        <v>12.6</v>
      </c>
      <c r="J2844" s="11" t="s">
        <v>19</v>
      </c>
      <c r="K2844" s="11" t="s">
        <v>20</v>
      </c>
      <c r="L2844" s="11" t="s">
        <v>30</v>
      </c>
      <c r="M2844" s="11" t="s">
        <v>29</v>
      </c>
      <c r="N2844" s="11" t="s">
        <v>25</v>
      </c>
      <c r="O2844" s="16" t="s">
        <v>29</v>
      </c>
      <c r="P2844" s="15">
        <v>216</v>
      </c>
      <c r="Q2844" s="8"/>
      <c r="R2844">
        <v>12.88</v>
      </c>
      <c r="S2844">
        <v>2134.4299999999998</v>
      </c>
      <c r="T2844">
        <v>5.9</v>
      </c>
      <c r="U2844">
        <v>9.25</v>
      </c>
      <c r="V2844">
        <v>129</v>
      </c>
      <c r="W2844" s="317">
        <v>4.5999999999999996</v>
      </c>
      <c r="X2844" s="190">
        <f>I2844*W2844</f>
        <v>57.959999999999994</v>
      </c>
      <c r="Y2844" s="8"/>
      <c r="Z2844" s="8"/>
    </row>
    <row r="2845" spans="1:26" ht="12.75" customHeight="1" x14ac:dyDescent="0.2">
      <c r="A2845" s="15">
        <v>165</v>
      </c>
      <c r="B2845" s="15">
        <v>1995</v>
      </c>
      <c r="C2845" s="15">
        <v>4</v>
      </c>
      <c r="D2845" s="15">
        <v>8</v>
      </c>
      <c r="E2845" s="22" t="s">
        <v>17</v>
      </c>
      <c r="F2845" s="11" t="s">
        <v>18</v>
      </c>
      <c r="G2845" s="15">
        <v>159</v>
      </c>
      <c r="H2845" s="15" t="s">
        <v>29</v>
      </c>
      <c r="I2845" s="25">
        <v>15.6</v>
      </c>
      <c r="J2845" s="11" t="s">
        <v>19</v>
      </c>
      <c r="K2845" s="11" t="s">
        <v>20</v>
      </c>
      <c r="L2845" s="11" t="s">
        <v>30</v>
      </c>
      <c r="M2845" s="11" t="s">
        <v>29</v>
      </c>
      <c r="N2845" s="11" t="s">
        <v>33</v>
      </c>
      <c r="O2845" s="16" t="s">
        <v>29</v>
      </c>
      <c r="P2845" s="15">
        <v>216</v>
      </c>
      <c r="Q2845" s="8"/>
      <c r="R2845">
        <v>14.83</v>
      </c>
      <c r="S2845">
        <v>3264.65</v>
      </c>
      <c r="T2845">
        <v>4.78</v>
      </c>
      <c r="U2845">
        <v>10.65</v>
      </c>
      <c r="V2845">
        <v>148</v>
      </c>
      <c r="W2845" s="317">
        <v>4.5999999999999996</v>
      </c>
      <c r="X2845" s="190">
        <f>I2845*W2845</f>
        <v>71.759999999999991</v>
      </c>
      <c r="Y2845" s="8"/>
      <c r="Z2845" s="8"/>
    </row>
    <row r="2846" spans="1:26" ht="12.75" customHeight="1" x14ac:dyDescent="0.2">
      <c r="A2846" s="15">
        <v>166</v>
      </c>
      <c r="B2846" s="15">
        <v>1995</v>
      </c>
      <c r="C2846" s="15">
        <v>4</v>
      </c>
      <c r="D2846" s="15">
        <v>8</v>
      </c>
      <c r="E2846" s="22" t="s">
        <v>17</v>
      </c>
      <c r="F2846" s="11" t="s">
        <v>18</v>
      </c>
      <c r="G2846" s="15">
        <v>104</v>
      </c>
      <c r="H2846" s="15" t="s">
        <v>29</v>
      </c>
      <c r="I2846" s="25">
        <v>2.2999999999999998</v>
      </c>
      <c r="J2846" s="11" t="s">
        <v>32</v>
      </c>
      <c r="K2846" s="11" t="s">
        <v>29</v>
      </c>
      <c r="L2846" s="11" t="s">
        <v>29</v>
      </c>
      <c r="M2846" s="11" t="s">
        <v>29</v>
      </c>
      <c r="N2846" s="11" t="s">
        <v>29</v>
      </c>
      <c r="O2846" s="16" t="s">
        <v>29</v>
      </c>
      <c r="P2846" s="15">
        <v>216</v>
      </c>
      <c r="Q2846" s="8"/>
      <c r="R2846">
        <v>9.6999999999999993</v>
      </c>
      <c r="S2846">
        <v>913.58</v>
      </c>
      <c r="T2846">
        <v>2.52</v>
      </c>
      <c r="U2846">
        <v>6.97</v>
      </c>
      <c r="V2846">
        <v>97</v>
      </c>
      <c r="W2846" s="8"/>
      <c r="X2846" s="8"/>
      <c r="Y2846" s="8"/>
      <c r="Z2846" s="8"/>
    </row>
    <row r="2847" spans="1:26" ht="12.75" customHeight="1" x14ac:dyDescent="0.2">
      <c r="A2847" s="15">
        <v>167</v>
      </c>
      <c r="B2847" s="15">
        <v>1995</v>
      </c>
      <c r="C2847" s="15">
        <v>4</v>
      </c>
      <c r="D2847" s="15">
        <v>8</v>
      </c>
      <c r="E2847" s="22" t="s">
        <v>17</v>
      </c>
      <c r="F2847" s="11" t="s">
        <v>18</v>
      </c>
      <c r="G2847" s="15">
        <v>155</v>
      </c>
      <c r="H2847" s="15" t="s">
        <v>29</v>
      </c>
      <c r="I2847" s="25">
        <v>16.600000000000001</v>
      </c>
      <c r="J2847" s="11" t="s">
        <v>19</v>
      </c>
      <c r="K2847" s="11" t="s">
        <v>20</v>
      </c>
      <c r="L2847" s="11" t="s">
        <v>30</v>
      </c>
      <c r="M2847" s="11" t="s">
        <v>29</v>
      </c>
      <c r="N2847" s="11" t="s">
        <v>25</v>
      </c>
      <c r="O2847" s="16" t="s">
        <v>29</v>
      </c>
      <c r="P2847" s="15">
        <v>216</v>
      </c>
      <c r="Q2847" s="8"/>
      <c r="R2847">
        <v>14.46</v>
      </c>
      <c r="S2847">
        <v>3024.41</v>
      </c>
      <c r="T2847">
        <v>5.49</v>
      </c>
      <c r="U2847">
        <v>10.39</v>
      </c>
      <c r="V2847">
        <v>145</v>
      </c>
      <c r="W2847" s="317">
        <v>4.5999999999999996</v>
      </c>
      <c r="X2847" s="190">
        <f>I2847*W2847</f>
        <v>76.36</v>
      </c>
      <c r="Y2847" s="8"/>
      <c r="Z2847" s="8"/>
    </row>
    <row r="2848" spans="1:26" ht="12.75" customHeight="1" x14ac:dyDescent="0.2">
      <c r="A2848" s="15">
        <v>168</v>
      </c>
      <c r="B2848" s="15">
        <v>1995</v>
      </c>
      <c r="C2848" s="15">
        <v>4</v>
      </c>
      <c r="D2848" s="15">
        <v>8</v>
      </c>
      <c r="E2848" s="22" t="s">
        <v>17</v>
      </c>
      <c r="F2848" s="11" t="s">
        <v>18</v>
      </c>
      <c r="G2848" s="15">
        <v>155</v>
      </c>
      <c r="H2848" s="15" t="s">
        <v>29</v>
      </c>
      <c r="I2848" s="25">
        <v>20.6</v>
      </c>
      <c r="J2848" s="11" t="s">
        <v>19</v>
      </c>
      <c r="K2848" s="11" t="s">
        <v>20</v>
      </c>
      <c r="L2848" s="11" t="s">
        <v>30</v>
      </c>
      <c r="M2848" s="11" t="s">
        <v>29</v>
      </c>
      <c r="N2848" s="11" t="s">
        <v>23</v>
      </c>
      <c r="O2848" s="16" t="s">
        <v>29</v>
      </c>
      <c r="P2848" s="15">
        <v>216</v>
      </c>
      <c r="Q2848" s="8"/>
      <c r="R2848">
        <v>14.46</v>
      </c>
      <c r="S2848">
        <v>3024.41</v>
      </c>
      <c r="T2848">
        <v>6.81</v>
      </c>
      <c r="U2848">
        <v>10.39</v>
      </c>
      <c r="V2848">
        <v>145</v>
      </c>
      <c r="W2848" s="317">
        <v>4.5999999999999996</v>
      </c>
      <c r="X2848" s="190">
        <f>I2848*W2848</f>
        <v>94.76</v>
      </c>
      <c r="Y2848" s="8"/>
      <c r="Z2848" s="8"/>
    </row>
    <row r="2849" spans="1:26" ht="12.75" customHeight="1" x14ac:dyDescent="0.2">
      <c r="A2849" s="15">
        <v>169</v>
      </c>
      <c r="B2849" s="15">
        <v>1995</v>
      </c>
      <c r="C2849" s="15">
        <v>4</v>
      </c>
      <c r="D2849" s="15">
        <v>8</v>
      </c>
      <c r="E2849" s="22" t="s">
        <v>17</v>
      </c>
      <c r="F2849" s="11" t="s">
        <v>18</v>
      </c>
      <c r="G2849" s="15">
        <v>99</v>
      </c>
      <c r="H2849" s="15" t="s">
        <v>29</v>
      </c>
      <c r="I2849" s="25">
        <v>2</v>
      </c>
      <c r="J2849" s="11" t="s">
        <v>32</v>
      </c>
      <c r="K2849" s="11" t="s">
        <v>29</v>
      </c>
      <c r="L2849" s="11" t="s">
        <v>29</v>
      </c>
      <c r="M2849" s="11" t="s">
        <v>29</v>
      </c>
      <c r="N2849" s="11" t="s">
        <v>29</v>
      </c>
      <c r="O2849" s="16" t="s">
        <v>29</v>
      </c>
      <c r="P2849" s="15">
        <v>216</v>
      </c>
      <c r="Q2849" s="8"/>
      <c r="R2849">
        <v>9.24</v>
      </c>
      <c r="S2849">
        <v>788.04</v>
      </c>
      <c r="T2849">
        <v>2.54</v>
      </c>
      <c r="U2849">
        <v>6.63</v>
      </c>
      <c r="V2849">
        <v>92</v>
      </c>
      <c r="W2849" s="8"/>
      <c r="X2849" s="8"/>
      <c r="Y2849" s="8"/>
      <c r="Z2849" s="8"/>
    </row>
    <row r="2850" spans="1:26" ht="12.75" customHeight="1" x14ac:dyDescent="0.2">
      <c r="A2850" s="15">
        <v>170</v>
      </c>
      <c r="B2850" s="15">
        <v>1995</v>
      </c>
      <c r="C2850" s="15">
        <v>4</v>
      </c>
      <c r="D2850" s="15">
        <v>8</v>
      </c>
      <c r="E2850" s="22" t="s">
        <v>17</v>
      </c>
      <c r="F2850" s="11" t="s">
        <v>18</v>
      </c>
      <c r="G2850" s="15">
        <v>125</v>
      </c>
      <c r="H2850" s="15" t="s">
        <v>29</v>
      </c>
      <c r="I2850" s="25">
        <v>10.1</v>
      </c>
      <c r="J2850" s="11" t="s">
        <v>19</v>
      </c>
      <c r="K2850" s="11" t="s">
        <v>20</v>
      </c>
      <c r="L2850" s="11" t="s">
        <v>30</v>
      </c>
      <c r="M2850" s="11" t="s">
        <v>29</v>
      </c>
      <c r="N2850" s="11" t="s">
        <v>23</v>
      </c>
      <c r="O2850" s="16" t="s">
        <v>29</v>
      </c>
      <c r="P2850" s="15">
        <v>216</v>
      </c>
      <c r="Q2850" s="8"/>
      <c r="R2850">
        <v>11.66</v>
      </c>
      <c r="S2850">
        <v>1586.26</v>
      </c>
      <c r="T2850">
        <v>6.37</v>
      </c>
      <c r="U2850">
        <v>8.3800000000000008</v>
      </c>
      <c r="V2850">
        <v>117</v>
      </c>
      <c r="W2850" s="317">
        <v>4.5999999999999996</v>
      </c>
      <c r="X2850" s="190">
        <f>I2850*W2850</f>
        <v>46.459999999999994</v>
      </c>
      <c r="Y2850" s="8"/>
      <c r="Z2850" s="8"/>
    </row>
    <row r="2851" spans="1:26" ht="12.75" customHeight="1" x14ac:dyDescent="0.2">
      <c r="A2851" s="15">
        <v>171</v>
      </c>
      <c r="B2851" s="15">
        <v>1995</v>
      </c>
      <c r="C2851" s="15">
        <v>4</v>
      </c>
      <c r="D2851" s="15">
        <v>8</v>
      </c>
      <c r="E2851" s="22" t="s">
        <v>17</v>
      </c>
      <c r="F2851" s="11" t="s">
        <v>18</v>
      </c>
      <c r="G2851" s="15">
        <v>92</v>
      </c>
      <c r="H2851" s="15" t="s">
        <v>29</v>
      </c>
      <c r="I2851" s="25">
        <v>1.2</v>
      </c>
      <c r="J2851" s="11" t="s">
        <v>32</v>
      </c>
      <c r="K2851" s="11" t="s">
        <v>29</v>
      </c>
      <c r="L2851" s="11" t="s">
        <v>29</v>
      </c>
      <c r="M2851" s="11" t="s">
        <v>29</v>
      </c>
      <c r="N2851" s="11" t="s">
        <v>29</v>
      </c>
      <c r="O2851" s="16" t="s">
        <v>29</v>
      </c>
      <c r="P2851" s="15">
        <v>216</v>
      </c>
      <c r="Q2851" s="8"/>
      <c r="R2851">
        <v>8.58</v>
      </c>
      <c r="S2851">
        <v>632.41999999999996</v>
      </c>
      <c r="T2851">
        <v>1.9</v>
      </c>
      <c r="U2851">
        <v>6.16</v>
      </c>
      <c r="V2851">
        <v>86</v>
      </c>
      <c r="W2851" s="8"/>
      <c r="X2851" s="8"/>
      <c r="Y2851" s="8"/>
      <c r="Z2851" s="8"/>
    </row>
    <row r="2852" spans="1:26" ht="12.75" customHeight="1" x14ac:dyDescent="0.2">
      <c r="A2852" s="15">
        <v>172</v>
      </c>
      <c r="B2852" s="15">
        <v>1995</v>
      </c>
      <c r="C2852" s="15">
        <v>4</v>
      </c>
      <c r="D2852" s="15">
        <v>8</v>
      </c>
      <c r="E2852" s="22" t="s">
        <v>17</v>
      </c>
      <c r="F2852" s="11" t="s">
        <v>18</v>
      </c>
      <c r="G2852" s="15">
        <v>131</v>
      </c>
      <c r="H2852" s="15" t="s">
        <v>29</v>
      </c>
      <c r="I2852" s="25">
        <v>11.6</v>
      </c>
      <c r="J2852" s="11" t="s">
        <v>19</v>
      </c>
      <c r="K2852" s="11" t="s">
        <v>20</v>
      </c>
      <c r="L2852" s="11" t="s">
        <v>30</v>
      </c>
      <c r="M2852" s="11" t="s">
        <v>29</v>
      </c>
      <c r="N2852" s="11" t="s">
        <v>33</v>
      </c>
      <c r="O2852" s="16" t="s">
        <v>29</v>
      </c>
      <c r="P2852" s="15">
        <v>216</v>
      </c>
      <c r="Q2852" s="8"/>
      <c r="R2852">
        <v>12.22</v>
      </c>
      <c r="S2852">
        <v>1825.82</v>
      </c>
      <c r="T2852">
        <v>6.35</v>
      </c>
      <c r="U2852">
        <v>8.7799999999999994</v>
      </c>
      <c r="V2852">
        <v>122</v>
      </c>
      <c r="W2852" s="317">
        <v>4.5999999999999996</v>
      </c>
      <c r="X2852" s="190">
        <f>I2852*W2852</f>
        <v>53.359999999999992</v>
      </c>
      <c r="Y2852" s="8"/>
      <c r="Z2852" s="8"/>
    </row>
    <row r="2853" spans="1:26" ht="12.75" customHeight="1" x14ac:dyDescent="0.2">
      <c r="A2853" s="15">
        <v>173</v>
      </c>
      <c r="B2853" s="15">
        <v>1995</v>
      </c>
      <c r="C2853" s="15">
        <v>4</v>
      </c>
      <c r="D2853" s="15">
        <v>8</v>
      </c>
      <c r="E2853" s="22" t="s">
        <v>17</v>
      </c>
      <c r="F2853" s="11" t="s">
        <v>18</v>
      </c>
      <c r="G2853" s="15">
        <v>107</v>
      </c>
      <c r="H2853" s="15" t="s">
        <v>29</v>
      </c>
      <c r="I2853" s="25">
        <v>2.2000000000000002</v>
      </c>
      <c r="J2853" s="11" t="s">
        <v>32</v>
      </c>
      <c r="K2853" s="11" t="s">
        <v>29</v>
      </c>
      <c r="L2853" s="11" t="s">
        <v>29</v>
      </c>
      <c r="M2853" s="11" t="s">
        <v>29</v>
      </c>
      <c r="N2853" s="11" t="s">
        <v>29</v>
      </c>
      <c r="O2853" s="16" t="s">
        <v>29</v>
      </c>
      <c r="P2853" s="15">
        <v>216</v>
      </c>
      <c r="Q2853" s="8"/>
      <c r="R2853">
        <v>9.98</v>
      </c>
      <c r="S2853">
        <v>994.94</v>
      </c>
      <c r="T2853">
        <v>2.21</v>
      </c>
      <c r="U2853">
        <v>7.17</v>
      </c>
      <c r="V2853">
        <v>100</v>
      </c>
      <c r="W2853" s="8"/>
      <c r="X2853" s="8"/>
      <c r="Y2853" s="8"/>
      <c r="Z2853" s="8"/>
    </row>
    <row r="2854" spans="1:26" ht="12.75" customHeight="1" x14ac:dyDescent="0.2">
      <c r="A2854" s="15">
        <v>174</v>
      </c>
      <c r="B2854" s="15">
        <v>1995</v>
      </c>
      <c r="C2854" s="15">
        <v>4</v>
      </c>
      <c r="D2854" s="15">
        <v>8</v>
      </c>
      <c r="E2854" s="22" t="s">
        <v>17</v>
      </c>
      <c r="F2854" s="11" t="s">
        <v>18</v>
      </c>
      <c r="G2854" s="15">
        <v>152</v>
      </c>
      <c r="H2854" s="15" t="s">
        <v>29</v>
      </c>
      <c r="I2854" s="25">
        <v>12.6</v>
      </c>
      <c r="J2854" s="11" t="s">
        <v>19</v>
      </c>
      <c r="K2854" s="11" t="s">
        <v>20</v>
      </c>
      <c r="L2854" s="11" t="s">
        <v>21</v>
      </c>
      <c r="M2854" s="11" t="s">
        <v>29</v>
      </c>
      <c r="N2854" s="11" t="s">
        <v>25</v>
      </c>
      <c r="O2854" s="16" t="s">
        <v>29</v>
      </c>
      <c r="P2854" s="15">
        <v>216</v>
      </c>
      <c r="Q2854" s="8"/>
      <c r="R2854">
        <v>14.18</v>
      </c>
      <c r="S2854">
        <v>2852.17</v>
      </c>
      <c r="T2854">
        <v>4.42</v>
      </c>
      <c r="U2854">
        <v>10.18</v>
      </c>
      <c r="V2854">
        <v>142</v>
      </c>
      <c r="W2854" s="317">
        <v>3.9</v>
      </c>
      <c r="X2854" s="190">
        <f t="shared" ref="X2854:X2859" si="128">I2854*W2854</f>
        <v>49.14</v>
      </c>
      <c r="Y2854" s="8"/>
      <c r="Z2854" s="8"/>
    </row>
    <row r="2855" spans="1:26" ht="12.75" customHeight="1" x14ac:dyDescent="0.2">
      <c r="A2855" s="15">
        <v>175</v>
      </c>
      <c r="B2855" s="15">
        <v>1995</v>
      </c>
      <c r="C2855" s="15">
        <v>4</v>
      </c>
      <c r="D2855" s="15">
        <v>8</v>
      </c>
      <c r="E2855" s="22" t="s">
        <v>17</v>
      </c>
      <c r="F2855" s="11" t="s">
        <v>18</v>
      </c>
      <c r="G2855" s="15">
        <v>133</v>
      </c>
      <c r="H2855" s="15" t="s">
        <v>29</v>
      </c>
      <c r="I2855" s="25">
        <v>10.6</v>
      </c>
      <c r="J2855" s="11" t="s">
        <v>19</v>
      </c>
      <c r="K2855" s="11" t="s">
        <v>20</v>
      </c>
      <c r="L2855" s="11" t="s">
        <v>30</v>
      </c>
      <c r="M2855" s="11" t="s">
        <v>29</v>
      </c>
      <c r="N2855" s="11" t="s">
        <v>29</v>
      </c>
      <c r="O2855" s="16" t="s">
        <v>29</v>
      </c>
      <c r="P2855" s="15">
        <v>216</v>
      </c>
      <c r="Q2855" s="8"/>
      <c r="R2855">
        <v>12.41</v>
      </c>
      <c r="S2855">
        <v>1910.73</v>
      </c>
      <c r="T2855">
        <v>5.55</v>
      </c>
      <c r="U2855">
        <v>8.91</v>
      </c>
      <c r="V2855">
        <v>124</v>
      </c>
      <c r="W2855" s="317">
        <v>4.5999999999999996</v>
      </c>
      <c r="X2855" s="190">
        <f t="shared" si="128"/>
        <v>48.76</v>
      </c>
      <c r="Y2855" s="8"/>
      <c r="Z2855" s="8"/>
    </row>
    <row r="2856" spans="1:26" ht="12.75" customHeight="1" x14ac:dyDescent="0.2">
      <c r="A2856" s="15">
        <v>176</v>
      </c>
      <c r="B2856" s="15">
        <v>1995</v>
      </c>
      <c r="C2856" s="15">
        <v>4</v>
      </c>
      <c r="D2856" s="15">
        <v>8</v>
      </c>
      <c r="E2856" s="22" t="s">
        <v>17</v>
      </c>
      <c r="F2856" s="11" t="s">
        <v>18</v>
      </c>
      <c r="G2856" s="15">
        <v>132</v>
      </c>
      <c r="H2856" s="15" t="s">
        <v>29</v>
      </c>
      <c r="I2856" s="25">
        <v>12.1</v>
      </c>
      <c r="J2856" s="11" t="s">
        <v>19</v>
      </c>
      <c r="K2856" s="11" t="s">
        <v>20</v>
      </c>
      <c r="L2856" s="11" t="s">
        <v>30</v>
      </c>
      <c r="M2856" s="11" t="s">
        <v>29</v>
      </c>
      <c r="N2856" s="11" t="s">
        <v>29</v>
      </c>
      <c r="O2856" s="16" t="s">
        <v>29</v>
      </c>
      <c r="P2856" s="15">
        <v>216</v>
      </c>
      <c r="Q2856" s="8"/>
      <c r="R2856">
        <v>12.32</v>
      </c>
      <c r="S2856">
        <v>1867.96</v>
      </c>
      <c r="T2856">
        <v>6.48</v>
      </c>
      <c r="U2856">
        <v>8.84</v>
      </c>
      <c r="V2856">
        <v>123</v>
      </c>
      <c r="W2856" s="317">
        <v>4.5999999999999996</v>
      </c>
      <c r="X2856" s="190">
        <f t="shared" si="128"/>
        <v>55.66</v>
      </c>
      <c r="Y2856" s="8"/>
      <c r="Z2856" s="8"/>
    </row>
    <row r="2857" spans="1:26" ht="12.75" customHeight="1" x14ac:dyDescent="0.2">
      <c r="A2857" s="15">
        <v>177</v>
      </c>
      <c r="B2857" s="15">
        <v>1995</v>
      </c>
      <c r="C2857" s="15">
        <v>4</v>
      </c>
      <c r="D2857" s="15">
        <v>8</v>
      </c>
      <c r="E2857" s="22" t="s">
        <v>17</v>
      </c>
      <c r="F2857" s="11" t="s">
        <v>18</v>
      </c>
      <c r="G2857" s="15">
        <v>131</v>
      </c>
      <c r="H2857" s="15" t="s">
        <v>29</v>
      </c>
      <c r="I2857" s="25">
        <v>10.1</v>
      </c>
      <c r="J2857" s="11" t="s">
        <v>19</v>
      </c>
      <c r="K2857" s="11" t="s">
        <v>20</v>
      </c>
      <c r="L2857" s="11" t="s">
        <v>30</v>
      </c>
      <c r="M2857" s="11" t="s">
        <v>29</v>
      </c>
      <c r="N2857" s="11" t="s">
        <v>23</v>
      </c>
      <c r="O2857" s="16" t="s">
        <v>29</v>
      </c>
      <c r="P2857" s="15">
        <v>216</v>
      </c>
      <c r="Q2857" s="8"/>
      <c r="R2857">
        <v>12.22</v>
      </c>
      <c r="S2857">
        <v>1825.82</v>
      </c>
      <c r="T2857">
        <v>5.53</v>
      </c>
      <c r="U2857">
        <v>8.7799999999999994</v>
      </c>
      <c r="V2857">
        <v>122</v>
      </c>
      <c r="W2857" s="317">
        <v>4.5999999999999996</v>
      </c>
      <c r="X2857" s="190">
        <f t="shared" si="128"/>
        <v>46.459999999999994</v>
      </c>
      <c r="Y2857" s="8"/>
      <c r="Z2857" s="8"/>
    </row>
    <row r="2858" spans="1:26" ht="12.75" customHeight="1" x14ac:dyDescent="0.2">
      <c r="A2858" s="15">
        <v>178</v>
      </c>
      <c r="B2858" s="15">
        <v>1995</v>
      </c>
      <c r="C2858" s="15">
        <v>4</v>
      </c>
      <c r="D2858" s="15">
        <v>8</v>
      </c>
      <c r="E2858" s="22" t="s">
        <v>17</v>
      </c>
      <c r="F2858" s="11" t="s">
        <v>18</v>
      </c>
      <c r="G2858" s="15">
        <v>125</v>
      </c>
      <c r="H2858" s="15" t="s">
        <v>29</v>
      </c>
      <c r="I2858" s="25">
        <v>9.1</v>
      </c>
      <c r="J2858" s="11" t="s">
        <v>19</v>
      </c>
      <c r="K2858" s="11" t="s">
        <v>20</v>
      </c>
      <c r="L2858" s="11" t="s">
        <v>30</v>
      </c>
      <c r="M2858" s="11" t="s">
        <v>29</v>
      </c>
      <c r="N2858" s="11" t="s">
        <v>23</v>
      </c>
      <c r="O2858" s="16" t="s">
        <v>29</v>
      </c>
      <c r="P2858" s="15">
        <v>216</v>
      </c>
      <c r="Q2858" s="8"/>
      <c r="R2858">
        <v>11.66</v>
      </c>
      <c r="S2858">
        <v>1586.26</v>
      </c>
      <c r="T2858">
        <v>5.74</v>
      </c>
      <c r="U2858">
        <v>8.3800000000000008</v>
      </c>
      <c r="V2858">
        <v>117</v>
      </c>
      <c r="W2858" s="317">
        <v>4.5999999999999996</v>
      </c>
      <c r="X2858" s="190">
        <f t="shared" si="128"/>
        <v>41.859999999999992</v>
      </c>
      <c r="Y2858" s="8"/>
      <c r="Z2858" s="8"/>
    </row>
    <row r="2859" spans="1:26" ht="12.75" customHeight="1" x14ac:dyDescent="0.2">
      <c r="A2859" s="15">
        <v>179</v>
      </c>
      <c r="B2859" s="15">
        <v>1995</v>
      </c>
      <c r="C2859" s="15">
        <v>4</v>
      </c>
      <c r="D2859" s="15">
        <v>8</v>
      </c>
      <c r="E2859" s="22" t="s">
        <v>17</v>
      </c>
      <c r="F2859" s="11" t="s">
        <v>18</v>
      </c>
      <c r="G2859" s="15">
        <v>145</v>
      </c>
      <c r="H2859" s="15" t="s">
        <v>29</v>
      </c>
      <c r="I2859" s="25">
        <v>15.1</v>
      </c>
      <c r="J2859" s="11" t="s">
        <v>19</v>
      </c>
      <c r="K2859" s="11" t="s">
        <v>20</v>
      </c>
      <c r="L2859" s="11" t="s">
        <v>30</v>
      </c>
      <c r="M2859" s="11" t="s">
        <v>29</v>
      </c>
      <c r="N2859" s="11" t="s">
        <v>25</v>
      </c>
      <c r="O2859" s="16" t="s">
        <v>29</v>
      </c>
      <c r="P2859" s="15">
        <v>216</v>
      </c>
      <c r="Q2859" s="8"/>
      <c r="R2859">
        <v>13.53</v>
      </c>
      <c r="S2859">
        <v>2475.9899999999998</v>
      </c>
      <c r="T2859">
        <v>6.1</v>
      </c>
      <c r="U2859">
        <v>9.7200000000000006</v>
      </c>
      <c r="V2859">
        <v>135</v>
      </c>
      <c r="W2859" s="317">
        <v>4.5999999999999996</v>
      </c>
      <c r="X2859" s="190">
        <f t="shared" si="128"/>
        <v>69.459999999999994</v>
      </c>
      <c r="Y2859" s="8"/>
      <c r="Z2859" s="8"/>
    </row>
    <row r="2860" spans="1:26" ht="12.75" customHeight="1" x14ac:dyDescent="0.2">
      <c r="A2860" s="15">
        <v>180</v>
      </c>
      <c r="B2860" s="15">
        <v>1995</v>
      </c>
      <c r="C2860" s="15">
        <v>4</v>
      </c>
      <c r="D2860" s="15">
        <v>8</v>
      </c>
      <c r="E2860" s="22" t="s">
        <v>17</v>
      </c>
      <c r="F2860" s="11" t="s">
        <v>18</v>
      </c>
      <c r="G2860" s="15">
        <v>139</v>
      </c>
      <c r="H2860" s="15" t="s">
        <v>29</v>
      </c>
      <c r="I2860" s="25">
        <v>8.6</v>
      </c>
      <c r="J2860" s="11" t="s">
        <v>19</v>
      </c>
      <c r="K2860" s="11" t="s">
        <v>20</v>
      </c>
      <c r="L2860" s="11" t="s">
        <v>41</v>
      </c>
      <c r="M2860" s="11" t="s">
        <v>29</v>
      </c>
      <c r="N2860" s="11" t="s">
        <v>25</v>
      </c>
      <c r="O2860" s="16" t="s">
        <v>29</v>
      </c>
      <c r="P2860" s="15">
        <v>216</v>
      </c>
      <c r="Q2860" s="8"/>
      <c r="R2860">
        <v>12.97</v>
      </c>
      <c r="S2860">
        <v>2181.17</v>
      </c>
      <c r="T2860">
        <v>3.94</v>
      </c>
      <c r="U2860">
        <v>9.31</v>
      </c>
      <c r="V2860">
        <v>130</v>
      </c>
      <c r="W2860" s="8"/>
      <c r="X2860" s="8"/>
      <c r="Y2860" s="8"/>
      <c r="Z2860" s="8"/>
    </row>
    <row r="2861" spans="1:26" ht="12.75" customHeight="1" x14ac:dyDescent="0.2">
      <c r="A2861" s="15">
        <v>181</v>
      </c>
      <c r="B2861" s="15">
        <v>1995</v>
      </c>
      <c r="C2861" s="15">
        <v>4</v>
      </c>
      <c r="D2861" s="15">
        <v>8</v>
      </c>
      <c r="E2861" s="22" t="s">
        <v>17</v>
      </c>
      <c r="F2861" s="11" t="s">
        <v>18</v>
      </c>
      <c r="G2861" s="15">
        <v>137</v>
      </c>
      <c r="H2861" s="15" t="s">
        <v>29</v>
      </c>
      <c r="I2861" s="25">
        <v>11.6</v>
      </c>
      <c r="J2861" s="11" t="s">
        <v>19</v>
      </c>
      <c r="K2861" s="11" t="s">
        <v>20</v>
      </c>
      <c r="L2861" s="11" t="s">
        <v>30</v>
      </c>
      <c r="M2861" s="11" t="s">
        <v>29</v>
      </c>
      <c r="N2861" s="11" t="s">
        <v>29</v>
      </c>
      <c r="O2861" s="16" t="s">
        <v>29</v>
      </c>
      <c r="P2861" s="15">
        <v>216</v>
      </c>
      <c r="Q2861" s="8"/>
      <c r="R2861">
        <v>12.78</v>
      </c>
      <c r="S2861">
        <v>2088.37</v>
      </c>
      <c r="T2861">
        <v>5.55</v>
      </c>
      <c r="U2861">
        <v>9.18</v>
      </c>
      <c r="V2861">
        <v>128</v>
      </c>
      <c r="W2861" s="317">
        <v>4.5999999999999996</v>
      </c>
      <c r="X2861" s="190">
        <f>I2861*W2861</f>
        <v>53.359999999999992</v>
      </c>
      <c r="Y2861" s="8"/>
      <c r="Z2861" s="8"/>
    </row>
    <row r="2862" spans="1:26" ht="12.75" customHeight="1" x14ac:dyDescent="0.2">
      <c r="A2862" s="15">
        <v>182</v>
      </c>
      <c r="B2862" s="15">
        <v>1995</v>
      </c>
      <c r="C2862" s="15">
        <v>4</v>
      </c>
      <c r="D2862" s="15">
        <v>8</v>
      </c>
      <c r="E2862" s="22" t="s">
        <v>17</v>
      </c>
      <c r="F2862" s="11" t="s">
        <v>18</v>
      </c>
      <c r="G2862" s="15">
        <v>153</v>
      </c>
      <c r="H2862" s="15" t="s">
        <v>29</v>
      </c>
      <c r="I2862" s="25">
        <v>18.600000000000001</v>
      </c>
      <c r="J2862" s="11" t="s">
        <v>19</v>
      </c>
      <c r="K2862" s="11" t="s">
        <v>34</v>
      </c>
      <c r="L2862" s="11" t="s">
        <v>41</v>
      </c>
      <c r="M2862" s="11" t="s">
        <v>29</v>
      </c>
      <c r="N2862" s="11" t="s">
        <v>29</v>
      </c>
      <c r="O2862" s="16" t="s">
        <v>29</v>
      </c>
      <c r="P2862" s="15">
        <v>216</v>
      </c>
      <c r="Q2862" s="8"/>
      <c r="R2862">
        <v>14.27</v>
      </c>
      <c r="S2862">
        <v>2908.84</v>
      </c>
      <c r="T2862">
        <v>6.39</v>
      </c>
      <c r="U2862">
        <v>10.25</v>
      </c>
      <c r="V2862">
        <v>143</v>
      </c>
      <c r="W2862" s="317">
        <v>3.8</v>
      </c>
      <c r="X2862" s="190">
        <f>I2862*W2862</f>
        <v>70.680000000000007</v>
      </c>
      <c r="Y2862" s="8"/>
      <c r="Z2862" s="8"/>
    </row>
    <row r="2863" spans="1:26" ht="12.75" customHeight="1" x14ac:dyDescent="0.2">
      <c r="A2863" s="15">
        <v>183</v>
      </c>
      <c r="B2863" s="15">
        <v>1995</v>
      </c>
      <c r="C2863" s="15">
        <v>4</v>
      </c>
      <c r="D2863" s="15">
        <v>8</v>
      </c>
      <c r="E2863" s="22" t="s">
        <v>17</v>
      </c>
      <c r="F2863" s="11" t="s">
        <v>18</v>
      </c>
      <c r="G2863" s="15">
        <v>110</v>
      </c>
      <c r="H2863" s="15" t="s">
        <v>29</v>
      </c>
      <c r="I2863" s="25">
        <v>2.2000000000000002</v>
      </c>
      <c r="J2863" s="11" t="s">
        <v>32</v>
      </c>
      <c r="K2863" s="11" t="s">
        <v>29</v>
      </c>
      <c r="L2863" s="11" t="s">
        <v>29</v>
      </c>
      <c r="M2863" s="11" t="s">
        <v>29</v>
      </c>
      <c r="N2863" s="11" t="s">
        <v>29</v>
      </c>
      <c r="O2863" s="16" t="s">
        <v>29</v>
      </c>
      <c r="P2863" s="15">
        <v>216</v>
      </c>
      <c r="Q2863" s="8"/>
      <c r="R2863">
        <v>10.26</v>
      </c>
      <c r="S2863">
        <v>1080.99</v>
      </c>
      <c r="T2863">
        <v>2.04</v>
      </c>
      <c r="U2863">
        <v>7.37</v>
      </c>
      <c r="V2863">
        <v>103</v>
      </c>
      <c r="W2863" s="8"/>
      <c r="X2863" s="8"/>
      <c r="Y2863" s="8"/>
      <c r="Z2863" s="8"/>
    </row>
    <row r="2864" spans="1:26" ht="12.75" customHeight="1" x14ac:dyDescent="0.2">
      <c r="A2864" s="15">
        <v>184</v>
      </c>
      <c r="B2864" s="15">
        <v>1995</v>
      </c>
      <c r="C2864" s="15">
        <v>4</v>
      </c>
      <c r="D2864" s="15">
        <v>8</v>
      </c>
      <c r="E2864" s="22" t="s">
        <v>17</v>
      </c>
      <c r="F2864" s="11" t="s">
        <v>18</v>
      </c>
      <c r="G2864" s="15">
        <v>162</v>
      </c>
      <c r="H2864" s="15" t="s">
        <v>29</v>
      </c>
      <c r="I2864" s="25">
        <v>24.1</v>
      </c>
      <c r="J2864" s="11" t="s">
        <v>19</v>
      </c>
      <c r="K2864" s="11" t="s">
        <v>34</v>
      </c>
      <c r="L2864" s="11" t="s">
        <v>41</v>
      </c>
      <c r="M2864" s="11" t="s">
        <v>29</v>
      </c>
      <c r="N2864" s="11" t="s">
        <v>29</v>
      </c>
      <c r="O2864" s="16" t="s">
        <v>29</v>
      </c>
      <c r="P2864" s="15">
        <v>216</v>
      </c>
      <c r="Q2864" s="8"/>
      <c r="R2864">
        <v>15.11</v>
      </c>
      <c r="S2864">
        <v>3452.95</v>
      </c>
      <c r="T2864">
        <v>6.98</v>
      </c>
      <c r="U2864">
        <v>10.85</v>
      </c>
      <c r="V2864">
        <v>151</v>
      </c>
      <c r="W2864" s="317">
        <v>3.8</v>
      </c>
      <c r="X2864" s="190">
        <f>I2864*W2864</f>
        <v>91.58</v>
      </c>
      <c r="Y2864" s="8"/>
      <c r="Z2864" s="8"/>
    </row>
    <row r="2865" spans="1:26" ht="12.75" customHeight="1" x14ac:dyDescent="0.2">
      <c r="A2865" s="15">
        <v>185</v>
      </c>
      <c r="B2865" s="15">
        <v>1995</v>
      </c>
      <c r="C2865" s="15">
        <v>4</v>
      </c>
      <c r="D2865" s="15">
        <v>8</v>
      </c>
      <c r="E2865" s="22" t="s">
        <v>17</v>
      </c>
      <c r="F2865" s="11" t="s">
        <v>18</v>
      </c>
      <c r="G2865" s="15">
        <v>141</v>
      </c>
      <c r="H2865" s="15" t="s">
        <v>29</v>
      </c>
      <c r="I2865" s="25">
        <v>9.1</v>
      </c>
      <c r="J2865" s="11" t="s">
        <v>19</v>
      </c>
      <c r="K2865" s="11" t="s">
        <v>20</v>
      </c>
      <c r="L2865" s="11" t="s">
        <v>21</v>
      </c>
      <c r="M2865" s="11" t="s">
        <v>29</v>
      </c>
      <c r="N2865" s="11" t="s">
        <v>33</v>
      </c>
      <c r="O2865" s="16" t="s">
        <v>29</v>
      </c>
      <c r="P2865" s="15">
        <v>216</v>
      </c>
      <c r="Q2865" s="8"/>
      <c r="R2865">
        <v>13.16</v>
      </c>
      <c r="S2865">
        <v>2276.6799999999998</v>
      </c>
      <c r="T2865">
        <v>4</v>
      </c>
      <c r="U2865">
        <v>9.4499999999999993</v>
      </c>
      <c r="V2865">
        <v>132</v>
      </c>
      <c r="W2865" s="317">
        <v>3.9</v>
      </c>
      <c r="X2865" s="190">
        <f>I2865*W2865</f>
        <v>35.489999999999995</v>
      </c>
      <c r="Y2865" s="8"/>
      <c r="Z2865" s="8"/>
    </row>
    <row r="2866" spans="1:26" ht="12.75" customHeight="1" x14ac:dyDescent="0.2">
      <c r="A2866" s="15">
        <v>186</v>
      </c>
      <c r="B2866" s="15">
        <v>1995</v>
      </c>
      <c r="C2866" s="15">
        <v>4</v>
      </c>
      <c r="D2866" s="15">
        <v>8</v>
      </c>
      <c r="E2866" s="22" t="s">
        <v>17</v>
      </c>
      <c r="F2866" s="11" t="s">
        <v>18</v>
      </c>
      <c r="G2866" s="15">
        <v>136</v>
      </c>
      <c r="H2866" s="15" t="s">
        <v>29</v>
      </c>
      <c r="I2866" s="25">
        <v>8.6</v>
      </c>
      <c r="J2866" s="11" t="s">
        <v>19</v>
      </c>
      <c r="K2866" s="11" t="s">
        <v>20</v>
      </c>
      <c r="L2866" s="11" t="s">
        <v>21</v>
      </c>
      <c r="M2866" s="11" t="s">
        <v>29</v>
      </c>
      <c r="N2866" s="11" t="s">
        <v>25</v>
      </c>
      <c r="O2866" s="16" t="s">
        <v>29</v>
      </c>
      <c r="P2866" s="15">
        <v>216</v>
      </c>
      <c r="Q2866" s="8"/>
      <c r="R2866">
        <v>12.69</v>
      </c>
      <c r="S2866">
        <v>2042.97</v>
      </c>
      <c r="T2866">
        <v>4.21</v>
      </c>
      <c r="U2866">
        <v>9.11</v>
      </c>
      <c r="V2866">
        <v>127</v>
      </c>
      <c r="W2866" s="317">
        <v>3.9</v>
      </c>
      <c r="X2866" s="190">
        <f>I2866*W2866</f>
        <v>33.54</v>
      </c>
      <c r="Y2866" s="8"/>
      <c r="Z2866" s="8"/>
    </row>
    <row r="2867" spans="1:26" ht="12.75" customHeight="1" x14ac:dyDescent="0.2">
      <c r="A2867" s="15">
        <v>187</v>
      </c>
      <c r="B2867" s="15">
        <v>1995</v>
      </c>
      <c r="C2867" s="15">
        <v>4</v>
      </c>
      <c r="D2867" s="15">
        <v>8</v>
      </c>
      <c r="E2867" s="22" t="s">
        <v>17</v>
      </c>
      <c r="F2867" s="11" t="s">
        <v>18</v>
      </c>
      <c r="G2867" s="15">
        <v>138</v>
      </c>
      <c r="H2867" s="15" t="s">
        <v>29</v>
      </c>
      <c r="I2867" s="25">
        <v>13.1</v>
      </c>
      <c r="J2867" s="11" t="s">
        <v>19</v>
      </c>
      <c r="K2867" s="11" t="s">
        <v>20</v>
      </c>
      <c r="L2867" s="11" t="s">
        <v>30</v>
      </c>
      <c r="M2867" s="11" t="s">
        <v>29</v>
      </c>
      <c r="N2867" s="11" t="s">
        <v>33</v>
      </c>
      <c r="O2867" s="16" t="s">
        <v>29</v>
      </c>
      <c r="P2867" s="15">
        <v>216</v>
      </c>
      <c r="Q2867" s="8"/>
      <c r="R2867">
        <v>12.88</v>
      </c>
      <c r="S2867">
        <v>2134.4299999999998</v>
      </c>
      <c r="T2867">
        <v>6.14</v>
      </c>
      <c r="U2867">
        <v>9.25</v>
      </c>
      <c r="V2867">
        <v>129</v>
      </c>
      <c r="W2867" s="317">
        <v>4.5999999999999996</v>
      </c>
      <c r="X2867" s="190">
        <f>I2867*W2867</f>
        <v>60.259999999999991</v>
      </c>
      <c r="Y2867" s="8"/>
      <c r="Z2867" s="8"/>
    </row>
    <row r="2868" spans="1:26" ht="12.75" customHeight="1" x14ac:dyDescent="0.2">
      <c r="A2868" s="15">
        <v>188</v>
      </c>
      <c r="B2868" s="15">
        <v>1995</v>
      </c>
      <c r="C2868" s="15">
        <v>4</v>
      </c>
      <c r="D2868" s="15">
        <v>8</v>
      </c>
      <c r="E2868" s="22" t="s">
        <v>17</v>
      </c>
      <c r="F2868" s="11" t="s">
        <v>18</v>
      </c>
      <c r="G2868" s="15">
        <v>102</v>
      </c>
      <c r="H2868" s="15" t="s">
        <v>29</v>
      </c>
      <c r="I2868" s="25">
        <v>7.4</v>
      </c>
      <c r="J2868" s="11" t="s">
        <v>209</v>
      </c>
      <c r="K2868" s="11" t="s">
        <v>29</v>
      </c>
      <c r="L2868" s="11" t="s">
        <v>29</v>
      </c>
      <c r="M2868" s="11" t="s">
        <v>29</v>
      </c>
      <c r="N2868" s="11" t="s">
        <v>24</v>
      </c>
      <c r="O2868" s="16" t="s">
        <v>29</v>
      </c>
      <c r="P2868" s="15">
        <v>216</v>
      </c>
      <c r="Q2868" s="8"/>
      <c r="R2868">
        <v>9.52</v>
      </c>
      <c r="S2868">
        <v>861.88</v>
      </c>
      <c r="T2868">
        <v>8.59</v>
      </c>
      <c r="U2868">
        <v>6.83</v>
      </c>
      <c r="V2868">
        <v>95</v>
      </c>
      <c r="W2868" s="8"/>
      <c r="X2868" s="8"/>
      <c r="Y2868" s="8"/>
      <c r="Z2868" s="8"/>
    </row>
    <row r="2869" spans="1:26" ht="12.75" customHeight="1" x14ac:dyDescent="0.2">
      <c r="A2869" s="15">
        <v>189</v>
      </c>
      <c r="B2869" s="15">
        <v>1995</v>
      </c>
      <c r="C2869" s="15">
        <v>4</v>
      </c>
      <c r="D2869" s="15">
        <v>8</v>
      </c>
      <c r="E2869" s="22" t="s">
        <v>17</v>
      </c>
      <c r="F2869" s="11" t="s">
        <v>18</v>
      </c>
      <c r="G2869" s="15">
        <v>109</v>
      </c>
      <c r="H2869" s="15" t="s">
        <v>29</v>
      </c>
      <c r="I2869" s="25">
        <v>4.2</v>
      </c>
      <c r="J2869" s="11" t="s">
        <v>19</v>
      </c>
      <c r="K2869" s="11" t="s">
        <v>41</v>
      </c>
      <c r="L2869" s="11" t="s">
        <v>35</v>
      </c>
      <c r="M2869" s="11" t="s">
        <v>29</v>
      </c>
      <c r="N2869" s="11" t="s">
        <v>23</v>
      </c>
      <c r="O2869" s="16" t="s">
        <v>29</v>
      </c>
      <c r="P2869" s="15">
        <v>216</v>
      </c>
      <c r="Q2869" s="8"/>
      <c r="R2869">
        <v>10.17</v>
      </c>
      <c r="S2869">
        <v>1051.78</v>
      </c>
      <c r="T2869">
        <v>3.99</v>
      </c>
      <c r="U2869">
        <v>7.3</v>
      </c>
      <c r="V2869">
        <v>102</v>
      </c>
      <c r="W2869" s="8"/>
      <c r="X2869" s="8"/>
      <c r="Y2869" s="8"/>
      <c r="Z2869" s="8"/>
    </row>
    <row r="2870" spans="1:26" ht="12.75" customHeight="1" x14ac:dyDescent="0.2">
      <c r="A2870" s="15">
        <v>190</v>
      </c>
      <c r="B2870" s="15">
        <v>1995</v>
      </c>
      <c r="C2870" s="15">
        <v>4</v>
      </c>
      <c r="D2870" s="15">
        <v>8</v>
      </c>
      <c r="E2870" s="22" t="s">
        <v>17</v>
      </c>
      <c r="F2870" s="11" t="s">
        <v>18</v>
      </c>
      <c r="G2870" s="15">
        <v>112</v>
      </c>
      <c r="H2870" s="15" t="s">
        <v>29</v>
      </c>
      <c r="I2870" s="25">
        <v>2.9</v>
      </c>
      <c r="J2870" s="11" t="s">
        <v>32</v>
      </c>
      <c r="K2870" s="11" t="s">
        <v>29</v>
      </c>
      <c r="L2870" s="11" t="s">
        <v>35</v>
      </c>
      <c r="M2870" s="11" t="s">
        <v>29</v>
      </c>
      <c r="N2870" s="11" t="s">
        <v>24</v>
      </c>
      <c r="O2870" s="16" t="s">
        <v>29</v>
      </c>
      <c r="P2870" s="15">
        <v>216</v>
      </c>
      <c r="Q2870" s="8"/>
      <c r="R2870">
        <v>10.45</v>
      </c>
      <c r="S2870">
        <v>1141.04</v>
      </c>
      <c r="T2870">
        <v>2.54</v>
      </c>
      <c r="U2870">
        <v>7.5</v>
      </c>
      <c r="V2870">
        <v>104</v>
      </c>
      <c r="W2870" s="8"/>
      <c r="X2870" s="8"/>
      <c r="Y2870" s="8"/>
      <c r="Z2870" s="8"/>
    </row>
    <row r="2871" spans="1:26" ht="12.75" customHeight="1" x14ac:dyDescent="0.2">
      <c r="A2871" s="15">
        <v>191</v>
      </c>
      <c r="B2871" s="15">
        <v>1995</v>
      </c>
      <c r="C2871" s="15">
        <v>4</v>
      </c>
      <c r="D2871" s="15">
        <v>8</v>
      </c>
      <c r="E2871" s="22" t="s">
        <v>17</v>
      </c>
      <c r="F2871" s="11" t="s">
        <v>18</v>
      </c>
      <c r="G2871" s="15">
        <v>146</v>
      </c>
      <c r="H2871" s="15" t="s">
        <v>29</v>
      </c>
      <c r="I2871" s="25">
        <v>16.100000000000001</v>
      </c>
      <c r="J2871" s="11" t="s">
        <v>19</v>
      </c>
      <c r="K2871" s="11" t="s">
        <v>20</v>
      </c>
      <c r="L2871" s="11" t="s">
        <v>21</v>
      </c>
      <c r="M2871" s="11" t="s">
        <v>29</v>
      </c>
      <c r="N2871" s="11" t="s">
        <v>24</v>
      </c>
      <c r="O2871" s="16" t="s">
        <v>29</v>
      </c>
      <c r="P2871" s="15">
        <v>216</v>
      </c>
      <c r="Q2871" s="8"/>
      <c r="R2871">
        <v>13.62</v>
      </c>
      <c r="S2871">
        <v>2527.5700000000002</v>
      </c>
      <c r="T2871">
        <v>6.37</v>
      </c>
      <c r="U2871">
        <v>9.7799999999999994</v>
      </c>
      <c r="V2871">
        <v>136</v>
      </c>
      <c r="W2871" s="317">
        <v>3.9</v>
      </c>
      <c r="X2871" s="190">
        <f>I2871*W2871</f>
        <v>62.790000000000006</v>
      </c>
      <c r="Y2871" s="8"/>
      <c r="Z2871" s="8"/>
    </row>
    <row r="2872" spans="1:26" ht="12.75" customHeight="1" x14ac:dyDescent="0.2">
      <c r="A2872" s="15">
        <v>192</v>
      </c>
      <c r="B2872" s="15">
        <v>1995</v>
      </c>
      <c r="C2872" s="15">
        <v>4</v>
      </c>
      <c r="D2872" s="15">
        <v>8</v>
      </c>
      <c r="E2872" s="22" t="s">
        <v>17</v>
      </c>
      <c r="F2872" s="11" t="s">
        <v>18</v>
      </c>
      <c r="G2872" s="15">
        <v>152</v>
      </c>
      <c r="H2872" s="15" t="s">
        <v>29</v>
      </c>
      <c r="I2872" s="25">
        <v>14.1</v>
      </c>
      <c r="J2872" s="11" t="s">
        <v>19</v>
      </c>
      <c r="K2872" s="11" t="s">
        <v>20</v>
      </c>
      <c r="L2872" s="11" t="s">
        <v>21</v>
      </c>
      <c r="M2872" s="11" t="s">
        <v>29</v>
      </c>
      <c r="N2872" s="11" t="s">
        <v>25</v>
      </c>
      <c r="O2872" s="16" t="s">
        <v>29</v>
      </c>
      <c r="P2872" s="15">
        <v>216</v>
      </c>
      <c r="Q2872" s="8"/>
      <c r="R2872">
        <v>14.18</v>
      </c>
      <c r="S2872">
        <v>2852.17</v>
      </c>
      <c r="T2872">
        <v>4.9400000000000004</v>
      </c>
      <c r="U2872">
        <v>10.18</v>
      </c>
      <c r="V2872">
        <v>142</v>
      </c>
      <c r="W2872" s="317">
        <v>3.9</v>
      </c>
      <c r="X2872" s="190">
        <f>I2872*W2872</f>
        <v>54.989999999999995</v>
      </c>
      <c r="Y2872" s="8"/>
      <c r="Z2872" s="8"/>
    </row>
    <row r="2873" spans="1:26" ht="12.75" customHeight="1" x14ac:dyDescent="0.2">
      <c r="A2873" s="15">
        <v>193</v>
      </c>
      <c r="B2873" s="15">
        <v>1995</v>
      </c>
      <c r="C2873" s="15">
        <v>4</v>
      </c>
      <c r="D2873" s="15">
        <v>8</v>
      </c>
      <c r="E2873" s="22" t="s">
        <v>17</v>
      </c>
      <c r="F2873" s="11" t="s">
        <v>18</v>
      </c>
      <c r="G2873" s="15">
        <v>149</v>
      </c>
      <c r="H2873" s="15" t="s">
        <v>29</v>
      </c>
      <c r="I2873" s="25">
        <v>13.1</v>
      </c>
      <c r="J2873" s="11" t="s">
        <v>19</v>
      </c>
      <c r="K2873" s="11" t="s">
        <v>41</v>
      </c>
      <c r="L2873" s="11" t="s">
        <v>41</v>
      </c>
      <c r="M2873" s="11" t="s">
        <v>29</v>
      </c>
      <c r="N2873" s="11" t="s">
        <v>23</v>
      </c>
      <c r="O2873" s="16" t="s">
        <v>29</v>
      </c>
      <c r="P2873" s="15">
        <v>216</v>
      </c>
      <c r="Q2873" s="8"/>
      <c r="R2873">
        <v>13.9</v>
      </c>
      <c r="S2873">
        <v>2686.6</v>
      </c>
      <c r="T2873">
        <v>4.88</v>
      </c>
      <c r="U2873">
        <v>9.98</v>
      </c>
      <c r="V2873">
        <v>139</v>
      </c>
      <c r="W2873" s="8"/>
      <c r="X2873" s="8"/>
      <c r="Y2873" s="8"/>
      <c r="Z2873" s="8"/>
    </row>
    <row r="2874" spans="1:26" ht="12.75" customHeight="1" x14ac:dyDescent="0.2">
      <c r="A2874" s="15">
        <v>194</v>
      </c>
      <c r="B2874" s="15">
        <v>1995</v>
      </c>
      <c r="C2874" s="15">
        <v>4</v>
      </c>
      <c r="D2874" s="15">
        <v>8</v>
      </c>
      <c r="E2874" s="22" t="s">
        <v>17</v>
      </c>
      <c r="F2874" s="11" t="s">
        <v>18</v>
      </c>
      <c r="G2874" s="15">
        <v>147</v>
      </c>
      <c r="H2874" s="15" t="s">
        <v>29</v>
      </c>
      <c r="I2874" s="25">
        <v>14.1</v>
      </c>
      <c r="J2874" s="11" t="s">
        <v>19</v>
      </c>
      <c r="K2874" s="11" t="s">
        <v>20</v>
      </c>
      <c r="L2874" s="11" t="s">
        <v>30</v>
      </c>
      <c r="M2874" s="11" t="s">
        <v>29</v>
      </c>
      <c r="N2874" s="11" t="s">
        <v>25</v>
      </c>
      <c r="O2874" s="16" t="s">
        <v>29</v>
      </c>
      <c r="P2874" s="15">
        <v>216</v>
      </c>
      <c r="Q2874" s="8"/>
      <c r="R2874">
        <v>13.72</v>
      </c>
      <c r="S2874">
        <v>2579.86</v>
      </c>
      <c r="T2874">
        <v>5.47</v>
      </c>
      <c r="U2874">
        <v>9.85</v>
      </c>
      <c r="V2874">
        <v>137</v>
      </c>
      <c r="W2874" s="317">
        <v>4.5999999999999996</v>
      </c>
      <c r="X2874" s="190">
        <f>I2874*W2874</f>
        <v>64.86</v>
      </c>
      <c r="Y2874" s="8"/>
      <c r="Z2874" s="8"/>
    </row>
    <row r="2875" spans="1:26" ht="12.75" customHeight="1" x14ac:dyDescent="0.2">
      <c r="A2875" s="15">
        <v>195</v>
      </c>
      <c r="B2875" s="15">
        <v>1995</v>
      </c>
      <c r="C2875" s="15">
        <v>4</v>
      </c>
      <c r="D2875" s="15">
        <v>8</v>
      </c>
      <c r="E2875" s="22" t="s">
        <v>17</v>
      </c>
      <c r="F2875" s="11" t="s">
        <v>18</v>
      </c>
      <c r="G2875" s="15">
        <v>133</v>
      </c>
      <c r="H2875" s="15" t="s">
        <v>29</v>
      </c>
      <c r="I2875" s="25">
        <v>17.600000000000001</v>
      </c>
      <c r="J2875" s="11" t="s">
        <v>19</v>
      </c>
      <c r="K2875" s="11" t="s">
        <v>34</v>
      </c>
      <c r="L2875" s="11" t="s">
        <v>41</v>
      </c>
      <c r="M2875" s="11" t="s">
        <v>29</v>
      </c>
      <c r="N2875" s="11" t="s">
        <v>25</v>
      </c>
      <c r="O2875" s="16" t="s">
        <v>29</v>
      </c>
      <c r="P2875" s="15">
        <v>216</v>
      </c>
      <c r="Q2875" s="8"/>
      <c r="R2875">
        <v>12.41</v>
      </c>
      <c r="S2875">
        <v>1910.73</v>
      </c>
      <c r="T2875">
        <v>9.2100000000000009</v>
      </c>
      <c r="U2875">
        <v>8.91</v>
      </c>
      <c r="V2875">
        <v>124</v>
      </c>
      <c r="W2875" s="317">
        <v>3.8</v>
      </c>
      <c r="X2875" s="190">
        <f>I2875*W2875</f>
        <v>66.88</v>
      </c>
      <c r="Y2875" s="8"/>
      <c r="Z2875" s="8"/>
    </row>
    <row r="2876" spans="1:26" ht="12.75" customHeight="1" x14ac:dyDescent="0.2">
      <c r="A2876" s="15">
        <v>196</v>
      </c>
      <c r="B2876" s="15">
        <v>1995</v>
      </c>
      <c r="C2876" s="15">
        <v>4</v>
      </c>
      <c r="D2876" s="15">
        <v>8</v>
      </c>
      <c r="E2876" s="22" t="s">
        <v>17</v>
      </c>
      <c r="F2876" s="11" t="s">
        <v>28</v>
      </c>
      <c r="G2876" s="11" t="s">
        <v>29</v>
      </c>
      <c r="H2876" s="15" t="s">
        <v>29</v>
      </c>
      <c r="I2876" s="25" t="s">
        <v>29</v>
      </c>
      <c r="J2876" s="11" t="s">
        <v>19</v>
      </c>
      <c r="K2876" s="11" t="s">
        <v>20</v>
      </c>
      <c r="L2876" s="11" t="s">
        <v>21</v>
      </c>
      <c r="M2876" s="11" t="s">
        <v>29</v>
      </c>
      <c r="N2876" s="11" t="s">
        <v>25</v>
      </c>
      <c r="O2876" s="16" t="s">
        <v>29</v>
      </c>
      <c r="P2876" s="15">
        <v>216</v>
      </c>
      <c r="Q2876" s="8"/>
      <c r="W2876" s="317">
        <v>3.9</v>
      </c>
      <c r="X2876" s="190"/>
      <c r="Y2876" s="8"/>
      <c r="Z2876" s="8"/>
    </row>
    <row r="2877" spans="1:26" ht="12.75" customHeight="1" x14ac:dyDescent="0.2">
      <c r="A2877" s="15">
        <v>197</v>
      </c>
      <c r="B2877" s="15">
        <v>1995</v>
      </c>
      <c r="C2877" s="15">
        <v>4</v>
      </c>
      <c r="D2877" s="15">
        <v>8</v>
      </c>
      <c r="E2877" s="22" t="s">
        <v>17</v>
      </c>
      <c r="F2877" s="11" t="s">
        <v>18</v>
      </c>
      <c r="G2877" s="15">
        <v>122</v>
      </c>
      <c r="H2877" s="15" t="s">
        <v>29</v>
      </c>
      <c r="I2877" s="25">
        <v>9.6</v>
      </c>
      <c r="J2877" s="11" t="s">
        <v>19</v>
      </c>
      <c r="K2877" s="11" t="s">
        <v>20</v>
      </c>
      <c r="L2877" s="11" t="s">
        <v>30</v>
      </c>
      <c r="M2877" s="11" t="s">
        <v>29</v>
      </c>
      <c r="N2877" s="11" t="s">
        <v>24</v>
      </c>
      <c r="O2877" s="16" t="s">
        <v>29</v>
      </c>
      <c r="P2877" s="15">
        <v>216</v>
      </c>
      <c r="Q2877" s="8"/>
      <c r="R2877">
        <v>11.38</v>
      </c>
      <c r="S2877">
        <v>1474.77</v>
      </c>
      <c r="T2877">
        <v>6.51</v>
      </c>
      <c r="U2877">
        <v>8.17</v>
      </c>
      <c r="V2877">
        <v>114</v>
      </c>
      <c r="W2877" s="317">
        <v>4.5999999999999996</v>
      </c>
      <c r="X2877" s="190">
        <f>I2877*W2877</f>
        <v>44.16</v>
      </c>
      <c r="Y2877" s="8"/>
      <c r="Z2877" s="8"/>
    </row>
    <row r="2878" spans="1:26" ht="12.75" customHeight="1" x14ac:dyDescent="0.2">
      <c r="A2878" s="15">
        <v>198</v>
      </c>
      <c r="B2878" s="15">
        <v>1995</v>
      </c>
      <c r="C2878" s="15">
        <v>4</v>
      </c>
      <c r="D2878" s="15">
        <v>8</v>
      </c>
      <c r="E2878" s="22" t="s">
        <v>17</v>
      </c>
      <c r="F2878" s="11" t="s">
        <v>18</v>
      </c>
      <c r="G2878" s="15">
        <v>132</v>
      </c>
      <c r="H2878" s="15" t="s">
        <v>29</v>
      </c>
      <c r="I2878" s="25">
        <v>9.1</v>
      </c>
      <c r="J2878" s="11" t="s">
        <v>19</v>
      </c>
      <c r="K2878" s="11" t="s">
        <v>20</v>
      </c>
      <c r="L2878" s="11" t="s">
        <v>30</v>
      </c>
      <c r="M2878" s="11" t="s">
        <v>29</v>
      </c>
      <c r="N2878" s="11" t="s">
        <v>25</v>
      </c>
      <c r="O2878" s="16" t="s">
        <v>29</v>
      </c>
      <c r="P2878" s="15">
        <v>216</v>
      </c>
      <c r="Q2878" s="8"/>
      <c r="R2878">
        <v>12.32</v>
      </c>
      <c r="S2878">
        <v>1867.96</v>
      </c>
      <c r="T2878">
        <v>4.87</v>
      </c>
      <c r="U2878">
        <v>8.84</v>
      </c>
      <c r="V2878">
        <v>123</v>
      </c>
      <c r="W2878" s="317">
        <v>4.5999999999999996</v>
      </c>
      <c r="X2878" s="190">
        <f>I2878*W2878</f>
        <v>41.859999999999992</v>
      </c>
      <c r="Y2878" s="8"/>
      <c r="Z2878" s="8"/>
    </row>
    <row r="2879" spans="1:26" ht="12.75" customHeight="1" x14ac:dyDescent="0.2">
      <c r="A2879" s="15">
        <v>199</v>
      </c>
      <c r="B2879" s="15">
        <v>1995</v>
      </c>
      <c r="C2879" s="15">
        <v>4</v>
      </c>
      <c r="D2879" s="15">
        <v>8</v>
      </c>
      <c r="E2879" s="22" t="s">
        <v>17</v>
      </c>
      <c r="F2879" s="11" t="s">
        <v>28</v>
      </c>
      <c r="G2879" s="11" t="s">
        <v>29</v>
      </c>
      <c r="H2879" s="15" t="s">
        <v>29</v>
      </c>
      <c r="I2879" s="25" t="s">
        <v>29</v>
      </c>
      <c r="J2879" s="11" t="s">
        <v>19</v>
      </c>
      <c r="K2879" s="11" t="s">
        <v>41</v>
      </c>
      <c r="L2879" s="11" t="s">
        <v>41</v>
      </c>
      <c r="M2879" s="11" t="s">
        <v>29</v>
      </c>
      <c r="N2879" s="11" t="s">
        <v>29</v>
      </c>
      <c r="O2879" s="16" t="s">
        <v>29</v>
      </c>
      <c r="P2879" s="15">
        <v>216</v>
      </c>
      <c r="Q2879" s="8"/>
      <c r="W2879" s="8"/>
      <c r="X2879" s="8"/>
      <c r="Y2879" s="8"/>
      <c r="Z2879" s="8"/>
    </row>
    <row r="2880" spans="1:26" ht="12.75" customHeight="1" x14ac:dyDescent="0.2">
      <c r="A2880" s="15">
        <v>200</v>
      </c>
      <c r="B2880" s="15">
        <v>1995</v>
      </c>
      <c r="C2880" s="15">
        <v>4</v>
      </c>
      <c r="D2880" s="15">
        <v>8</v>
      </c>
      <c r="E2880" s="22" t="s">
        <v>17</v>
      </c>
      <c r="F2880" s="11" t="s">
        <v>18</v>
      </c>
      <c r="G2880" s="15">
        <v>126</v>
      </c>
      <c r="H2880" s="15" t="s">
        <v>29</v>
      </c>
      <c r="I2880" s="25">
        <v>10.1</v>
      </c>
      <c r="J2880" s="11" t="s">
        <v>19</v>
      </c>
      <c r="K2880" s="11" t="s">
        <v>20</v>
      </c>
      <c r="L2880" s="11" t="s">
        <v>30</v>
      </c>
      <c r="M2880" s="11" t="s">
        <v>29</v>
      </c>
      <c r="N2880" s="11" t="s">
        <v>24</v>
      </c>
      <c r="O2880" s="16" t="s">
        <v>29</v>
      </c>
      <c r="P2880" s="15">
        <v>216</v>
      </c>
      <c r="Q2880" s="8"/>
      <c r="R2880">
        <v>11.76</v>
      </c>
      <c r="S2880">
        <v>1624.64</v>
      </c>
      <c r="T2880">
        <v>6.22</v>
      </c>
      <c r="U2880">
        <v>8.44</v>
      </c>
      <c r="V2880">
        <v>118</v>
      </c>
      <c r="W2880" s="317">
        <v>4.5999999999999996</v>
      </c>
      <c r="X2880" s="190">
        <f>I2880*W2880</f>
        <v>46.459999999999994</v>
      </c>
      <c r="Y2880" s="8"/>
      <c r="Z2880" s="8"/>
    </row>
    <row r="2881" spans="1:26" ht="12.75" customHeight="1" x14ac:dyDescent="0.2">
      <c r="A2881" s="15">
        <v>201</v>
      </c>
      <c r="B2881" s="15">
        <v>1995</v>
      </c>
      <c r="C2881" s="15">
        <v>4</v>
      </c>
      <c r="D2881" s="15">
        <v>8</v>
      </c>
      <c r="E2881" s="22" t="s">
        <v>17</v>
      </c>
      <c r="F2881" s="11" t="s">
        <v>18</v>
      </c>
      <c r="G2881" s="15">
        <v>113</v>
      </c>
      <c r="H2881" s="15" t="s">
        <v>29</v>
      </c>
      <c r="I2881" s="25">
        <v>3</v>
      </c>
      <c r="J2881" s="11" t="s">
        <v>32</v>
      </c>
      <c r="K2881" s="11" t="s">
        <v>29</v>
      </c>
      <c r="L2881" s="11" t="s">
        <v>29</v>
      </c>
      <c r="M2881" s="11" t="s">
        <v>29</v>
      </c>
      <c r="N2881" s="11" t="s">
        <v>29</v>
      </c>
      <c r="O2881" s="16" t="s">
        <v>29</v>
      </c>
      <c r="P2881" s="15">
        <v>216</v>
      </c>
      <c r="Q2881" s="8"/>
      <c r="R2881">
        <v>10.54</v>
      </c>
      <c r="S2881">
        <v>1171.8699999999999</v>
      </c>
      <c r="T2881">
        <v>2.56</v>
      </c>
      <c r="U2881">
        <v>7.57</v>
      </c>
      <c r="V2881">
        <v>105</v>
      </c>
      <c r="W2881" s="8"/>
      <c r="X2881" s="8"/>
      <c r="Y2881" s="8"/>
      <c r="Z2881" s="8"/>
    </row>
    <row r="2882" spans="1:26" ht="12.75" customHeight="1" x14ac:dyDescent="0.2">
      <c r="A2882" s="15">
        <v>202</v>
      </c>
      <c r="B2882" s="15">
        <v>1995</v>
      </c>
      <c r="C2882" s="15">
        <v>4</v>
      </c>
      <c r="D2882" s="15">
        <v>8</v>
      </c>
      <c r="E2882" s="22" t="s">
        <v>17</v>
      </c>
      <c r="F2882" s="11" t="s">
        <v>28</v>
      </c>
      <c r="G2882" s="11" t="s">
        <v>29</v>
      </c>
      <c r="H2882" s="15" t="s">
        <v>29</v>
      </c>
      <c r="I2882" s="25" t="s">
        <v>29</v>
      </c>
      <c r="J2882" s="11" t="s">
        <v>32</v>
      </c>
      <c r="K2882" s="11" t="s">
        <v>29</v>
      </c>
      <c r="L2882" s="11" t="s">
        <v>29</v>
      </c>
      <c r="M2882" s="11" t="s">
        <v>29</v>
      </c>
      <c r="N2882" s="11" t="s">
        <v>29</v>
      </c>
      <c r="O2882" s="16" t="s">
        <v>29</v>
      </c>
      <c r="P2882" s="15">
        <v>216</v>
      </c>
      <c r="Q2882" s="8"/>
      <c r="W2882" s="8"/>
      <c r="X2882" s="8"/>
      <c r="Y2882" s="8"/>
      <c r="Z2882" s="8"/>
    </row>
    <row r="2883" spans="1:26" ht="12.75" customHeight="1" x14ac:dyDescent="0.2">
      <c r="A2883" s="15">
        <v>203</v>
      </c>
      <c r="B2883" s="15">
        <v>1995</v>
      </c>
      <c r="C2883" s="15">
        <v>4</v>
      </c>
      <c r="D2883" s="15">
        <v>8</v>
      </c>
      <c r="E2883" s="22" t="s">
        <v>17</v>
      </c>
      <c r="F2883" s="11" t="s">
        <v>28</v>
      </c>
      <c r="G2883" s="11" t="s">
        <v>29</v>
      </c>
      <c r="H2883" s="15" t="s">
        <v>29</v>
      </c>
      <c r="I2883" s="25" t="s">
        <v>29</v>
      </c>
      <c r="J2883" s="11" t="s">
        <v>19</v>
      </c>
      <c r="K2883" s="11" t="s">
        <v>34</v>
      </c>
      <c r="L2883" s="11" t="s">
        <v>41</v>
      </c>
      <c r="M2883" s="11" t="s">
        <v>29</v>
      </c>
      <c r="N2883" s="11" t="s">
        <v>29</v>
      </c>
      <c r="O2883" s="16" t="s">
        <v>29</v>
      </c>
      <c r="P2883" s="15">
        <v>216</v>
      </c>
      <c r="Q2883" s="8"/>
      <c r="W2883" s="317">
        <v>3.8</v>
      </c>
      <c r="X2883" s="190"/>
      <c r="Y2883" s="8"/>
      <c r="Z2883" s="8"/>
    </row>
    <row r="2884" spans="1:26" ht="12.75" customHeight="1" x14ac:dyDescent="0.2">
      <c r="A2884" s="15">
        <v>204</v>
      </c>
      <c r="B2884" s="15">
        <v>1995</v>
      </c>
      <c r="C2884" s="15">
        <v>4</v>
      </c>
      <c r="D2884" s="15">
        <v>8</v>
      </c>
      <c r="E2884" s="22" t="s">
        <v>17</v>
      </c>
      <c r="F2884" s="11" t="s">
        <v>18</v>
      </c>
      <c r="G2884" s="15">
        <v>144</v>
      </c>
      <c r="H2884" s="15" t="s">
        <v>29</v>
      </c>
      <c r="I2884" s="25">
        <v>12.1</v>
      </c>
      <c r="J2884" s="11" t="s">
        <v>19</v>
      </c>
      <c r="K2884" s="11" t="s">
        <v>20</v>
      </c>
      <c r="L2884" s="11" t="s">
        <v>21</v>
      </c>
      <c r="M2884" s="11" t="s">
        <v>29</v>
      </c>
      <c r="N2884" s="11" t="s">
        <v>33</v>
      </c>
      <c r="O2884" s="16" t="s">
        <v>29</v>
      </c>
      <c r="P2884" s="15">
        <v>216</v>
      </c>
      <c r="Q2884" s="8"/>
      <c r="R2884">
        <v>13.44</v>
      </c>
      <c r="S2884">
        <v>2425.12</v>
      </c>
      <c r="T2884">
        <v>4.99</v>
      </c>
      <c r="U2884">
        <v>9.65</v>
      </c>
      <c r="V2884">
        <v>134</v>
      </c>
      <c r="W2884" s="317">
        <v>3.9</v>
      </c>
      <c r="X2884" s="190">
        <f>I2884*W2884</f>
        <v>47.19</v>
      </c>
      <c r="Y2884" s="8"/>
      <c r="Z2884" s="8"/>
    </row>
    <row r="2885" spans="1:26" ht="12.75" customHeight="1" x14ac:dyDescent="0.2">
      <c r="A2885" s="15">
        <v>205</v>
      </c>
      <c r="B2885" s="15">
        <v>1995</v>
      </c>
      <c r="C2885" s="15">
        <v>4</v>
      </c>
      <c r="D2885" s="15">
        <v>8</v>
      </c>
      <c r="E2885" s="22" t="s">
        <v>17</v>
      </c>
      <c r="F2885" s="11" t="s">
        <v>18</v>
      </c>
      <c r="G2885" s="15">
        <v>150</v>
      </c>
      <c r="H2885" s="15" t="s">
        <v>29</v>
      </c>
      <c r="I2885" s="25">
        <v>11.1</v>
      </c>
      <c r="J2885" s="11" t="s">
        <v>19</v>
      </c>
      <c r="K2885" s="11" t="s">
        <v>20</v>
      </c>
      <c r="L2885" s="11" t="s">
        <v>21</v>
      </c>
      <c r="M2885" s="11" t="s">
        <v>29</v>
      </c>
      <c r="N2885" s="11" t="s">
        <v>25</v>
      </c>
      <c r="O2885" s="16" t="s">
        <v>29</v>
      </c>
      <c r="P2885" s="15">
        <v>216</v>
      </c>
      <c r="Q2885" s="8"/>
      <c r="R2885">
        <v>14</v>
      </c>
      <c r="S2885">
        <v>2741.06</v>
      </c>
      <c r="T2885">
        <v>4.05</v>
      </c>
      <c r="U2885">
        <v>10.050000000000001</v>
      </c>
      <c r="V2885">
        <v>140</v>
      </c>
      <c r="W2885" s="317">
        <v>3.9</v>
      </c>
      <c r="X2885" s="190">
        <f>I2885*W2885</f>
        <v>43.29</v>
      </c>
      <c r="Y2885" s="8"/>
      <c r="Z2885" s="8"/>
    </row>
    <row r="2886" spans="1:26" ht="12.75" customHeight="1" x14ac:dyDescent="0.2">
      <c r="A2886" s="15">
        <v>1</v>
      </c>
      <c r="B2886" s="15">
        <v>1994</v>
      </c>
      <c r="C2886" s="15">
        <v>16</v>
      </c>
      <c r="D2886" s="15">
        <v>8</v>
      </c>
      <c r="E2886" s="22" t="s">
        <v>17</v>
      </c>
      <c r="F2886" s="11" t="s">
        <v>18</v>
      </c>
      <c r="G2886" s="15">
        <v>146</v>
      </c>
      <c r="H2886" s="15" t="s">
        <v>29</v>
      </c>
      <c r="I2886" s="25">
        <v>14.5</v>
      </c>
      <c r="J2886" s="11" t="s">
        <v>19</v>
      </c>
      <c r="K2886" s="11" t="s">
        <v>20</v>
      </c>
      <c r="L2886" s="11" t="s">
        <v>30</v>
      </c>
      <c r="M2886" s="11" t="s">
        <v>29</v>
      </c>
      <c r="N2886" s="11" t="s">
        <v>33</v>
      </c>
      <c r="O2886" s="16" t="s">
        <v>29</v>
      </c>
      <c r="P2886" s="15">
        <v>228</v>
      </c>
      <c r="Q2886" s="8"/>
      <c r="R2886">
        <v>13.62</v>
      </c>
      <c r="S2886">
        <v>2527.5700000000002</v>
      </c>
      <c r="T2886">
        <v>5.74</v>
      </c>
      <c r="U2886">
        <v>9.7799999999999994</v>
      </c>
      <c r="V2886">
        <v>136</v>
      </c>
      <c r="W2886" s="317">
        <v>4.5999999999999996</v>
      </c>
      <c r="X2886" s="190">
        <f>I2886*W2886</f>
        <v>66.699999999999989</v>
      </c>
      <c r="Y2886" s="8"/>
      <c r="Z2886" s="8"/>
    </row>
    <row r="2887" spans="1:26" ht="12.75" customHeight="1" x14ac:dyDescent="0.2">
      <c r="A2887" s="15">
        <v>2</v>
      </c>
      <c r="B2887" s="15">
        <v>1994</v>
      </c>
      <c r="C2887" s="15">
        <v>16</v>
      </c>
      <c r="D2887" s="15">
        <v>8</v>
      </c>
      <c r="E2887" s="22" t="s">
        <v>17</v>
      </c>
      <c r="F2887" s="11" t="s">
        <v>18</v>
      </c>
      <c r="G2887" s="15">
        <v>129</v>
      </c>
      <c r="H2887" s="15" t="s">
        <v>29</v>
      </c>
      <c r="I2887" s="25">
        <v>9</v>
      </c>
      <c r="J2887" s="11" t="s">
        <v>19</v>
      </c>
      <c r="K2887" s="11" t="s">
        <v>20</v>
      </c>
      <c r="L2887" s="11" t="s">
        <v>21</v>
      </c>
      <c r="M2887" s="11" t="s">
        <v>29</v>
      </c>
      <c r="N2887" s="11" t="s">
        <v>23</v>
      </c>
      <c r="O2887" s="16" t="s">
        <v>29</v>
      </c>
      <c r="P2887" s="15">
        <v>228</v>
      </c>
      <c r="Q2887" s="8"/>
      <c r="R2887">
        <v>12.04</v>
      </c>
      <c r="S2887">
        <v>1743.47</v>
      </c>
      <c r="T2887">
        <v>5.16</v>
      </c>
      <c r="U2887">
        <v>8.64</v>
      </c>
      <c r="V2887">
        <v>120</v>
      </c>
      <c r="W2887" s="317">
        <v>3.9</v>
      </c>
      <c r="X2887" s="190">
        <f>I2887*W2887</f>
        <v>35.1</v>
      </c>
      <c r="Y2887" s="8"/>
      <c r="Z2887" s="8"/>
    </row>
    <row r="2888" spans="1:26" ht="12.75" customHeight="1" x14ac:dyDescent="0.2">
      <c r="A2888" s="15">
        <v>3</v>
      </c>
      <c r="B2888" s="15">
        <v>1994</v>
      </c>
      <c r="C2888" s="15">
        <v>16</v>
      </c>
      <c r="D2888" s="15">
        <v>8</v>
      </c>
      <c r="E2888" s="22" t="s">
        <v>17</v>
      </c>
      <c r="F2888" s="11" t="s">
        <v>18</v>
      </c>
      <c r="G2888" s="15">
        <v>166</v>
      </c>
      <c r="H2888" s="15" t="s">
        <v>29</v>
      </c>
      <c r="I2888" s="25">
        <v>22</v>
      </c>
      <c r="J2888" s="11" t="s">
        <v>19</v>
      </c>
      <c r="K2888" s="11" t="s">
        <v>34</v>
      </c>
      <c r="L2888" s="11" t="s">
        <v>41</v>
      </c>
      <c r="M2888" s="11" t="s">
        <v>29</v>
      </c>
      <c r="N2888" s="11" t="s">
        <v>29</v>
      </c>
      <c r="O2888" s="16" t="s">
        <v>29</v>
      </c>
      <c r="P2888" s="15">
        <v>228</v>
      </c>
      <c r="Q2888" s="8"/>
      <c r="R2888">
        <v>15.49</v>
      </c>
      <c r="S2888">
        <v>3715.09</v>
      </c>
      <c r="T2888">
        <v>5.92</v>
      </c>
      <c r="U2888">
        <v>11.12</v>
      </c>
      <c r="V2888">
        <v>155</v>
      </c>
      <c r="W2888" s="317">
        <v>3.8</v>
      </c>
      <c r="X2888" s="190">
        <f>I2888*W2888</f>
        <v>83.6</v>
      </c>
      <c r="Y2888" s="8"/>
      <c r="Z2888" s="8"/>
    </row>
    <row r="2889" spans="1:26" ht="12.75" customHeight="1" x14ac:dyDescent="0.2">
      <c r="A2889" s="15">
        <v>4</v>
      </c>
      <c r="B2889" s="15">
        <v>1994</v>
      </c>
      <c r="C2889" s="15">
        <v>16</v>
      </c>
      <c r="D2889" s="15">
        <v>8</v>
      </c>
      <c r="E2889" s="22" t="s">
        <v>17</v>
      </c>
      <c r="F2889" s="11" t="s">
        <v>18</v>
      </c>
      <c r="G2889" s="15">
        <v>58</v>
      </c>
      <c r="H2889" s="15" t="s">
        <v>29</v>
      </c>
      <c r="I2889" s="25">
        <v>4</v>
      </c>
      <c r="J2889" s="11" t="s">
        <v>19</v>
      </c>
      <c r="K2889" s="11" t="s">
        <v>41</v>
      </c>
      <c r="L2889" s="11" t="s">
        <v>35</v>
      </c>
      <c r="M2889" s="11" t="s">
        <v>29</v>
      </c>
      <c r="N2889" s="11" t="s">
        <v>29</v>
      </c>
      <c r="O2889" s="16" t="s">
        <v>29</v>
      </c>
      <c r="P2889" s="15">
        <v>228</v>
      </c>
      <c r="Q2889" s="8"/>
      <c r="R2889">
        <v>5.41</v>
      </c>
      <c r="S2889">
        <v>158.46</v>
      </c>
      <c r="T2889">
        <v>25.24</v>
      </c>
      <c r="U2889">
        <v>3.89</v>
      </c>
      <c r="V2889">
        <v>54</v>
      </c>
      <c r="W2889" s="8"/>
      <c r="X2889" s="8"/>
      <c r="Y2889" s="8"/>
      <c r="Z2889" s="8"/>
    </row>
    <row r="2890" spans="1:26" ht="12.75" customHeight="1" x14ac:dyDescent="0.2">
      <c r="A2890" s="15">
        <v>5</v>
      </c>
      <c r="B2890" s="15">
        <v>1994</v>
      </c>
      <c r="C2890" s="15">
        <v>16</v>
      </c>
      <c r="D2890" s="15">
        <v>8</v>
      </c>
      <c r="E2890" s="22" t="s">
        <v>17</v>
      </c>
      <c r="F2890" s="11" t="s">
        <v>18</v>
      </c>
      <c r="G2890" s="15">
        <v>154</v>
      </c>
      <c r="H2890" s="15" t="s">
        <v>29</v>
      </c>
      <c r="I2890" s="25">
        <v>20</v>
      </c>
      <c r="J2890" s="11" t="s">
        <v>19</v>
      </c>
      <c r="K2890" s="11" t="s">
        <v>20</v>
      </c>
      <c r="L2890" s="11" t="s">
        <v>30</v>
      </c>
      <c r="M2890" s="11" t="s">
        <v>29</v>
      </c>
      <c r="N2890" s="11" t="s">
        <v>29</v>
      </c>
      <c r="O2890" s="16" t="s">
        <v>29</v>
      </c>
      <c r="P2890" s="15">
        <v>228</v>
      </c>
      <c r="Q2890" s="8"/>
      <c r="R2890">
        <v>14.37</v>
      </c>
      <c r="S2890">
        <v>2966.25</v>
      </c>
      <c r="T2890">
        <v>6.74</v>
      </c>
      <c r="U2890">
        <v>10.32</v>
      </c>
      <c r="V2890">
        <v>144</v>
      </c>
      <c r="W2890" s="317">
        <v>4.5999999999999996</v>
      </c>
      <c r="X2890" s="190">
        <f>I2890*W2890</f>
        <v>92</v>
      </c>
      <c r="Y2890" s="8"/>
      <c r="Z2890" s="8"/>
    </row>
    <row r="2891" spans="1:26" ht="12.75" customHeight="1" x14ac:dyDescent="0.2">
      <c r="A2891" s="15">
        <v>6</v>
      </c>
      <c r="B2891" s="15">
        <v>1994</v>
      </c>
      <c r="C2891" s="15">
        <v>16</v>
      </c>
      <c r="D2891" s="15">
        <v>8</v>
      </c>
      <c r="E2891" s="22" t="s">
        <v>17</v>
      </c>
      <c r="F2891" s="11" t="s">
        <v>18</v>
      </c>
      <c r="G2891" s="15">
        <v>169</v>
      </c>
      <c r="H2891" s="15" t="s">
        <v>29</v>
      </c>
      <c r="I2891" s="25">
        <v>23</v>
      </c>
      <c r="J2891" s="11" t="s">
        <v>19</v>
      </c>
      <c r="K2891" s="11" t="s">
        <v>20</v>
      </c>
      <c r="L2891" s="11" t="s">
        <v>30</v>
      </c>
      <c r="M2891" s="11" t="s">
        <v>29</v>
      </c>
      <c r="N2891" s="11" t="s">
        <v>29</v>
      </c>
      <c r="O2891" s="16" t="s">
        <v>29</v>
      </c>
      <c r="P2891" s="15">
        <v>228</v>
      </c>
      <c r="Q2891" s="8"/>
      <c r="R2891">
        <v>15.77</v>
      </c>
      <c r="S2891">
        <v>3920.17</v>
      </c>
      <c r="T2891">
        <v>5.87</v>
      </c>
      <c r="U2891">
        <v>11.32</v>
      </c>
      <c r="V2891">
        <v>158</v>
      </c>
      <c r="W2891" s="317">
        <v>4.5999999999999996</v>
      </c>
      <c r="X2891" s="190">
        <f>I2891*W2891</f>
        <v>105.8</v>
      </c>
      <c r="Y2891" s="8"/>
      <c r="Z2891" s="8"/>
    </row>
    <row r="2892" spans="1:26" ht="12.75" customHeight="1" x14ac:dyDescent="0.2">
      <c r="A2892" s="15">
        <v>7</v>
      </c>
      <c r="B2892" s="15">
        <v>1994</v>
      </c>
      <c r="C2892" s="15">
        <v>16</v>
      </c>
      <c r="D2892" s="15">
        <v>8</v>
      </c>
      <c r="E2892" s="22" t="s">
        <v>17</v>
      </c>
      <c r="F2892" s="11" t="s">
        <v>18</v>
      </c>
      <c r="G2892" s="15">
        <v>136</v>
      </c>
      <c r="H2892" s="15" t="s">
        <v>29</v>
      </c>
      <c r="I2892" s="25">
        <v>7</v>
      </c>
      <c r="J2892" s="11" t="s">
        <v>19</v>
      </c>
      <c r="K2892" s="11" t="s">
        <v>20</v>
      </c>
      <c r="L2892" s="11" t="s">
        <v>21</v>
      </c>
      <c r="M2892" s="11" t="s">
        <v>29</v>
      </c>
      <c r="N2892" s="11" t="s">
        <v>29</v>
      </c>
      <c r="O2892" s="16" t="s">
        <v>29</v>
      </c>
      <c r="P2892" s="15">
        <v>228</v>
      </c>
      <c r="Q2892" s="8"/>
      <c r="R2892">
        <v>12.69</v>
      </c>
      <c r="S2892">
        <v>2042.97</v>
      </c>
      <c r="T2892">
        <v>3.43</v>
      </c>
      <c r="U2892">
        <v>9.11</v>
      </c>
      <c r="V2892">
        <v>127</v>
      </c>
      <c r="W2892" s="317">
        <v>3.9</v>
      </c>
      <c r="X2892" s="190">
        <f>I2892*W2892</f>
        <v>27.3</v>
      </c>
      <c r="Y2892" s="8"/>
      <c r="Z2892" s="8"/>
    </row>
    <row r="2893" spans="1:26" ht="12.75" customHeight="1" x14ac:dyDescent="0.2">
      <c r="A2893" s="15">
        <v>8</v>
      </c>
      <c r="B2893" s="15">
        <v>1994</v>
      </c>
      <c r="C2893" s="15">
        <v>15</v>
      </c>
      <c r="D2893" s="15">
        <v>8</v>
      </c>
      <c r="E2893" s="22" t="s">
        <v>17</v>
      </c>
      <c r="F2893" s="11" t="s">
        <v>18</v>
      </c>
      <c r="G2893" s="15">
        <v>200</v>
      </c>
      <c r="H2893" s="15" t="s">
        <v>29</v>
      </c>
      <c r="I2893" s="25">
        <v>16.8</v>
      </c>
      <c r="J2893" s="11" t="s">
        <v>19</v>
      </c>
      <c r="K2893" s="11" t="s">
        <v>20</v>
      </c>
      <c r="L2893" s="11" t="s">
        <v>30</v>
      </c>
      <c r="M2893" s="11" t="s">
        <v>29</v>
      </c>
      <c r="N2893" s="11" t="s">
        <v>29</v>
      </c>
      <c r="O2893" s="16" t="s">
        <v>29</v>
      </c>
      <c r="P2893" s="15">
        <v>227</v>
      </c>
      <c r="Q2893" s="8"/>
      <c r="R2893">
        <v>18.66</v>
      </c>
      <c r="S2893">
        <v>6497.33</v>
      </c>
      <c r="T2893">
        <v>2.59</v>
      </c>
      <c r="U2893">
        <v>13.4</v>
      </c>
      <c r="V2893">
        <v>187</v>
      </c>
      <c r="W2893" s="317">
        <v>4.5999999999999996</v>
      </c>
      <c r="X2893" s="190">
        <f>I2893*W2893</f>
        <v>77.28</v>
      </c>
      <c r="Y2893" s="8"/>
      <c r="Z2893" s="8"/>
    </row>
    <row r="2894" spans="1:26" ht="12.75" customHeight="1" x14ac:dyDescent="0.2">
      <c r="A2894" s="15">
        <v>9</v>
      </c>
      <c r="B2894" s="15">
        <v>1994</v>
      </c>
      <c r="C2894" s="15">
        <v>15</v>
      </c>
      <c r="D2894" s="15">
        <v>8</v>
      </c>
      <c r="E2894" s="22" t="s">
        <v>17</v>
      </c>
      <c r="F2894" s="11" t="s">
        <v>28</v>
      </c>
      <c r="G2894" s="11" t="s">
        <v>29</v>
      </c>
      <c r="H2894" s="15" t="s">
        <v>29</v>
      </c>
      <c r="I2894" s="25" t="s">
        <v>29</v>
      </c>
      <c r="J2894" s="11" t="s">
        <v>19</v>
      </c>
      <c r="K2894" s="11" t="s">
        <v>34</v>
      </c>
      <c r="L2894" s="11" t="s">
        <v>41</v>
      </c>
      <c r="M2894" s="11" t="s">
        <v>29</v>
      </c>
      <c r="N2894" s="11" t="s">
        <v>23</v>
      </c>
      <c r="O2894" s="16" t="s">
        <v>29</v>
      </c>
      <c r="P2894" s="15">
        <v>227</v>
      </c>
      <c r="Q2894" s="8"/>
      <c r="W2894" s="317">
        <v>3.8</v>
      </c>
      <c r="X2894" s="190"/>
      <c r="Y2894" s="8"/>
      <c r="Z2894" s="8"/>
    </row>
    <row r="2895" spans="1:26" ht="12.75" customHeight="1" x14ac:dyDescent="0.2">
      <c r="A2895" s="15">
        <v>10</v>
      </c>
      <c r="B2895" s="15">
        <v>1994</v>
      </c>
      <c r="C2895" s="15">
        <v>15</v>
      </c>
      <c r="D2895" s="15">
        <v>8</v>
      </c>
      <c r="E2895" s="22" t="s">
        <v>17</v>
      </c>
      <c r="F2895" s="11" t="s">
        <v>18</v>
      </c>
      <c r="G2895" s="15">
        <v>168</v>
      </c>
      <c r="H2895" s="15" t="s">
        <v>29</v>
      </c>
      <c r="I2895" s="25">
        <v>15.5</v>
      </c>
      <c r="J2895" s="11" t="s">
        <v>19</v>
      </c>
      <c r="K2895" s="11" t="s">
        <v>20</v>
      </c>
      <c r="L2895" s="11" t="s">
        <v>30</v>
      </c>
      <c r="M2895" s="11" t="s">
        <v>29</v>
      </c>
      <c r="N2895" s="11" t="s">
        <v>25</v>
      </c>
      <c r="O2895" s="16" t="s">
        <v>29</v>
      </c>
      <c r="P2895" s="15">
        <v>227</v>
      </c>
      <c r="Q2895" s="8"/>
      <c r="R2895">
        <v>15.67</v>
      </c>
      <c r="S2895">
        <v>3850.99</v>
      </c>
      <c r="T2895">
        <v>4.0199999999999996</v>
      </c>
      <c r="U2895">
        <v>11.26</v>
      </c>
      <c r="V2895">
        <v>157</v>
      </c>
      <c r="W2895" s="317">
        <v>4.5999999999999996</v>
      </c>
      <c r="X2895" s="190">
        <f>I2895*W2895</f>
        <v>71.3</v>
      </c>
      <c r="Y2895" s="8"/>
      <c r="Z2895" s="8"/>
    </row>
    <row r="2896" spans="1:26" ht="12.75" customHeight="1" x14ac:dyDescent="0.2">
      <c r="A2896" s="15">
        <v>11</v>
      </c>
      <c r="B2896" s="15">
        <v>1994</v>
      </c>
      <c r="C2896" s="15">
        <v>15</v>
      </c>
      <c r="D2896" s="15">
        <v>8</v>
      </c>
      <c r="E2896" s="22" t="s">
        <v>17</v>
      </c>
      <c r="F2896" s="11" t="s">
        <v>18</v>
      </c>
      <c r="G2896" s="15">
        <v>128</v>
      </c>
      <c r="H2896" s="15" t="s">
        <v>29</v>
      </c>
      <c r="I2896" s="25">
        <v>7.5</v>
      </c>
      <c r="J2896" s="11" t="s">
        <v>19</v>
      </c>
      <c r="K2896" s="11" t="s">
        <v>41</v>
      </c>
      <c r="L2896" s="11" t="s">
        <v>35</v>
      </c>
      <c r="M2896" s="11" t="s">
        <v>29</v>
      </c>
      <c r="N2896" s="11" t="s">
        <v>29</v>
      </c>
      <c r="O2896" s="16" t="s">
        <v>29</v>
      </c>
      <c r="P2896" s="15">
        <v>227</v>
      </c>
      <c r="Q2896" s="8"/>
      <c r="R2896">
        <v>11.94</v>
      </c>
      <c r="S2896">
        <v>1703.24</v>
      </c>
      <c r="T2896">
        <v>4.4000000000000004</v>
      </c>
      <c r="U2896">
        <v>8.58</v>
      </c>
      <c r="V2896">
        <v>119</v>
      </c>
      <c r="W2896" s="8"/>
      <c r="X2896" s="8"/>
      <c r="Y2896" s="8"/>
      <c r="Z2896" s="8"/>
    </row>
    <row r="2897" spans="1:26" ht="12.75" customHeight="1" x14ac:dyDescent="0.2">
      <c r="A2897" s="15">
        <v>12</v>
      </c>
      <c r="B2897" s="15">
        <v>1994</v>
      </c>
      <c r="C2897" s="15">
        <v>15</v>
      </c>
      <c r="D2897" s="15">
        <v>8</v>
      </c>
      <c r="E2897" s="22" t="s">
        <v>17</v>
      </c>
      <c r="F2897" s="11" t="s">
        <v>28</v>
      </c>
      <c r="G2897" s="11" t="s">
        <v>29</v>
      </c>
      <c r="H2897" s="15" t="s">
        <v>29</v>
      </c>
      <c r="I2897" s="25" t="s">
        <v>29</v>
      </c>
      <c r="J2897" s="11" t="s">
        <v>19</v>
      </c>
      <c r="K2897" s="11" t="s">
        <v>20</v>
      </c>
      <c r="L2897" s="11" t="s">
        <v>30</v>
      </c>
      <c r="M2897" s="11" t="s">
        <v>29</v>
      </c>
      <c r="N2897" s="11" t="s">
        <v>29</v>
      </c>
      <c r="O2897" s="16" t="s">
        <v>29</v>
      </c>
      <c r="P2897" s="15">
        <v>227</v>
      </c>
      <c r="Q2897" s="8"/>
      <c r="W2897" s="317">
        <v>4.5999999999999996</v>
      </c>
      <c r="X2897" s="190"/>
      <c r="Y2897" s="8"/>
      <c r="Z2897" s="8"/>
    </row>
    <row r="2898" spans="1:26" ht="12.75" customHeight="1" x14ac:dyDescent="0.2">
      <c r="A2898" s="15">
        <v>13</v>
      </c>
      <c r="B2898" s="15">
        <v>1994</v>
      </c>
      <c r="C2898" s="15">
        <v>15</v>
      </c>
      <c r="D2898" s="15">
        <v>8</v>
      </c>
      <c r="E2898" s="22" t="s">
        <v>17</v>
      </c>
      <c r="F2898" s="11" t="s">
        <v>18</v>
      </c>
      <c r="G2898" s="15">
        <v>150</v>
      </c>
      <c r="H2898" s="15" t="s">
        <v>29</v>
      </c>
      <c r="I2898" s="25" t="s">
        <v>29</v>
      </c>
      <c r="J2898" s="11" t="s">
        <v>19</v>
      </c>
      <c r="K2898" s="11" t="s">
        <v>20</v>
      </c>
      <c r="L2898" s="11" t="s">
        <v>30</v>
      </c>
      <c r="M2898" s="11" t="s">
        <v>29</v>
      </c>
      <c r="N2898" s="11" t="s">
        <v>25</v>
      </c>
      <c r="O2898" s="16" t="s">
        <v>29</v>
      </c>
      <c r="P2898" s="15">
        <v>227</v>
      </c>
      <c r="Q2898" s="8"/>
      <c r="U2898">
        <v>10.050000000000001</v>
      </c>
      <c r="V2898">
        <v>140</v>
      </c>
      <c r="W2898" s="317">
        <v>4.5999999999999996</v>
      </c>
      <c r="X2898" s="190"/>
      <c r="Y2898" s="8"/>
      <c r="Z2898" s="8"/>
    </row>
    <row r="2899" spans="1:26" ht="12.75" customHeight="1" x14ac:dyDescent="0.2">
      <c r="A2899" s="15">
        <v>14</v>
      </c>
      <c r="B2899" s="15">
        <v>1994</v>
      </c>
      <c r="C2899" s="15">
        <v>15</v>
      </c>
      <c r="D2899" s="15">
        <v>8</v>
      </c>
      <c r="E2899" s="22" t="s">
        <v>17</v>
      </c>
      <c r="F2899" s="11" t="s">
        <v>18</v>
      </c>
      <c r="G2899" s="15">
        <v>97</v>
      </c>
      <c r="H2899" s="15" t="s">
        <v>29</v>
      </c>
      <c r="I2899" s="25" t="s">
        <v>29</v>
      </c>
      <c r="J2899" s="11" t="s">
        <v>209</v>
      </c>
      <c r="K2899" s="11" t="s">
        <v>29</v>
      </c>
      <c r="L2899" s="11" t="s">
        <v>29</v>
      </c>
      <c r="M2899" s="11" t="s">
        <v>29</v>
      </c>
      <c r="N2899" s="11" t="s">
        <v>29</v>
      </c>
      <c r="O2899" s="16" t="s">
        <v>29</v>
      </c>
      <c r="P2899" s="15">
        <v>227</v>
      </c>
      <c r="Q2899" s="8"/>
      <c r="U2899">
        <v>6.5</v>
      </c>
      <c r="V2899">
        <v>91</v>
      </c>
      <c r="W2899" s="8"/>
      <c r="X2899" s="8"/>
      <c r="Y2899" s="8"/>
      <c r="Z2899" s="8"/>
    </row>
    <row r="2900" spans="1:26" ht="12.75" customHeight="1" x14ac:dyDescent="0.2">
      <c r="A2900" s="15">
        <v>15</v>
      </c>
      <c r="B2900" s="15">
        <v>1994</v>
      </c>
      <c r="C2900" s="15">
        <v>15</v>
      </c>
      <c r="D2900" s="15">
        <v>8</v>
      </c>
      <c r="E2900" s="22" t="s">
        <v>17</v>
      </c>
      <c r="F2900" s="11" t="s">
        <v>18</v>
      </c>
      <c r="G2900" s="15">
        <v>130</v>
      </c>
      <c r="H2900" s="15" t="s">
        <v>29</v>
      </c>
      <c r="I2900" s="25" t="s">
        <v>29</v>
      </c>
      <c r="J2900" s="11" t="s">
        <v>19</v>
      </c>
      <c r="K2900" s="11" t="s">
        <v>20</v>
      </c>
      <c r="L2900" s="11" t="s">
        <v>30</v>
      </c>
      <c r="M2900" s="11" t="s">
        <v>29</v>
      </c>
      <c r="N2900" s="11" t="s">
        <v>25</v>
      </c>
      <c r="O2900" s="16" t="s">
        <v>29</v>
      </c>
      <c r="P2900" s="15">
        <v>227</v>
      </c>
      <c r="Q2900" s="8"/>
      <c r="U2900">
        <v>8.7100000000000009</v>
      </c>
      <c r="V2900">
        <v>121</v>
      </c>
      <c r="W2900" s="317">
        <v>4.5999999999999996</v>
      </c>
      <c r="X2900" s="190"/>
      <c r="Y2900" s="8"/>
      <c r="Z2900" s="8"/>
    </row>
    <row r="2901" spans="1:26" ht="12.75" customHeight="1" x14ac:dyDescent="0.2">
      <c r="A2901" s="15">
        <v>16</v>
      </c>
      <c r="B2901" s="15">
        <v>1994</v>
      </c>
      <c r="C2901" s="15">
        <v>15</v>
      </c>
      <c r="D2901" s="15">
        <v>8</v>
      </c>
      <c r="E2901" s="22" t="s">
        <v>17</v>
      </c>
      <c r="F2901" s="11" t="s">
        <v>18</v>
      </c>
      <c r="G2901" s="15">
        <v>146</v>
      </c>
      <c r="H2901" s="15" t="s">
        <v>29</v>
      </c>
      <c r="I2901" s="25">
        <v>9.5</v>
      </c>
      <c r="J2901" s="11" t="s">
        <v>19</v>
      </c>
      <c r="K2901" s="11" t="s">
        <v>20</v>
      </c>
      <c r="L2901" s="11" t="s">
        <v>30</v>
      </c>
      <c r="M2901" s="11" t="s">
        <v>29</v>
      </c>
      <c r="N2901" s="11" t="s">
        <v>23</v>
      </c>
      <c r="O2901" s="16" t="s">
        <v>29</v>
      </c>
      <c r="P2901" s="15">
        <v>227</v>
      </c>
      <c r="Q2901" s="8"/>
      <c r="R2901">
        <v>13.62</v>
      </c>
      <c r="S2901">
        <v>2527.5700000000002</v>
      </c>
      <c r="T2901">
        <v>3.76</v>
      </c>
      <c r="U2901">
        <v>9.7799999999999994</v>
      </c>
      <c r="V2901">
        <v>136</v>
      </c>
      <c r="W2901" s="317">
        <v>4.5999999999999996</v>
      </c>
      <c r="X2901" s="190">
        <f t="shared" ref="X2901:X2910" si="129">I2901*W2901</f>
        <v>43.699999999999996</v>
      </c>
      <c r="Y2901" s="8"/>
      <c r="Z2901" s="8"/>
    </row>
    <row r="2902" spans="1:26" ht="12.75" customHeight="1" x14ac:dyDescent="0.2">
      <c r="A2902" s="15">
        <v>17</v>
      </c>
      <c r="B2902" s="15">
        <v>1994</v>
      </c>
      <c r="C2902" s="15">
        <v>15</v>
      </c>
      <c r="D2902" s="15">
        <v>8</v>
      </c>
      <c r="E2902" s="22" t="s">
        <v>17</v>
      </c>
      <c r="F2902" s="11" t="s">
        <v>18</v>
      </c>
      <c r="G2902" s="15">
        <v>141</v>
      </c>
      <c r="H2902" s="15" t="s">
        <v>29</v>
      </c>
      <c r="I2902" s="25">
        <v>13.5</v>
      </c>
      <c r="J2902" s="11" t="s">
        <v>19</v>
      </c>
      <c r="K2902" s="11" t="s">
        <v>20</v>
      </c>
      <c r="L2902" s="11" t="s">
        <v>30</v>
      </c>
      <c r="M2902" s="11" t="s">
        <v>29</v>
      </c>
      <c r="N2902" s="11" t="s">
        <v>33</v>
      </c>
      <c r="O2902" s="16" t="s">
        <v>29</v>
      </c>
      <c r="P2902" s="15">
        <v>227</v>
      </c>
      <c r="Q2902" s="8"/>
      <c r="R2902">
        <v>13.16</v>
      </c>
      <c r="S2902">
        <v>2276.6799999999998</v>
      </c>
      <c r="T2902">
        <v>5.93</v>
      </c>
      <c r="U2902">
        <v>9.4499999999999993</v>
      </c>
      <c r="V2902">
        <v>132</v>
      </c>
      <c r="W2902" s="317">
        <v>4.5999999999999996</v>
      </c>
      <c r="X2902" s="190">
        <f t="shared" si="129"/>
        <v>62.099999999999994</v>
      </c>
      <c r="Y2902" s="8"/>
      <c r="Z2902" s="8"/>
    </row>
    <row r="2903" spans="1:26" ht="12.75" customHeight="1" x14ac:dyDescent="0.2">
      <c r="A2903" s="15">
        <v>18</v>
      </c>
      <c r="B2903" s="15">
        <v>1994</v>
      </c>
      <c r="C2903" s="15">
        <v>15</v>
      </c>
      <c r="D2903" s="15">
        <v>8</v>
      </c>
      <c r="E2903" s="22" t="s">
        <v>17</v>
      </c>
      <c r="F2903" s="11" t="s">
        <v>18</v>
      </c>
      <c r="G2903" s="15">
        <v>167</v>
      </c>
      <c r="H2903" s="15" t="s">
        <v>29</v>
      </c>
      <c r="I2903" s="25">
        <v>17.5</v>
      </c>
      <c r="J2903" s="11" t="s">
        <v>19</v>
      </c>
      <c r="K2903" s="11" t="s">
        <v>20</v>
      </c>
      <c r="L2903" s="11" t="s">
        <v>30</v>
      </c>
      <c r="M2903" s="11" t="s">
        <v>29</v>
      </c>
      <c r="N2903" s="11" t="s">
        <v>29</v>
      </c>
      <c r="O2903" s="16" t="s">
        <v>29</v>
      </c>
      <c r="P2903" s="15">
        <v>227</v>
      </c>
      <c r="Q2903" s="8"/>
      <c r="R2903">
        <v>15.58</v>
      </c>
      <c r="S2903">
        <v>3782.63</v>
      </c>
      <c r="T2903">
        <v>4.63</v>
      </c>
      <c r="U2903">
        <v>11.19</v>
      </c>
      <c r="V2903">
        <v>156</v>
      </c>
      <c r="W2903" s="317">
        <v>4.5999999999999996</v>
      </c>
      <c r="X2903" s="190">
        <f t="shared" si="129"/>
        <v>80.5</v>
      </c>
      <c r="Y2903" s="8"/>
      <c r="Z2903" s="8"/>
    </row>
    <row r="2904" spans="1:26" ht="12.75" customHeight="1" x14ac:dyDescent="0.2">
      <c r="A2904" s="15">
        <v>19</v>
      </c>
      <c r="B2904" s="15">
        <v>1994</v>
      </c>
      <c r="C2904" s="15">
        <v>15</v>
      </c>
      <c r="D2904" s="15">
        <v>8</v>
      </c>
      <c r="E2904" s="22" t="s">
        <v>17</v>
      </c>
      <c r="F2904" s="11" t="s">
        <v>18</v>
      </c>
      <c r="G2904" s="15">
        <v>160</v>
      </c>
      <c r="H2904" s="15" t="s">
        <v>29</v>
      </c>
      <c r="I2904" s="25">
        <v>16</v>
      </c>
      <c r="J2904" s="11" t="s">
        <v>19</v>
      </c>
      <c r="K2904" s="11" t="s">
        <v>20</v>
      </c>
      <c r="L2904" s="11" t="s">
        <v>30</v>
      </c>
      <c r="M2904" s="11" t="s">
        <v>29</v>
      </c>
      <c r="N2904" s="11" t="s">
        <v>25</v>
      </c>
      <c r="O2904" s="16" t="s">
        <v>29</v>
      </c>
      <c r="P2904" s="15">
        <v>227</v>
      </c>
      <c r="Q2904" s="8"/>
      <c r="R2904">
        <v>14.93</v>
      </c>
      <c r="S2904">
        <v>3326.63</v>
      </c>
      <c r="T2904">
        <v>4.8099999999999996</v>
      </c>
      <c r="U2904">
        <v>10.72</v>
      </c>
      <c r="V2904">
        <v>149</v>
      </c>
      <c r="W2904" s="317">
        <v>4.5999999999999996</v>
      </c>
      <c r="X2904" s="190">
        <f t="shared" si="129"/>
        <v>73.599999999999994</v>
      </c>
      <c r="Y2904" s="8"/>
      <c r="Z2904" s="8"/>
    </row>
    <row r="2905" spans="1:26" ht="12.75" customHeight="1" x14ac:dyDescent="0.2">
      <c r="A2905" s="15">
        <v>20</v>
      </c>
      <c r="B2905" s="15">
        <v>1994</v>
      </c>
      <c r="C2905" s="15">
        <v>15</v>
      </c>
      <c r="D2905" s="15">
        <v>8</v>
      </c>
      <c r="E2905" s="22" t="s">
        <v>17</v>
      </c>
      <c r="F2905" s="11" t="s">
        <v>18</v>
      </c>
      <c r="G2905" s="15">
        <v>162</v>
      </c>
      <c r="H2905" s="15" t="s">
        <v>29</v>
      </c>
      <c r="I2905" s="25">
        <v>13</v>
      </c>
      <c r="J2905" s="11" t="s">
        <v>19</v>
      </c>
      <c r="K2905" s="11" t="s">
        <v>20</v>
      </c>
      <c r="L2905" s="11" t="s">
        <v>30</v>
      </c>
      <c r="M2905" s="11" t="s">
        <v>29</v>
      </c>
      <c r="N2905" s="11" t="s">
        <v>25</v>
      </c>
      <c r="O2905" s="16" t="s">
        <v>29</v>
      </c>
      <c r="P2905" s="15">
        <v>227</v>
      </c>
      <c r="Q2905" s="8"/>
      <c r="R2905">
        <v>15.11</v>
      </c>
      <c r="S2905">
        <v>3452.95</v>
      </c>
      <c r="T2905">
        <v>3.76</v>
      </c>
      <c r="U2905">
        <v>10.85</v>
      </c>
      <c r="V2905">
        <v>151</v>
      </c>
      <c r="W2905" s="317">
        <v>4.5999999999999996</v>
      </c>
      <c r="X2905" s="190">
        <f t="shared" si="129"/>
        <v>59.8</v>
      </c>
      <c r="Y2905" s="8"/>
      <c r="Z2905" s="8"/>
    </row>
    <row r="2906" spans="1:26" ht="12.75" customHeight="1" x14ac:dyDescent="0.2">
      <c r="A2906" s="15">
        <v>21</v>
      </c>
      <c r="B2906" s="15">
        <v>1994</v>
      </c>
      <c r="C2906" s="15">
        <v>15</v>
      </c>
      <c r="D2906" s="15">
        <v>8</v>
      </c>
      <c r="E2906" s="22" t="s">
        <v>17</v>
      </c>
      <c r="F2906" s="11" t="s">
        <v>18</v>
      </c>
      <c r="G2906" s="15">
        <v>140</v>
      </c>
      <c r="H2906" s="15" t="s">
        <v>29</v>
      </c>
      <c r="I2906" s="25">
        <v>13</v>
      </c>
      <c r="J2906" s="11" t="s">
        <v>19</v>
      </c>
      <c r="K2906" s="11" t="s">
        <v>20</v>
      </c>
      <c r="L2906" s="11" t="s">
        <v>30</v>
      </c>
      <c r="M2906" s="11" t="s">
        <v>29</v>
      </c>
      <c r="N2906" s="11" t="s">
        <v>33</v>
      </c>
      <c r="O2906" s="16" t="s">
        <v>29</v>
      </c>
      <c r="P2906" s="15">
        <v>227</v>
      </c>
      <c r="Q2906" s="8"/>
      <c r="R2906">
        <v>13.06</v>
      </c>
      <c r="S2906">
        <v>2228.58</v>
      </c>
      <c r="T2906">
        <v>5.83</v>
      </c>
      <c r="U2906">
        <v>9.3800000000000008</v>
      </c>
      <c r="V2906">
        <v>131</v>
      </c>
      <c r="W2906" s="317">
        <v>4.5999999999999996</v>
      </c>
      <c r="X2906" s="190">
        <f t="shared" si="129"/>
        <v>59.8</v>
      </c>
      <c r="Y2906" s="8"/>
      <c r="Z2906" s="8"/>
    </row>
    <row r="2907" spans="1:26" ht="12.75" customHeight="1" x14ac:dyDescent="0.2">
      <c r="A2907" s="15">
        <v>22</v>
      </c>
      <c r="B2907" s="15">
        <v>1994</v>
      </c>
      <c r="C2907" s="15">
        <v>15</v>
      </c>
      <c r="D2907" s="15">
        <v>8</v>
      </c>
      <c r="E2907" s="22" t="s">
        <v>17</v>
      </c>
      <c r="F2907" s="11" t="s">
        <v>18</v>
      </c>
      <c r="G2907" s="15">
        <v>155</v>
      </c>
      <c r="H2907" s="15" t="s">
        <v>29</v>
      </c>
      <c r="I2907" s="25">
        <v>9.5</v>
      </c>
      <c r="J2907" s="11" t="s">
        <v>19</v>
      </c>
      <c r="K2907" s="11" t="s">
        <v>20</v>
      </c>
      <c r="L2907" s="11" t="s">
        <v>21</v>
      </c>
      <c r="M2907" s="11" t="s">
        <v>29</v>
      </c>
      <c r="N2907" s="11" t="s">
        <v>29</v>
      </c>
      <c r="O2907" s="16" t="s">
        <v>29</v>
      </c>
      <c r="P2907" s="15">
        <v>227</v>
      </c>
      <c r="Q2907" s="8"/>
      <c r="R2907">
        <v>14.46</v>
      </c>
      <c r="S2907">
        <v>3024.41</v>
      </c>
      <c r="T2907">
        <v>3.14</v>
      </c>
      <c r="U2907">
        <v>10.39</v>
      </c>
      <c r="V2907">
        <v>145</v>
      </c>
      <c r="W2907" s="317">
        <v>3.9</v>
      </c>
      <c r="X2907" s="190">
        <f t="shared" si="129"/>
        <v>37.049999999999997</v>
      </c>
      <c r="Y2907" s="8"/>
      <c r="Z2907" s="8"/>
    </row>
    <row r="2908" spans="1:26" ht="12.75" customHeight="1" x14ac:dyDescent="0.2">
      <c r="A2908" s="15">
        <v>23</v>
      </c>
      <c r="B2908" s="15">
        <v>1994</v>
      </c>
      <c r="C2908" s="15">
        <v>15</v>
      </c>
      <c r="D2908" s="15">
        <v>8</v>
      </c>
      <c r="E2908" s="22" t="s">
        <v>17</v>
      </c>
      <c r="F2908" s="11" t="s">
        <v>18</v>
      </c>
      <c r="G2908" s="15">
        <v>136</v>
      </c>
      <c r="H2908" s="15" t="s">
        <v>29</v>
      </c>
      <c r="I2908" s="25">
        <v>5.5</v>
      </c>
      <c r="J2908" s="11" t="s">
        <v>19</v>
      </c>
      <c r="K2908" s="11" t="s">
        <v>20</v>
      </c>
      <c r="L2908" s="11" t="s">
        <v>21</v>
      </c>
      <c r="M2908" s="11" t="s">
        <v>29</v>
      </c>
      <c r="N2908" s="11" t="s">
        <v>33</v>
      </c>
      <c r="O2908" s="16" t="s">
        <v>29</v>
      </c>
      <c r="P2908" s="15">
        <v>227</v>
      </c>
      <c r="Q2908" s="8"/>
      <c r="R2908">
        <v>12.69</v>
      </c>
      <c r="S2908">
        <v>2042.97</v>
      </c>
      <c r="T2908">
        <v>2.69</v>
      </c>
      <c r="U2908">
        <v>9.11</v>
      </c>
      <c r="V2908">
        <v>127</v>
      </c>
      <c r="W2908" s="317">
        <v>3.9</v>
      </c>
      <c r="X2908" s="190">
        <f t="shared" si="129"/>
        <v>21.45</v>
      </c>
      <c r="Y2908" s="8"/>
      <c r="Z2908" s="8"/>
    </row>
    <row r="2909" spans="1:26" ht="12.75" customHeight="1" x14ac:dyDescent="0.2">
      <c r="A2909" s="15">
        <v>24</v>
      </c>
      <c r="B2909" s="15">
        <v>1994</v>
      </c>
      <c r="C2909" s="15">
        <v>15</v>
      </c>
      <c r="D2909" s="15">
        <v>8</v>
      </c>
      <c r="E2909" s="22" t="s">
        <v>17</v>
      </c>
      <c r="F2909" s="11" t="s">
        <v>18</v>
      </c>
      <c r="G2909" s="15">
        <v>153</v>
      </c>
      <c r="H2909" s="15" t="s">
        <v>29</v>
      </c>
      <c r="I2909" s="25">
        <v>9.5</v>
      </c>
      <c r="J2909" s="11" t="s">
        <v>19</v>
      </c>
      <c r="K2909" s="11" t="s">
        <v>20</v>
      </c>
      <c r="L2909" s="11" t="s">
        <v>21</v>
      </c>
      <c r="M2909" s="11" t="s">
        <v>29</v>
      </c>
      <c r="N2909" s="11" t="s">
        <v>23</v>
      </c>
      <c r="O2909" s="16" t="s">
        <v>29</v>
      </c>
      <c r="P2909" s="15">
        <v>227</v>
      </c>
      <c r="Q2909" s="8"/>
      <c r="R2909">
        <v>14.27</v>
      </c>
      <c r="S2909">
        <v>2908.84</v>
      </c>
      <c r="T2909">
        <v>3.27</v>
      </c>
      <c r="U2909">
        <v>10.25</v>
      </c>
      <c r="V2909">
        <v>143</v>
      </c>
      <c r="W2909" s="317">
        <v>3.9</v>
      </c>
      <c r="X2909" s="190">
        <f t="shared" si="129"/>
        <v>37.049999999999997</v>
      </c>
      <c r="Y2909" s="8"/>
      <c r="Z2909" s="8"/>
    </row>
    <row r="2910" spans="1:26" ht="12.75" customHeight="1" x14ac:dyDescent="0.2">
      <c r="A2910" s="15">
        <v>25</v>
      </c>
      <c r="B2910" s="15">
        <v>1994</v>
      </c>
      <c r="C2910" s="15">
        <v>15</v>
      </c>
      <c r="D2910" s="15">
        <v>8</v>
      </c>
      <c r="E2910" s="22" t="s">
        <v>17</v>
      </c>
      <c r="F2910" s="11" t="s">
        <v>18</v>
      </c>
      <c r="G2910" s="15">
        <v>154</v>
      </c>
      <c r="H2910" s="15" t="s">
        <v>29</v>
      </c>
      <c r="I2910" s="25">
        <v>17</v>
      </c>
      <c r="J2910" s="11" t="s">
        <v>19</v>
      </c>
      <c r="K2910" s="11" t="s">
        <v>34</v>
      </c>
      <c r="L2910" s="11" t="s">
        <v>41</v>
      </c>
      <c r="M2910" s="11" t="s">
        <v>29</v>
      </c>
      <c r="N2910" s="11" t="s">
        <v>25</v>
      </c>
      <c r="O2910" s="16" t="s">
        <v>29</v>
      </c>
      <c r="P2910" s="15">
        <v>227</v>
      </c>
      <c r="Q2910" s="8"/>
      <c r="R2910">
        <v>14.37</v>
      </c>
      <c r="S2910">
        <v>2966.25</v>
      </c>
      <c r="T2910">
        <v>5.73</v>
      </c>
      <c r="U2910">
        <v>10.32</v>
      </c>
      <c r="V2910">
        <v>144</v>
      </c>
      <c r="W2910" s="317">
        <v>3.8</v>
      </c>
      <c r="X2910" s="190">
        <f t="shared" si="129"/>
        <v>64.599999999999994</v>
      </c>
      <c r="Y2910" s="8"/>
      <c r="Z2910" s="8"/>
    </row>
    <row r="2911" spans="1:26" ht="12.75" customHeight="1" x14ac:dyDescent="0.2">
      <c r="A2911" s="15">
        <v>26</v>
      </c>
      <c r="B2911" s="15">
        <v>1994</v>
      </c>
      <c r="C2911" s="15">
        <v>15</v>
      </c>
      <c r="D2911" s="15">
        <v>8</v>
      </c>
      <c r="E2911" s="22" t="s">
        <v>17</v>
      </c>
      <c r="F2911" s="11" t="s">
        <v>28</v>
      </c>
      <c r="G2911" s="11" t="s">
        <v>29</v>
      </c>
      <c r="H2911" s="15" t="s">
        <v>29</v>
      </c>
      <c r="I2911" s="25" t="s">
        <v>29</v>
      </c>
      <c r="J2911" s="11" t="s">
        <v>19</v>
      </c>
      <c r="K2911" s="11" t="s">
        <v>20</v>
      </c>
      <c r="L2911" s="11" t="s">
        <v>30</v>
      </c>
      <c r="M2911" s="11" t="s">
        <v>29</v>
      </c>
      <c r="N2911" s="11" t="s">
        <v>28</v>
      </c>
      <c r="O2911" s="16" t="s">
        <v>29</v>
      </c>
      <c r="P2911" s="15">
        <v>227</v>
      </c>
      <c r="Q2911" s="8"/>
      <c r="W2911" s="317">
        <v>4.5999999999999996</v>
      </c>
      <c r="X2911" s="190"/>
      <c r="Y2911" s="8"/>
      <c r="Z2911" s="8"/>
    </row>
    <row r="2912" spans="1:26" ht="12.75" customHeight="1" x14ac:dyDescent="0.2">
      <c r="A2912" s="15">
        <v>27</v>
      </c>
      <c r="B2912" s="15">
        <v>1994</v>
      </c>
      <c r="C2912" s="15">
        <v>15</v>
      </c>
      <c r="D2912" s="15">
        <v>8</v>
      </c>
      <c r="E2912" s="22" t="s">
        <v>17</v>
      </c>
      <c r="F2912" s="11" t="s">
        <v>18</v>
      </c>
      <c r="G2912" s="15">
        <v>154</v>
      </c>
      <c r="H2912" s="15" t="s">
        <v>29</v>
      </c>
      <c r="I2912" s="25">
        <v>16</v>
      </c>
      <c r="J2912" s="11" t="s">
        <v>19</v>
      </c>
      <c r="K2912" s="11" t="s">
        <v>20</v>
      </c>
      <c r="L2912" s="11" t="s">
        <v>30</v>
      </c>
      <c r="M2912" s="11" t="s">
        <v>29</v>
      </c>
      <c r="N2912" s="11" t="s">
        <v>29</v>
      </c>
      <c r="O2912" s="16" t="s">
        <v>29</v>
      </c>
      <c r="P2912" s="15">
        <v>227</v>
      </c>
      <c r="Q2912" s="8"/>
      <c r="R2912">
        <v>14.37</v>
      </c>
      <c r="S2912">
        <v>2966.25</v>
      </c>
      <c r="T2912">
        <v>5.39</v>
      </c>
      <c r="U2912">
        <v>10.32</v>
      </c>
      <c r="V2912">
        <v>144</v>
      </c>
      <c r="W2912" s="317">
        <v>4.5999999999999996</v>
      </c>
      <c r="X2912" s="190">
        <f>I2912*W2912</f>
        <v>73.599999999999994</v>
      </c>
      <c r="Y2912" s="8"/>
      <c r="Z2912" s="8"/>
    </row>
    <row r="2913" spans="1:26" ht="12.75" customHeight="1" x14ac:dyDescent="0.2">
      <c r="A2913" s="15">
        <v>28</v>
      </c>
      <c r="B2913" s="15">
        <v>1994</v>
      </c>
      <c r="C2913" s="15">
        <v>15</v>
      </c>
      <c r="D2913" s="15">
        <v>8</v>
      </c>
      <c r="E2913" s="22" t="s">
        <v>17</v>
      </c>
      <c r="F2913" s="11" t="s">
        <v>18</v>
      </c>
      <c r="G2913" s="15">
        <v>156</v>
      </c>
      <c r="H2913" s="15" t="s">
        <v>29</v>
      </c>
      <c r="I2913" s="25">
        <v>9</v>
      </c>
      <c r="J2913" s="11" t="s">
        <v>19</v>
      </c>
      <c r="K2913" s="11" t="s">
        <v>20</v>
      </c>
      <c r="L2913" s="11" t="s">
        <v>21</v>
      </c>
      <c r="M2913" s="11" t="s">
        <v>29</v>
      </c>
      <c r="N2913" s="11" t="s">
        <v>25</v>
      </c>
      <c r="O2913" s="16" t="s">
        <v>29</v>
      </c>
      <c r="P2913" s="15">
        <v>227</v>
      </c>
      <c r="Q2913" s="8"/>
      <c r="R2913">
        <v>14.55</v>
      </c>
      <c r="S2913">
        <v>3083.32</v>
      </c>
      <c r="T2913">
        <v>2.92</v>
      </c>
      <c r="U2913">
        <v>10.45</v>
      </c>
      <c r="V2913">
        <v>146</v>
      </c>
      <c r="W2913" s="317">
        <v>3.9</v>
      </c>
      <c r="X2913" s="190">
        <f>I2913*W2913</f>
        <v>35.1</v>
      </c>
      <c r="Y2913" s="8"/>
      <c r="Z2913" s="8"/>
    </row>
    <row r="2914" spans="1:26" ht="12.75" customHeight="1" x14ac:dyDescent="0.2">
      <c r="A2914" s="15">
        <v>29</v>
      </c>
      <c r="B2914" s="15">
        <v>1994</v>
      </c>
      <c r="C2914" s="15">
        <v>14</v>
      </c>
      <c r="D2914" s="15">
        <v>8</v>
      </c>
      <c r="E2914" s="22" t="s">
        <v>17</v>
      </c>
      <c r="F2914" s="11" t="s">
        <v>18</v>
      </c>
      <c r="G2914" s="15">
        <v>150</v>
      </c>
      <c r="H2914" s="15" t="s">
        <v>29</v>
      </c>
      <c r="I2914" s="25">
        <v>15</v>
      </c>
      <c r="J2914" s="11" t="s">
        <v>19</v>
      </c>
      <c r="K2914" s="11" t="s">
        <v>34</v>
      </c>
      <c r="L2914" s="11" t="s">
        <v>41</v>
      </c>
      <c r="M2914" s="11" t="s">
        <v>29</v>
      </c>
      <c r="N2914" s="11" t="s">
        <v>29</v>
      </c>
      <c r="O2914" s="16" t="s">
        <v>29</v>
      </c>
      <c r="P2914" s="15">
        <v>226</v>
      </c>
      <c r="Q2914" s="8"/>
      <c r="R2914">
        <v>14</v>
      </c>
      <c r="S2914">
        <v>2741.06</v>
      </c>
      <c r="T2914">
        <v>5.47</v>
      </c>
      <c r="U2914">
        <v>10.050000000000001</v>
      </c>
      <c r="V2914">
        <v>140</v>
      </c>
      <c r="W2914" s="317">
        <v>3.8</v>
      </c>
      <c r="X2914" s="190">
        <f>I2914*W2914</f>
        <v>57</v>
      </c>
      <c r="Y2914" s="8"/>
      <c r="Z2914" s="8"/>
    </row>
    <row r="2915" spans="1:26" ht="12.75" customHeight="1" x14ac:dyDescent="0.2">
      <c r="A2915" s="15">
        <v>30</v>
      </c>
      <c r="B2915" s="15">
        <v>1994</v>
      </c>
      <c r="C2915" s="15">
        <v>14</v>
      </c>
      <c r="D2915" s="15">
        <v>8</v>
      </c>
      <c r="E2915" s="22" t="s">
        <v>17</v>
      </c>
      <c r="F2915" s="11" t="s">
        <v>18</v>
      </c>
      <c r="G2915" s="15">
        <v>148</v>
      </c>
      <c r="H2915" s="15" t="s">
        <v>29</v>
      </c>
      <c r="I2915" s="25">
        <v>13</v>
      </c>
      <c r="J2915" s="11" t="s">
        <v>19</v>
      </c>
      <c r="K2915" s="11" t="s">
        <v>20</v>
      </c>
      <c r="L2915" s="11" t="s">
        <v>30</v>
      </c>
      <c r="M2915" s="11" t="s">
        <v>29</v>
      </c>
      <c r="N2915" s="11" t="s">
        <v>23</v>
      </c>
      <c r="O2915" s="16" t="s">
        <v>29</v>
      </c>
      <c r="P2915" s="15">
        <v>226</v>
      </c>
      <c r="Q2915" s="8"/>
      <c r="R2915">
        <v>13.81</v>
      </c>
      <c r="S2915">
        <v>2632.87</v>
      </c>
      <c r="T2915">
        <v>4.9400000000000004</v>
      </c>
      <c r="U2915">
        <v>9.92</v>
      </c>
      <c r="V2915">
        <v>138</v>
      </c>
      <c r="W2915" s="317">
        <v>4.5999999999999996</v>
      </c>
      <c r="X2915" s="190">
        <f>I2915*W2915</f>
        <v>59.8</v>
      </c>
      <c r="Y2915" s="8"/>
      <c r="Z2915" s="8"/>
    </row>
    <row r="2916" spans="1:26" ht="12.75" customHeight="1" x14ac:dyDescent="0.2">
      <c r="A2916" s="15">
        <v>31</v>
      </c>
      <c r="B2916" s="15">
        <v>1994</v>
      </c>
      <c r="C2916" s="15">
        <v>14</v>
      </c>
      <c r="D2916" s="15">
        <v>8</v>
      </c>
      <c r="E2916" s="22" t="s">
        <v>17</v>
      </c>
      <c r="F2916" s="11" t="s">
        <v>18</v>
      </c>
      <c r="G2916" s="15">
        <v>163</v>
      </c>
      <c r="H2916" s="15" t="s">
        <v>29</v>
      </c>
      <c r="I2916" s="25">
        <v>23</v>
      </c>
      <c r="J2916" s="11" t="s">
        <v>19</v>
      </c>
      <c r="K2916" s="11" t="s">
        <v>34</v>
      </c>
      <c r="L2916" s="11" t="s">
        <v>41</v>
      </c>
      <c r="M2916" s="11" t="s">
        <v>29</v>
      </c>
      <c r="N2916" s="11" t="s">
        <v>29</v>
      </c>
      <c r="O2916" s="16" t="s">
        <v>29</v>
      </c>
      <c r="P2916" s="15">
        <v>226</v>
      </c>
      <c r="Q2916" s="8"/>
      <c r="R2916">
        <v>15.21</v>
      </c>
      <c r="S2916">
        <v>3517.29</v>
      </c>
      <c r="T2916">
        <v>6.54</v>
      </c>
      <c r="U2916">
        <v>10.92</v>
      </c>
      <c r="V2916">
        <v>152</v>
      </c>
      <c r="W2916" s="317">
        <v>3.8</v>
      </c>
      <c r="X2916" s="190">
        <f>I2916*W2916</f>
        <v>87.399999999999991</v>
      </c>
      <c r="Y2916" s="8"/>
      <c r="Z2916" s="8"/>
    </row>
    <row r="2917" spans="1:26" ht="12.75" customHeight="1" x14ac:dyDescent="0.2">
      <c r="A2917" s="15">
        <v>32</v>
      </c>
      <c r="B2917" s="15">
        <v>1994</v>
      </c>
      <c r="C2917" s="15">
        <v>14</v>
      </c>
      <c r="D2917" s="15">
        <v>8</v>
      </c>
      <c r="E2917" s="22" t="s">
        <v>17</v>
      </c>
      <c r="F2917" s="11" t="s">
        <v>28</v>
      </c>
      <c r="G2917" s="11" t="s">
        <v>29</v>
      </c>
      <c r="H2917" s="15" t="s">
        <v>29</v>
      </c>
      <c r="I2917" s="25" t="s">
        <v>29</v>
      </c>
      <c r="J2917" s="11" t="s">
        <v>19</v>
      </c>
      <c r="K2917" s="11" t="s">
        <v>34</v>
      </c>
      <c r="L2917" s="11" t="s">
        <v>41</v>
      </c>
      <c r="M2917" s="11" t="s">
        <v>29</v>
      </c>
      <c r="N2917" s="11" t="s">
        <v>33</v>
      </c>
      <c r="O2917" s="16" t="s">
        <v>29</v>
      </c>
      <c r="P2917" s="15">
        <v>226</v>
      </c>
      <c r="Q2917" s="8"/>
      <c r="W2917" s="317">
        <v>3.8</v>
      </c>
      <c r="X2917" s="190"/>
      <c r="Y2917" s="8"/>
      <c r="Z2917" s="8"/>
    </row>
    <row r="2918" spans="1:26" ht="12.75" customHeight="1" x14ac:dyDescent="0.2">
      <c r="A2918" s="15">
        <v>33</v>
      </c>
      <c r="B2918" s="15">
        <v>1994</v>
      </c>
      <c r="C2918" s="15">
        <v>14</v>
      </c>
      <c r="D2918" s="15">
        <v>8</v>
      </c>
      <c r="E2918" s="22" t="s">
        <v>17</v>
      </c>
      <c r="F2918" s="11" t="s">
        <v>28</v>
      </c>
      <c r="G2918" s="11" t="s">
        <v>29</v>
      </c>
      <c r="H2918" s="15" t="s">
        <v>29</v>
      </c>
      <c r="I2918" s="25" t="s">
        <v>29</v>
      </c>
      <c r="J2918" s="11" t="s">
        <v>19</v>
      </c>
      <c r="K2918" s="11" t="s">
        <v>20</v>
      </c>
      <c r="L2918" s="11" t="s">
        <v>35</v>
      </c>
      <c r="M2918" s="11" t="s">
        <v>29</v>
      </c>
      <c r="N2918" s="11" t="s">
        <v>25</v>
      </c>
      <c r="O2918" s="16" t="s">
        <v>29</v>
      </c>
      <c r="P2918" s="15">
        <v>226</v>
      </c>
      <c r="Q2918" s="8"/>
      <c r="W2918" s="317">
        <v>3.9</v>
      </c>
      <c r="X2918" s="190"/>
      <c r="Y2918" s="8"/>
      <c r="Z2918" s="8"/>
    </row>
    <row r="2919" spans="1:26" ht="12.75" customHeight="1" x14ac:dyDescent="0.2">
      <c r="A2919" s="15">
        <v>34</v>
      </c>
      <c r="B2919" s="15">
        <v>1994</v>
      </c>
      <c r="C2919" s="15">
        <v>14</v>
      </c>
      <c r="D2919" s="15">
        <v>8</v>
      </c>
      <c r="E2919" s="22" t="s">
        <v>17</v>
      </c>
      <c r="F2919" s="11" t="s">
        <v>18</v>
      </c>
      <c r="G2919" s="15">
        <v>170</v>
      </c>
      <c r="H2919" s="15" t="s">
        <v>29</v>
      </c>
      <c r="I2919" s="25">
        <v>26.5</v>
      </c>
      <c r="J2919" s="11" t="s">
        <v>19</v>
      </c>
      <c r="K2919" s="11" t="s">
        <v>34</v>
      </c>
      <c r="L2919" s="11" t="s">
        <v>41</v>
      </c>
      <c r="M2919" s="11" t="s">
        <v>29</v>
      </c>
      <c r="N2919" s="11" t="s">
        <v>23</v>
      </c>
      <c r="O2919" s="16" t="s">
        <v>29</v>
      </c>
      <c r="P2919" s="15">
        <v>226</v>
      </c>
      <c r="Q2919" s="8"/>
      <c r="R2919">
        <v>15.86</v>
      </c>
      <c r="S2919">
        <v>3990.17</v>
      </c>
      <c r="T2919">
        <v>6.64</v>
      </c>
      <c r="U2919">
        <v>11.39</v>
      </c>
      <c r="V2919">
        <v>159</v>
      </c>
      <c r="W2919" s="317">
        <v>3.8</v>
      </c>
      <c r="X2919" s="190">
        <f>I2919*W2919</f>
        <v>100.69999999999999</v>
      </c>
      <c r="Y2919" s="8"/>
      <c r="Z2919" s="8"/>
    </row>
    <row r="2920" spans="1:26" ht="12.75" customHeight="1" x14ac:dyDescent="0.2">
      <c r="A2920" s="15">
        <v>35</v>
      </c>
      <c r="B2920" s="15">
        <v>1994</v>
      </c>
      <c r="C2920" s="15">
        <v>14</v>
      </c>
      <c r="D2920" s="15">
        <v>8</v>
      </c>
      <c r="E2920" s="22" t="s">
        <v>17</v>
      </c>
      <c r="F2920" s="11" t="s">
        <v>18</v>
      </c>
      <c r="G2920" s="15">
        <v>170</v>
      </c>
      <c r="H2920" s="15" t="s">
        <v>29</v>
      </c>
      <c r="I2920" s="25">
        <v>16.5</v>
      </c>
      <c r="J2920" s="11" t="s">
        <v>19</v>
      </c>
      <c r="K2920" s="11" t="s">
        <v>20</v>
      </c>
      <c r="L2920" s="11" t="s">
        <v>30</v>
      </c>
      <c r="M2920" s="11" t="s">
        <v>29</v>
      </c>
      <c r="N2920" s="11" t="s">
        <v>25</v>
      </c>
      <c r="O2920" s="16" t="s">
        <v>29</v>
      </c>
      <c r="P2920" s="15">
        <v>226</v>
      </c>
      <c r="Q2920" s="8"/>
      <c r="R2920">
        <v>15.86</v>
      </c>
      <c r="S2920">
        <v>3990.17</v>
      </c>
      <c r="T2920">
        <v>4.1399999999999997</v>
      </c>
      <c r="U2920">
        <v>11.39</v>
      </c>
      <c r="V2920">
        <v>159</v>
      </c>
      <c r="W2920" s="317">
        <v>4.5999999999999996</v>
      </c>
      <c r="X2920" s="190">
        <f>I2920*W2920</f>
        <v>75.899999999999991</v>
      </c>
      <c r="Y2920" s="8"/>
      <c r="Z2920" s="8"/>
    </row>
    <row r="2921" spans="1:26" ht="12.75" customHeight="1" x14ac:dyDescent="0.2">
      <c r="A2921" s="15">
        <v>36</v>
      </c>
      <c r="B2921" s="15">
        <v>1994</v>
      </c>
      <c r="C2921" s="15">
        <v>14</v>
      </c>
      <c r="D2921" s="15">
        <v>8</v>
      </c>
      <c r="E2921" s="22" t="s">
        <v>17</v>
      </c>
      <c r="F2921" s="11" t="s">
        <v>18</v>
      </c>
      <c r="G2921" s="15">
        <v>160</v>
      </c>
      <c r="H2921" s="15" t="s">
        <v>29</v>
      </c>
      <c r="I2921" s="25">
        <v>17.2</v>
      </c>
      <c r="J2921" s="11" t="s">
        <v>19</v>
      </c>
      <c r="K2921" s="11" t="s">
        <v>20</v>
      </c>
      <c r="L2921" s="11" t="s">
        <v>21</v>
      </c>
      <c r="M2921" s="11" t="s">
        <v>29</v>
      </c>
      <c r="N2921" s="11" t="s">
        <v>23</v>
      </c>
      <c r="O2921" s="16" t="s">
        <v>29</v>
      </c>
      <c r="P2921" s="15">
        <v>226</v>
      </c>
      <c r="Q2921" s="8"/>
      <c r="R2921">
        <v>14.93</v>
      </c>
      <c r="S2921">
        <v>3326.63</v>
      </c>
      <c r="T2921">
        <v>5.17</v>
      </c>
      <c r="U2921">
        <v>10.72</v>
      </c>
      <c r="V2921">
        <v>149</v>
      </c>
      <c r="W2921" s="317">
        <v>3.9</v>
      </c>
      <c r="X2921" s="190">
        <f>I2921*W2921</f>
        <v>67.08</v>
      </c>
      <c r="Y2921" s="8"/>
      <c r="Z2921" s="8"/>
    </row>
    <row r="2922" spans="1:26" ht="12.75" customHeight="1" x14ac:dyDescent="0.2">
      <c r="A2922" s="15">
        <v>37</v>
      </c>
      <c r="B2922" s="15">
        <v>1994</v>
      </c>
      <c r="C2922" s="15">
        <v>14</v>
      </c>
      <c r="D2922" s="15">
        <v>8</v>
      </c>
      <c r="E2922" s="22" t="s">
        <v>17</v>
      </c>
      <c r="F2922" s="11" t="s">
        <v>18</v>
      </c>
      <c r="G2922" s="15">
        <v>161</v>
      </c>
      <c r="H2922" s="15" t="s">
        <v>29</v>
      </c>
      <c r="I2922" s="25">
        <v>20</v>
      </c>
      <c r="J2922" s="11" t="s">
        <v>19</v>
      </c>
      <c r="K2922" s="11" t="s">
        <v>34</v>
      </c>
      <c r="L2922" s="11" t="s">
        <v>41</v>
      </c>
      <c r="M2922" s="11" t="s">
        <v>29</v>
      </c>
      <c r="N2922" s="11" t="s">
        <v>24</v>
      </c>
      <c r="O2922" s="16" t="s">
        <v>29</v>
      </c>
      <c r="P2922" s="15">
        <v>226</v>
      </c>
      <c r="Q2922" s="8"/>
      <c r="R2922">
        <v>15.02</v>
      </c>
      <c r="S2922">
        <v>3389.4</v>
      </c>
      <c r="T2922">
        <v>5.9</v>
      </c>
      <c r="U2922">
        <v>10.79</v>
      </c>
      <c r="V2922">
        <v>150</v>
      </c>
      <c r="W2922" s="317">
        <v>3.8</v>
      </c>
      <c r="X2922" s="190">
        <f>I2922*W2922</f>
        <v>76</v>
      </c>
      <c r="Y2922" s="8"/>
      <c r="Z2922" s="8"/>
    </row>
    <row r="2923" spans="1:26" ht="12.75" customHeight="1" x14ac:dyDescent="0.2">
      <c r="A2923" s="15">
        <v>38</v>
      </c>
      <c r="B2923" s="15">
        <v>1994</v>
      </c>
      <c r="C2923" s="15">
        <v>14</v>
      </c>
      <c r="D2923" s="15">
        <v>8</v>
      </c>
      <c r="E2923" s="22" t="s">
        <v>17</v>
      </c>
      <c r="F2923" s="11" t="s">
        <v>18</v>
      </c>
      <c r="G2923" s="15">
        <v>148</v>
      </c>
      <c r="H2923" s="15" t="s">
        <v>29</v>
      </c>
      <c r="I2923" s="25">
        <v>12.5</v>
      </c>
      <c r="J2923" s="11" t="s">
        <v>19</v>
      </c>
      <c r="K2923" s="11" t="s">
        <v>20</v>
      </c>
      <c r="L2923" s="11" t="s">
        <v>30</v>
      </c>
      <c r="M2923" s="11" t="s">
        <v>29</v>
      </c>
      <c r="N2923" s="11" t="s">
        <v>25</v>
      </c>
      <c r="O2923" s="16" t="s">
        <v>29</v>
      </c>
      <c r="P2923" s="15">
        <v>226</v>
      </c>
      <c r="Q2923" s="8"/>
      <c r="R2923">
        <v>13.81</v>
      </c>
      <c r="S2923">
        <v>2632.87</v>
      </c>
      <c r="T2923">
        <v>4.75</v>
      </c>
      <c r="U2923">
        <v>9.92</v>
      </c>
      <c r="V2923">
        <v>138</v>
      </c>
      <c r="W2923" s="317">
        <v>4.5999999999999996</v>
      </c>
      <c r="X2923" s="190">
        <f t="shared" ref="X2923:X2930" si="130">I2923*W2923</f>
        <v>57.499999999999993</v>
      </c>
      <c r="Y2923" s="8"/>
      <c r="Z2923" s="8"/>
    </row>
    <row r="2924" spans="1:26" ht="12.75" customHeight="1" x14ac:dyDescent="0.2">
      <c r="A2924" s="15">
        <v>39</v>
      </c>
      <c r="B2924" s="15">
        <v>1994</v>
      </c>
      <c r="C2924" s="15">
        <v>14</v>
      </c>
      <c r="D2924" s="15">
        <v>8</v>
      </c>
      <c r="E2924" s="22" t="s">
        <v>17</v>
      </c>
      <c r="F2924" s="11" t="s">
        <v>18</v>
      </c>
      <c r="G2924" s="15">
        <v>137</v>
      </c>
      <c r="H2924" s="15" t="s">
        <v>29</v>
      </c>
      <c r="I2924" s="25">
        <v>11.5</v>
      </c>
      <c r="J2924" s="11" t="s">
        <v>19</v>
      </c>
      <c r="K2924" s="11" t="s">
        <v>20</v>
      </c>
      <c r="L2924" s="11" t="s">
        <v>30</v>
      </c>
      <c r="M2924" s="11" t="s">
        <v>29</v>
      </c>
      <c r="N2924" s="11" t="s">
        <v>25</v>
      </c>
      <c r="O2924" s="16" t="s">
        <v>29</v>
      </c>
      <c r="P2924" s="15">
        <v>226</v>
      </c>
      <c r="Q2924" s="8"/>
      <c r="R2924">
        <v>12.78</v>
      </c>
      <c r="S2924">
        <v>2088.37</v>
      </c>
      <c r="T2924">
        <v>5.51</v>
      </c>
      <c r="U2924">
        <v>9.18</v>
      </c>
      <c r="V2924">
        <v>128</v>
      </c>
      <c r="W2924" s="317">
        <v>4.5999999999999996</v>
      </c>
      <c r="X2924" s="190">
        <f t="shared" si="130"/>
        <v>52.9</v>
      </c>
      <c r="Y2924" s="8"/>
      <c r="Z2924" s="8"/>
    </row>
    <row r="2925" spans="1:26" ht="12.75" customHeight="1" x14ac:dyDescent="0.2">
      <c r="A2925" s="15">
        <v>40</v>
      </c>
      <c r="B2925" s="15">
        <v>1994</v>
      </c>
      <c r="C2925" s="15">
        <v>14</v>
      </c>
      <c r="D2925" s="15">
        <v>8</v>
      </c>
      <c r="E2925" s="22" t="s">
        <v>17</v>
      </c>
      <c r="F2925" s="11" t="s">
        <v>18</v>
      </c>
      <c r="G2925" s="15">
        <v>130</v>
      </c>
      <c r="H2925" s="15" t="s">
        <v>29</v>
      </c>
      <c r="I2925" s="25">
        <v>10</v>
      </c>
      <c r="J2925" s="11" t="s">
        <v>19</v>
      </c>
      <c r="K2925" s="11" t="s">
        <v>20</v>
      </c>
      <c r="L2925" s="11" t="s">
        <v>30</v>
      </c>
      <c r="M2925" s="11" t="s">
        <v>29</v>
      </c>
      <c r="N2925" s="11" t="s">
        <v>29</v>
      </c>
      <c r="O2925" s="16" t="s">
        <v>29</v>
      </c>
      <c r="P2925" s="15">
        <v>226</v>
      </c>
      <c r="Q2925" s="8"/>
      <c r="R2925">
        <v>12.13</v>
      </c>
      <c r="S2925">
        <v>1784.33</v>
      </c>
      <c r="T2925">
        <v>5.6</v>
      </c>
      <c r="U2925">
        <v>8.7100000000000009</v>
      </c>
      <c r="V2925">
        <v>121</v>
      </c>
      <c r="W2925" s="317">
        <v>4.5999999999999996</v>
      </c>
      <c r="X2925" s="190">
        <f t="shared" si="130"/>
        <v>46</v>
      </c>
      <c r="Y2925" s="8"/>
      <c r="Z2925" s="8"/>
    </row>
    <row r="2926" spans="1:26" ht="12.75" customHeight="1" x14ac:dyDescent="0.2">
      <c r="A2926" s="15">
        <v>41</v>
      </c>
      <c r="B2926" s="15">
        <v>1994</v>
      </c>
      <c r="C2926" s="15">
        <v>14</v>
      </c>
      <c r="D2926" s="15">
        <v>8</v>
      </c>
      <c r="E2926" s="22" t="s">
        <v>17</v>
      </c>
      <c r="F2926" s="11" t="s">
        <v>18</v>
      </c>
      <c r="G2926" s="15">
        <v>143</v>
      </c>
      <c r="H2926" s="15" t="s">
        <v>29</v>
      </c>
      <c r="I2926" s="25">
        <v>7.5</v>
      </c>
      <c r="J2926" s="11" t="s">
        <v>19</v>
      </c>
      <c r="K2926" s="11" t="s">
        <v>20</v>
      </c>
      <c r="L2926" s="11" t="s">
        <v>35</v>
      </c>
      <c r="M2926" s="11" t="s">
        <v>29</v>
      </c>
      <c r="N2926" s="11" t="s">
        <v>29</v>
      </c>
      <c r="O2926" s="16" t="s">
        <v>29</v>
      </c>
      <c r="P2926" s="15">
        <v>226</v>
      </c>
      <c r="Q2926" s="8"/>
      <c r="R2926">
        <v>13.34</v>
      </c>
      <c r="S2926">
        <v>2374.94</v>
      </c>
      <c r="T2926">
        <v>3.16</v>
      </c>
      <c r="U2926">
        <v>9.58</v>
      </c>
      <c r="V2926">
        <v>133</v>
      </c>
      <c r="W2926" s="317">
        <v>3.9</v>
      </c>
      <c r="X2926" s="190">
        <f t="shared" si="130"/>
        <v>29.25</v>
      </c>
      <c r="Y2926" s="8"/>
      <c r="Z2926" s="8"/>
    </row>
    <row r="2927" spans="1:26" ht="12.75" customHeight="1" x14ac:dyDescent="0.2">
      <c r="A2927" s="15">
        <v>42</v>
      </c>
      <c r="B2927" s="15">
        <v>1994</v>
      </c>
      <c r="C2927" s="15">
        <v>14</v>
      </c>
      <c r="D2927" s="15">
        <v>8</v>
      </c>
      <c r="E2927" s="22" t="s">
        <v>17</v>
      </c>
      <c r="F2927" s="11" t="s">
        <v>18</v>
      </c>
      <c r="G2927" s="15">
        <v>145</v>
      </c>
      <c r="H2927" s="15" t="s">
        <v>29</v>
      </c>
      <c r="I2927" s="25">
        <v>7</v>
      </c>
      <c r="J2927" s="11" t="s">
        <v>19</v>
      </c>
      <c r="K2927" s="11" t="s">
        <v>20</v>
      </c>
      <c r="L2927" s="11" t="s">
        <v>21</v>
      </c>
      <c r="M2927" s="11" t="s">
        <v>29</v>
      </c>
      <c r="N2927" s="11" t="s">
        <v>29</v>
      </c>
      <c r="O2927" s="16" t="s">
        <v>29</v>
      </c>
      <c r="P2927" s="15">
        <v>226</v>
      </c>
      <c r="Q2927" s="8"/>
      <c r="R2927">
        <v>13.53</v>
      </c>
      <c r="S2927">
        <v>2475.9899999999998</v>
      </c>
      <c r="T2927">
        <v>2.83</v>
      </c>
      <c r="U2927">
        <v>9.7200000000000006</v>
      </c>
      <c r="V2927">
        <v>135</v>
      </c>
      <c r="W2927" s="317">
        <v>3.9</v>
      </c>
      <c r="X2927" s="190">
        <f t="shared" si="130"/>
        <v>27.3</v>
      </c>
      <c r="Y2927" s="8"/>
      <c r="Z2927" s="8"/>
    </row>
    <row r="2928" spans="1:26" ht="12.75" customHeight="1" x14ac:dyDescent="0.2">
      <c r="A2928" s="15">
        <v>43</v>
      </c>
      <c r="B2928" s="15">
        <v>1994</v>
      </c>
      <c r="C2928" s="15">
        <v>14</v>
      </c>
      <c r="D2928" s="15">
        <v>8</v>
      </c>
      <c r="E2928" s="22" t="s">
        <v>17</v>
      </c>
      <c r="F2928" s="11" t="s">
        <v>18</v>
      </c>
      <c r="G2928" s="15">
        <v>153</v>
      </c>
      <c r="H2928" s="15" t="s">
        <v>29</v>
      </c>
      <c r="I2928" s="25">
        <v>8</v>
      </c>
      <c r="J2928" s="11" t="s">
        <v>19</v>
      </c>
      <c r="K2928" s="11" t="s">
        <v>20</v>
      </c>
      <c r="L2928" s="11" t="s">
        <v>35</v>
      </c>
      <c r="M2928" s="11" t="s">
        <v>29</v>
      </c>
      <c r="N2928" s="11" t="s">
        <v>23</v>
      </c>
      <c r="O2928" s="16" t="s">
        <v>29</v>
      </c>
      <c r="P2928" s="15">
        <v>226</v>
      </c>
      <c r="Q2928" s="8"/>
      <c r="R2928">
        <v>14.27</v>
      </c>
      <c r="S2928">
        <v>2908.84</v>
      </c>
      <c r="T2928">
        <v>2.75</v>
      </c>
      <c r="U2928">
        <v>10.25</v>
      </c>
      <c r="V2928">
        <v>143</v>
      </c>
      <c r="W2928" s="317">
        <v>3.9</v>
      </c>
      <c r="X2928" s="190">
        <f t="shared" si="130"/>
        <v>31.2</v>
      </c>
      <c r="Y2928" s="8"/>
      <c r="Z2928" s="8"/>
    </row>
    <row r="2929" spans="1:26" ht="12.75" customHeight="1" x14ac:dyDescent="0.2">
      <c r="A2929" s="15">
        <v>44</v>
      </c>
      <c r="B2929" s="15">
        <v>1994</v>
      </c>
      <c r="C2929" s="15">
        <v>14</v>
      </c>
      <c r="D2929" s="15">
        <v>8</v>
      </c>
      <c r="E2929" s="22" t="s">
        <v>17</v>
      </c>
      <c r="F2929" s="11" t="s">
        <v>18</v>
      </c>
      <c r="G2929" s="15">
        <v>141</v>
      </c>
      <c r="H2929" s="15" t="s">
        <v>29</v>
      </c>
      <c r="I2929" s="25">
        <v>12</v>
      </c>
      <c r="J2929" s="11" t="s">
        <v>19</v>
      </c>
      <c r="K2929" s="11" t="s">
        <v>20</v>
      </c>
      <c r="L2929" s="11" t="s">
        <v>30</v>
      </c>
      <c r="M2929" s="11" t="s">
        <v>29</v>
      </c>
      <c r="N2929" s="11" t="s">
        <v>23</v>
      </c>
      <c r="O2929" s="16" t="s">
        <v>29</v>
      </c>
      <c r="P2929" s="15">
        <v>226</v>
      </c>
      <c r="Q2929" s="8"/>
      <c r="R2929">
        <v>13.16</v>
      </c>
      <c r="S2929">
        <v>2276.6799999999998</v>
      </c>
      <c r="T2929">
        <v>5.27</v>
      </c>
      <c r="U2929">
        <v>9.4499999999999993</v>
      </c>
      <c r="V2929">
        <v>132</v>
      </c>
      <c r="W2929" s="317">
        <v>4.5999999999999996</v>
      </c>
      <c r="X2929" s="190">
        <f t="shared" si="130"/>
        <v>55.199999999999996</v>
      </c>
      <c r="Y2929" s="8"/>
      <c r="Z2929" s="8"/>
    </row>
    <row r="2930" spans="1:26" ht="12.75" customHeight="1" x14ac:dyDescent="0.2">
      <c r="A2930" s="15">
        <v>45</v>
      </c>
      <c r="B2930" s="15">
        <v>1994</v>
      </c>
      <c r="C2930" s="15">
        <v>14</v>
      </c>
      <c r="D2930" s="15">
        <v>8</v>
      </c>
      <c r="E2930" s="22" t="s">
        <v>17</v>
      </c>
      <c r="F2930" s="11" t="s">
        <v>18</v>
      </c>
      <c r="G2930" s="15">
        <v>162</v>
      </c>
      <c r="H2930" s="15" t="s">
        <v>29</v>
      </c>
      <c r="I2930" s="25">
        <v>18</v>
      </c>
      <c r="J2930" s="11" t="s">
        <v>19</v>
      </c>
      <c r="K2930" s="11" t="s">
        <v>34</v>
      </c>
      <c r="L2930" s="11" t="s">
        <v>41</v>
      </c>
      <c r="M2930" s="11" t="s">
        <v>29</v>
      </c>
      <c r="N2930" s="11" t="s">
        <v>23</v>
      </c>
      <c r="O2930" s="16" t="s">
        <v>29</v>
      </c>
      <c r="P2930" s="15">
        <v>226</v>
      </c>
      <c r="Q2930" s="8"/>
      <c r="R2930">
        <v>15.11</v>
      </c>
      <c r="S2930">
        <v>3452.95</v>
      </c>
      <c r="T2930">
        <v>5.21</v>
      </c>
      <c r="U2930">
        <v>10.85</v>
      </c>
      <c r="V2930">
        <v>151</v>
      </c>
      <c r="W2930" s="317">
        <v>3.8</v>
      </c>
      <c r="X2930" s="190">
        <f t="shared" si="130"/>
        <v>68.399999999999991</v>
      </c>
      <c r="Y2930" s="8"/>
      <c r="Z2930" s="8"/>
    </row>
    <row r="2931" spans="1:26" ht="12.75" customHeight="1" x14ac:dyDescent="0.2">
      <c r="A2931" s="15">
        <v>46</v>
      </c>
      <c r="B2931" s="15">
        <v>1994</v>
      </c>
      <c r="C2931" s="15">
        <v>14</v>
      </c>
      <c r="D2931" s="15">
        <v>8</v>
      </c>
      <c r="E2931" s="22" t="s">
        <v>17</v>
      </c>
      <c r="F2931" s="11" t="s">
        <v>18</v>
      </c>
      <c r="G2931" s="15">
        <v>157</v>
      </c>
      <c r="H2931" s="15" t="s">
        <v>29</v>
      </c>
      <c r="I2931" s="25">
        <v>14</v>
      </c>
      <c r="J2931" s="11" t="s">
        <v>19</v>
      </c>
      <c r="K2931" s="11" t="s">
        <v>20</v>
      </c>
      <c r="L2931" s="11" t="s">
        <v>21</v>
      </c>
      <c r="M2931" s="11" t="s">
        <v>29</v>
      </c>
      <c r="N2931" s="11" t="s">
        <v>23</v>
      </c>
      <c r="O2931" s="16" t="s">
        <v>29</v>
      </c>
      <c r="P2931" s="15">
        <v>226</v>
      </c>
      <c r="Q2931" s="8"/>
      <c r="R2931">
        <v>14.65</v>
      </c>
      <c r="S2931">
        <v>3143</v>
      </c>
      <c r="T2931">
        <v>4.45</v>
      </c>
      <c r="U2931">
        <v>10.52</v>
      </c>
      <c r="V2931">
        <v>146</v>
      </c>
      <c r="W2931" s="317">
        <v>3.9</v>
      </c>
      <c r="X2931" s="190">
        <f>I2931*W2931</f>
        <v>54.6</v>
      </c>
      <c r="Y2931" s="8"/>
      <c r="Z2931" s="8"/>
    </row>
    <row r="2932" spans="1:26" ht="12.75" customHeight="1" x14ac:dyDescent="0.2">
      <c r="A2932" s="15">
        <v>47</v>
      </c>
      <c r="B2932" s="15">
        <v>1994</v>
      </c>
      <c r="C2932" s="15">
        <v>14</v>
      </c>
      <c r="D2932" s="15">
        <v>8</v>
      </c>
      <c r="E2932" s="22" t="s">
        <v>17</v>
      </c>
      <c r="F2932" s="11" t="s">
        <v>18</v>
      </c>
      <c r="G2932" s="15">
        <v>165</v>
      </c>
      <c r="H2932" s="15" t="s">
        <v>29</v>
      </c>
      <c r="I2932" s="25">
        <v>19.5</v>
      </c>
      <c r="J2932" s="11" t="s">
        <v>19</v>
      </c>
      <c r="K2932" s="11" t="s">
        <v>20</v>
      </c>
      <c r="L2932" s="11" t="s">
        <v>30</v>
      </c>
      <c r="M2932" s="11" t="s">
        <v>29</v>
      </c>
      <c r="N2932" s="11" t="s">
        <v>25</v>
      </c>
      <c r="O2932" s="16" t="s">
        <v>29</v>
      </c>
      <c r="P2932" s="15">
        <v>226</v>
      </c>
      <c r="Q2932" s="8"/>
      <c r="R2932">
        <v>15.39</v>
      </c>
      <c r="S2932">
        <v>3648.35</v>
      </c>
      <c r="T2932">
        <v>5.34</v>
      </c>
      <c r="U2932">
        <v>11.06</v>
      </c>
      <c r="V2932">
        <v>154</v>
      </c>
      <c r="W2932" s="317">
        <v>4.5999999999999996</v>
      </c>
      <c r="X2932" s="190">
        <f>I2932*W2932</f>
        <v>89.699999999999989</v>
      </c>
      <c r="Y2932" s="8"/>
      <c r="Z2932" s="8"/>
    </row>
    <row r="2933" spans="1:26" ht="12.75" customHeight="1" x14ac:dyDescent="0.2">
      <c r="A2933" s="15">
        <v>48</v>
      </c>
      <c r="B2933" s="15">
        <v>1994</v>
      </c>
      <c r="C2933" s="15">
        <v>14</v>
      </c>
      <c r="D2933" s="15">
        <v>8</v>
      </c>
      <c r="E2933" s="22" t="s">
        <v>17</v>
      </c>
      <c r="F2933" s="11" t="s">
        <v>18</v>
      </c>
      <c r="G2933" s="15">
        <v>165</v>
      </c>
      <c r="H2933" s="15" t="s">
        <v>29</v>
      </c>
      <c r="I2933" s="25">
        <v>15.5</v>
      </c>
      <c r="J2933" s="11" t="s">
        <v>19</v>
      </c>
      <c r="K2933" s="11" t="s">
        <v>20</v>
      </c>
      <c r="L2933" s="11" t="s">
        <v>21</v>
      </c>
      <c r="M2933" s="11" t="s">
        <v>29</v>
      </c>
      <c r="N2933" s="11" t="s">
        <v>23</v>
      </c>
      <c r="O2933" s="16" t="s">
        <v>29</v>
      </c>
      <c r="P2933" s="15">
        <v>226</v>
      </c>
      <c r="Q2933" s="8"/>
      <c r="R2933">
        <v>15.39</v>
      </c>
      <c r="S2933">
        <v>3648.35</v>
      </c>
      <c r="T2933">
        <v>4.25</v>
      </c>
      <c r="U2933">
        <v>11.06</v>
      </c>
      <c r="V2933">
        <v>154</v>
      </c>
      <c r="W2933" s="317">
        <v>3.9</v>
      </c>
      <c r="X2933" s="190">
        <f>I2933*W2933</f>
        <v>60.449999999999996</v>
      </c>
      <c r="Y2933" s="8"/>
      <c r="Z2933" s="8"/>
    </row>
    <row r="2934" spans="1:26" ht="12.75" customHeight="1" x14ac:dyDescent="0.2">
      <c r="A2934" s="15">
        <v>49</v>
      </c>
      <c r="B2934" s="15">
        <v>1994</v>
      </c>
      <c r="C2934" s="15">
        <v>14</v>
      </c>
      <c r="D2934" s="15">
        <v>8</v>
      </c>
      <c r="E2934" s="22" t="s">
        <v>17</v>
      </c>
      <c r="F2934" s="11" t="s">
        <v>18</v>
      </c>
      <c r="G2934" s="15">
        <v>137</v>
      </c>
      <c r="H2934" s="15" t="s">
        <v>29</v>
      </c>
      <c r="I2934" s="25" t="s">
        <v>29</v>
      </c>
      <c r="J2934" s="11" t="s">
        <v>19</v>
      </c>
      <c r="K2934" s="11" t="s">
        <v>20</v>
      </c>
      <c r="L2934" s="11" t="s">
        <v>30</v>
      </c>
      <c r="M2934" s="11" t="s">
        <v>29</v>
      </c>
      <c r="N2934" s="11" t="s">
        <v>25</v>
      </c>
      <c r="O2934" s="16" t="s">
        <v>29</v>
      </c>
      <c r="P2934" s="15">
        <v>226</v>
      </c>
      <c r="Q2934" s="8"/>
      <c r="U2934">
        <v>9.18</v>
      </c>
      <c r="V2934">
        <v>128</v>
      </c>
      <c r="W2934" s="317">
        <v>4.5999999999999996</v>
      </c>
      <c r="X2934" s="190"/>
      <c r="Y2934" s="8"/>
      <c r="Z2934" s="8"/>
    </row>
    <row r="2935" spans="1:26" ht="12.75" customHeight="1" x14ac:dyDescent="0.2">
      <c r="A2935" s="15">
        <v>50</v>
      </c>
      <c r="B2935" s="15">
        <v>1994</v>
      </c>
      <c r="C2935" s="15">
        <v>14</v>
      </c>
      <c r="D2935" s="15">
        <v>8</v>
      </c>
      <c r="E2935" s="22" t="s">
        <v>17</v>
      </c>
      <c r="F2935" s="11" t="s">
        <v>18</v>
      </c>
      <c r="G2935" s="15">
        <v>148</v>
      </c>
      <c r="H2935" s="15" t="s">
        <v>29</v>
      </c>
      <c r="I2935" s="25">
        <v>12.5</v>
      </c>
      <c r="J2935" s="11" t="s">
        <v>19</v>
      </c>
      <c r="K2935" s="11" t="s">
        <v>20</v>
      </c>
      <c r="L2935" s="11" t="s">
        <v>30</v>
      </c>
      <c r="M2935" s="11" t="s">
        <v>29</v>
      </c>
      <c r="N2935" s="11" t="s">
        <v>33</v>
      </c>
      <c r="O2935" s="16" t="s">
        <v>29</v>
      </c>
      <c r="P2935" s="15">
        <v>226</v>
      </c>
      <c r="Q2935" s="8"/>
      <c r="R2935">
        <v>13.81</v>
      </c>
      <c r="S2935">
        <v>2632.87</v>
      </c>
      <c r="T2935">
        <v>4.75</v>
      </c>
      <c r="U2935">
        <v>9.92</v>
      </c>
      <c r="V2935">
        <v>138</v>
      </c>
      <c r="W2935" s="317">
        <v>4.5999999999999996</v>
      </c>
      <c r="X2935" s="190">
        <f>I2935*W2935</f>
        <v>57.499999999999993</v>
      </c>
      <c r="Y2935" s="8"/>
      <c r="Z2935" s="8"/>
    </row>
    <row r="2936" spans="1:26" ht="12.75" customHeight="1" x14ac:dyDescent="0.2">
      <c r="A2936" s="15">
        <v>51</v>
      </c>
      <c r="B2936" s="15">
        <v>1994</v>
      </c>
      <c r="C2936" s="15">
        <v>14</v>
      </c>
      <c r="D2936" s="15">
        <v>8</v>
      </c>
      <c r="E2936" s="22" t="s">
        <v>17</v>
      </c>
      <c r="F2936" s="11" t="s">
        <v>28</v>
      </c>
      <c r="G2936" s="11" t="s">
        <v>29</v>
      </c>
      <c r="H2936" s="15" t="s">
        <v>29</v>
      </c>
      <c r="I2936" s="25" t="s">
        <v>29</v>
      </c>
      <c r="J2936" s="11" t="s">
        <v>19</v>
      </c>
      <c r="K2936" s="11" t="s">
        <v>20</v>
      </c>
      <c r="L2936" s="11" t="s">
        <v>41</v>
      </c>
      <c r="M2936" s="11" t="s">
        <v>29</v>
      </c>
      <c r="N2936" s="11" t="s">
        <v>28</v>
      </c>
      <c r="O2936" s="16" t="s">
        <v>29</v>
      </c>
      <c r="P2936" s="15">
        <v>226</v>
      </c>
      <c r="Q2936" s="8"/>
      <c r="W2936" s="8"/>
      <c r="X2936" s="8"/>
      <c r="Y2936" s="8"/>
      <c r="Z2936" s="8"/>
    </row>
    <row r="2937" spans="1:26" ht="12.75" customHeight="1" x14ac:dyDescent="0.2">
      <c r="A2937" s="15">
        <v>52</v>
      </c>
      <c r="B2937" s="15">
        <v>1994</v>
      </c>
      <c r="C2937" s="15">
        <v>14</v>
      </c>
      <c r="D2937" s="15">
        <v>8</v>
      </c>
      <c r="E2937" s="22" t="s">
        <v>17</v>
      </c>
      <c r="F2937" s="11" t="s">
        <v>18</v>
      </c>
      <c r="G2937" s="15">
        <v>165</v>
      </c>
      <c r="H2937" s="15" t="s">
        <v>29</v>
      </c>
      <c r="I2937" s="25" t="s">
        <v>29</v>
      </c>
      <c r="J2937" s="11" t="s">
        <v>19</v>
      </c>
      <c r="K2937" s="11" t="s">
        <v>34</v>
      </c>
      <c r="L2937" s="11" t="s">
        <v>41</v>
      </c>
      <c r="M2937" s="11" t="s">
        <v>29</v>
      </c>
      <c r="N2937" s="11" t="s">
        <v>25</v>
      </c>
      <c r="O2937" s="16" t="s">
        <v>29</v>
      </c>
      <c r="P2937" s="15">
        <v>226</v>
      </c>
      <c r="Q2937" s="8"/>
      <c r="U2937">
        <v>11.06</v>
      </c>
      <c r="V2937">
        <v>154</v>
      </c>
      <c r="W2937" s="317">
        <v>3.8</v>
      </c>
      <c r="X2937" s="190"/>
      <c r="Y2937" s="8"/>
      <c r="Z2937" s="8"/>
    </row>
    <row r="2938" spans="1:26" ht="12.75" customHeight="1" x14ac:dyDescent="0.2">
      <c r="A2938" s="15">
        <v>53</v>
      </c>
      <c r="B2938" s="15">
        <v>1994</v>
      </c>
      <c r="C2938" s="15">
        <v>14</v>
      </c>
      <c r="D2938" s="15">
        <v>8</v>
      </c>
      <c r="E2938" s="22" t="s">
        <v>17</v>
      </c>
      <c r="F2938" s="11" t="s">
        <v>18</v>
      </c>
      <c r="G2938" s="15">
        <v>130</v>
      </c>
      <c r="H2938" s="15" t="s">
        <v>29</v>
      </c>
      <c r="I2938" s="25">
        <v>6.5</v>
      </c>
      <c r="J2938" s="11" t="s">
        <v>19</v>
      </c>
      <c r="K2938" s="11" t="s">
        <v>20</v>
      </c>
      <c r="L2938" s="11" t="s">
        <v>35</v>
      </c>
      <c r="M2938" s="11" t="s">
        <v>29</v>
      </c>
      <c r="N2938" s="11" t="s">
        <v>29</v>
      </c>
      <c r="O2938" s="16" t="s">
        <v>29</v>
      </c>
      <c r="P2938" s="15">
        <v>226</v>
      </c>
      <c r="Q2938" s="8"/>
      <c r="R2938">
        <v>12.13</v>
      </c>
      <c r="S2938">
        <v>1784.33</v>
      </c>
      <c r="T2938">
        <v>3.64</v>
      </c>
      <c r="U2938">
        <v>8.7100000000000009</v>
      </c>
      <c r="V2938">
        <v>121</v>
      </c>
      <c r="W2938" s="317">
        <v>3.9</v>
      </c>
      <c r="X2938" s="190">
        <f t="shared" ref="X2938:X2941" si="131">I2938*W2938</f>
        <v>25.349999999999998</v>
      </c>
      <c r="Y2938" s="8"/>
      <c r="Z2938" s="8"/>
    </row>
    <row r="2939" spans="1:26" ht="12.75" customHeight="1" x14ac:dyDescent="0.2">
      <c r="A2939" s="15">
        <v>54</v>
      </c>
      <c r="B2939" s="15">
        <v>1994</v>
      </c>
      <c r="C2939" s="15">
        <v>14</v>
      </c>
      <c r="D2939" s="15">
        <v>8</v>
      </c>
      <c r="E2939" s="22" t="s">
        <v>17</v>
      </c>
      <c r="F2939" s="11" t="s">
        <v>18</v>
      </c>
      <c r="G2939" s="15">
        <v>111</v>
      </c>
      <c r="H2939" s="15" t="s">
        <v>29</v>
      </c>
      <c r="I2939" s="25" t="s">
        <v>29</v>
      </c>
      <c r="J2939" s="11" t="s">
        <v>19</v>
      </c>
      <c r="K2939" s="11" t="s">
        <v>20</v>
      </c>
      <c r="L2939" s="11" t="s">
        <v>35</v>
      </c>
      <c r="M2939" s="11" t="s">
        <v>29</v>
      </c>
      <c r="N2939" s="11" t="s">
        <v>29</v>
      </c>
      <c r="O2939" s="16" t="s">
        <v>29</v>
      </c>
      <c r="P2939" s="15">
        <v>226</v>
      </c>
      <c r="Q2939" s="8"/>
      <c r="U2939">
        <v>7.44</v>
      </c>
      <c r="V2939">
        <v>104</v>
      </c>
      <c r="W2939" s="317">
        <v>3.9</v>
      </c>
      <c r="X2939" s="190"/>
      <c r="Y2939" s="8"/>
      <c r="Z2939" s="8"/>
    </row>
    <row r="2940" spans="1:26" ht="12.75" customHeight="1" x14ac:dyDescent="0.2">
      <c r="A2940" s="15">
        <v>55</v>
      </c>
      <c r="B2940" s="15">
        <v>1994</v>
      </c>
      <c r="C2940" s="15">
        <v>14</v>
      </c>
      <c r="D2940" s="15">
        <v>8</v>
      </c>
      <c r="E2940" s="22" t="s">
        <v>17</v>
      </c>
      <c r="F2940" s="11" t="s">
        <v>18</v>
      </c>
      <c r="G2940" s="15">
        <v>153</v>
      </c>
      <c r="H2940" s="15" t="s">
        <v>29</v>
      </c>
      <c r="I2940" s="25">
        <v>10.5</v>
      </c>
      <c r="J2940" s="11" t="s">
        <v>19</v>
      </c>
      <c r="K2940" s="11" t="s">
        <v>20</v>
      </c>
      <c r="L2940" s="11" t="s">
        <v>35</v>
      </c>
      <c r="M2940" s="11" t="s">
        <v>29</v>
      </c>
      <c r="N2940" s="11" t="s">
        <v>23</v>
      </c>
      <c r="O2940" s="16" t="s">
        <v>29</v>
      </c>
      <c r="P2940" s="15">
        <v>226</v>
      </c>
      <c r="Q2940" s="8"/>
      <c r="R2940">
        <v>14.27</v>
      </c>
      <c r="S2940">
        <v>2908.84</v>
      </c>
      <c r="T2940">
        <v>3.61</v>
      </c>
      <c r="U2940">
        <v>10.25</v>
      </c>
      <c r="V2940">
        <v>143</v>
      </c>
      <c r="W2940" s="317">
        <v>3.9</v>
      </c>
      <c r="X2940" s="190">
        <f t="shared" si="131"/>
        <v>40.949999999999996</v>
      </c>
      <c r="Y2940" s="8"/>
      <c r="Z2940" s="8"/>
    </row>
    <row r="2941" spans="1:26" ht="12.75" customHeight="1" x14ac:dyDescent="0.2">
      <c r="A2941" s="15">
        <v>56</v>
      </c>
      <c r="B2941" s="15">
        <v>1994</v>
      </c>
      <c r="C2941" s="15">
        <v>14</v>
      </c>
      <c r="D2941" s="15">
        <v>8</v>
      </c>
      <c r="E2941" s="22" t="s">
        <v>17</v>
      </c>
      <c r="F2941" s="11" t="s">
        <v>18</v>
      </c>
      <c r="G2941" s="15">
        <v>133</v>
      </c>
      <c r="H2941" s="15" t="s">
        <v>29</v>
      </c>
      <c r="I2941" s="25">
        <v>9.5</v>
      </c>
      <c r="J2941" s="11" t="s">
        <v>19</v>
      </c>
      <c r="K2941" s="11" t="s">
        <v>20</v>
      </c>
      <c r="L2941" s="11" t="s">
        <v>30</v>
      </c>
      <c r="M2941" s="11" t="s">
        <v>29</v>
      </c>
      <c r="N2941" s="11" t="s">
        <v>29</v>
      </c>
      <c r="O2941" s="16" t="s">
        <v>29</v>
      </c>
      <c r="P2941" s="15">
        <v>226</v>
      </c>
      <c r="Q2941" s="8"/>
      <c r="R2941">
        <v>12.41</v>
      </c>
      <c r="S2941">
        <v>1910.73</v>
      </c>
      <c r="T2941">
        <v>4.97</v>
      </c>
      <c r="U2941">
        <v>8.91</v>
      </c>
      <c r="V2941">
        <v>124</v>
      </c>
      <c r="W2941" s="317">
        <v>4.5999999999999996</v>
      </c>
      <c r="X2941" s="190">
        <f t="shared" si="131"/>
        <v>43.699999999999996</v>
      </c>
      <c r="Y2941" s="8"/>
      <c r="Z2941" s="8"/>
    </row>
    <row r="2942" spans="1:26" ht="12.75" customHeight="1" x14ac:dyDescent="0.2">
      <c r="A2942" s="15">
        <v>57</v>
      </c>
      <c r="B2942" s="15">
        <v>1994</v>
      </c>
      <c r="C2942" s="15">
        <v>14</v>
      </c>
      <c r="D2942" s="15">
        <v>8</v>
      </c>
      <c r="E2942" s="22" t="s">
        <v>17</v>
      </c>
      <c r="F2942" s="11" t="s">
        <v>18</v>
      </c>
      <c r="G2942" s="15">
        <v>143</v>
      </c>
      <c r="H2942" s="15" t="s">
        <v>29</v>
      </c>
      <c r="I2942" s="25" t="s">
        <v>29</v>
      </c>
      <c r="J2942" s="11" t="s">
        <v>19</v>
      </c>
      <c r="K2942" s="11" t="s">
        <v>20</v>
      </c>
      <c r="L2942" s="11" t="s">
        <v>21</v>
      </c>
      <c r="M2942" s="11" t="s">
        <v>29</v>
      </c>
      <c r="N2942" s="11" t="s">
        <v>23</v>
      </c>
      <c r="O2942" s="16" t="s">
        <v>29</v>
      </c>
      <c r="P2942" s="15">
        <v>226</v>
      </c>
      <c r="Q2942" s="8"/>
      <c r="U2942">
        <v>9.58</v>
      </c>
      <c r="V2942">
        <v>133</v>
      </c>
      <c r="W2942" s="317">
        <v>3.9</v>
      </c>
      <c r="X2942" s="190"/>
      <c r="Y2942" s="8"/>
      <c r="Z2942" s="8"/>
    </row>
    <row r="2943" spans="1:26" ht="12.75" customHeight="1" x14ac:dyDescent="0.2">
      <c r="A2943" s="15">
        <v>58</v>
      </c>
      <c r="B2943" s="15">
        <v>1994</v>
      </c>
      <c r="C2943" s="15">
        <v>14</v>
      </c>
      <c r="D2943" s="15">
        <v>8</v>
      </c>
      <c r="E2943" s="22" t="s">
        <v>17</v>
      </c>
      <c r="F2943" s="11" t="s">
        <v>18</v>
      </c>
      <c r="G2943" s="15">
        <v>153</v>
      </c>
      <c r="H2943" s="15" t="s">
        <v>29</v>
      </c>
      <c r="I2943" s="25" t="s">
        <v>29</v>
      </c>
      <c r="J2943" s="11" t="s">
        <v>19</v>
      </c>
      <c r="K2943" s="11" t="s">
        <v>20</v>
      </c>
      <c r="L2943" s="11" t="s">
        <v>21</v>
      </c>
      <c r="M2943" s="11" t="s">
        <v>29</v>
      </c>
      <c r="N2943" s="11" t="s">
        <v>25</v>
      </c>
      <c r="O2943" s="16" t="s">
        <v>29</v>
      </c>
      <c r="P2943" s="15">
        <v>226</v>
      </c>
      <c r="Q2943" s="8"/>
      <c r="U2943">
        <v>10.25</v>
      </c>
      <c r="V2943">
        <v>143</v>
      </c>
      <c r="W2943" s="317">
        <v>3.9</v>
      </c>
      <c r="X2943" s="190"/>
      <c r="Y2943" s="8"/>
      <c r="Z2943" s="8"/>
    </row>
    <row r="2944" spans="1:26" ht="12.75" customHeight="1" x14ac:dyDescent="0.2">
      <c r="A2944" s="15">
        <v>59</v>
      </c>
      <c r="B2944" s="15">
        <v>1994</v>
      </c>
      <c r="C2944" s="15">
        <v>14</v>
      </c>
      <c r="D2944" s="15">
        <v>8</v>
      </c>
      <c r="E2944" s="22" t="s">
        <v>17</v>
      </c>
      <c r="F2944" s="11" t="s">
        <v>18</v>
      </c>
      <c r="G2944" s="15">
        <v>125</v>
      </c>
      <c r="H2944" s="15" t="s">
        <v>29</v>
      </c>
      <c r="I2944" s="25" t="s">
        <v>29</v>
      </c>
      <c r="J2944" s="11" t="s">
        <v>19</v>
      </c>
      <c r="K2944" s="11" t="s">
        <v>20</v>
      </c>
      <c r="L2944" s="11" t="s">
        <v>30</v>
      </c>
      <c r="M2944" s="11" t="s">
        <v>29</v>
      </c>
      <c r="N2944" s="11" t="s">
        <v>29</v>
      </c>
      <c r="O2944" s="16" t="s">
        <v>29</v>
      </c>
      <c r="P2944" s="15">
        <v>226</v>
      </c>
      <c r="Q2944" s="8"/>
      <c r="U2944">
        <v>8.3800000000000008</v>
      </c>
      <c r="V2944">
        <v>117</v>
      </c>
      <c r="W2944" s="317">
        <v>4.5999999999999996</v>
      </c>
      <c r="X2944" s="190"/>
      <c r="Y2944" s="8"/>
      <c r="Z2944" s="8"/>
    </row>
    <row r="2945" spans="1:26" ht="12.75" customHeight="1" x14ac:dyDescent="0.2">
      <c r="A2945" s="15">
        <v>60</v>
      </c>
      <c r="B2945" s="15">
        <v>1994</v>
      </c>
      <c r="C2945" s="15">
        <v>14</v>
      </c>
      <c r="D2945" s="15">
        <v>8</v>
      </c>
      <c r="E2945" s="22" t="s">
        <v>17</v>
      </c>
      <c r="F2945" s="11" t="s">
        <v>28</v>
      </c>
      <c r="G2945" s="11" t="s">
        <v>29</v>
      </c>
      <c r="H2945" s="15" t="s">
        <v>29</v>
      </c>
      <c r="I2945" s="25" t="s">
        <v>29</v>
      </c>
      <c r="J2945" s="11" t="s">
        <v>209</v>
      </c>
      <c r="K2945" s="11" t="s">
        <v>29</v>
      </c>
      <c r="L2945" s="11" t="s">
        <v>29</v>
      </c>
      <c r="M2945" s="11" t="s">
        <v>29</v>
      </c>
      <c r="N2945" s="11" t="s">
        <v>25</v>
      </c>
      <c r="O2945" s="16" t="s">
        <v>29</v>
      </c>
      <c r="P2945" s="15">
        <v>226</v>
      </c>
      <c r="Q2945" s="8"/>
      <c r="W2945" s="8"/>
      <c r="X2945" s="8"/>
      <c r="Y2945" s="8"/>
      <c r="Z2945" s="8"/>
    </row>
    <row r="2946" spans="1:26" ht="12.75" customHeight="1" x14ac:dyDescent="0.2">
      <c r="A2946" s="15">
        <v>61</v>
      </c>
      <c r="B2946" s="15">
        <v>1994</v>
      </c>
      <c r="C2946" s="15">
        <v>14</v>
      </c>
      <c r="D2946" s="15">
        <v>8</v>
      </c>
      <c r="E2946" s="22" t="s">
        <v>17</v>
      </c>
      <c r="F2946" s="11" t="s">
        <v>18</v>
      </c>
      <c r="G2946" s="15">
        <v>155</v>
      </c>
      <c r="H2946" s="15" t="s">
        <v>29</v>
      </c>
      <c r="I2946" s="25" t="s">
        <v>29</v>
      </c>
      <c r="J2946" s="11" t="s">
        <v>19</v>
      </c>
      <c r="K2946" s="11" t="s">
        <v>20</v>
      </c>
      <c r="L2946" s="11" t="s">
        <v>30</v>
      </c>
      <c r="M2946" s="11" t="s">
        <v>29</v>
      </c>
      <c r="N2946" s="11" t="s">
        <v>23</v>
      </c>
      <c r="O2946" s="16" t="s">
        <v>29</v>
      </c>
      <c r="P2946" s="15">
        <v>226</v>
      </c>
      <c r="Q2946" s="8"/>
      <c r="U2946">
        <v>10.39</v>
      </c>
      <c r="V2946">
        <v>145</v>
      </c>
      <c r="W2946" s="317">
        <v>4.5999999999999996</v>
      </c>
      <c r="X2946" s="190"/>
      <c r="Y2946" s="8"/>
      <c r="Z2946" s="8"/>
    </row>
    <row r="2947" spans="1:26" ht="12.75" customHeight="1" x14ac:dyDescent="0.2">
      <c r="A2947" s="15">
        <v>62</v>
      </c>
      <c r="B2947" s="15">
        <v>1994</v>
      </c>
      <c r="C2947" s="15">
        <v>14</v>
      </c>
      <c r="D2947" s="15">
        <v>8</v>
      </c>
      <c r="E2947" s="22" t="s">
        <v>17</v>
      </c>
      <c r="F2947" s="11" t="s">
        <v>18</v>
      </c>
      <c r="G2947" s="15">
        <v>170</v>
      </c>
      <c r="H2947" s="15" t="s">
        <v>29</v>
      </c>
      <c r="I2947" s="25" t="s">
        <v>29</v>
      </c>
      <c r="J2947" s="11" t="s">
        <v>19</v>
      </c>
      <c r="K2947" s="11" t="s">
        <v>34</v>
      </c>
      <c r="L2947" s="11" t="s">
        <v>41</v>
      </c>
      <c r="M2947" s="11" t="s">
        <v>29</v>
      </c>
      <c r="N2947" s="11" t="s">
        <v>23</v>
      </c>
      <c r="O2947" s="16" t="s">
        <v>29</v>
      </c>
      <c r="P2947" s="15">
        <v>226</v>
      </c>
      <c r="Q2947" s="8"/>
      <c r="U2947">
        <v>11.39</v>
      </c>
      <c r="V2947">
        <v>159</v>
      </c>
      <c r="W2947" s="317">
        <v>3.8</v>
      </c>
      <c r="X2947" s="190"/>
      <c r="Y2947" s="8"/>
      <c r="Z2947" s="8"/>
    </row>
    <row r="2948" spans="1:26" ht="12.75" customHeight="1" x14ac:dyDescent="0.2">
      <c r="A2948" s="15">
        <v>63</v>
      </c>
      <c r="B2948" s="15">
        <v>1994</v>
      </c>
      <c r="C2948" s="15">
        <v>14</v>
      </c>
      <c r="D2948" s="15">
        <v>8</v>
      </c>
      <c r="E2948" s="22" t="s">
        <v>17</v>
      </c>
      <c r="F2948" s="11" t="s">
        <v>18</v>
      </c>
      <c r="G2948" s="15">
        <v>136</v>
      </c>
      <c r="H2948" s="15" t="s">
        <v>29</v>
      </c>
      <c r="I2948" s="25" t="s">
        <v>29</v>
      </c>
      <c r="J2948" s="11" t="s">
        <v>19</v>
      </c>
      <c r="K2948" s="11" t="s">
        <v>20</v>
      </c>
      <c r="L2948" s="11" t="s">
        <v>30</v>
      </c>
      <c r="M2948" s="11" t="s">
        <v>29</v>
      </c>
      <c r="N2948" s="11" t="s">
        <v>29</v>
      </c>
      <c r="O2948" s="16" t="s">
        <v>29</v>
      </c>
      <c r="P2948" s="15">
        <v>226</v>
      </c>
      <c r="Q2948" s="8"/>
      <c r="U2948">
        <v>9.11</v>
      </c>
      <c r="V2948">
        <v>127</v>
      </c>
      <c r="W2948" s="317">
        <v>4.5999999999999996</v>
      </c>
      <c r="X2948" s="190"/>
      <c r="Y2948" s="8"/>
      <c r="Z2948" s="8"/>
    </row>
    <row r="2949" spans="1:26" ht="12.75" customHeight="1" x14ac:dyDescent="0.2">
      <c r="A2949" s="15">
        <v>64</v>
      </c>
      <c r="B2949" s="15">
        <v>1994</v>
      </c>
      <c r="C2949" s="15">
        <v>14</v>
      </c>
      <c r="D2949" s="15">
        <v>8</v>
      </c>
      <c r="E2949" s="22" t="s">
        <v>17</v>
      </c>
      <c r="F2949" s="11" t="s">
        <v>18</v>
      </c>
      <c r="G2949" s="15">
        <v>132</v>
      </c>
      <c r="H2949" s="15" t="s">
        <v>29</v>
      </c>
      <c r="I2949" s="25" t="s">
        <v>29</v>
      </c>
      <c r="J2949" s="11" t="s">
        <v>19</v>
      </c>
      <c r="K2949" s="11" t="s">
        <v>20</v>
      </c>
      <c r="L2949" s="11" t="s">
        <v>30</v>
      </c>
      <c r="M2949" s="11" t="s">
        <v>29</v>
      </c>
      <c r="N2949" s="11" t="s">
        <v>23</v>
      </c>
      <c r="O2949" s="16" t="s">
        <v>29</v>
      </c>
      <c r="P2949" s="15">
        <v>226</v>
      </c>
      <c r="Q2949" s="8"/>
      <c r="U2949">
        <v>8.84</v>
      </c>
      <c r="V2949">
        <v>123</v>
      </c>
      <c r="W2949" s="317">
        <v>4.5999999999999996</v>
      </c>
      <c r="X2949" s="190"/>
      <c r="Y2949" s="8"/>
      <c r="Z2949" s="8"/>
    </row>
    <row r="2950" spans="1:26" ht="12.75" customHeight="1" x14ac:dyDescent="0.2">
      <c r="A2950" s="15">
        <v>65</v>
      </c>
      <c r="B2950" s="15">
        <v>1994</v>
      </c>
      <c r="C2950" s="15">
        <v>14</v>
      </c>
      <c r="D2950" s="15">
        <v>8</v>
      </c>
      <c r="E2950" s="22" t="s">
        <v>17</v>
      </c>
      <c r="F2950" s="11" t="s">
        <v>18</v>
      </c>
      <c r="G2950" s="15">
        <v>125</v>
      </c>
      <c r="H2950" s="15" t="s">
        <v>29</v>
      </c>
      <c r="I2950" s="25" t="s">
        <v>29</v>
      </c>
      <c r="J2950" s="11" t="s">
        <v>19</v>
      </c>
      <c r="K2950" s="11" t="s">
        <v>20</v>
      </c>
      <c r="L2950" s="11" t="s">
        <v>35</v>
      </c>
      <c r="M2950" s="11" t="s">
        <v>29</v>
      </c>
      <c r="N2950" s="11" t="s">
        <v>29</v>
      </c>
      <c r="O2950" s="16" t="s">
        <v>29</v>
      </c>
      <c r="P2950" s="15">
        <v>226</v>
      </c>
      <c r="Q2950" s="8"/>
      <c r="U2950">
        <v>8.3800000000000008</v>
      </c>
      <c r="V2950">
        <v>117</v>
      </c>
      <c r="W2950" s="317">
        <v>3.9</v>
      </c>
      <c r="X2950" s="190"/>
      <c r="Y2950" s="8"/>
      <c r="Z2950" s="8"/>
    </row>
    <row r="2951" spans="1:26" ht="12.75" customHeight="1" x14ac:dyDescent="0.2">
      <c r="A2951" s="15">
        <v>66</v>
      </c>
      <c r="B2951" s="15">
        <v>1994</v>
      </c>
      <c r="C2951" s="15">
        <v>14</v>
      </c>
      <c r="D2951" s="15">
        <v>8</v>
      </c>
      <c r="E2951" s="22" t="s">
        <v>17</v>
      </c>
      <c r="F2951" s="11" t="s">
        <v>18</v>
      </c>
      <c r="G2951" s="15">
        <v>146</v>
      </c>
      <c r="H2951" s="15" t="s">
        <v>29</v>
      </c>
      <c r="I2951" s="25" t="s">
        <v>29</v>
      </c>
      <c r="J2951" s="11" t="s">
        <v>19</v>
      </c>
      <c r="K2951" s="11" t="s">
        <v>20</v>
      </c>
      <c r="L2951" s="11" t="s">
        <v>35</v>
      </c>
      <c r="M2951" s="11" t="s">
        <v>29</v>
      </c>
      <c r="N2951" s="11" t="s">
        <v>23</v>
      </c>
      <c r="O2951" s="16" t="s">
        <v>29</v>
      </c>
      <c r="P2951" s="15">
        <v>226</v>
      </c>
      <c r="Q2951" s="8"/>
      <c r="U2951">
        <v>9.7799999999999994</v>
      </c>
      <c r="V2951">
        <v>136</v>
      </c>
      <c r="W2951" s="317">
        <v>3.9</v>
      </c>
      <c r="X2951" s="190"/>
      <c r="Y2951" s="8"/>
      <c r="Z2951" s="8"/>
    </row>
    <row r="2952" spans="1:26" ht="12.75" customHeight="1" x14ac:dyDescent="0.2">
      <c r="A2952" s="15">
        <v>67</v>
      </c>
      <c r="B2952" s="15">
        <v>1994</v>
      </c>
      <c r="C2952" s="15">
        <v>14</v>
      </c>
      <c r="D2952" s="15">
        <v>8</v>
      </c>
      <c r="E2952" s="22" t="s">
        <v>17</v>
      </c>
      <c r="F2952" s="11" t="s">
        <v>18</v>
      </c>
      <c r="G2952" s="15">
        <v>127</v>
      </c>
      <c r="H2952" s="15" t="s">
        <v>29</v>
      </c>
      <c r="I2952" s="25" t="s">
        <v>29</v>
      </c>
      <c r="J2952" s="11" t="s">
        <v>19</v>
      </c>
      <c r="K2952" s="11" t="s">
        <v>20</v>
      </c>
      <c r="L2952" s="11" t="s">
        <v>30</v>
      </c>
      <c r="M2952" s="11" t="s">
        <v>29</v>
      </c>
      <c r="N2952" s="11" t="s">
        <v>29</v>
      </c>
      <c r="O2952" s="16" t="s">
        <v>29</v>
      </c>
      <c r="P2952" s="15">
        <v>226</v>
      </c>
      <c r="Q2952" s="8"/>
      <c r="U2952">
        <v>8.51</v>
      </c>
      <c r="V2952">
        <v>118</v>
      </c>
      <c r="W2952" s="317">
        <v>4.5999999999999996</v>
      </c>
      <c r="X2952" s="190"/>
      <c r="Y2952" s="8"/>
      <c r="Z2952" s="8"/>
    </row>
    <row r="2953" spans="1:26" ht="12.75" customHeight="1" x14ac:dyDescent="0.2">
      <c r="A2953" s="15">
        <v>68</v>
      </c>
      <c r="B2953" s="15">
        <v>1994</v>
      </c>
      <c r="C2953" s="15">
        <v>14</v>
      </c>
      <c r="D2953" s="15">
        <v>8</v>
      </c>
      <c r="E2953" s="22" t="s">
        <v>17</v>
      </c>
      <c r="F2953" s="11" t="s">
        <v>18</v>
      </c>
      <c r="G2953" s="15">
        <v>150</v>
      </c>
      <c r="H2953" s="15" t="s">
        <v>29</v>
      </c>
      <c r="I2953" s="25" t="s">
        <v>29</v>
      </c>
      <c r="J2953" s="11" t="s">
        <v>19</v>
      </c>
      <c r="K2953" s="11" t="s">
        <v>20</v>
      </c>
      <c r="L2953" s="11" t="s">
        <v>21</v>
      </c>
      <c r="M2953" s="11" t="s">
        <v>29</v>
      </c>
      <c r="N2953" s="11" t="s">
        <v>29</v>
      </c>
      <c r="O2953" s="16" t="s">
        <v>29</v>
      </c>
      <c r="P2953" s="15">
        <v>226</v>
      </c>
      <c r="Q2953" s="8"/>
      <c r="U2953">
        <v>10.050000000000001</v>
      </c>
      <c r="V2953">
        <v>140</v>
      </c>
      <c r="W2953" s="317">
        <v>3.9</v>
      </c>
      <c r="X2953" s="190"/>
      <c r="Y2953" s="8"/>
      <c r="Z2953" s="8"/>
    </row>
    <row r="2954" spans="1:26" ht="12.75" customHeight="1" x14ac:dyDescent="0.2">
      <c r="A2954" s="15">
        <v>69</v>
      </c>
      <c r="B2954" s="15">
        <v>1994</v>
      </c>
      <c r="C2954" s="15">
        <v>14</v>
      </c>
      <c r="D2954" s="15">
        <v>8</v>
      </c>
      <c r="E2954" s="22" t="s">
        <v>17</v>
      </c>
      <c r="F2954" s="11" t="s">
        <v>18</v>
      </c>
      <c r="G2954" s="15">
        <v>161</v>
      </c>
      <c r="H2954" s="15" t="s">
        <v>29</v>
      </c>
      <c r="I2954" s="25">
        <v>18</v>
      </c>
      <c r="J2954" s="11" t="s">
        <v>19</v>
      </c>
      <c r="K2954" s="11" t="s">
        <v>20</v>
      </c>
      <c r="L2954" s="11" t="s">
        <v>30</v>
      </c>
      <c r="M2954" s="11" t="s">
        <v>29</v>
      </c>
      <c r="N2954" s="11" t="s">
        <v>29</v>
      </c>
      <c r="O2954" s="16" t="s">
        <v>29</v>
      </c>
      <c r="P2954" s="15">
        <v>226</v>
      </c>
      <c r="Q2954" s="8"/>
      <c r="R2954">
        <v>15.02</v>
      </c>
      <c r="S2954">
        <v>3389.4</v>
      </c>
      <c r="T2954">
        <v>5.31</v>
      </c>
      <c r="U2954">
        <v>10.79</v>
      </c>
      <c r="V2954">
        <v>150</v>
      </c>
      <c r="W2954" s="317">
        <v>4.5999999999999996</v>
      </c>
      <c r="X2954" s="190">
        <f>I2954*W2954</f>
        <v>82.8</v>
      </c>
      <c r="Y2954" s="8"/>
      <c r="Z2954" s="8"/>
    </row>
    <row r="2955" spans="1:26" ht="12.75" customHeight="1" x14ac:dyDescent="0.2">
      <c r="A2955" s="15">
        <v>70</v>
      </c>
      <c r="B2955" s="15">
        <v>1994</v>
      </c>
      <c r="C2955" s="15">
        <v>14</v>
      </c>
      <c r="D2955" s="15">
        <v>8</v>
      </c>
      <c r="E2955" s="22" t="s">
        <v>17</v>
      </c>
      <c r="F2955" s="11" t="s">
        <v>18</v>
      </c>
      <c r="G2955" s="15">
        <v>176</v>
      </c>
      <c r="H2955" s="15" t="s">
        <v>29</v>
      </c>
      <c r="I2955" s="25">
        <v>15</v>
      </c>
      <c r="J2955" s="11" t="s">
        <v>19</v>
      </c>
      <c r="K2955" s="11" t="s">
        <v>20</v>
      </c>
      <c r="L2955" s="11" t="s">
        <v>21</v>
      </c>
      <c r="M2955" s="11" t="s">
        <v>29</v>
      </c>
      <c r="N2955" s="11" t="s">
        <v>23</v>
      </c>
      <c r="O2955" s="16" t="s">
        <v>29</v>
      </c>
      <c r="P2955" s="15">
        <v>226</v>
      </c>
      <c r="Q2955" s="8"/>
      <c r="R2955">
        <v>16.420000000000002</v>
      </c>
      <c r="S2955">
        <v>4427.75</v>
      </c>
      <c r="T2955">
        <v>3.39</v>
      </c>
      <c r="U2955">
        <v>11.79</v>
      </c>
      <c r="V2955">
        <v>164</v>
      </c>
      <c r="W2955" s="317">
        <v>3.9</v>
      </c>
      <c r="X2955" s="190">
        <f>I2955*W2955</f>
        <v>58.5</v>
      </c>
      <c r="Y2955" s="8"/>
      <c r="Z2955" s="8"/>
    </row>
    <row r="2956" spans="1:26" ht="12.75" customHeight="1" x14ac:dyDescent="0.2">
      <c r="A2956" s="15">
        <v>71</v>
      </c>
      <c r="B2956" s="15">
        <v>1994</v>
      </c>
      <c r="C2956" s="15">
        <v>14</v>
      </c>
      <c r="D2956" s="15">
        <v>8</v>
      </c>
      <c r="E2956" s="22" t="s">
        <v>17</v>
      </c>
      <c r="F2956" s="11" t="s">
        <v>18</v>
      </c>
      <c r="G2956" s="15">
        <v>122</v>
      </c>
      <c r="H2956" s="15" t="s">
        <v>29</v>
      </c>
      <c r="I2956" s="25">
        <v>7</v>
      </c>
      <c r="J2956" s="11" t="s">
        <v>19</v>
      </c>
      <c r="K2956" s="11" t="s">
        <v>20</v>
      </c>
      <c r="L2956" s="11" t="s">
        <v>30</v>
      </c>
      <c r="M2956" s="11" t="s">
        <v>29</v>
      </c>
      <c r="N2956" s="11" t="s">
        <v>29</v>
      </c>
      <c r="O2956" s="16" t="s">
        <v>29</v>
      </c>
      <c r="P2956" s="15">
        <v>226</v>
      </c>
      <c r="Q2956" s="8"/>
      <c r="R2956">
        <v>11.38</v>
      </c>
      <c r="S2956">
        <v>1474.77</v>
      </c>
      <c r="T2956">
        <v>4.75</v>
      </c>
      <c r="U2956">
        <v>8.17</v>
      </c>
      <c r="V2956">
        <v>114</v>
      </c>
      <c r="W2956" s="317">
        <v>4.5999999999999996</v>
      </c>
      <c r="X2956" s="190">
        <f>I2956*W2956</f>
        <v>32.199999999999996</v>
      </c>
      <c r="Y2956" s="8"/>
      <c r="Z2956" s="8"/>
    </row>
    <row r="2957" spans="1:26" ht="12.75" customHeight="1" x14ac:dyDescent="0.2">
      <c r="A2957" s="15">
        <v>72</v>
      </c>
      <c r="B2957" s="15">
        <v>1994</v>
      </c>
      <c r="C2957" s="15">
        <v>14</v>
      </c>
      <c r="D2957" s="15">
        <v>8</v>
      </c>
      <c r="E2957" s="22" t="s">
        <v>17</v>
      </c>
      <c r="F2957" s="11" t="s">
        <v>18</v>
      </c>
      <c r="G2957" s="15">
        <v>162</v>
      </c>
      <c r="H2957" s="15" t="s">
        <v>29</v>
      </c>
      <c r="I2957" s="25">
        <v>14</v>
      </c>
      <c r="J2957" s="11" t="s">
        <v>19</v>
      </c>
      <c r="K2957" s="11" t="s">
        <v>20</v>
      </c>
      <c r="L2957" s="11" t="s">
        <v>30</v>
      </c>
      <c r="M2957" s="11" t="s">
        <v>29</v>
      </c>
      <c r="N2957" s="11" t="s">
        <v>29</v>
      </c>
      <c r="O2957" s="16" t="s">
        <v>29</v>
      </c>
      <c r="P2957" s="15">
        <v>226</v>
      </c>
      <c r="Q2957" s="8"/>
      <c r="R2957">
        <v>15.11</v>
      </c>
      <c r="S2957">
        <v>3452.95</v>
      </c>
      <c r="T2957">
        <v>4.05</v>
      </c>
      <c r="U2957">
        <v>10.85</v>
      </c>
      <c r="V2957">
        <v>151</v>
      </c>
      <c r="W2957" s="317">
        <v>4.5999999999999996</v>
      </c>
      <c r="X2957" s="190">
        <f>I2957*W2957</f>
        <v>64.399999999999991</v>
      </c>
      <c r="Y2957" s="8"/>
      <c r="Z2957" s="8"/>
    </row>
    <row r="2958" spans="1:26" ht="12.75" customHeight="1" x14ac:dyDescent="0.2">
      <c r="A2958" s="15">
        <v>73</v>
      </c>
      <c r="B2958" s="15">
        <v>1994</v>
      </c>
      <c r="C2958" s="15">
        <v>14</v>
      </c>
      <c r="D2958" s="15">
        <v>8</v>
      </c>
      <c r="E2958" s="22" t="s">
        <v>17</v>
      </c>
      <c r="F2958" s="11" t="s">
        <v>18</v>
      </c>
      <c r="G2958" s="15">
        <v>158</v>
      </c>
      <c r="H2958" s="15" t="s">
        <v>29</v>
      </c>
      <c r="I2958" s="25" t="s">
        <v>29</v>
      </c>
      <c r="J2958" s="11" t="s">
        <v>19</v>
      </c>
      <c r="K2958" s="11" t="s">
        <v>20</v>
      </c>
      <c r="L2958" s="11" t="s">
        <v>30</v>
      </c>
      <c r="M2958" s="11" t="s">
        <v>29</v>
      </c>
      <c r="N2958" s="11" t="s">
        <v>25</v>
      </c>
      <c r="O2958" s="16" t="s">
        <v>29</v>
      </c>
      <c r="P2958" s="15">
        <v>226</v>
      </c>
      <c r="Q2958" s="8"/>
      <c r="U2958">
        <v>10.59</v>
      </c>
      <c r="V2958">
        <v>147</v>
      </c>
      <c r="W2958" s="317">
        <v>4.5999999999999996</v>
      </c>
      <c r="X2958" s="190"/>
      <c r="Y2958" s="8"/>
      <c r="Z2958" s="8"/>
    </row>
    <row r="2959" spans="1:26" ht="12.75" customHeight="1" x14ac:dyDescent="0.2">
      <c r="A2959" s="15">
        <v>74</v>
      </c>
      <c r="B2959" s="15">
        <v>1994</v>
      </c>
      <c r="C2959" s="15">
        <v>14</v>
      </c>
      <c r="D2959" s="15">
        <v>8</v>
      </c>
      <c r="E2959" s="22" t="s">
        <v>17</v>
      </c>
      <c r="F2959" s="11" t="s">
        <v>18</v>
      </c>
      <c r="G2959" s="15">
        <v>160</v>
      </c>
      <c r="H2959" s="15" t="s">
        <v>29</v>
      </c>
      <c r="I2959" s="25" t="s">
        <v>29</v>
      </c>
      <c r="J2959" s="11" t="s">
        <v>19</v>
      </c>
      <c r="K2959" s="11" t="s">
        <v>20</v>
      </c>
      <c r="L2959" s="11" t="s">
        <v>30</v>
      </c>
      <c r="M2959" s="11" t="s">
        <v>29</v>
      </c>
      <c r="N2959" s="11" t="s">
        <v>25</v>
      </c>
      <c r="O2959" s="16" t="s">
        <v>29</v>
      </c>
      <c r="P2959" s="15">
        <v>226</v>
      </c>
      <c r="Q2959" s="8"/>
      <c r="U2959">
        <v>10.72</v>
      </c>
      <c r="V2959">
        <v>149</v>
      </c>
      <c r="W2959" s="317">
        <v>4.5999999999999996</v>
      </c>
      <c r="X2959" s="190"/>
      <c r="Y2959" s="8"/>
      <c r="Z2959" s="8"/>
    </row>
    <row r="2960" spans="1:26" ht="12.75" customHeight="1" x14ac:dyDescent="0.2">
      <c r="A2960" s="15">
        <v>75</v>
      </c>
      <c r="B2960" s="15">
        <v>1994</v>
      </c>
      <c r="C2960" s="15">
        <v>14</v>
      </c>
      <c r="D2960" s="15">
        <v>8</v>
      </c>
      <c r="E2960" s="22" t="s">
        <v>17</v>
      </c>
      <c r="F2960" s="11" t="s">
        <v>28</v>
      </c>
      <c r="G2960" s="11" t="s">
        <v>29</v>
      </c>
      <c r="H2960" s="15" t="s">
        <v>29</v>
      </c>
      <c r="I2960" s="25" t="s">
        <v>29</v>
      </c>
      <c r="J2960" s="11" t="s">
        <v>19</v>
      </c>
      <c r="K2960" s="11" t="s">
        <v>34</v>
      </c>
      <c r="L2960" s="11" t="s">
        <v>41</v>
      </c>
      <c r="M2960" s="11" t="s">
        <v>29</v>
      </c>
      <c r="N2960" s="11" t="s">
        <v>23</v>
      </c>
      <c r="O2960" s="16" t="s">
        <v>29</v>
      </c>
      <c r="P2960" s="15">
        <v>226</v>
      </c>
      <c r="Q2960" s="8"/>
      <c r="W2960" s="317">
        <v>3.8</v>
      </c>
      <c r="X2960" s="190"/>
      <c r="Y2960" s="8"/>
      <c r="Z2960" s="8"/>
    </row>
    <row r="2961" spans="1:26" ht="12.75" customHeight="1" x14ac:dyDescent="0.2">
      <c r="A2961" s="15">
        <v>76</v>
      </c>
      <c r="B2961" s="15">
        <v>1994</v>
      </c>
      <c r="C2961" s="15">
        <v>14</v>
      </c>
      <c r="D2961" s="15">
        <v>8</v>
      </c>
      <c r="E2961" s="22" t="s">
        <v>17</v>
      </c>
      <c r="F2961" s="11" t="s">
        <v>18</v>
      </c>
      <c r="G2961" s="15">
        <v>136</v>
      </c>
      <c r="H2961" s="15" t="s">
        <v>29</v>
      </c>
      <c r="I2961" s="25" t="s">
        <v>29</v>
      </c>
      <c r="J2961" s="11" t="s">
        <v>19</v>
      </c>
      <c r="K2961" s="11" t="s">
        <v>20</v>
      </c>
      <c r="L2961" s="11" t="s">
        <v>30</v>
      </c>
      <c r="M2961" s="11" t="s">
        <v>29</v>
      </c>
      <c r="N2961" s="11" t="s">
        <v>29</v>
      </c>
      <c r="O2961" s="16" t="s">
        <v>29</v>
      </c>
      <c r="P2961" s="15">
        <v>226</v>
      </c>
      <c r="Q2961" s="8"/>
      <c r="U2961">
        <v>9.11</v>
      </c>
      <c r="V2961">
        <v>127</v>
      </c>
      <c r="W2961" s="317">
        <v>4.5999999999999996</v>
      </c>
      <c r="X2961" s="190"/>
      <c r="Y2961" s="8"/>
      <c r="Z2961" s="8"/>
    </row>
    <row r="2962" spans="1:26" ht="12.75" customHeight="1" x14ac:dyDescent="0.2">
      <c r="A2962" s="15">
        <v>77</v>
      </c>
      <c r="B2962" s="15">
        <v>1994</v>
      </c>
      <c r="C2962" s="15">
        <v>14</v>
      </c>
      <c r="D2962" s="15">
        <v>8</v>
      </c>
      <c r="E2962" s="22" t="s">
        <v>17</v>
      </c>
      <c r="F2962" s="11" t="s">
        <v>18</v>
      </c>
      <c r="G2962" s="15">
        <v>166</v>
      </c>
      <c r="H2962" s="15" t="s">
        <v>29</v>
      </c>
      <c r="I2962" s="25" t="s">
        <v>29</v>
      </c>
      <c r="J2962" s="11" t="s">
        <v>19</v>
      </c>
      <c r="K2962" s="11" t="s">
        <v>20</v>
      </c>
      <c r="L2962" s="11" t="s">
        <v>21</v>
      </c>
      <c r="M2962" s="11" t="s">
        <v>29</v>
      </c>
      <c r="N2962" s="11" t="s">
        <v>25</v>
      </c>
      <c r="O2962" s="16" t="s">
        <v>29</v>
      </c>
      <c r="P2962" s="15">
        <v>226</v>
      </c>
      <c r="Q2962" s="8"/>
      <c r="U2962">
        <v>11.12</v>
      </c>
      <c r="V2962">
        <v>155</v>
      </c>
      <c r="W2962" s="317">
        <v>3.9</v>
      </c>
      <c r="X2962" s="190"/>
      <c r="Y2962" s="8"/>
      <c r="Z2962" s="8"/>
    </row>
    <row r="2963" spans="1:26" ht="12.75" customHeight="1" x14ac:dyDescent="0.2">
      <c r="A2963" s="15">
        <v>78</v>
      </c>
      <c r="B2963" s="15">
        <v>1994</v>
      </c>
      <c r="C2963" s="15">
        <v>13</v>
      </c>
      <c r="D2963" s="15">
        <v>8</v>
      </c>
      <c r="E2963" s="22" t="s">
        <v>17</v>
      </c>
      <c r="F2963" s="11" t="s">
        <v>18</v>
      </c>
      <c r="G2963" s="15">
        <v>150</v>
      </c>
      <c r="H2963" s="15" t="s">
        <v>29</v>
      </c>
      <c r="I2963" s="25">
        <v>15.8</v>
      </c>
      <c r="J2963" s="11" t="s">
        <v>19</v>
      </c>
      <c r="K2963" s="11" t="s">
        <v>20</v>
      </c>
      <c r="L2963" s="11" t="s">
        <v>30</v>
      </c>
      <c r="M2963" s="11" t="s">
        <v>29</v>
      </c>
      <c r="N2963" s="11" t="s">
        <v>29</v>
      </c>
      <c r="O2963" s="16" t="s">
        <v>29</v>
      </c>
      <c r="P2963" s="15">
        <v>225</v>
      </c>
      <c r="Q2963" s="8"/>
      <c r="R2963">
        <v>14</v>
      </c>
      <c r="S2963">
        <v>2741.06</v>
      </c>
      <c r="T2963">
        <v>5.76</v>
      </c>
      <c r="U2963">
        <v>10.050000000000001</v>
      </c>
      <c r="V2963">
        <v>140</v>
      </c>
      <c r="W2963" s="317">
        <v>4.5999999999999996</v>
      </c>
      <c r="X2963" s="190">
        <f>I2963*W2963</f>
        <v>72.679999999999993</v>
      </c>
      <c r="Y2963" s="8"/>
      <c r="Z2963" s="8"/>
    </row>
    <row r="2964" spans="1:26" ht="12.75" customHeight="1" x14ac:dyDescent="0.2">
      <c r="A2964" s="15">
        <v>79</v>
      </c>
      <c r="B2964" s="15">
        <v>1994</v>
      </c>
      <c r="C2964" s="15">
        <v>13</v>
      </c>
      <c r="D2964" s="15">
        <v>8</v>
      </c>
      <c r="E2964" s="22" t="s">
        <v>17</v>
      </c>
      <c r="F2964" s="11" t="s">
        <v>18</v>
      </c>
      <c r="G2964" s="15">
        <v>105</v>
      </c>
      <c r="H2964" s="15" t="s">
        <v>29</v>
      </c>
      <c r="I2964" s="25">
        <v>3</v>
      </c>
      <c r="J2964" s="11" t="s">
        <v>19</v>
      </c>
      <c r="K2964" s="11" t="s">
        <v>41</v>
      </c>
      <c r="L2964" s="11" t="s">
        <v>35</v>
      </c>
      <c r="M2964" s="11" t="s">
        <v>29</v>
      </c>
      <c r="N2964" s="11" t="s">
        <v>29</v>
      </c>
      <c r="O2964" s="16" t="s">
        <v>29</v>
      </c>
      <c r="P2964" s="15">
        <v>225</v>
      </c>
      <c r="Q2964" s="8"/>
      <c r="R2964">
        <v>9.8000000000000007</v>
      </c>
      <c r="S2964">
        <v>940.18</v>
      </c>
      <c r="T2964">
        <v>3.19</v>
      </c>
      <c r="U2964">
        <v>7.04</v>
      </c>
      <c r="V2964">
        <v>98</v>
      </c>
      <c r="W2964" s="8"/>
      <c r="X2964" s="8"/>
      <c r="Y2964" s="8"/>
      <c r="Z2964" s="8"/>
    </row>
    <row r="2965" spans="1:26" ht="12.75" customHeight="1" x14ac:dyDescent="0.2">
      <c r="A2965" s="15">
        <v>80</v>
      </c>
      <c r="B2965" s="15">
        <v>1994</v>
      </c>
      <c r="C2965" s="15">
        <v>13</v>
      </c>
      <c r="D2965" s="15">
        <v>8</v>
      </c>
      <c r="E2965" s="22" t="s">
        <v>17</v>
      </c>
      <c r="F2965" s="11" t="s">
        <v>18</v>
      </c>
      <c r="G2965" s="15">
        <v>148</v>
      </c>
      <c r="H2965" s="15" t="s">
        <v>29</v>
      </c>
      <c r="I2965" s="25">
        <v>14</v>
      </c>
      <c r="J2965" s="11" t="s">
        <v>19</v>
      </c>
      <c r="K2965" s="11" t="s">
        <v>34</v>
      </c>
      <c r="L2965" s="11" t="s">
        <v>41</v>
      </c>
      <c r="M2965" s="11" t="s">
        <v>29</v>
      </c>
      <c r="N2965" s="11" t="s">
        <v>25</v>
      </c>
      <c r="O2965" s="16" t="s">
        <v>29</v>
      </c>
      <c r="P2965" s="15">
        <v>225</v>
      </c>
      <c r="Q2965" s="8"/>
      <c r="R2965">
        <v>13.81</v>
      </c>
      <c r="S2965">
        <v>2632.87</v>
      </c>
      <c r="T2965">
        <v>5.32</v>
      </c>
      <c r="U2965">
        <v>9.92</v>
      </c>
      <c r="V2965">
        <v>138</v>
      </c>
      <c r="W2965" s="317">
        <v>3.8</v>
      </c>
      <c r="X2965" s="190">
        <f>I2965*W2965</f>
        <v>53.199999999999996</v>
      </c>
      <c r="Y2965" s="8"/>
      <c r="Z2965" s="8"/>
    </row>
    <row r="2966" spans="1:26" ht="12.75" customHeight="1" x14ac:dyDescent="0.2">
      <c r="A2966" s="15">
        <v>81</v>
      </c>
      <c r="B2966" s="15">
        <v>1994</v>
      </c>
      <c r="C2966" s="15">
        <v>13</v>
      </c>
      <c r="D2966" s="15">
        <v>8</v>
      </c>
      <c r="E2966" s="22" t="s">
        <v>17</v>
      </c>
      <c r="F2966" s="11" t="s">
        <v>28</v>
      </c>
      <c r="G2966" s="11" t="s">
        <v>29</v>
      </c>
      <c r="H2966" s="15" t="s">
        <v>29</v>
      </c>
      <c r="I2966" s="25" t="s">
        <v>29</v>
      </c>
      <c r="J2966" s="11" t="s">
        <v>19</v>
      </c>
      <c r="K2966" s="11" t="s">
        <v>20</v>
      </c>
      <c r="L2966" s="11" t="s">
        <v>30</v>
      </c>
      <c r="M2966" s="11" t="s">
        <v>29</v>
      </c>
      <c r="N2966" s="11" t="s">
        <v>29</v>
      </c>
      <c r="O2966" s="16" t="s">
        <v>29</v>
      </c>
      <c r="P2966" s="15">
        <v>225</v>
      </c>
      <c r="Q2966" s="8"/>
      <c r="W2966" s="317">
        <v>4.5999999999999996</v>
      </c>
      <c r="X2966" s="190"/>
      <c r="Y2966" s="8"/>
      <c r="Z2966" s="8"/>
    </row>
    <row r="2967" spans="1:26" ht="12.75" customHeight="1" x14ac:dyDescent="0.2">
      <c r="A2967" s="15">
        <v>82</v>
      </c>
      <c r="B2967" s="15">
        <v>1994</v>
      </c>
      <c r="C2967" s="15">
        <v>13</v>
      </c>
      <c r="D2967" s="15">
        <v>8</v>
      </c>
      <c r="E2967" s="22" t="s">
        <v>17</v>
      </c>
      <c r="F2967" s="11" t="s">
        <v>18</v>
      </c>
      <c r="G2967" s="15">
        <v>170</v>
      </c>
      <c r="H2967" s="15" t="s">
        <v>29</v>
      </c>
      <c r="I2967" s="25" t="s">
        <v>29</v>
      </c>
      <c r="J2967" s="11" t="s">
        <v>19</v>
      </c>
      <c r="K2967" s="11" t="s">
        <v>34</v>
      </c>
      <c r="L2967" s="11" t="s">
        <v>41</v>
      </c>
      <c r="M2967" s="11" t="s">
        <v>29</v>
      </c>
      <c r="N2967" s="11" t="s">
        <v>25</v>
      </c>
      <c r="O2967" s="16" t="s">
        <v>29</v>
      </c>
      <c r="P2967" s="15">
        <v>225</v>
      </c>
      <c r="Q2967" s="8"/>
      <c r="U2967">
        <v>11.39</v>
      </c>
      <c r="V2967">
        <v>159</v>
      </c>
      <c r="W2967" s="317">
        <v>3.8</v>
      </c>
      <c r="X2967" s="190"/>
      <c r="Y2967" s="8"/>
      <c r="Z2967" s="8"/>
    </row>
    <row r="2968" spans="1:26" ht="12.75" customHeight="1" x14ac:dyDescent="0.2">
      <c r="A2968" s="15">
        <v>83</v>
      </c>
      <c r="B2968" s="15">
        <v>1994</v>
      </c>
      <c r="C2968" s="15">
        <v>12</v>
      </c>
      <c r="D2968" s="15">
        <v>8</v>
      </c>
      <c r="E2968" s="22" t="s">
        <v>17</v>
      </c>
      <c r="F2968" s="11" t="s">
        <v>18</v>
      </c>
      <c r="G2968" s="15">
        <v>159</v>
      </c>
      <c r="H2968" s="15" t="s">
        <v>29</v>
      </c>
      <c r="I2968" s="25">
        <v>14.5</v>
      </c>
      <c r="J2968" s="11" t="s">
        <v>19</v>
      </c>
      <c r="K2968" s="11" t="s">
        <v>20</v>
      </c>
      <c r="L2968" s="11" t="s">
        <v>21</v>
      </c>
      <c r="M2968" s="11" t="s">
        <v>29</v>
      </c>
      <c r="N2968" s="11" t="s">
        <v>29</v>
      </c>
      <c r="O2968" s="16" t="s">
        <v>29</v>
      </c>
      <c r="P2968" s="15">
        <v>224</v>
      </c>
      <c r="Q2968" s="8"/>
      <c r="R2968">
        <v>14.83</v>
      </c>
      <c r="S2968">
        <v>3264.65</v>
      </c>
      <c r="T2968">
        <v>4.4400000000000004</v>
      </c>
      <c r="U2968">
        <v>10.65</v>
      </c>
      <c r="V2968">
        <v>148</v>
      </c>
      <c r="W2968" s="317">
        <v>3.9</v>
      </c>
      <c r="X2968" s="190">
        <f t="shared" ref="X2968:X2974" si="132">I2968*W2968</f>
        <v>56.55</v>
      </c>
      <c r="Y2968" s="8"/>
      <c r="Z2968" s="8"/>
    </row>
    <row r="2969" spans="1:26" ht="12.75" customHeight="1" x14ac:dyDescent="0.2">
      <c r="A2969" s="15">
        <v>84</v>
      </c>
      <c r="B2969" s="15">
        <v>1994</v>
      </c>
      <c r="C2969" s="15">
        <v>12</v>
      </c>
      <c r="D2969" s="15">
        <v>8</v>
      </c>
      <c r="E2969" s="22" t="s">
        <v>17</v>
      </c>
      <c r="F2969" s="11" t="s">
        <v>18</v>
      </c>
      <c r="G2969" s="15">
        <v>157</v>
      </c>
      <c r="H2969" s="15" t="s">
        <v>29</v>
      </c>
      <c r="I2969" s="25">
        <v>14</v>
      </c>
      <c r="J2969" s="11" t="s">
        <v>19</v>
      </c>
      <c r="K2969" s="11" t="s">
        <v>20</v>
      </c>
      <c r="L2969" s="11" t="s">
        <v>30</v>
      </c>
      <c r="M2969" s="11" t="s">
        <v>29</v>
      </c>
      <c r="N2969" s="11" t="s">
        <v>23</v>
      </c>
      <c r="O2969" s="16" t="s">
        <v>29</v>
      </c>
      <c r="P2969" s="15">
        <v>224</v>
      </c>
      <c r="Q2969" s="8"/>
      <c r="R2969">
        <v>14.65</v>
      </c>
      <c r="S2969">
        <v>3143</v>
      </c>
      <c r="T2969">
        <v>4.45</v>
      </c>
      <c r="U2969">
        <v>10.52</v>
      </c>
      <c r="V2969">
        <v>146</v>
      </c>
      <c r="W2969" s="317">
        <v>4.5999999999999996</v>
      </c>
      <c r="X2969" s="190">
        <f t="shared" si="132"/>
        <v>64.399999999999991</v>
      </c>
      <c r="Y2969" s="8"/>
      <c r="Z2969" s="8"/>
    </row>
    <row r="2970" spans="1:26" ht="12.75" customHeight="1" x14ac:dyDescent="0.2">
      <c r="A2970" s="15">
        <v>85</v>
      </c>
      <c r="B2970" s="15">
        <v>1994</v>
      </c>
      <c r="C2970" s="15">
        <v>12</v>
      </c>
      <c r="D2970" s="15">
        <v>8</v>
      </c>
      <c r="E2970" s="22" t="s">
        <v>17</v>
      </c>
      <c r="F2970" s="11" t="s">
        <v>18</v>
      </c>
      <c r="G2970" s="15">
        <v>166</v>
      </c>
      <c r="H2970" s="15" t="s">
        <v>29</v>
      </c>
      <c r="I2970" s="25">
        <v>13</v>
      </c>
      <c r="J2970" s="11" t="s">
        <v>19</v>
      </c>
      <c r="K2970" s="11" t="s">
        <v>20</v>
      </c>
      <c r="L2970" s="11" t="s">
        <v>21</v>
      </c>
      <c r="M2970" s="11" t="s">
        <v>29</v>
      </c>
      <c r="N2970" s="11" t="s">
        <v>33</v>
      </c>
      <c r="O2970" s="16" t="s">
        <v>29</v>
      </c>
      <c r="P2970" s="15">
        <v>224</v>
      </c>
      <c r="Q2970" s="8"/>
      <c r="R2970">
        <v>15.49</v>
      </c>
      <c r="S2970">
        <v>3715.09</v>
      </c>
      <c r="T2970">
        <v>3.5</v>
      </c>
      <c r="U2970">
        <v>11.12</v>
      </c>
      <c r="V2970">
        <v>155</v>
      </c>
      <c r="W2970" s="317">
        <v>3.9</v>
      </c>
      <c r="X2970" s="190">
        <f t="shared" si="132"/>
        <v>50.699999999999996</v>
      </c>
      <c r="Y2970" s="8"/>
      <c r="Z2970" s="8"/>
    </row>
    <row r="2971" spans="1:26" ht="12.75" customHeight="1" x14ac:dyDescent="0.2">
      <c r="A2971" s="15">
        <v>86</v>
      </c>
      <c r="B2971" s="15">
        <v>1994</v>
      </c>
      <c r="C2971" s="15">
        <v>12</v>
      </c>
      <c r="D2971" s="15">
        <v>8</v>
      </c>
      <c r="E2971" s="22" t="s">
        <v>17</v>
      </c>
      <c r="F2971" s="11" t="s">
        <v>18</v>
      </c>
      <c r="G2971" s="15">
        <v>163</v>
      </c>
      <c r="H2971" s="15" t="s">
        <v>29</v>
      </c>
      <c r="I2971" s="25">
        <v>13.5</v>
      </c>
      <c r="J2971" s="11" t="s">
        <v>19</v>
      </c>
      <c r="K2971" s="11" t="s">
        <v>20</v>
      </c>
      <c r="L2971" s="11" t="s">
        <v>21</v>
      </c>
      <c r="M2971" s="11" t="s">
        <v>29</v>
      </c>
      <c r="N2971" s="11" t="s">
        <v>29</v>
      </c>
      <c r="O2971" s="16" t="s">
        <v>29</v>
      </c>
      <c r="P2971" s="15">
        <v>224</v>
      </c>
      <c r="Q2971" s="8"/>
      <c r="R2971">
        <v>15.21</v>
      </c>
      <c r="S2971">
        <v>3517.29</v>
      </c>
      <c r="T2971">
        <v>3.84</v>
      </c>
      <c r="U2971">
        <v>10.92</v>
      </c>
      <c r="V2971">
        <v>152</v>
      </c>
      <c r="W2971" s="317">
        <v>3.9</v>
      </c>
      <c r="X2971" s="190">
        <f t="shared" si="132"/>
        <v>52.65</v>
      </c>
      <c r="Y2971" s="8"/>
      <c r="Z2971" s="8"/>
    </row>
    <row r="2972" spans="1:26" ht="12.75" customHeight="1" x14ac:dyDescent="0.2">
      <c r="A2972" s="15">
        <v>87</v>
      </c>
      <c r="B2972" s="15">
        <v>1994</v>
      </c>
      <c r="C2972" s="15">
        <v>12</v>
      </c>
      <c r="D2972" s="15">
        <v>8</v>
      </c>
      <c r="E2972" s="22" t="s">
        <v>17</v>
      </c>
      <c r="F2972" s="11" t="s">
        <v>18</v>
      </c>
      <c r="G2972" s="15">
        <v>146</v>
      </c>
      <c r="H2972" s="15" t="s">
        <v>29</v>
      </c>
      <c r="I2972" s="25">
        <v>12.5</v>
      </c>
      <c r="J2972" s="11" t="s">
        <v>19</v>
      </c>
      <c r="K2972" s="11" t="s">
        <v>20</v>
      </c>
      <c r="L2972" s="11" t="s">
        <v>30</v>
      </c>
      <c r="M2972" s="11" t="s">
        <v>29</v>
      </c>
      <c r="N2972" s="11" t="s">
        <v>23</v>
      </c>
      <c r="O2972" s="16" t="s">
        <v>29</v>
      </c>
      <c r="P2972" s="15">
        <v>224</v>
      </c>
      <c r="Q2972" s="8"/>
      <c r="R2972">
        <v>13.62</v>
      </c>
      <c r="S2972">
        <v>2527.5700000000002</v>
      </c>
      <c r="T2972">
        <v>4.95</v>
      </c>
      <c r="U2972">
        <v>9.7799999999999994</v>
      </c>
      <c r="V2972">
        <v>136</v>
      </c>
      <c r="W2972" s="317">
        <v>4.5999999999999996</v>
      </c>
      <c r="X2972" s="190">
        <f t="shared" si="132"/>
        <v>57.499999999999993</v>
      </c>
      <c r="Y2972" s="8"/>
      <c r="Z2972" s="8"/>
    </row>
    <row r="2973" spans="1:26" ht="12.75" customHeight="1" x14ac:dyDescent="0.2">
      <c r="A2973" s="15">
        <v>88</v>
      </c>
      <c r="B2973" s="15">
        <v>1994</v>
      </c>
      <c r="C2973" s="15">
        <v>12</v>
      </c>
      <c r="D2973" s="15">
        <v>8</v>
      </c>
      <c r="E2973" s="22" t="s">
        <v>17</v>
      </c>
      <c r="F2973" s="11" t="s">
        <v>18</v>
      </c>
      <c r="G2973" s="15">
        <v>155</v>
      </c>
      <c r="H2973" s="15" t="s">
        <v>29</v>
      </c>
      <c r="I2973" s="25">
        <v>12.5</v>
      </c>
      <c r="J2973" s="11" t="s">
        <v>19</v>
      </c>
      <c r="K2973" s="11" t="s">
        <v>20</v>
      </c>
      <c r="L2973" s="11" t="s">
        <v>21</v>
      </c>
      <c r="M2973" s="11" t="s">
        <v>29</v>
      </c>
      <c r="N2973" s="11" t="s">
        <v>25</v>
      </c>
      <c r="O2973" s="16" t="s">
        <v>29</v>
      </c>
      <c r="P2973" s="15">
        <v>224</v>
      </c>
      <c r="Q2973" s="8"/>
      <c r="R2973">
        <v>14.46</v>
      </c>
      <c r="S2973">
        <v>3024.41</v>
      </c>
      <c r="T2973">
        <v>4.13</v>
      </c>
      <c r="U2973">
        <v>10.39</v>
      </c>
      <c r="V2973">
        <v>145</v>
      </c>
      <c r="W2973" s="317">
        <v>3.9</v>
      </c>
      <c r="X2973" s="190">
        <f t="shared" si="132"/>
        <v>48.75</v>
      </c>
      <c r="Y2973" s="8"/>
      <c r="Z2973" s="8"/>
    </row>
    <row r="2974" spans="1:26" ht="12.75" customHeight="1" x14ac:dyDescent="0.2">
      <c r="A2974" s="15">
        <v>89</v>
      </c>
      <c r="B2974" s="15">
        <v>1994</v>
      </c>
      <c r="C2974" s="15">
        <v>12</v>
      </c>
      <c r="D2974" s="15">
        <v>8</v>
      </c>
      <c r="E2974" s="22" t="s">
        <v>17</v>
      </c>
      <c r="F2974" s="11" t="s">
        <v>18</v>
      </c>
      <c r="G2974" s="15">
        <v>166</v>
      </c>
      <c r="H2974" s="15" t="s">
        <v>29</v>
      </c>
      <c r="I2974" s="25">
        <v>21</v>
      </c>
      <c r="J2974" s="11" t="s">
        <v>19</v>
      </c>
      <c r="K2974" s="11" t="s">
        <v>34</v>
      </c>
      <c r="L2974" s="11" t="s">
        <v>41</v>
      </c>
      <c r="M2974" s="11" t="s">
        <v>29</v>
      </c>
      <c r="N2974" s="11" t="s">
        <v>25</v>
      </c>
      <c r="O2974" s="16" t="s">
        <v>29</v>
      </c>
      <c r="P2974" s="15">
        <v>224</v>
      </c>
      <c r="Q2974" s="8"/>
      <c r="R2974">
        <v>15.49</v>
      </c>
      <c r="S2974">
        <v>3715.09</v>
      </c>
      <c r="T2974">
        <v>5.65</v>
      </c>
      <c r="U2974">
        <v>11.12</v>
      </c>
      <c r="V2974">
        <v>155</v>
      </c>
      <c r="W2974" s="317">
        <v>3.8</v>
      </c>
      <c r="X2974" s="190">
        <f t="shared" si="132"/>
        <v>79.8</v>
      </c>
      <c r="Y2974" s="8"/>
      <c r="Z2974" s="8"/>
    </row>
    <row r="2975" spans="1:26" ht="12.75" customHeight="1" x14ac:dyDescent="0.2">
      <c r="A2975" s="15">
        <v>90</v>
      </c>
      <c r="B2975" s="15">
        <v>1994</v>
      </c>
      <c r="C2975" s="15">
        <v>12</v>
      </c>
      <c r="D2975" s="15">
        <v>8</v>
      </c>
      <c r="E2975" s="22" t="s">
        <v>17</v>
      </c>
      <c r="F2975" s="11" t="s">
        <v>18</v>
      </c>
      <c r="G2975" s="15">
        <v>156</v>
      </c>
      <c r="H2975" s="15" t="s">
        <v>29</v>
      </c>
      <c r="I2975" s="25">
        <v>12</v>
      </c>
      <c r="J2975" s="11" t="s">
        <v>19</v>
      </c>
      <c r="K2975" s="11" t="s">
        <v>20</v>
      </c>
      <c r="L2975" s="11" t="s">
        <v>21</v>
      </c>
      <c r="M2975" s="11" t="s">
        <v>29</v>
      </c>
      <c r="N2975" s="11" t="s">
        <v>25</v>
      </c>
      <c r="O2975" s="16" t="s">
        <v>29</v>
      </c>
      <c r="P2975" s="15">
        <v>224</v>
      </c>
      <c r="Q2975" s="8"/>
      <c r="R2975">
        <v>14.55</v>
      </c>
      <c r="S2975">
        <v>3083.32</v>
      </c>
      <c r="T2975">
        <v>3.89</v>
      </c>
      <c r="U2975">
        <v>10.45</v>
      </c>
      <c r="V2975">
        <v>146</v>
      </c>
      <c r="W2975" s="317">
        <v>3.9</v>
      </c>
      <c r="X2975" s="190">
        <f t="shared" ref="X2975:X2984" si="133">I2975*W2975</f>
        <v>46.8</v>
      </c>
      <c r="Y2975" s="8"/>
      <c r="Z2975" s="8"/>
    </row>
    <row r="2976" spans="1:26" ht="12.75" customHeight="1" x14ac:dyDescent="0.2">
      <c r="A2976" s="15">
        <v>91</v>
      </c>
      <c r="B2976" s="15">
        <v>1994</v>
      </c>
      <c r="C2976" s="15">
        <v>12</v>
      </c>
      <c r="D2976" s="15">
        <v>8</v>
      </c>
      <c r="E2976" s="22" t="s">
        <v>17</v>
      </c>
      <c r="F2976" s="11" t="s">
        <v>18</v>
      </c>
      <c r="G2976" s="15">
        <v>154</v>
      </c>
      <c r="H2976" s="15" t="s">
        <v>29</v>
      </c>
      <c r="I2976" s="25">
        <v>13.5</v>
      </c>
      <c r="J2976" s="11" t="s">
        <v>19</v>
      </c>
      <c r="K2976" s="11" t="s">
        <v>20</v>
      </c>
      <c r="L2976" s="11" t="s">
        <v>21</v>
      </c>
      <c r="M2976" s="11" t="s">
        <v>29</v>
      </c>
      <c r="N2976" s="11" t="s">
        <v>29</v>
      </c>
      <c r="O2976" s="16" t="s">
        <v>29</v>
      </c>
      <c r="P2976" s="15">
        <v>224</v>
      </c>
      <c r="Q2976" s="8"/>
      <c r="R2976">
        <v>14.37</v>
      </c>
      <c r="S2976">
        <v>2966.25</v>
      </c>
      <c r="T2976">
        <v>4.55</v>
      </c>
      <c r="U2976">
        <v>10.32</v>
      </c>
      <c r="V2976">
        <v>144</v>
      </c>
      <c r="W2976" s="317">
        <v>3.9</v>
      </c>
      <c r="X2976" s="190">
        <f t="shared" si="133"/>
        <v>52.65</v>
      </c>
      <c r="Y2976" s="8"/>
      <c r="Z2976" s="8"/>
    </row>
    <row r="2977" spans="1:26" ht="12.75" customHeight="1" x14ac:dyDescent="0.2">
      <c r="A2977" s="15">
        <v>92</v>
      </c>
      <c r="B2977" s="15">
        <v>1994</v>
      </c>
      <c r="C2977" s="15">
        <v>12</v>
      </c>
      <c r="D2977" s="15">
        <v>8</v>
      </c>
      <c r="E2977" s="22" t="s">
        <v>17</v>
      </c>
      <c r="F2977" s="11" t="s">
        <v>18</v>
      </c>
      <c r="G2977" s="15">
        <v>123</v>
      </c>
      <c r="H2977" s="15" t="s">
        <v>29</v>
      </c>
      <c r="I2977" s="25">
        <v>8</v>
      </c>
      <c r="J2977" s="11" t="s">
        <v>19</v>
      </c>
      <c r="K2977" s="11" t="s">
        <v>20</v>
      </c>
      <c r="L2977" s="11" t="s">
        <v>21</v>
      </c>
      <c r="M2977" s="11" t="s">
        <v>29</v>
      </c>
      <c r="N2977" s="11" t="s">
        <v>28</v>
      </c>
      <c r="O2977" s="16" t="s">
        <v>29</v>
      </c>
      <c r="P2977" s="15">
        <v>224</v>
      </c>
      <c r="Q2977" s="8"/>
      <c r="R2977">
        <v>11.48</v>
      </c>
      <c r="S2977">
        <v>1511.33</v>
      </c>
      <c r="T2977">
        <v>5.29</v>
      </c>
      <c r="U2977">
        <v>8.24</v>
      </c>
      <c r="V2977">
        <v>115</v>
      </c>
      <c r="W2977" s="317">
        <v>3.9</v>
      </c>
      <c r="X2977" s="190">
        <f t="shared" si="133"/>
        <v>31.2</v>
      </c>
      <c r="Y2977" s="8"/>
      <c r="Z2977" s="8"/>
    </row>
    <row r="2978" spans="1:26" ht="12.75" customHeight="1" x14ac:dyDescent="0.2">
      <c r="A2978" s="15">
        <v>93</v>
      </c>
      <c r="B2978" s="15">
        <v>1994</v>
      </c>
      <c r="C2978" s="15">
        <v>12</v>
      </c>
      <c r="D2978" s="15">
        <v>8</v>
      </c>
      <c r="E2978" s="22" t="s">
        <v>17</v>
      </c>
      <c r="F2978" s="11" t="s">
        <v>18</v>
      </c>
      <c r="G2978" s="15">
        <v>154</v>
      </c>
      <c r="H2978" s="15" t="s">
        <v>29</v>
      </c>
      <c r="I2978" s="25">
        <v>10.8</v>
      </c>
      <c r="J2978" s="11" t="s">
        <v>19</v>
      </c>
      <c r="K2978" s="11" t="s">
        <v>20</v>
      </c>
      <c r="L2978" s="11" t="s">
        <v>30</v>
      </c>
      <c r="M2978" s="11" t="s">
        <v>29</v>
      </c>
      <c r="N2978" s="11" t="s">
        <v>23</v>
      </c>
      <c r="O2978" s="16" t="s">
        <v>29</v>
      </c>
      <c r="P2978" s="15">
        <v>224</v>
      </c>
      <c r="Q2978" s="8"/>
      <c r="R2978">
        <v>14.37</v>
      </c>
      <c r="S2978">
        <v>2966.25</v>
      </c>
      <c r="T2978">
        <v>3.64</v>
      </c>
      <c r="U2978">
        <v>10.32</v>
      </c>
      <c r="V2978">
        <v>144</v>
      </c>
      <c r="W2978" s="317">
        <v>4.5999999999999996</v>
      </c>
      <c r="X2978" s="190">
        <f t="shared" si="133"/>
        <v>49.68</v>
      </c>
      <c r="Y2978" s="8"/>
      <c r="Z2978" s="8"/>
    </row>
    <row r="2979" spans="1:26" ht="12.75" customHeight="1" x14ac:dyDescent="0.2">
      <c r="A2979" s="15">
        <v>94</v>
      </c>
      <c r="B2979" s="15">
        <v>1994</v>
      </c>
      <c r="C2979" s="15">
        <v>12</v>
      </c>
      <c r="D2979" s="15">
        <v>8</v>
      </c>
      <c r="E2979" s="22" t="s">
        <v>17</v>
      </c>
      <c r="F2979" s="11" t="s">
        <v>18</v>
      </c>
      <c r="G2979" s="15">
        <v>169</v>
      </c>
      <c r="H2979" s="15" t="s">
        <v>29</v>
      </c>
      <c r="I2979" s="25">
        <v>13.5</v>
      </c>
      <c r="J2979" s="11" t="s">
        <v>19</v>
      </c>
      <c r="K2979" s="11" t="s">
        <v>20</v>
      </c>
      <c r="L2979" s="11" t="s">
        <v>21</v>
      </c>
      <c r="M2979" s="11" t="s">
        <v>29</v>
      </c>
      <c r="N2979" s="11" t="s">
        <v>29</v>
      </c>
      <c r="O2979" s="16" t="s">
        <v>29</v>
      </c>
      <c r="P2979" s="15">
        <v>224</v>
      </c>
      <c r="Q2979" s="8"/>
      <c r="R2979">
        <v>15.77</v>
      </c>
      <c r="S2979">
        <v>3920.17</v>
      </c>
      <c r="T2979">
        <v>3.44</v>
      </c>
      <c r="U2979">
        <v>11.32</v>
      </c>
      <c r="V2979">
        <v>158</v>
      </c>
      <c r="W2979" s="317">
        <v>3.9</v>
      </c>
      <c r="X2979" s="190">
        <f t="shared" si="133"/>
        <v>52.65</v>
      </c>
      <c r="Y2979" s="8"/>
      <c r="Z2979" s="8"/>
    </row>
    <row r="2980" spans="1:26" ht="12.75" customHeight="1" x14ac:dyDescent="0.2">
      <c r="A2980" s="15">
        <v>95</v>
      </c>
      <c r="B2980" s="15">
        <v>1994</v>
      </c>
      <c r="C2980" s="15">
        <v>12</v>
      </c>
      <c r="D2980" s="15">
        <v>8</v>
      </c>
      <c r="E2980" s="22" t="s">
        <v>17</v>
      </c>
      <c r="F2980" s="11" t="s">
        <v>18</v>
      </c>
      <c r="G2980" s="15">
        <v>136</v>
      </c>
      <c r="H2980" s="15" t="s">
        <v>29</v>
      </c>
      <c r="I2980" s="25">
        <v>11.5</v>
      </c>
      <c r="J2980" s="11" t="s">
        <v>19</v>
      </c>
      <c r="K2980" s="11" t="s">
        <v>20</v>
      </c>
      <c r="L2980" s="11" t="s">
        <v>30</v>
      </c>
      <c r="M2980" s="11" t="s">
        <v>29</v>
      </c>
      <c r="N2980" s="11" t="s">
        <v>23</v>
      </c>
      <c r="O2980" s="16" t="s">
        <v>29</v>
      </c>
      <c r="P2980" s="15">
        <v>224</v>
      </c>
      <c r="Q2980" s="8"/>
      <c r="R2980">
        <v>12.69</v>
      </c>
      <c r="S2980">
        <v>2042.97</v>
      </c>
      <c r="T2980">
        <v>5.63</v>
      </c>
      <c r="U2980">
        <v>9.11</v>
      </c>
      <c r="V2980">
        <v>127</v>
      </c>
      <c r="W2980" s="317">
        <v>4.5999999999999996</v>
      </c>
      <c r="X2980" s="190">
        <f t="shared" si="133"/>
        <v>52.9</v>
      </c>
      <c r="Y2980" s="8"/>
      <c r="Z2980" s="8"/>
    </row>
    <row r="2981" spans="1:26" ht="12.75" customHeight="1" x14ac:dyDescent="0.2">
      <c r="A2981" s="15">
        <v>96</v>
      </c>
      <c r="B2981" s="15">
        <v>1994</v>
      </c>
      <c r="C2981" s="15">
        <v>12</v>
      </c>
      <c r="D2981" s="15">
        <v>8</v>
      </c>
      <c r="E2981" s="22" t="s">
        <v>17</v>
      </c>
      <c r="F2981" s="11" t="s">
        <v>18</v>
      </c>
      <c r="G2981" s="15">
        <v>126</v>
      </c>
      <c r="H2981" s="15" t="s">
        <v>29</v>
      </c>
      <c r="I2981" s="25">
        <v>6</v>
      </c>
      <c r="J2981" s="11" t="s">
        <v>19</v>
      </c>
      <c r="K2981" s="11" t="s">
        <v>20</v>
      </c>
      <c r="L2981" s="11" t="s">
        <v>21</v>
      </c>
      <c r="M2981" s="11" t="s">
        <v>29</v>
      </c>
      <c r="N2981" s="11" t="s">
        <v>25</v>
      </c>
      <c r="O2981" s="16" t="s">
        <v>29</v>
      </c>
      <c r="P2981" s="15">
        <v>224</v>
      </c>
      <c r="Q2981" s="8"/>
      <c r="R2981">
        <v>11.76</v>
      </c>
      <c r="S2981">
        <v>1624.64</v>
      </c>
      <c r="T2981">
        <v>3.69</v>
      </c>
      <c r="U2981">
        <v>8.44</v>
      </c>
      <c r="V2981">
        <v>118</v>
      </c>
      <c r="W2981" s="317">
        <v>3.9</v>
      </c>
      <c r="X2981" s="190">
        <f t="shared" si="133"/>
        <v>23.4</v>
      </c>
      <c r="Y2981" s="8"/>
      <c r="Z2981" s="8"/>
    </row>
    <row r="2982" spans="1:26" ht="12.75" customHeight="1" x14ac:dyDescent="0.2">
      <c r="A2982" s="15">
        <v>97</v>
      </c>
      <c r="B2982" s="15">
        <v>1994</v>
      </c>
      <c r="C2982" s="15">
        <v>12</v>
      </c>
      <c r="D2982" s="15">
        <v>8</v>
      </c>
      <c r="E2982" s="22" t="s">
        <v>17</v>
      </c>
      <c r="F2982" s="11" t="s">
        <v>18</v>
      </c>
      <c r="G2982" s="15">
        <v>162</v>
      </c>
      <c r="H2982" s="15" t="s">
        <v>29</v>
      </c>
      <c r="I2982" s="25">
        <v>8.5</v>
      </c>
      <c r="J2982" s="11" t="s">
        <v>19</v>
      </c>
      <c r="K2982" s="11" t="s">
        <v>20</v>
      </c>
      <c r="L2982" s="11" t="s">
        <v>21</v>
      </c>
      <c r="M2982" s="11" t="s">
        <v>29</v>
      </c>
      <c r="N2982" s="11" t="s">
        <v>25</v>
      </c>
      <c r="O2982" s="16" t="s">
        <v>29</v>
      </c>
      <c r="P2982" s="15">
        <v>224</v>
      </c>
      <c r="Q2982" s="8"/>
      <c r="R2982">
        <v>15.11</v>
      </c>
      <c r="S2982">
        <v>3452.95</v>
      </c>
      <c r="T2982">
        <v>2.46</v>
      </c>
      <c r="U2982">
        <v>10.85</v>
      </c>
      <c r="V2982">
        <v>151</v>
      </c>
      <c r="W2982" s="317">
        <v>3.9</v>
      </c>
      <c r="X2982" s="190">
        <f t="shared" si="133"/>
        <v>33.15</v>
      </c>
      <c r="Y2982" s="8"/>
      <c r="Z2982" s="8"/>
    </row>
    <row r="2983" spans="1:26" ht="12.75" customHeight="1" x14ac:dyDescent="0.2">
      <c r="A2983" s="15">
        <v>98</v>
      </c>
      <c r="B2983" s="15">
        <v>1994</v>
      </c>
      <c r="C2983" s="15">
        <v>12</v>
      </c>
      <c r="D2983" s="15">
        <v>8</v>
      </c>
      <c r="E2983" s="22" t="s">
        <v>17</v>
      </c>
      <c r="F2983" s="11" t="s">
        <v>18</v>
      </c>
      <c r="G2983" s="15">
        <v>147</v>
      </c>
      <c r="H2983" s="15" t="s">
        <v>29</v>
      </c>
      <c r="I2983" s="25">
        <v>16</v>
      </c>
      <c r="J2983" s="11" t="s">
        <v>19</v>
      </c>
      <c r="K2983" s="11" t="s">
        <v>34</v>
      </c>
      <c r="L2983" s="11" t="s">
        <v>41</v>
      </c>
      <c r="M2983" s="11" t="s">
        <v>29</v>
      </c>
      <c r="N2983" s="11" t="s">
        <v>25</v>
      </c>
      <c r="O2983" s="16" t="s">
        <v>29</v>
      </c>
      <c r="P2983" s="15">
        <v>224</v>
      </c>
      <c r="Q2983" s="8"/>
      <c r="R2983">
        <v>13.72</v>
      </c>
      <c r="S2983">
        <v>2579.86</v>
      </c>
      <c r="T2983">
        <v>6.2</v>
      </c>
      <c r="U2983">
        <v>9.85</v>
      </c>
      <c r="V2983">
        <v>137</v>
      </c>
      <c r="W2983" s="317">
        <v>3.8</v>
      </c>
      <c r="X2983" s="190">
        <f t="shared" si="133"/>
        <v>60.8</v>
      </c>
      <c r="Y2983" s="8"/>
      <c r="Z2983" s="8"/>
    </row>
    <row r="2984" spans="1:26" ht="12.75" customHeight="1" x14ac:dyDescent="0.2">
      <c r="A2984" s="15">
        <v>1</v>
      </c>
      <c r="B2984" s="15">
        <v>1993</v>
      </c>
      <c r="C2984" s="15">
        <v>12</v>
      </c>
      <c r="D2984" s="15">
        <v>8</v>
      </c>
      <c r="E2984" s="22" t="s">
        <v>17</v>
      </c>
      <c r="F2984" s="11" t="s">
        <v>18</v>
      </c>
      <c r="G2984" s="15">
        <v>153</v>
      </c>
      <c r="H2984" s="15" t="s">
        <v>29</v>
      </c>
      <c r="I2984" s="25">
        <v>16</v>
      </c>
      <c r="J2984" s="11" t="s">
        <v>19</v>
      </c>
      <c r="K2984" s="11" t="s">
        <v>20</v>
      </c>
      <c r="L2984" s="11" t="s">
        <v>30</v>
      </c>
      <c r="M2984" s="11" t="s">
        <v>46</v>
      </c>
      <c r="N2984" s="11" t="s">
        <v>23</v>
      </c>
      <c r="O2984" s="16" t="s">
        <v>29</v>
      </c>
      <c r="P2984" s="15">
        <v>224</v>
      </c>
      <c r="Q2984" s="8"/>
      <c r="R2984">
        <v>14.27</v>
      </c>
      <c r="S2984">
        <v>2908.84</v>
      </c>
      <c r="T2984">
        <v>5.5</v>
      </c>
      <c r="U2984">
        <v>10.25</v>
      </c>
      <c r="V2984">
        <v>143</v>
      </c>
      <c r="W2984" s="317">
        <v>4.5999999999999996</v>
      </c>
      <c r="X2984" s="190">
        <f t="shared" si="133"/>
        <v>73.599999999999994</v>
      </c>
      <c r="Y2984" s="8"/>
      <c r="Z2984" s="8"/>
    </row>
    <row r="2985" spans="1:26" ht="12.75" customHeight="1" x14ac:dyDescent="0.2">
      <c r="A2985" s="15">
        <v>2</v>
      </c>
      <c r="B2985" s="15">
        <v>1993</v>
      </c>
      <c r="C2985" s="15">
        <v>12</v>
      </c>
      <c r="D2985" s="15">
        <v>8</v>
      </c>
      <c r="E2985" s="22" t="s">
        <v>17</v>
      </c>
      <c r="F2985" s="11" t="s">
        <v>28</v>
      </c>
      <c r="G2985" s="11" t="s">
        <v>29</v>
      </c>
      <c r="H2985" s="15" t="s">
        <v>29</v>
      </c>
      <c r="I2985" s="25" t="s">
        <v>29</v>
      </c>
      <c r="J2985" s="11" t="s">
        <v>19</v>
      </c>
      <c r="K2985" s="11" t="s">
        <v>20</v>
      </c>
      <c r="L2985" s="11" t="s">
        <v>30</v>
      </c>
      <c r="M2985" s="11" t="s">
        <v>46</v>
      </c>
      <c r="N2985" s="11" t="s">
        <v>25</v>
      </c>
      <c r="O2985" s="16" t="s">
        <v>29</v>
      </c>
      <c r="P2985" s="15">
        <v>224</v>
      </c>
      <c r="Q2985" s="8"/>
      <c r="W2985" s="317">
        <v>4.5999999999999996</v>
      </c>
      <c r="X2985" s="190"/>
      <c r="Y2985" s="8"/>
      <c r="Z2985" s="8"/>
    </row>
    <row r="2986" spans="1:26" ht="12.75" customHeight="1" x14ac:dyDescent="0.2">
      <c r="A2986" s="15">
        <v>3</v>
      </c>
      <c r="B2986" s="15">
        <v>1993</v>
      </c>
      <c r="C2986" s="15">
        <v>12</v>
      </c>
      <c r="D2986" s="15">
        <v>8</v>
      </c>
      <c r="E2986" s="22" t="s">
        <v>17</v>
      </c>
      <c r="F2986" s="11" t="s">
        <v>18</v>
      </c>
      <c r="G2986" s="15">
        <v>161</v>
      </c>
      <c r="H2986" s="15" t="s">
        <v>29</v>
      </c>
      <c r="I2986" s="25">
        <v>19.5</v>
      </c>
      <c r="J2986" s="11" t="s">
        <v>19</v>
      </c>
      <c r="K2986" s="11" t="s">
        <v>20</v>
      </c>
      <c r="L2986" s="11" t="s">
        <v>30</v>
      </c>
      <c r="M2986" s="11" t="s">
        <v>46</v>
      </c>
      <c r="N2986" s="11" t="s">
        <v>29</v>
      </c>
      <c r="O2986" s="16" t="s">
        <v>29</v>
      </c>
      <c r="P2986" s="15">
        <v>224</v>
      </c>
      <c r="Q2986" s="8"/>
      <c r="R2986">
        <v>15.02</v>
      </c>
      <c r="S2986">
        <v>3389.4</v>
      </c>
      <c r="T2986">
        <v>5.75</v>
      </c>
      <c r="U2986">
        <v>10.79</v>
      </c>
      <c r="V2986">
        <v>150</v>
      </c>
      <c r="W2986" s="317">
        <v>4.5999999999999996</v>
      </c>
      <c r="X2986" s="190">
        <f t="shared" ref="X2986:X2989" si="134">I2986*W2986</f>
        <v>89.699999999999989</v>
      </c>
      <c r="Y2986" s="8"/>
      <c r="Z2986" s="8"/>
    </row>
    <row r="2987" spans="1:26" ht="12.75" customHeight="1" x14ac:dyDescent="0.2">
      <c r="A2987" s="15">
        <v>4</v>
      </c>
      <c r="B2987" s="15">
        <v>1993</v>
      </c>
      <c r="C2987" s="15">
        <v>12</v>
      </c>
      <c r="D2987" s="15">
        <v>8</v>
      </c>
      <c r="E2987" s="22" t="s">
        <v>17</v>
      </c>
      <c r="F2987" s="11" t="s">
        <v>18</v>
      </c>
      <c r="G2987" s="15">
        <v>147</v>
      </c>
      <c r="H2987" s="15" t="s">
        <v>29</v>
      </c>
      <c r="I2987" s="25">
        <v>17</v>
      </c>
      <c r="J2987" s="11" t="s">
        <v>19</v>
      </c>
      <c r="K2987" s="11" t="s">
        <v>20</v>
      </c>
      <c r="L2987" s="11" t="s">
        <v>30</v>
      </c>
      <c r="M2987" s="11" t="s">
        <v>46</v>
      </c>
      <c r="N2987" s="11" t="s">
        <v>29</v>
      </c>
      <c r="O2987" s="16" t="s">
        <v>29</v>
      </c>
      <c r="P2987" s="15">
        <v>224</v>
      </c>
      <c r="Q2987" s="8"/>
      <c r="R2987">
        <v>13.72</v>
      </c>
      <c r="S2987">
        <v>2579.86</v>
      </c>
      <c r="T2987">
        <v>6.59</v>
      </c>
      <c r="U2987">
        <v>9.85</v>
      </c>
      <c r="V2987">
        <v>137</v>
      </c>
      <c r="W2987" s="317">
        <v>4.5999999999999996</v>
      </c>
      <c r="X2987" s="190">
        <f t="shared" si="134"/>
        <v>78.199999999999989</v>
      </c>
      <c r="Y2987" s="8"/>
      <c r="Z2987" s="8"/>
    </row>
    <row r="2988" spans="1:26" ht="12.75" customHeight="1" x14ac:dyDescent="0.2">
      <c r="A2988" s="15">
        <v>5</v>
      </c>
      <c r="B2988" s="15">
        <v>1993</v>
      </c>
      <c r="C2988" s="15">
        <v>12</v>
      </c>
      <c r="D2988" s="15">
        <v>8</v>
      </c>
      <c r="E2988" s="22" t="s">
        <v>17</v>
      </c>
      <c r="F2988" s="11" t="s">
        <v>18</v>
      </c>
      <c r="G2988" s="15">
        <v>156</v>
      </c>
      <c r="H2988" s="15" t="s">
        <v>29</v>
      </c>
      <c r="I2988" s="25">
        <v>17.5</v>
      </c>
      <c r="J2988" s="11" t="s">
        <v>19</v>
      </c>
      <c r="K2988" s="11" t="s">
        <v>20</v>
      </c>
      <c r="L2988" s="11" t="s">
        <v>30</v>
      </c>
      <c r="M2988" s="11" t="s">
        <v>45</v>
      </c>
      <c r="N2988" s="11" t="s">
        <v>33</v>
      </c>
      <c r="O2988" s="16" t="s">
        <v>29</v>
      </c>
      <c r="P2988" s="15">
        <v>224</v>
      </c>
      <c r="Q2988" s="8"/>
      <c r="R2988">
        <v>14.55</v>
      </c>
      <c r="S2988">
        <v>3083.32</v>
      </c>
      <c r="T2988">
        <v>5.68</v>
      </c>
      <c r="U2988">
        <v>10.45</v>
      </c>
      <c r="V2988">
        <v>146</v>
      </c>
      <c r="W2988" s="317">
        <v>4.5999999999999996</v>
      </c>
      <c r="X2988" s="190">
        <f t="shared" si="134"/>
        <v>80.5</v>
      </c>
      <c r="Y2988" s="8"/>
      <c r="Z2988" s="8"/>
    </row>
    <row r="2989" spans="1:26" ht="12.75" customHeight="1" x14ac:dyDescent="0.2">
      <c r="A2989" s="15">
        <v>6</v>
      </c>
      <c r="B2989" s="15">
        <v>1993</v>
      </c>
      <c r="C2989" s="15">
        <v>12</v>
      </c>
      <c r="D2989" s="15">
        <v>8</v>
      </c>
      <c r="E2989" s="22" t="s">
        <v>17</v>
      </c>
      <c r="F2989" s="11" t="s">
        <v>18</v>
      </c>
      <c r="G2989" s="15">
        <v>159</v>
      </c>
      <c r="H2989" s="15" t="s">
        <v>29</v>
      </c>
      <c r="I2989" s="25">
        <v>21.5</v>
      </c>
      <c r="J2989" s="11" t="s">
        <v>19</v>
      </c>
      <c r="K2989" s="11" t="s">
        <v>34</v>
      </c>
      <c r="L2989" s="11" t="s">
        <v>41</v>
      </c>
      <c r="M2989" s="11" t="s">
        <v>45</v>
      </c>
      <c r="N2989" s="11" t="s">
        <v>29</v>
      </c>
      <c r="O2989" s="16" t="s">
        <v>29</v>
      </c>
      <c r="P2989" s="15">
        <v>224</v>
      </c>
      <c r="Q2989" s="8"/>
      <c r="R2989">
        <v>14.83</v>
      </c>
      <c r="S2989">
        <v>3264.65</v>
      </c>
      <c r="T2989">
        <v>6.59</v>
      </c>
      <c r="U2989">
        <v>10.65</v>
      </c>
      <c r="V2989">
        <v>148</v>
      </c>
      <c r="W2989" s="317">
        <v>3.8</v>
      </c>
      <c r="X2989" s="190">
        <f t="shared" si="134"/>
        <v>81.7</v>
      </c>
      <c r="Y2989" s="8"/>
      <c r="Z2989" s="8"/>
    </row>
    <row r="2990" spans="1:26" ht="12.75" customHeight="1" x14ac:dyDescent="0.2">
      <c r="A2990" s="15">
        <v>7</v>
      </c>
      <c r="B2990" s="15">
        <v>1993</v>
      </c>
      <c r="C2990" s="15">
        <v>12</v>
      </c>
      <c r="D2990" s="15">
        <v>8</v>
      </c>
      <c r="E2990" s="22" t="s">
        <v>17</v>
      </c>
      <c r="F2990" s="11" t="s">
        <v>28</v>
      </c>
      <c r="G2990" s="11" t="s">
        <v>29</v>
      </c>
      <c r="H2990" s="15" t="s">
        <v>29</v>
      </c>
      <c r="I2990" s="25" t="s">
        <v>29</v>
      </c>
      <c r="J2990" s="11" t="s">
        <v>19</v>
      </c>
      <c r="K2990" s="11" t="s">
        <v>20</v>
      </c>
      <c r="L2990" s="11" t="s">
        <v>30</v>
      </c>
      <c r="M2990" s="11" t="s">
        <v>45</v>
      </c>
      <c r="N2990" s="11" t="s">
        <v>25</v>
      </c>
      <c r="O2990" s="16" t="s">
        <v>29</v>
      </c>
      <c r="P2990" s="15">
        <v>224</v>
      </c>
      <c r="Q2990" s="8"/>
      <c r="W2990" s="317">
        <v>4.5999999999999996</v>
      </c>
      <c r="X2990" s="190"/>
      <c r="Y2990" s="8"/>
      <c r="Z2990" s="8"/>
    </row>
    <row r="2991" spans="1:26" ht="12.75" customHeight="1" x14ac:dyDescent="0.2">
      <c r="A2991" s="15">
        <v>8</v>
      </c>
      <c r="B2991" s="15">
        <v>1993</v>
      </c>
      <c r="C2991" s="15">
        <v>12</v>
      </c>
      <c r="D2991" s="15">
        <v>8</v>
      </c>
      <c r="E2991" s="22" t="s">
        <v>17</v>
      </c>
      <c r="F2991" s="11" t="s">
        <v>18</v>
      </c>
      <c r="G2991" s="15">
        <v>150</v>
      </c>
      <c r="H2991" s="15" t="s">
        <v>29</v>
      </c>
      <c r="I2991" s="25">
        <v>15.5</v>
      </c>
      <c r="J2991" s="11" t="s">
        <v>19</v>
      </c>
      <c r="K2991" s="11" t="s">
        <v>20</v>
      </c>
      <c r="L2991" s="11" t="s">
        <v>30</v>
      </c>
      <c r="M2991" s="11" t="s">
        <v>29</v>
      </c>
      <c r="N2991" s="11" t="s">
        <v>25</v>
      </c>
      <c r="O2991" s="16" t="s">
        <v>29</v>
      </c>
      <c r="P2991" s="15">
        <v>224</v>
      </c>
      <c r="Q2991" s="8"/>
      <c r="R2991">
        <v>14</v>
      </c>
      <c r="S2991">
        <v>2741.06</v>
      </c>
      <c r="T2991">
        <v>5.65</v>
      </c>
      <c r="U2991">
        <v>10.050000000000001</v>
      </c>
      <c r="V2991">
        <v>140</v>
      </c>
      <c r="W2991" s="317">
        <v>4.5999999999999996</v>
      </c>
      <c r="X2991" s="190">
        <f t="shared" ref="X2991:X3006" si="135">I2991*W2991</f>
        <v>71.3</v>
      </c>
      <c r="Y2991" s="8"/>
      <c r="Z2991" s="8"/>
    </row>
    <row r="2992" spans="1:26" ht="12.75" customHeight="1" x14ac:dyDescent="0.2">
      <c r="A2992" s="15">
        <v>9</v>
      </c>
      <c r="B2992" s="15">
        <v>1993</v>
      </c>
      <c r="C2992" s="15">
        <v>12</v>
      </c>
      <c r="D2992" s="15">
        <v>8</v>
      </c>
      <c r="E2992" s="22" t="s">
        <v>17</v>
      </c>
      <c r="F2992" s="11" t="s">
        <v>18</v>
      </c>
      <c r="G2992" s="15">
        <v>145</v>
      </c>
      <c r="H2992" s="15" t="s">
        <v>29</v>
      </c>
      <c r="I2992" s="25">
        <v>13.3</v>
      </c>
      <c r="J2992" s="11" t="s">
        <v>19</v>
      </c>
      <c r="K2992" s="11" t="s">
        <v>20</v>
      </c>
      <c r="L2992" s="11" t="s">
        <v>30</v>
      </c>
      <c r="M2992" s="11" t="s">
        <v>46</v>
      </c>
      <c r="N2992" s="11" t="s">
        <v>29</v>
      </c>
      <c r="O2992" s="16" t="s">
        <v>29</v>
      </c>
      <c r="P2992" s="15">
        <v>224</v>
      </c>
      <c r="Q2992" s="8"/>
      <c r="R2992">
        <v>13.53</v>
      </c>
      <c r="S2992">
        <v>2475.9899999999998</v>
      </c>
      <c r="T2992">
        <v>5.37</v>
      </c>
      <c r="U2992">
        <v>9.7200000000000006</v>
      </c>
      <c r="V2992">
        <v>135</v>
      </c>
      <c r="W2992" s="317">
        <v>4.5999999999999996</v>
      </c>
      <c r="X2992" s="190">
        <f t="shared" si="135"/>
        <v>61.18</v>
      </c>
      <c r="Y2992" s="8"/>
      <c r="Z2992" s="8"/>
    </row>
    <row r="2993" spans="1:26" ht="12.75" customHeight="1" x14ac:dyDescent="0.2">
      <c r="A2993" s="15">
        <v>10</v>
      </c>
      <c r="B2993" s="15">
        <v>1993</v>
      </c>
      <c r="C2993" s="15">
        <v>12</v>
      </c>
      <c r="D2993" s="15">
        <v>8</v>
      </c>
      <c r="E2993" s="22" t="s">
        <v>17</v>
      </c>
      <c r="F2993" s="11" t="s">
        <v>18</v>
      </c>
      <c r="G2993" s="15">
        <v>143</v>
      </c>
      <c r="H2993" s="15" t="s">
        <v>29</v>
      </c>
      <c r="I2993" s="25">
        <v>14.3</v>
      </c>
      <c r="J2993" s="11" t="s">
        <v>19</v>
      </c>
      <c r="K2993" s="11" t="s">
        <v>20</v>
      </c>
      <c r="L2993" s="11" t="s">
        <v>30</v>
      </c>
      <c r="M2993" s="11" t="s">
        <v>46</v>
      </c>
      <c r="N2993" s="11" t="s">
        <v>33</v>
      </c>
      <c r="O2993" s="16" t="s">
        <v>29</v>
      </c>
      <c r="P2993" s="15">
        <v>224</v>
      </c>
      <c r="Q2993" s="8"/>
      <c r="R2993">
        <v>13.34</v>
      </c>
      <c r="S2993">
        <v>2374.94</v>
      </c>
      <c r="T2993">
        <v>6.02</v>
      </c>
      <c r="U2993">
        <v>9.58</v>
      </c>
      <c r="V2993">
        <v>133</v>
      </c>
      <c r="W2993" s="317">
        <v>4.5999999999999996</v>
      </c>
      <c r="X2993" s="190">
        <f t="shared" si="135"/>
        <v>65.78</v>
      </c>
      <c r="Y2993" s="8"/>
      <c r="Z2993" s="8"/>
    </row>
    <row r="2994" spans="1:26" ht="12.75" customHeight="1" x14ac:dyDescent="0.2">
      <c r="A2994" s="15">
        <v>11</v>
      </c>
      <c r="B2994" s="15">
        <v>1993</v>
      </c>
      <c r="C2994" s="15">
        <v>12</v>
      </c>
      <c r="D2994" s="15">
        <v>8</v>
      </c>
      <c r="E2994" s="22" t="s">
        <v>17</v>
      </c>
      <c r="F2994" s="11" t="s">
        <v>18</v>
      </c>
      <c r="G2994" s="15">
        <v>159</v>
      </c>
      <c r="H2994" s="15" t="s">
        <v>29</v>
      </c>
      <c r="I2994" s="25">
        <v>19.5</v>
      </c>
      <c r="J2994" s="11" t="s">
        <v>19</v>
      </c>
      <c r="K2994" s="11" t="s">
        <v>20</v>
      </c>
      <c r="L2994" s="11" t="s">
        <v>30</v>
      </c>
      <c r="M2994" s="11" t="s">
        <v>29</v>
      </c>
      <c r="N2994" s="11" t="s">
        <v>29</v>
      </c>
      <c r="O2994" s="16" t="s">
        <v>29</v>
      </c>
      <c r="P2994" s="15">
        <v>224</v>
      </c>
      <c r="Q2994" s="8"/>
      <c r="R2994">
        <v>14.83</v>
      </c>
      <c r="S2994">
        <v>3264.65</v>
      </c>
      <c r="T2994">
        <v>5.97</v>
      </c>
      <c r="U2994">
        <v>10.65</v>
      </c>
      <c r="V2994">
        <v>148</v>
      </c>
      <c r="W2994" s="317">
        <v>4.5999999999999996</v>
      </c>
      <c r="X2994" s="190">
        <f t="shared" si="135"/>
        <v>89.699999999999989</v>
      </c>
      <c r="Y2994" s="8"/>
      <c r="Z2994" s="8"/>
    </row>
    <row r="2995" spans="1:26" ht="12.75" customHeight="1" x14ac:dyDescent="0.2">
      <c r="A2995" s="15">
        <v>12</v>
      </c>
      <c r="B2995" s="15">
        <v>1993</v>
      </c>
      <c r="C2995" s="15">
        <v>11</v>
      </c>
      <c r="D2995" s="15">
        <v>8</v>
      </c>
      <c r="E2995" s="22" t="s">
        <v>17</v>
      </c>
      <c r="F2995" s="11" t="s">
        <v>18</v>
      </c>
      <c r="G2995" s="15">
        <v>159</v>
      </c>
      <c r="H2995" s="15" t="s">
        <v>29</v>
      </c>
      <c r="I2995" s="25">
        <v>24</v>
      </c>
      <c r="J2995" s="11" t="s">
        <v>19</v>
      </c>
      <c r="K2995" s="11" t="s">
        <v>20</v>
      </c>
      <c r="L2995" s="11" t="s">
        <v>30</v>
      </c>
      <c r="M2995" s="11" t="s">
        <v>46</v>
      </c>
      <c r="N2995" s="11" t="s">
        <v>24</v>
      </c>
      <c r="O2995" s="16" t="s">
        <v>29</v>
      </c>
      <c r="P2995" s="15">
        <v>223</v>
      </c>
      <c r="Q2995" s="8"/>
      <c r="R2995">
        <v>14.83</v>
      </c>
      <c r="S2995">
        <v>3264.65</v>
      </c>
      <c r="T2995">
        <v>7.35</v>
      </c>
      <c r="U2995">
        <v>10.65</v>
      </c>
      <c r="V2995">
        <v>148</v>
      </c>
      <c r="W2995" s="317">
        <v>4.5999999999999996</v>
      </c>
      <c r="X2995" s="190">
        <f t="shared" si="135"/>
        <v>110.39999999999999</v>
      </c>
      <c r="Y2995" s="8"/>
      <c r="Z2995" s="8"/>
    </row>
    <row r="2996" spans="1:26" ht="12.75" customHeight="1" x14ac:dyDescent="0.2">
      <c r="A2996" s="15">
        <v>13</v>
      </c>
      <c r="B2996" s="15">
        <v>1993</v>
      </c>
      <c r="C2996" s="15">
        <v>11</v>
      </c>
      <c r="D2996" s="15">
        <v>8</v>
      </c>
      <c r="E2996" s="22" t="s">
        <v>17</v>
      </c>
      <c r="F2996" s="11" t="s">
        <v>18</v>
      </c>
      <c r="G2996" s="15">
        <v>142</v>
      </c>
      <c r="H2996" s="15" t="s">
        <v>29</v>
      </c>
      <c r="I2996" s="25">
        <v>13</v>
      </c>
      <c r="J2996" s="11" t="s">
        <v>19</v>
      </c>
      <c r="K2996" s="11" t="s">
        <v>20</v>
      </c>
      <c r="L2996" s="11" t="s">
        <v>30</v>
      </c>
      <c r="M2996" s="11" t="s">
        <v>46</v>
      </c>
      <c r="N2996" s="11" t="s">
        <v>33</v>
      </c>
      <c r="O2996" s="16" t="s">
        <v>29</v>
      </c>
      <c r="P2996" s="15">
        <v>223</v>
      </c>
      <c r="Q2996" s="8"/>
      <c r="R2996">
        <v>13.25</v>
      </c>
      <c r="S2996">
        <v>2325.4699999999998</v>
      </c>
      <c r="T2996">
        <v>5.59</v>
      </c>
      <c r="U2996">
        <v>9.51</v>
      </c>
      <c r="V2996">
        <v>132</v>
      </c>
      <c r="W2996" s="317">
        <v>4.5999999999999996</v>
      </c>
      <c r="X2996" s="190">
        <f t="shared" si="135"/>
        <v>59.8</v>
      </c>
      <c r="Y2996" s="8"/>
      <c r="Z2996" s="8"/>
    </row>
    <row r="2997" spans="1:26" ht="12.75" customHeight="1" x14ac:dyDescent="0.2">
      <c r="A2997" s="15">
        <v>14</v>
      </c>
      <c r="B2997" s="15">
        <v>1993</v>
      </c>
      <c r="C2997" s="15">
        <v>11</v>
      </c>
      <c r="D2997" s="15">
        <v>8</v>
      </c>
      <c r="E2997" s="22" t="s">
        <v>17</v>
      </c>
      <c r="F2997" s="11" t="s">
        <v>18</v>
      </c>
      <c r="G2997" s="15">
        <v>157</v>
      </c>
      <c r="H2997" s="15" t="s">
        <v>29</v>
      </c>
      <c r="I2997" s="25">
        <v>16</v>
      </c>
      <c r="J2997" s="11" t="s">
        <v>19</v>
      </c>
      <c r="K2997" s="11" t="s">
        <v>20</v>
      </c>
      <c r="L2997" s="11" t="s">
        <v>30</v>
      </c>
      <c r="M2997" s="11" t="s">
        <v>46</v>
      </c>
      <c r="N2997" s="11" t="s">
        <v>33</v>
      </c>
      <c r="O2997" s="16" t="s">
        <v>29</v>
      </c>
      <c r="P2997" s="15">
        <v>223</v>
      </c>
      <c r="Q2997" s="8"/>
      <c r="R2997">
        <v>14.65</v>
      </c>
      <c r="S2997">
        <v>3143</v>
      </c>
      <c r="T2997">
        <v>5.09</v>
      </c>
      <c r="U2997">
        <v>10.52</v>
      </c>
      <c r="V2997">
        <v>146</v>
      </c>
      <c r="W2997" s="317">
        <v>4.5999999999999996</v>
      </c>
      <c r="X2997" s="190">
        <f t="shared" si="135"/>
        <v>73.599999999999994</v>
      </c>
      <c r="Y2997" s="8"/>
      <c r="Z2997" s="8"/>
    </row>
    <row r="2998" spans="1:26" ht="12.75" customHeight="1" x14ac:dyDescent="0.2">
      <c r="A2998" s="15">
        <v>15</v>
      </c>
      <c r="B2998" s="15">
        <v>1993</v>
      </c>
      <c r="C2998" s="15">
        <v>11</v>
      </c>
      <c r="D2998" s="15">
        <v>8</v>
      </c>
      <c r="E2998" s="22" t="s">
        <v>17</v>
      </c>
      <c r="F2998" s="11" t="s">
        <v>18</v>
      </c>
      <c r="G2998" s="15">
        <v>162</v>
      </c>
      <c r="H2998" s="15" t="s">
        <v>29</v>
      </c>
      <c r="I2998" s="25">
        <v>18</v>
      </c>
      <c r="J2998" s="11" t="s">
        <v>19</v>
      </c>
      <c r="K2998" s="11" t="s">
        <v>20</v>
      </c>
      <c r="L2998" s="11" t="s">
        <v>30</v>
      </c>
      <c r="M2998" s="11" t="s">
        <v>29</v>
      </c>
      <c r="N2998" s="11" t="s">
        <v>33</v>
      </c>
      <c r="O2998" s="16" t="s">
        <v>29</v>
      </c>
      <c r="P2998" s="15">
        <v>223</v>
      </c>
      <c r="Q2998" s="8"/>
      <c r="R2998">
        <v>15.11</v>
      </c>
      <c r="S2998">
        <v>3452.95</v>
      </c>
      <c r="T2998">
        <v>5.21</v>
      </c>
      <c r="U2998">
        <v>10.85</v>
      </c>
      <c r="V2998">
        <v>151</v>
      </c>
      <c r="W2998" s="317">
        <v>4.5999999999999996</v>
      </c>
      <c r="X2998" s="190">
        <f t="shared" si="135"/>
        <v>82.8</v>
      </c>
      <c r="Y2998" s="8"/>
      <c r="Z2998" s="8"/>
    </row>
    <row r="2999" spans="1:26" ht="12.75" customHeight="1" x14ac:dyDescent="0.2">
      <c r="A2999" s="15">
        <v>16</v>
      </c>
      <c r="B2999" s="15">
        <v>1993</v>
      </c>
      <c r="C2999" s="15">
        <v>11</v>
      </c>
      <c r="D2999" s="15">
        <v>8</v>
      </c>
      <c r="E2999" s="22" t="s">
        <v>17</v>
      </c>
      <c r="F2999" s="11" t="s">
        <v>18</v>
      </c>
      <c r="G2999" s="15">
        <v>153</v>
      </c>
      <c r="H2999" s="15" t="s">
        <v>29</v>
      </c>
      <c r="I2999" s="25">
        <v>17</v>
      </c>
      <c r="J2999" s="11" t="s">
        <v>19</v>
      </c>
      <c r="K2999" s="11" t="s">
        <v>20</v>
      </c>
      <c r="L2999" s="11" t="s">
        <v>30</v>
      </c>
      <c r="M2999" s="11" t="s">
        <v>46</v>
      </c>
      <c r="N2999" s="11" t="s">
        <v>33</v>
      </c>
      <c r="O2999" s="16" t="s">
        <v>29</v>
      </c>
      <c r="P2999" s="15">
        <v>223</v>
      </c>
      <c r="Q2999" s="8"/>
      <c r="R2999">
        <v>14.27</v>
      </c>
      <c r="S2999">
        <v>2908.84</v>
      </c>
      <c r="T2999">
        <v>5.84</v>
      </c>
      <c r="U2999">
        <v>10.25</v>
      </c>
      <c r="V2999">
        <v>143</v>
      </c>
      <c r="W2999" s="317">
        <v>4.5999999999999996</v>
      </c>
      <c r="X2999" s="190">
        <f t="shared" si="135"/>
        <v>78.199999999999989</v>
      </c>
      <c r="Y2999" s="8"/>
      <c r="Z2999" s="8"/>
    </row>
    <row r="3000" spans="1:26" ht="12.75" customHeight="1" x14ac:dyDescent="0.2">
      <c r="A3000" s="15">
        <v>17</v>
      </c>
      <c r="B3000" s="15">
        <v>1993</v>
      </c>
      <c r="C3000" s="15">
        <v>11</v>
      </c>
      <c r="D3000" s="15">
        <v>8</v>
      </c>
      <c r="E3000" s="22" t="s">
        <v>17</v>
      </c>
      <c r="F3000" s="11" t="s">
        <v>18</v>
      </c>
      <c r="G3000" s="15">
        <v>156</v>
      </c>
      <c r="H3000" s="15" t="s">
        <v>29</v>
      </c>
      <c r="I3000" s="25">
        <v>19</v>
      </c>
      <c r="J3000" s="11" t="s">
        <v>19</v>
      </c>
      <c r="K3000" s="11" t="s">
        <v>20</v>
      </c>
      <c r="L3000" s="11" t="s">
        <v>30</v>
      </c>
      <c r="M3000" s="11" t="s">
        <v>46</v>
      </c>
      <c r="N3000" s="11" t="s">
        <v>24</v>
      </c>
      <c r="O3000" s="16" t="s">
        <v>29</v>
      </c>
      <c r="P3000" s="15">
        <v>223</v>
      </c>
      <c r="Q3000" s="8"/>
      <c r="R3000">
        <v>14.55</v>
      </c>
      <c r="S3000">
        <v>3083.32</v>
      </c>
      <c r="T3000">
        <v>6.16</v>
      </c>
      <c r="U3000">
        <v>10.45</v>
      </c>
      <c r="V3000">
        <v>146</v>
      </c>
      <c r="W3000" s="317">
        <v>4.5999999999999996</v>
      </c>
      <c r="X3000" s="190">
        <f t="shared" si="135"/>
        <v>87.399999999999991</v>
      </c>
      <c r="Y3000" s="8"/>
      <c r="Z3000" s="8"/>
    </row>
    <row r="3001" spans="1:26" ht="12.75" customHeight="1" x14ac:dyDescent="0.2">
      <c r="A3001" s="15">
        <v>18</v>
      </c>
      <c r="B3001" s="15">
        <v>1993</v>
      </c>
      <c r="C3001" s="15">
        <v>11</v>
      </c>
      <c r="D3001" s="15">
        <v>8</v>
      </c>
      <c r="E3001" s="22" t="s">
        <v>17</v>
      </c>
      <c r="F3001" s="11" t="s">
        <v>18</v>
      </c>
      <c r="G3001" s="15">
        <v>158</v>
      </c>
      <c r="H3001" s="15" t="s">
        <v>29</v>
      </c>
      <c r="I3001" s="25">
        <v>16.5</v>
      </c>
      <c r="J3001" s="11" t="s">
        <v>19</v>
      </c>
      <c r="K3001" s="11" t="s">
        <v>20</v>
      </c>
      <c r="L3001" s="11" t="s">
        <v>30</v>
      </c>
      <c r="M3001" s="11" t="s">
        <v>29</v>
      </c>
      <c r="N3001" s="11" t="s">
        <v>24</v>
      </c>
      <c r="O3001" s="16" t="s">
        <v>29</v>
      </c>
      <c r="P3001" s="15">
        <v>223</v>
      </c>
      <c r="Q3001" s="8"/>
      <c r="R3001">
        <v>14.74</v>
      </c>
      <c r="S3001">
        <v>3203.44</v>
      </c>
      <c r="T3001">
        <v>5.15</v>
      </c>
      <c r="U3001">
        <v>10.59</v>
      </c>
      <c r="V3001">
        <v>147</v>
      </c>
      <c r="W3001" s="317">
        <v>4.5999999999999996</v>
      </c>
      <c r="X3001" s="190">
        <f t="shared" si="135"/>
        <v>75.899999999999991</v>
      </c>
      <c r="Y3001" s="8"/>
      <c r="Z3001" s="8"/>
    </row>
    <row r="3002" spans="1:26" ht="12.75" customHeight="1" x14ac:dyDescent="0.2">
      <c r="A3002" s="15">
        <v>19</v>
      </c>
      <c r="B3002" s="15">
        <v>1993</v>
      </c>
      <c r="C3002" s="15">
        <v>11</v>
      </c>
      <c r="D3002" s="15">
        <v>8</v>
      </c>
      <c r="E3002" s="22" t="s">
        <v>17</v>
      </c>
      <c r="F3002" s="11" t="s">
        <v>18</v>
      </c>
      <c r="G3002" s="15">
        <v>140</v>
      </c>
      <c r="H3002" s="15" t="s">
        <v>29</v>
      </c>
      <c r="I3002" s="25">
        <v>14</v>
      </c>
      <c r="J3002" s="11" t="s">
        <v>19</v>
      </c>
      <c r="K3002" s="11" t="s">
        <v>20</v>
      </c>
      <c r="L3002" s="11" t="s">
        <v>30</v>
      </c>
      <c r="M3002" s="11" t="s">
        <v>46</v>
      </c>
      <c r="N3002" s="11" t="s">
        <v>24</v>
      </c>
      <c r="O3002" s="16" t="s">
        <v>29</v>
      </c>
      <c r="P3002" s="15">
        <v>223</v>
      </c>
      <c r="Q3002" s="8"/>
      <c r="R3002">
        <v>13.06</v>
      </c>
      <c r="S3002">
        <v>2228.58</v>
      </c>
      <c r="T3002">
        <v>6.28</v>
      </c>
      <c r="U3002">
        <v>9.3800000000000008</v>
      </c>
      <c r="V3002">
        <v>131</v>
      </c>
      <c r="W3002" s="317">
        <v>4.5999999999999996</v>
      </c>
      <c r="X3002" s="190">
        <f t="shared" si="135"/>
        <v>64.399999999999991</v>
      </c>
      <c r="Y3002" s="8"/>
      <c r="Z3002" s="8"/>
    </row>
    <row r="3003" spans="1:26" ht="12.75" customHeight="1" x14ac:dyDescent="0.2">
      <c r="A3003" s="15">
        <v>20</v>
      </c>
      <c r="B3003" s="15">
        <v>1993</v>
      </c>
      <c r="C3003" s="15">
        <v>11</v>
      </c>
      <c r="D3003" s="15">
        <v>8</v>
      </c>
      <c r="E3003" s="22" t="s">
        <v>17</v>
      </c>
      <c r="F3003" s="11" t="s">
        <v>28</v>
      </c>
      <c r="G3003" s="11" t="s">
        <v>29</v>
      </c>
      <c r="H3003" s="15" t="s">
        <v>29</v>
      </c>
      <c r="I3003" s="25" t="s">
        <v>29</v>
      </c>
      <c r="J3003" s="11" t="s">
        <v>19</v>
      </c>
      <c r="K3003" s="11" t="s">
        <v>20</v>
      </c>
      <c r="L3003" s="11" t="s">
        <v>30</v>
      </c>
      <c r="M3003" s="11" t="s">
        <v>29</v>
      </c>
      <c r="N3003" s="11" t="s">
        <v>24</v>
      </c>
      <c r="O3003" s="16" t="s">
        <v>29</v>
      </c>
      <c r="P3003" s="15">
        <v>223</v>
      </c>
      <c r="Q3003" s="8"/>
      <c r="W3003" s="317">
        <v>4.5999999999999996</v>
      </c>
      <c r="X3003" s="190"/>
      <c r="Y3003" s="8"/>
      <c r="Z3003" s="8"/>
    </row>
    <row r="3004" spans="1:26" ht="12.75" customHeight="1" x14ac:dyDescent="0.2">
      <c r="A3004" s="15">
        <v>21</v>
      </c>
      <c r="B3004" s="15">
        <v>1993</v>
      </c>
      <c r="C3004" s="15">
        <v>11</v>
      </c>
      <c r="D3004" s="15">
        <v>8</v>
      </c>
      <c r="E3004" s="22" t="s">
        <v>17</v>
      </c>
      <c r="F3004" s="11" t="s">
        <v>18</v>
      </c>
      <c r="G3004" s="15">
        <v>156</v>
      </c>
      <c r="H3004" s="15" t="s">
        <v>29</v>
      </c>
      <c r="I3004" s="25">
        <v>18.5</v>
      </c>
      <c r="J3004" s="11" t="s">
        <v>19</v>
      </c>
      <c r="K3004" s="11" t="s">
        <v>20</v>
      </c>
      <c r="L3004" s="11" t="s">
        <v>30</v>
      </c>
      <c r="M3004" s="11" t="s">
        <v>29</v>
      </c>
      <c r="N3004" s="11" t="s">
        <v>33</v>
      </c>
      <c r="O3004" s="16" t="s">
        <v>29</v>
      </c>
      <c r="P3004" s="15">
        <v>223</v>
      </c>
      <c r="Q3004" s="8"/>
      <c r="R3004">
        <v>14.55</v>
      </c>
      <c r="S3004">
        <v>3083.32</v>
      </c>
      <c r="T3004">
        <v>6</v>
      </c>
      <c r="U3004">
        <v>10.45</v>
      </c>
      <c r="V3004">
        <v>146</v>
      </c>
      <c r="W3004" s="317">
        <v>4.5999999999999996</v>
      </c>
      <c r="X3004" s="190">
        <f t="shared" si="135"/>
        <v>85.1</v>
      </c>
      <c r="Y3004" s="8"/>
      <c r="Z3004" s="8"/>
    </row>
    <row r="3005" spans="1:26" ht="12.75" customHeight="1" x14ac:dyDescent="0.2">
      <c r="A3005" s="15">
        <v>22</v>
      </c>
      <c r="B3005" s="15">
        <v>1993</v>
      </c>
      <c r="C3005" s="15">
        <v>11</v>
      </c>
      <c r="D3005" s="15">
        <v>8</v>
      </c>
      <c r="E3005" s="22" t="s">
        <v>17</v>
      </c>
      <c r="F3005" s="11" t="s">
        <v>18</v>
      </c>
      <c r="G3005" s="15">
        <v>159</v>
      </c>
      <c r="H3005" s="15" t="s">
        <v>29</v>
      </c>
      <c r="I3005" s="25">
        <v>19.5</v>
      </c>
      <c r="J3005" s="11" t="s">
        <v>19</v>
      </c>
      <c r="K3005" s="11" t="s">
        <v>20</v>
      </c>
      <c r="L3005" s="11" t="s">
        <v>30</v>
      </c>
      <c r="M3005" s="11" t="s">
        <v>46</v>
      </c>
      <c r="N3005" s="11" t="s">
        <v>24</v>
      </c>
      <c r="O3005" s="16" t="s">
        <v>29</v>
      </c>
      <c r="P3005" s="15">
        <v>223</v>
      </c>
      <c r="Q3005" s="8"/>
      <c r="R3005">
        <v>14.83</v>
      </c>
      <c r="S3005">
        <v>3264.65</v>
      </c>
      <c r="T3005">
        <v>5.97</v>
      </c>
      <c r="U3005">
        <v>10.65</v>
      </c>
      <c r="V3005">
        <v>148</v>
      </c>
      <c r="W3005" s="317">
        <v>4.5999999999999996</v>
      </c>
      <c r="X3005" s="190">
        <f t="shared" si="135"/>
        <v>89.699999999999989</v>
      </c>
      <c r="Y3005" s="8"/>
      <c r="Z3005" s="8"/>
    </row>
    <row r="3006" spans="1:26" ht="12.75" customHeight="1" x14ac:dyDescent="0.2">
      <c r="A3006" s="15">
        <v>23</v>
      </c>
      <c r="B3006" s="15">
        <v>1993</v>
      </c>
      <c r="C3006" s="15">
        <v>11</v>
      </c>
      <c r="D3006" s="15">
        <v>8</v>
      </c>
      <c r="E3006" s="22" t="s">
        <v>17</v>
      </c>
      <c r="F3006" s="11" t="s">
        <v>18</v>
      </c>
      <c r="G3006" s="15">
        <v>168</v>
      </c>
      <c r="H3006" s="15" t="s">
        <v>29</v>
      </c>
      <c r="I3006" s="25">
        <v>26</v>
      </c>
      <c r="J3006" s="11" t="s">
        <v>19</v>
      </c>
      <c r="K3006" s="11" t="s">
        <v>34</v>
      </c>
      <c r="L3006" s="11" t="s">
        <v>41</v>
      </c>
      <c r="M3006" s="11" t="s">
        <v>45</v>
      </c>
      <c r="N3006" s="11" t="s">
        <v>24</v>
      </c>
      <c r="O3006" s="16" t="s">
        <v>29</v>
      </c>
      <c r="P3006" s="15">
        <v>223</v>
      </c>
      <c r="Q3006" s="8"/>
      <c r="R3006">
        <v>15.67</v>
      </c>
      <c r="S3006">
        <v>3850.99</v>
      </c>
      <c r="T3006">
        <v>6.75</v>
      </c>
      <c r="U3006">
        <v>11.26</v>
      </c>
      <c r="V3006">
        <v>157</v>
      </c>
      <c r="W3006" s="317">
        <v>3.8</v>
      </c>
      <c r="X3006" s="190">
        <f t="shared" si="135"/>
        <v>98.8</v>
      </c>
      <c r="Y3006" s="8"/>
      <c r="Z3006" s="8"/>
    </row>
    <row r="3007" spans="1:26" ht="12.75" customHeight="1" x14ac:dyDescent="0.2">
      <c r="A3007" s="15">
        <v>24</v>
      </c>
      <c r="B3007" s="15">
        <v>1993</v>
      </c>
      <c r="C3007" s="15">
        <v>11</v>
      </c>
      <c r="D3007" s="15">
        <v>8</v>
      </c>
      <c r="E3007" s="22" t="s">
        <v>17</v>
      </c>
      <c r="F3007" s="11" t="s">
        <v>18</v>
      </c>
      <c r="G3007" s="15">
        <v>175</v>
      </c>
      <c r="H3007" s="15" t="s">
        <v>29</v>
      </c>
      <c r="I3007" s="25">
        <v>17</v>
      </c>
      <c r="J3007" s="11" t="s">
        <v>19</v>
      </c>
      <c r="K3007" s="11" t="s">
        <v>20</v>
      </c>
      <c r="L3007" s="11" t="s">
        <v>21</v>
      </c>
      <c r="M3007" s="11" t="s">
        <v>29</v>
      </c>
      <c r="N3007" s="11" t="s">
        <v>23</v>
      </c>
      <c r="O3007" s="16" t="s">
        <v>29</v>
      </c>
      <c r="P3007" s="15">
        <v>223</v>
      </c>
      <c r="Q3007" s="8"/>
      <c r="R3007">
        <v>16.329999999999998</v>
      </c>
      <c r="S3007">
        <v>4352.7</v>
      </c>
      <c r="T3007">
        <v>3.91</v>
      </c>
      <c r="U3007">
        <v>11.73</v>
      </c>
      <c r="V3007">
        <v>163</v>
      </c>
      <c r="W3007" s="317">
        <v>3.9</v>
      </c>
      <c r="X3007" s="190">
        <f t="shared" ref="X3007:X3019" si="136">I3007*W3007</f>
        <v>66.3</v>
      </c>
      <c r="Y3007" s="8"/>
      <c r="Z3007" s="8"/>
    </row>
    <row r="3008" spans="1:26" ht="12.75" customHeight="1" x14ac:dyDescent="0.2">
      <c r="A3008" s="15">
        <v>25</v>
      </c>
      <c r="B3008" s="15">
        <v>1993</v>
      </c>
      <c r="C3008" s="15">
        <v>11</v>
      </c>
      <c r="D3008" s="15">
        <v>8</v>
      </c>
      <c r="E3008" s="22" t="s">
        <v>17</v>
      </c>
      <c r="F3008" s="11" t="s">
        <v>18</v>
      </c>
      <c r="G3008" s="15">
        <v>150</v>
      </c>
      <c r="H3008" s="15" t="s">
        <v>29</v>
      </c>
      <c r="I3008" s="25">
        <v>19</v>
      </c>
      <c r="J3008" s="11" t="s">
        <v>19</v>
      </c>
      <c r="K3008" s="11" t="s">
        <v>20</v>
      </c>
      <c r="L3008" s="11" t="s">
        <v>30</v>
      </c>
      <c r="M3008" s="11" t="s">
        <v>46</v>
      </c>
      <c r="N3008" s="11" t="s">
        <v>33</v>
      </c>
      <c r="O3008" s="16" t="s">
        <v>29</v>
      </c>
      <c r="P3008" s="15">
        <v>223</v>
      </c>
      <c r="Q3008" s="8"/>
      <c r="R3008">
        <v>14</v>
      </c>
      <c r="S3008">
        <v>2741.06</v>
      </c>
      <c r="T3008">
        <v>6.93</v>
      </c>
      <c r="U3008">
        <v>10.050000000000001</v>
      </c>
      <c r="V3008">
        <v>140</v>
      </c>
      <c r="W3008" s="317">
        <v>4.5999999999999996</v>
      </c>
      <c r="X3008" s="190">
        <f t="shared" si="136"/>
        <v>87.399999999999991</v>
      </c>
      <c r="Y3008" s="8"/>
      <c r="Z3008" s="8"/>
    </row>
    <row r="3009" spans="1:26" ht="12.75" customHeight="1" x14ac:dyDescent="0.2">
      <c r="A3009" s="15">
        <v>26</v>
      </c>
      <c r="B3009" s="15">
        <v>1993</v>
      </c>
      <c r="C3009" s="15">
        <v>11</v>
      </c>
      <c r="D3009" s="15">
        <v>8</v>
      </c>
      <c r="E3009" s="22" t="s">
        <v>17</v>
      </c>
      <c r="F3009" s="11" t="s">
        <v>18</v>
      </c>
      <c r="G3009" s="15">
        <v>151</v>
      </c>
      <c r="H3009" s="15" t="s">
        <v>29</v>
      </c>
      <c r="I3009" s="25">
        <v>16</v>
      </c>
      <c r="J3009" s="11" t="s">
        <v>19</v>
      </c>
      <c r="K3009" s="11" t="s">
        <v>20</v>
      </c>
      <c r="L3009" s="11" t="s">
        <v>30</v>
      </c>
      <c r="M3009" s="11" t="s">
        <v>46</v>
      </c>
      <c r="N3009" s="11" t="s">
        <v>25</v>
      </c>
      <c r="O3009" s="16" t="s">
        <v>29</v>
      </c>
      <c r="P3009" s="15">
        <v>223</v>
      </c>
      <c r="Q3009" s="8"/>
      <c r="R3009">
        <v>14.09</v>
      </c>
      <c r="S3009">
        <v>2796.25</v>
      </c>
      <c r="T3009">
        <v>5.72</v>
      </c>
      <c r="U3009">
        <v>10.119999999999999</v>
      </c>
      <c r="V3009">
        <v>141</v>
      </c>
      <c r="W3009" s="317">
        <v>4.5999999999999996</v>
      </c>
      <c r="X3009" s="190">
        <f t="shared" si="136"/>
        <v>73.599999999999994</v>
      </c>
      <c r="Y3009" s="8"/>
      <c r="Z3009" s="8"/>
    </row>
    <row r="3010" spans="1:26" ht="12.75" customHeight="1" x14ac:dyDescent="0.2">
      <c r="A3010" s="15">
        <v>27</v>
      </c>
      <c r="B3010" s="15">
        <v>1993</v>
      </c>
      <c r="C3010" s="15">
        <v>11</v>
      </c>
      <c r="D3010" s="15">
        <v>8</v>
      </c>
      <c r="E3010" s="22" t="s">
        <v>17</v>
      </c>
      <c r="F3010" s="11" t="s">
        <v>18</v>
      </c>
      <c r="G3010" s="15">
        <v>153</v>
      </c>
      <c r="H3010" s="15" t="s">
        <v>29</v>
      </c>
      <c r="I3010" s="25">
        <v>15.5</v>
      </c>
      <c r="J3010" s="11" t="s">
        <v>19</v>
      </c>
      <c r="K3010" s="11" t="s">
        <v>20</v>
      </c>
      <c r="L3010" s="11" t="s">
        <v>30</v>
      </c>
      <c r="M3010" s="11" t="s">
        <v>29</v>
      </c>
      <c r="N3010" s="11" t="s">
        <v>24</v>
      </c>
      <c r="O3010" s="16" t="s">
        <v>29</v>
      </c>
      <c r="P3010" s="15">
        <v>223</v>
      </c>
      <c r="Q3010" s="8"/>
      <c r="R3010">
        <v>14.27</v>
      </c>
      <c r="S3010">
        <v>2908.84</v>
      </c>
      <c r="T3010">
        <v>5.33</v>
      </c>
      <c r="U3010">
        <v>10.25</v>
      </c>
      <c r="V3010">
        <v>143</v>
      </c>
      <c r="W3010" s="317">
        <v>4.5999999999999996</v>
      </c>
      <c r="X3010" s="190">
        <f t="shared" si="136"/>
        <v>71.3</v>
      </c>
      <c r="Y3010" s="8"/>
      <c r="Z3010" s="8"/>
    </row>
    <row r="3011" spans="1:26" ht="12.75" customHeight="1" x14ac:dyDescent="0.2">
      <c r="A3011" s="15">
        <v>28</v>
      </c>
      <c r="B3011" s="15">
        <v>1993</v>
      </c>
      <c r="C3011" s="15">
        <v>11</v>
      </c>
      <c r="D3011" s="15">
        <v>8</v>
      </c>
      <c r="E3011" s="22" t="s">
        <v>17</v>
      </c>
      <c r="F3011" s="11" t="s">
        <v>18</v>
      </c>
      <c r="G3011" s="15">
        <v>155</v>
      </c>
      <c r="H3011" s="15" t="s">
        <v>29</v>
      </c>
      <c r="I3011" s="25">
        <v>17.5</v>
      </c>
      <c r="J3011" s="11" t="s">
        <v>19</v>
      </c>
      <c r="K3011" s="11" t="s">
        <v>20</v>
      </c>
      <c r="L3011" s="11" t="s">
        <v>30</v>
      </c>
      <c r="M3011" s="11" t="s">
        <v>47</v>
      </c>
      <c r="N3011" s="11" t="s">
        <v>33</v>
      </c>
      <c r="O3011" s="16" t="s">
        <v>29</v>
      </c>
      <c r="P3011" s="15">
        <v>223</v>
      </c>
      <c r="Q3011" s="8"/>
      <c r="R3011">
        <v>14.46</v>
      </c>
      <c r="S3011">
        <v>3024.41</v>
      </c>
      <c r="T3011">
        <v>5.79</v>
      </c>
      <c r="U3011">
        <v>10.39</v>
      </c>
      <c r="V3011">
        <v>145</v>
      </c>
      <c r="W3011" s="317">
        <v>4.5999999999999996</v>
      </c>
      <c r="X3011" s="190">
        <f t="shared" si="136"/>
        <v>80.5</v>
      </c>
      <c r="Y3011" s="8"/>
      <c r="Z3011" s="8"/>
    </row>
    <row r="3012" spans="1:26" ht="12.75" customHeight="1" x14ac:dyDescent="0.2">
      <c r="A3012" s="15">
        <v>29</v>
      </c>
      <c r="B3012" s="15">
        <v>1993</v>
      </c>
      <c r="C3012" s="15">
        <v>11</v>
      </c>
      <c r="D3012" s="15">
        <v>8</v>
      </c>
      <c r="E3012" s="22" t="s">
        <v>17</v>
      </c>
      <c r="F3012" s="11" t="s">
        <v>18</v>
      </c>
      <c r="G3012" s="15">
        <v>158</v>
      </c>
      <c r="H3012" s="15" t="s">
        <v>29</v>
      </c>
      <c r="I3012" s="25">
        <v>14.5</v>
      </c>
      <c r="J3012" s="11" t="s">
        <v>19</v>
      </c>
      <c r="K3012" s="11" t="s">
        <v>20</v>
      </c>
      <c r="L3012" s="11" t="s">
        <v>30</v>
      </c>
      <c r="M3012" s="11" t="s">
        <v>29</v>
      </c>
      <c r="N3012" s="11" t="s">
        <v>24</v>
      </c>
      <c r="O3012" s="16" t="s">
        <v>29</v>
      </c>
      <c r="P3012" s="15">
        <v>223</v>
      </c>
      <c r="Q3012" s="8"/>
      <c r="R3012">
        <v>14.74</v>
      </c>
      <c r="S3012">
        <v>3203.44</v>
      </c>
      <c r="T3012">
        <v>4.53</v>
      </c>
      <c r="U3012">
        <v>10.59</v>
      </c>
      <c r="V3012">
        <v>147</v>
      </c>
      <c r="W3012" s="317">
        <v>4.5999999999999996</v>
      </c>
      <c r="X3012" s="190">
        <f t="shared" si="136"/>
        <v>66.699999999999989</v>
      </c>
      <c r="Y3012" s="8"/>
      <c r="Z3012" s="8"/>
    </row>
    <row r="3013" spans="1:26" ht="12.75" customHeight="1" x14ac:dyDescent="0.2">
      <c r="A3013" s="15">
        <v>30</v>
      </c>
      <c r="B3013" s="15">
        <v>1993</v>
      </c>
      <c r="C3013" s="15">
        <v>11</v>
      </c>
      <c r="D3013" s="15">
        <v>8</v>
      </c>
      <c r="E3013" s="22" t="s">
        <v>17</v>
      </c>
      <c r="F3013" s="11" t="s">
        <v>18</v>
      </c>
      <c r="G3013" s="15">
        <v>148</v>
      </c>
      <c r="H3013" s="15" t="s">
        <v>29</v>
      </c>
      <c r="I3013" s="25">
        <v>15</v>
      </c>
      <c r="J3013" s="11" t="s">
        <v>19</v>
      </c>
      <c r="K3013" s="11" t="s">
        <v>20</v>
      </c>
      <c r="L3013" s="11" t="s">
        <v>30</v>
      </c>
      <c r="M3013" s="11" t="s">
        <v>47</v>
      </c>
      <c r="N3013" s="11" t="s">
        <v>33</v>
      </c>
      <c r="O3013" s="16" t="s">
        <v>29</v>
      </c>
      <c r="P3013" s="15">
        <v>223</v>
      </c>
      <c r="Q3013" s="8"/>
      <c r="R3013">
        <v>13.81</v>
      </c>
      <c r="S3013">
        <v>2632.87</v>
      </c>
      <c r="T3013">
        <v>5.7</v>
      </c>
      <c r="U3013">
        <v>9.92</v>
      </c>
      <c r="V3013">
        <v>138</v>
      </c>
      <c r="W3013" s="317">
        <v>4.5999999999999996</v>
      </c>
      <c r="X3013" s="190">
        <f t="shared" si="136"/>
        <v>69</v>
      </c>
      <c r="Y3013" s="8"/>
      <c r="Z3013" s="8"/>
    </row>
    <row r="3014" spans="1:26" ht="12.75" customHeight="1" x14ac:dyDescent="0.2">
      <c r="A3014" s="15">
        <v>31</v>
      </c>
      <c r="B3014" s="15">
        <v>1993</v>
      </c>
      <c r="C3014" s="15">
        <v>11</v>
      </c>
      <c r="D3014" s="15">
        <v>8</v>
      </c>
      <c r="E3014" s="22" t="s">
        <v>17</v>
      </c>
      <c r="F3014" s="11" t="s">
        <v>18</v>
      </c>
      <c r="G3014" s="15">
        <v>145</v>
      </c>
      <c r="H3014" s="15" t="s">
        <v>29</v>
      </c>
      <c r="I3014" s="25">
        <v>14.5</v>
      </c>
      <c r="J3014" s="11" t="s">
        <v>19</v>
      </c>
      <c r="K3014" s="11" t="s">
        <v>20</v>
      </c>
      <c r="L3014" s="11" t="s">
        <v>30</v>
      </c>
      <c r="M3014" s="11" t="s">
        <v>46</v>
      </c>
      <c r="N3014" s="11" t="s">
        <v>33</v>
      </c>
      <c r="O3014" s="16" t="s">
        <v>29</v>
      </c>
      <c r="P3014" s="15">
        <v>223</v>
      </c>
      <c r="Q3014" s="8"/>
      <c r="R3014">
        <v>13.53</v>
      </c>
      <c r="S3014">
        <v>2475.9899999999998</v>
      </c>
      <c r="T3014">
        <v>5.86</v>
      </c>
      <c r="U3014">
        <v>9.7200000000000006</v>
      </c>
      <c r="V3014">
        <v>135</v>
      </c>
      <c r="W3014" s="317">
        <v>4.5999999999999996</v>
      </c>
      <c r="X3014" s="190">
        <f t="shared" si="136"/>
        <v>66.699999999999989</v>
      </c>
      <c r="Y3014" s="8"/>
      <c r="Z3014" s="8"/>
    </row>
    <row r="3015" spans="1:26" ht="12.75" customHeight="1" x14ac:dyDescent="0.2">
      <c r="A3015" s="15">
        <v>32</v>
      </c>
      <c r="B3015" s="15">
        <v>1993</v>
      </c>
      <c r="C3015" s="15">
        <v>11</v>
      </c>
      <c r="D3015" s="15">
        <v>8</v>
      </c>
      <c r="E3015" s="22" t="s">
        <v>17</v>
      </c>
      <c r="F3015" s="11" t="s">
        <v>18</v>
      </c>
      <c r="G3015" s="15">
        <v>142</v>
      </c>
      <c r="H3015" s="15" t="s">
        <v>29</v>
      </c>
      <c r="I3015" s="25">
        <v>12.5</v>
      </c>
      <c r="J3015" s="11" t="s">
        <v>19</v>
      </c>
      <c r="K3015" s="11" t="s">
        <v>20</v>
      </c>
      <c r="L3015" s="11" t="s">
        <v>30</v>
      </c>
      <c r="M3015" s="11" t="s">
        <v>46</v>
      </c>
      <c r="N3015" s="11" t="s">
        <v>23</v>
      </c>
      <c r="O3015" s="16" t="s">
        <v>29</v>
      </c>
      <c r="P3015" s="15">
        <v>223</v>
      </c>
      <c r="Q3015" s="8"/>
      <c r="R3015">
        <v>13.25</v>
      </c>
      <c r="S3015">
        <v>2325.4699999999998</v>
      </c>
      <c r="T3015">
        <v>5.38</v>
      </c>
      <c r="U3015">
        <v>9.51</v>
      </c>
      <c r="V3015">
        <v>132</v>
      </c>
      <c r="W3015" s="317">
        <v>4.5999999999999996</v>
      </c>
      <c r="X3015" s="190">
        <f t="shared" si="136"/>
        <v>57.499999999999993</v>
      </c>
      <c r="Y3015" s="8"/>
      <c r="Z3015" s="8"/>
    </row>
    <row r="3016" spans="1:26" ht="12.75" customHeight="1" x14ac:dyDescent="0.2">
      <c r="A3016" s="15">
        <v>33</v>
      </c>
      <c r="B3016" s="15">
        <v>1993</v>
      </c>
      <c r="C3016" s="15">
        <v>11</v>
      </c>
      <c r="D3016" s="15">
        <v>8</v>
      </c>
      <c r="E3016" s="22" t="s">
        <v>17</v>
      </c>
      <c r="F3016" s="11" t="s">
        <v>18</v>
      </c>
      <c r="G3016" s="15">
        <v>147</v>
      </c>
      <c r="H3016" s="15" t="s">
        <v>29</v>
      </c>
      <c r="I3016" s="25">
        <v>15</v>
      </c>
      <c r="J3016" s="11" t="s">
        <v>19</v>
      </c>
      <c r="K3016" s="11" t="s">
        <v>20</v>
      </c>
      <c r="L3016" s="11" t="s">
        <v>30</v>
      </c>
      <c r="M3016" s="11" t="s">
        <v>46</v>
      </c>
      <c r="N3016" s="11" t="s">
        <v>33</v>
      </c>
      <c r="O3016" s="16" t="s">
        <v>29</v>
      </c>
      <c r="P3016" s="15">
        <v>223</v>
      </c>
      <c r="Q3016" s="8"/>
      <c r="R3016">
        <v>13.72</v>
      </c>
      <c r="S3016">
        <v>2579.86</v>
      </c>
      <c r="T3016">
        <v>5.81</v>
      </c>
      <c r="U3016">
        <v>9.85</v>
      </c>
      <c r="V3016">
        <v>137</v>
      </c>
      <c r="W3016" s="317">
        <v>4.5999999999999996</v>
      </c>
      <c r="X3016" s="190">
        <f t="shared" si="136"/>
        <v>69</v>
      </c>
      <c r="Y3016" s="8"/>
      <c r="Z3016" s="8"/>
    </row>
    <row r="3017" spans="1:26" ht="12.75" customHeight="1" x14ac:dyDescent="0.2">
      <c r="A3017" s="15">
        <v>34</v>
      </c>
      <c r="B3017" s="15">
        <v>1993</v>
      </c>
      <c r="C3017" s="15">
        <v>11</v>
      </c>
      <c r="D3017" s="15">
        <v>8</v>
      </c>
      <c r="E3017" s="22" t="s">
        <v>17</v>
      </c>
      <c r="F3017" s="11" t="s">
        <v>18</v>
      </c>
      <c r="G3017" s="15">
        <v>155</v>
      </c>
      <c r="H3017" s="15" t="s">
        <v>29</v>
      </c>
      <c r="I3017" s="25">
        <v>20.5</v>
      </c>
      <c r="J3017" s="11" t="s">
        <v>19</v>
      </c>
      <c r="K3017" s="11" t="s">
        <v>20</v>
      </c>
      <c r="L3017" s="11" t="s">
        <v>30</v>
      </c>
      <c r="M3017" s="11" t="s">
        <v>46</v>
      </c>
      <c r="N3017" s="11" t="s">
        <v>24</v>
      </c>
      <c r="O3017" s="16" t="s">
        <v>29</v>
      </c>
      <c r="P3017" s="15">
        <v>223</v>
      </c>
      <c r="Q3017" s="8"/>
      <c r="R3017">
        <v>14.46</v>
      </c>
      <c r="S3017">
        <v>3024.41</v>
      </c>
      <c r="T3017">
        <v>6.78</v>
      </c>
      <c r="U3017">
        <v>10.39</v>
      </c>
      <c r="V3017">
        <v>145</v>
      </c>
      <c r="W3017" s="317">
        <v>4.5999999999999996</v>
      </c>
      <c r="X3017" s="190">
        <f t="shared" si="136"/>
        <v>94.3</v>
      </c>
      <c r="Y3017" s="8"/>
      <c r="Z3017" s="8"/>
    </row>
    <row r="3018" spans="1:26" ht="12.75" customHeight="1" x14ac:dyDescent="0.2">
      <c r="A3018" s="15">
        <v>35</v>
      </c>
      <c r="B3018" s="15">
        <v>1993</v>
      </c>
      <c r="C3018" s="15">
        <v>11</v>
      </c>
      <c r="D3018" s="15">
        <v>8</v>
      </c>
      <c r="E3018" s="22" t="s">
        <v>17</v>
      </c>
      <c r="F3018" s="11" t="s">
        <v>18</v>
      </c>
      <c r="G3018" s="15">
        <v>143</v>
      </c>
      <c r="H3018" s="15" t="s">
        <v>29</v>
      </c>
      <c r="I3018" s="25">
        <v>14</v>
      </c>
      <c r="J3018" s="11" t="s">
        <v>19</v>
      </c>
      <c r="K3018" s="11" t="s">
        <v>20</v>
      </c>
      <c r="L3018" s="11" t="s">
        <v>30</v>
      </c>
      <c r="M3018" s="11" t="s">
        <v>46</v>
      </c>
      <c r="N3018" s="11" t="s">
        <v>29</v>
      </c>
      <c r="O3018" s="16" t="s">
        <v>29</v>
      </c>
      <c r="P3018" s="15">
        <v>223</v>
      </c>
      <c r="Q3018" s="8"/>
      <c r="R3018">
        <v>13.34</v>
      </c>
      <c r="S3018">
        <v>2374.94</v>
      </c>
      <c r="T3018">
        <v>5.89</v>
      </c>
      <c r="U3018">
        <v>9.58</v>
      </c>
      <c r="V3018">
        <v>133</v>
      </c>
      <c r="W3018" s="317">
        <v>4.5999999999999996</v>
      </c>
      <c r="X3018" s="190">
        <f t="shared" si="136"/>
        <v>64.399999999999991</v>
      </c>
      <c r="Y3018" s="8"/>
      <c r="Z3018" s="8"/>
    </row>
    <row r="3019" spans="1:26" ht="12.75" customHeight="1" x14ac:dyDescent="0.2">
      <c r="A3019" s="15">
        <v>36</v>
      </c>
      <c r="B3019" s="15">
        <v>1993</v>
      </c>
      <c r="C3019" s="15">
        <v>11</v>
      </c>
      <c r="D3019" s="15">
        <v>8</v>
      </c>
      <c r="E3019" s="22" t="s">
        <v>17</v>
      </c>
      <c r="F3019" s="11" t="s">
        <v>18</v>
      </c>
      <c r="G3019" s="15">
        <v>172</v>
      </c>
      <c r="H3019" s="15" t="s">
        <v>29</v>
      </c>
      <c r="I3019" s="25">
        <v>26</v>
      </c>
      <c r="J3019" s="11" t="s">
        <v>19</v>
      </c>
      <c r="K3019" s="11" t="s">
        <v>34</v>
      </c>
      <c r="L3019" s="11" t="s">
        <v>41</v>
      </c>
      <c r="M3019" s="11" t="s">
        <v>46</v>
      </c>
      <c r="N3019" s="11" t="s">
        <v>29</v>
      </c>
      <c r="O3019" s="16" t="s">
        <v>29</v>
      </c>
      <c r="P3019" s="15">
        <v>223</v>
      </c>
      <c r="Q3019" s="8"/>
      <c r="R3019">
        <v>16.05</v>
      </c>
      <c r="S3019">
        <v>4132.67</v>
      </c>
      <c r="T3019">
        <v>6.29</v>
      </c>
      <c r="U3019">
        <v>11.52</v>
      </c>
      <c r="V3019">
        <v>160</v>
      </c>
      <c r="W3019" s="317">
        <v>3.8</v>
      </c>
      <c r="X3019" s="190">
        <f t="shared" si="136"/>
        <v>98.8</v>
      </c>
      <c r="Y3019" s="8"/>
      <c r="Z3019" s="8"/>
    </row>
    <row r="3020" spans="1:26" ht="12.75" customHeight="1" x14ac:dyDescent="0.2">
      <c r="A3020" s="15">
        <v>37</v>
      </c>
      <c r="B3020" s="15">
        <v>1993</v>
      </c>
      <c r="C3020" s="15">
        <v>11</v>
      </c>
      <c r="D3020" s="15">
        <v>8</v>
      </c>
      <c r="E3020" s="22" t="s">
        <v>17</v>
      </c>
      <c r="F3020" s="11" t="s">
        <v>18</v>
      </c>
      <c r="G3020" s="15">
        <v>163</v>
      </c>
      <c r="H3020" s="15" t="s">
        <v>29</v>
      </c>
      <c r="I3020" s="25">
        <v>21</v>
      </c>
      <c r="J3020" s="11" t="s">
        <v>19</v>
      </c>
      <c r="K3020" s="11" t="s">
        <v>20</v>
      </c>
      <c r="L3020" s="11" t="s">
        <v>30</v>
      </c>
      <c r="M3020" s="11" t="s">
        <v>46</v>
      </c>
      <c r="N3020" s="11" t="s">
        <v>25</v>
      </c>
      <c r="O3020" s="16" t="s">
        <v>29</v>
      </c>
      <c r="P3020" s="15">
        <v>223</v>
      </c>
      <c r="Q3020" s="8"/>
      <c r="R3020">
        <v>15.21</v>
      </c>
      <c r="S3020">
        <v>3517.29</v>
      </c>
      <c r="T3020">
        <v>5.97</v>
      </c>
      <c r="U3020">
        <v>10.92</v>
      </c>
      <c r="V3020">
        <v>152</v>
      </c>
      <c r="W3020" s="317">
        <v>4.5999999999999996</v>
      </c>
      <c r="X3020" s="190">
        <f t="shared" ref="X3020:X3025" si="137">I3020*W3020</f>
        <v>96.6</v>
      </c>
      <c r="Y3020" s="8"/>
      <c r="Z3020" s="8"/>
    </row>
    <row r="3021" spans="1:26" ht="12.75" customHeight="1" x14ac:dyDescent="0.2">
      <c r="A3021" s="15">
        <v>38</v>
      </c>
      <c r="B3021" s="15">
        <v>1993</v>
      </c>
      <c r="C3021" s="15">
        <v>11</v>
      </c>
      <c r="D3021" s="15">
        <v>8</v>
      </c>
      <c r="E3021" s="22" t="s">
        <v>17</v>
      </c>
      <c r="F3021" s="11" t="s">
        <v>18</v>
      </c>
      <c r="G3021" s="15">
        <v>166</v>
      </c>
      <c r="H3021" s="15" t="s">
        <v>29</v>
      </c>
      <c r="I3021" s="25">
        <v>16</v>
      </c>
      <c r="J3021" s="11" t="s">
        <v>19</v>
      </c>
      <c r="K3021" s="11" t="s">
        <v>20</v>
      </c>
      <c r="L3021" s="11" t="s">
        <v>30</v>
      </c>
      <c r="M3021" s="11" t="s">
        <v>46</v>
      </c>
      <c r="N3021" s="11" t="s">
        <v>33</v>
      </c>
      <c r="O3021" s="16" t="s">
        <v>29</v>
      </c>
      <c r="P3021" s="15">
        <v>223</v>
      </c>
      <c r="Q3021" s="8"/>
      <c r="R3021">
        <v>15.49</v>
      </c>
      <c r="S3021">
        <v>3715.09</v>
      </c>
      <c r="T3021">
        <v>4.3099999999999996</v>
      </c>
      <c r="U3021">
        <v>11.12</v>
      </c>
      <c r="V3021">
        <v>155</v>
      </c>
      <c r="W3021" s="317">
        <v>4.5999999999999996</v>
      </c>
      <c r="X3021" s="190">
        <f t="shared" si="137"/>
        <v>73.599999999999994</v>
      </c>
      <c r="Y3021" s="8"/>
      <c r="Z3021" s="8"/>
    </row>
    <row r="3022" spans="1:26" ht="12.75" customHeight="1" x14ac:dyDescent="0.2">
      <c r="A3022" s="15">
        <v>39</v>
      </c>
      <c r="B3022" s="15">
        <v>1993</v>
      </c>
      <c r="C3022" s="15">
        <v>11</v>
      </c>
      <c r="D3022" s="15">
        <v>8</v>
      </c>
      <c r="E3022" s="22" t="s">
        <v>17</v>
      </c>
      <c r="F3022" s="11" t="s">
        <v>18</v>
      </c>
      <c r="G3022" s="15">
        <v>159</v>
      </c>
      <c r="H3022" s="15" t="s">
        <v>29</v>
      </c>
      <c r="I3022" s="25">
        <v>17.5</v>
      </c>
      <c r="J3022" s="11" t="s">
        <v>19</v>
      </c>
      <c r="K3022" s="11" t="s">
        <v>20</v>
      </c>
      <c r="L3022" s="11" t="s">
        <v>30</v>
      </c>
      <c r="M3022" s="11" t="s">
        <v>45</v>
      </c>
      <c r="N3022" s="11" t="s">
        <v>25</v>
      </c>
      <c r="O3022" s="16" t="s">
        <v>29</v>
      </c>
      <c r="P3022" s="15">
        <v>223</v>
      </c>
      <c r="Q3022" s="8"/>
      <c r="R3022">
        <v>14.83</v>
      </c>
      <c r="S3022">
        <v>3264.65</v>
      </c>
      <c r="T3022">
        <v>5.36</v>
      </c>
      <c r="U3022">
        <v>10.65</v>
      </c>
      <c r="V3022">
        <v>148</v>
      </c>
      <c r="W3022" s="317">
        <v>4.5999999999999996</v>
      </c>
      <c r="X3022" s="190">
        <f t="shared" si="137"/>
        <v>80.5</v>
      </c>
      <c r="Y3022" s="8"/>
      <c r="Z3022" s="8"/>
    </row>
    <row r="3023" spans="1:26" ht="12.75" customHeight="1" x14ac:dyDescent="0.2">
      <c r="A3023" s="15">
        <v>40</v>
      </c>
      <c r="B3023" s="15">
        <v>1993</v>
      </c>
      <c r="C3023" s="15">
        <v>11</v>
      </c>
      <c r="D3023" s="15">
        <v>8</v>
      </c>
      <c r="E3023" s="22" t="s">
        <v>17</v>
      </c>
      <c r="F3023" s="11" t="s">
        <v>18</v>
      </c>
      <c r="G3023" s="15">
        <v>137</v>
      </c>
      <c r="H3023" s="15" t="s">
        <v>29</v>
      </c>
      <c r="I3023" s="25">
        <v>12.5</v>
      </c>
      <c r="J3023" s="11" t="s">
        <v>19</v>
      </c>
      <c r="K3023" s="11" t="s">
        <v>20</v>
      </c>
      <c r="L3023" s="11" t="s">
        <v>30</v>
      </c>
      <c r="M3023" s="11" t="s">
        <v>47</v>
      </c>
      <c r="N3023" s="11" t="s">
        <v>29</v>
      </c>
      <c r="O3023" s="16" t="s">
        <v>29</v>
      </c>
      <c r="P3023" s="15">
        <v>223</v>
      </c>
      <c r="Q3023" s="8"/>
      <c r="R3023">
        <v>12.78</v>
      </c>
      <c r="S3023">
        <v>2088.37</v>
      </c>
      <c r="T3023">
        <v>5.99</v>
      </c>
      <c r="U3023">
        <v>9.18</v>
      </c>
      <c r="V3023">
        <v>128</v>
      </c>
      <c r="W3023" s="317">
        <v>4.5999999999999996</v>
      </c>
      <c r="X3023" s="190">
        <f t="shared" si="137"/>
        <v>57.499999999999993</v>
      </c>
      <c r="Y3023" s="8"/>
      <c r="Z3023" s="8"/>
    </row>
    <row r="3024" spans="1:26" ht="12.75" customHeight="1" x14ac:dyDescent="0.2">
      <c r="A3024" s="15">
        <v>41</v>
      </c>
      <c r="B3024" s="15">
        <v>1993</v>
      </c>
      <c r="C3024" s="15">
        <v>11</v>
      </c>
      <c r="D3024" s="15">
        <v>8</v>
      </c>
      <c r="E3024" s="22" t="s">
        <v>17</v>
      </c>
      <c r="F3024" s="11" t="s">
        <v>18</v>
      </c>
      <c r="G3024" s="15">
        <v>148</v>
      </c>
      <c r="H3024" s="15" t="s">
        <v>29</v>
      </c>
      <c r="I3024" s="25">
        <v>16.5</v>
      </c>
      <c r="J3024" s="11" t="s">
        <v>19</v>
      </c>
      <c r="K3024" s="11" t="s">
        <v>20</v>
      </c>
      <c r="L3024" s="11" t="s">
        <v>30</v>
      </c>
      <c r="M3024" s="11" t="s">
        <v>45</v>
      </c>
      <c r="N3024" s="11" t="s">
        <v>29</v>
      </c>
      <c r="O3024" s="16" t="s">
        <v>29</v>
      </c>
      <c r="P3024" s="15">
        <v>223</v>
      </c>
      <c r="Q3024" s="8"/>
      <c r="R3024">
        <v>13.81</v>
      </c>
      <c r="S3024">
        <v>2632.87</v>
      </c>
      <c r="T3024">
        <v>6.27</v>
      </c>
      <c r="U3024">
        <v>9.92</v>
      </c>
      <c r="V3024">
        <v>138</v>
      </c>
      <c r="W3024" s="317">
        <v>4.5999999999999996</v>
      </c>
      <c r="X3024" s="190">
        <f t="shared" si="137"/>
        <v>75.899999999999991</v>
      </c>
      <c r="Y3024" s="8"/>
      <c r="Z3024" s="8"/>
    </row>
    <row r="3025" spans="1:26" ht="12.75" customHeight="1" x14ac:dyDescent="0.2">
      <c r="A3025" s="15">
        <v>42</v>
      </c>
      <c r="B3025" s="15">
        <v>1993</v>
      </c>
      <c r="C3025" s="15">
        <v>11</v>
      </c>
      <c r="D3025" s="15">
        <v>8</v>
      </c>
      <c r="E3025" s="22" t="s">
        <v>17</v>
      </c>
      <c r="F3025" s="11" t="s">
        <v>18</v>
      </c>
      <c r="G3025" s="15">
        <v>173</v>
      </c>
      <c r="H3025" s="15" t="s">
        <v>29</v>
      </c>
      <c r="I3025" s="25">
        <v>16.3</v>
      </c>
      <c r="J3025" s="11" t="s">
        <v>19</v>
      </c>
      <c r="K3025" s="11" t="s">
        <v>34</v>
      </c>
      <c r="L3025" s="11" t="s">
        <v>41</v>
      </c>
      <c r="M3025" s="11" t="s">
        <v>46</v>
      </c>
      <c r="N3025" s="11" t="s">
        <v>29</v>
      </c>
      <c r="O3025" s="16" t="s">
        <v>29</v>
      </c>
      <c r="P3025" s="15">
        <v>223</v>
      </c>
      <c r="Q3025" s="8"/>
      <c r="R3025">
        <v>16.14</v>
      </c>
      <c r="S3025">
        <v>4205.17</v>
      </c>
      <c r="T3025">
        <v>3.88</v>
      </c>
      <c r="U3025">
        <v>11.59</v>
      </c>
      <c r="V3025">
        <v>161</v>
      </c>
      <c r="W3025" s="317">
        <v>3.8</v>
      </c>
      <c r="X3025" s="190">
        <f t="shared" si="137"/>
        <v>61.94</v>
      </c>
      <c r="Y3025" s="8"/>
      <c r="Z3025" s="8"/>
    </row>
    <row r="3026" spans="1:26" ht="12.75" customHeight="1" x14ac:dyDescent="0.2">
      <c r="A3026" s="15">
        <v>43</v>
      </c>
      <c r="B3026" s="15">
        <v>1993</v>
      </c>
      <c r="C3026" s="15">
        <v>11</v>
      </c>
      <c r="D3026" s="15">
        <v>8</v>
      </c>
      <c r="E3026" s="22" t="s">
        <v>17</v>
      </c>
      <c r="F3026" s="11" t="s">
        <v>18</v>
      </c>
      <c r="G3026" s="15">
        <v>140</v>
      </c>
      <c r="H3026" s="15" t="s">
        <v>29</v>
      </c>
      <c r="I3026" s="25">
        <v>14</v>
      </c>
      <c r="J3026" s="11" t="s">
        <v>19</v>
      </c>
      <c r="K3026" s="11" t="s">
        <v>20</v>
      </c>
      <c r="L3026" s="11" t="s">
        <v>30</v>
      </c>
      <c r="M3026" s="11" t="s">
        <v>46</v>
      </c>
      <c r="N3026" s="11" t="s">
        <v>29</v>
      </c>
      <c r="O3026" s="16" t="s">
        <v>29</v>
      </c>
      <c r="P3026" s="15">
        <v>223</v>
      </c>
      <c r="Q3026" s="8"/>
      <c r="R3026">
        <v>13.06</v>
      </c>
      <c r="S3026">
        <v>2228.58</v>
      </c>
      <c r="T3026">
        <v>6.28</v>
      </c>
      <c r="U3026">
        <v>9.3800000000000008</v>
      </c>
      <c r="V3026">
        <v>131</v>
      </c>
      <c r="W3026" s="317">
        <v>4.5999999999999996</v>
      </c>
      <c r="X3026" s="190">
        <f t="shared" ref="X3026:X3030" si="138">I3026*W3026</f>
        <v>64.399999999999991</v>
      </c>
      <c r="Y3026" s="8"/>
      <c r="Z3026" s="8"/>
    </row>
    <row r="3027" spans="1:26" ht="12.75" customHeight="1" x14ac:dyDescent="0.2">
      <c r="A3027" s="15">
        <v>44</v>
      </c>
      <c r="B3027" s="15">
        <v>1993</v>
      </c>
      <c r="C3027" s="15">
        <v>11</v>
      </c>
      <c r="D3027" s="15">
        <v>8</v>
      </c>
      <c r="E3027" s="22" t="s">
        <v>17</v>
      </c>
      <c r="F3027" s="11" t="s">
        <v>18</v>
      </c>
      <c r="G3027" s="15">
        <v>154</v>
      </c>
      <c r="H3027" s="15" t="s">
        <v>29</v>
      </c>
      <c r="I3027" s="25" t="s">
        <v>29</v>
      </c>
      <c r="J3027" s="11" t="s">
        <v>19</v>
      </c>
      <c r="K3027" s="11" t="s">
        <v>20</v>
      </c>
      <c r="L3027" s="11" t="s">
        <v>30</v>
      </c>
      <c r="M3027" s="11" t="s">
        <v>46</v>
      </c>
      <c r="N3027" s="11" t="s">
        <v>25</v>
      </c>
      <c r="O3027" s="16" t="s">
        <v>29</v>
      </c>
      <c r="P3027" s="15">
        <v>223</v>
      </c>
      <c r="Q3027" s="8"/>
      <c r="U3027">
        <v>10.32</v>
      </c>
      <c r="V3027">
        <v>144</v>
      </c>
      <c r="W3027" s="317">
        <v>4.5999999999999996</v>
      </c>
      <c r="X3027" s="190"/>
      <c r="Y3027" s="8"/>
      <c r="Z3027" s="8"/>
    </row>
    <row r="3028" spans="1:26" ht="12.75" customHeight="1" x14ac:dyDescent="0.2">
      <c r="A3028" s="15">
        <v>45</v>
      </c>
      <c r="B3028" s="15">
        <v>1993</v>
      </c>
      <c r="C3028" s="15">
        <v>11</v>
      </c>
      <c r="D3028" s="15">
        <v>8</v>
      </c>
      <c r="E3028" s="22" t="s">
        <v>17</v>
      </c>
      <c r="F3028" s="11" t="s">
        <v>18</v>
      </c>
      <c r="G3028" s="15">
        <v>157</v>
      </c>
      <c r="H3028" s="15" t="s">
        <v>29</v>
      </c>
      <c r="I3028" s="25" t="s">
        <v>29</v>
      </c>
      <c r="J3028" s="11" t="s">
        <v>19</v>
      </c>
      <c r="K3028" s="11" t="s">
        <v>20</v>
      </c>
      <c r="L3028" s="11" t="s">
        <v>30</v>
      </c>
      <c r="M3028" s="11" t="s">
        <v>27</v>
      </c>
      <c r="N3028" s="11" t="s">
        <v>25</v>
      </c>
      <c r="O3028" s="16" t="s">
        <v>29</v>
      </c>
      <c r="P3028" s="15">
        <v>223</v>
      </c>
      <c r="Q3028" s="8"/>
      <c r="U3028">
        <v>10.52</v>
      </c>
      <c r="V3028">
        <v>146</v>
      </c>
      <c r="W3028" s="317">
        <v>4.5999999999999996</v>
      </c>
      <c r="X3028" s="190"/>
      <c r="Y3028" s="8"/>
      <c r="Z3028" s="8"/>
    </row>
    <row r="3029" spans="1:26" ht="12.75" customHeight="1" x14ac:dyDescent="0.2">
      <c r="A3029" s="15">
        <v>46</v>
      </c>
      <c r="B3029" s="15">
        <v>1993</v>
      </c>
      <c r="C3029" s="15">
        <v>11</v>
      </c>
      <c r="D3029" s="15">
        <v>8</v>
      </c>
      <c r="E3029" s="22" t="s">
        <v>17</v>
      </c>
      <c r="F3029" s="11" t="s">
        <v>18</v>
      </c>
      <c r="G3029" s="15">
        <v>151</v>
      </c>
      <c r="H3029" s="15" t="s">
        <v>29</v>
      </c>
      <c r="I3029" s="25">
        <v>17</v>
      </c>
      <c r="J3029" s="11" t="s">
        <v>19</v>
      </c>
      <c r="K3029" s="11" t="s">
        <v>20</v>
      </c>
      <c r="L3029" s="11" t="s">
        <v>30</v>
      </c>
      <c r="M3029" s="11" t="s">
        <v>46</v>
      </c>
      <c r="N3029" s="11" t="s">
        <v>25</v>
      </c>
      <c r="O3029" s="16" t="s">
        <v>29</v>
      </c>
      <c r="P3029" s="15">
        <v>223</v>
      </c>
      <c r="Q3029" s="8"/>
      <c r="R3029">
        <v>14.09</v>
      </c>
      <c r="S3029">
        <v>2796.25</v>
      </c>
      <c r="T3029">
        <v>6.08</v>
      </c>
      <c r="U3029">
        <v>10.119999999999999</v>
      </c>
      <c r="V3029">
        <v>141</v>
      </c>
      <c r="W3029" s="317">
        <v>4.5999999999999996</v>
      </c>
      <c r="X3029" s="190">
        <f t="shared" si="138"/>
        <v>78.199999999999989</v>
      </c>
      <c r="Y3029" s="8"/>
      <c r="Z3029" s="8"/>
    </row>
    <row r="3030" spans="1:26" ht="12.75" customHeight="1" x14ac:dyDescent="0.2">
      <c r="A3030" s="15">
        <v>47</v>
      </c>
      <c r="B3030" s="15">
        <v>1993</v>
      </c>
      <c r="C3030" s="15">
        <v>11</v>
      </c>
      <c r="D3030" s="15">
        <v>8</v>
      </c>
      <c r="E3030" s="22" t="s">
        <v>17</v>
      </c>
      <c r="F3030" s="11" t="s">
        <v>18</v>
      </c>
      <c r="G3030" s="15">
        <v>152</v>
      </c>
      <c r="H3030" s="15" t="s">
        <v>29</v>
      </c>
      <c r="I3030" s="25">
        <v>15</v>
      </c>
      <c r="J3030" s="11" t="s">
        <v>19</v>
      </c>
      <c r="K3030" s="11" t="s">
        <v>20</v>
      </c>
      <c r="L3030" s="11" t="s">
        <v>30</v>
      </c>
      <c r="M3030" s="11" t="s">
        <v>46</v>
      </c>
      <c r="N3030" s="11" t="s">
        <v>29</v>
      </c>
      <c r="O3030" s="16" t="s">
        <v>29</v>
      </c>
      <c r="P3030" s="15">
        <v>223</v>
      </c>
      <c r="Q3030" s="8"/>
      <c r="R3030">
        <v>14.18</v>
      </c>
      <c r="S3030">
        <v>2852.17</v>
      </c>
      <c r="T3030">
        <v>5.26</v>
      </c>
      <c r="U3030">
        <v>10.18</v>
      </c>
      <c r="V3030">
        <v>142</v>
      </c>
      <c r="W3030" s="317">
        <v>4.5999999999999996</v>
      </c>
      <c r="X3030" s="190">
        <f t="shared" si="138"/>
        <v>69</v>
      </c>
      <c r="Y3030" s="8"/>
      <c r="Z3030" s="8"/>
    </row>
    <row r="3031" spans="1:26" ht="12.75" customHeight="1" x14ac:dyDescent="0.2">
      <c r="A3031" s="15">
        <v>48</v>
      </c>
      <c r="B3031" s="15">
        <v>1993</v>
      </c>
      <c r="C3031" s="15">
        <v>11</v>
      </c>
      <c r="D3031" s="15">
        <v>8</v>
      </c>
      <c r="E3031" s="22" t="s">
        <v>17</v>
      </c>
      <c r="F3031" s="11" t="s">
        <v>28</v>
      </c>
      <c r="G3031" s="11" t="s">
        <v>29</v>
      </c>
      <c r="H3031" s="15" t="s">
        <v>29</v>
      </c>
      <c r="I3031" s="25" t="s">
        <v>29</v>
      </c>
      <c r="J3031" s="11" t="s">
        <v>19</v>
      </c>
      <c r="K3031" s="11" t="s">
        <v>20</v>
      </c>
      <c r="L3031" s="11" t="s">
        <v>30</v>
      </c>
      <c r="M3031" s="11" t="s">
        <v>29</v>
      </c>
      <c r="N3031" s="11" t="s">
        <v>29</v>
      </c>
      <c r="O3031" s="16" t="s">
        <v>29</v>
      </c>
      <c r="P3031" s="15">
        <v>223</v>
      </c>
      <c r="Q3031" s="8"/>
      <c r="W3031" s="317">
        <v>4.5999999999999996</v>
      </c>
      <c r="X3031" s="190"/>
      <c r="Y3031" s="8"/>
      <c r="Z3031" s="8"/>
    </row>
    <row r="3032" spans="1:26" ht="12.75" customHeight="1" x14ac:dyDescent="0.2">
      <c r="A3032" s="15">
        <v>49</v>
      </c>
      <c r="B3032" s="15">
        <v>1993</v>
      </c>
      <c r="C3032" s="15">
        <v>11</v>
      </c>
      <c r="D3032" s="15">
        <v>8</v>
      </c>
      <c r="E3032" s="22" t="s">
        <v>17</v>
      </c>
      <c r="F3032" s="11" t="s">
        <v>18</v>
      </c>
      <c r="G3032" s="15">
        <v>166</v>
      </c>
      <c r="H3032" s="15" t="s">
        <v>29</v>
      </c>
      <c r="I3032" s="25" t="s">
        <v>29</v>
      </c>
      <c r="J3032" s="11" t="s">
        <v>19</v>
      </c>
      <c r="K3032" s="11" t="s">
        <v>34</v>
      </c>
      <c r="L3032" s="11" t="s">
        <v>41</v>
      </c>
      <c r="M3032" s="11" t="s">
        <v>27</v>
      </c>
      <c r="N3032" s="11" t="s">
        <v>25</v>
      </c>
      <c r="O3032" s="16" t="s">
        <v>29</v>
      </c>
      <c r="P3032" s="15">
        <v>223</v>
      </c>
      <c r="Q3032" s="8"/>
      <c r="R3032">
        <v>15.49</v>
      </c>
      <c r="U3032">
        <v>11.12</v>
      </c>
      <c r="V3032">
        <v>155</v>
      </c>
      <c r="W3032" s="317">
        <v>3.8</v>
      </c>
      <c r="X3032" s="190"/>
      <c r="Y3032" s="8"/>
      <c r="Z3032" s="8"/>
    </row>
    <row r="3033" spans="1:26" ht="12.75" customHeight="1" x14ac:dyDescent="0.2">
      <c r="A3033" s="15">
        <v>50</v>
      </c>
      <c r="B3033" s="15">
        <v>1993</v>
      </c>
      <c r="C3033" s="15">
        <v>11</v>
      </c>
      <c r="D3033" s="15">
        <v>8</v>
      </c>
      <c r="E3033" s="22" t="s">
        <v>17</v>
      </c>
      <c r="F3033" s="11" t="s">
        <v>28</v>
      </c>
      <c r="G3033" s="11" t="s">
        <v>29</v>
      </c>
      <c r="H3033" s="15" t="s">
        <v>29</v>
      </c>
      <c r="I3033" s="25" t="s">
        <v>29</v>
      </c>
      <c r="J3033" s="11" t="s">
        <v>19</v>
      </c>
      <c r="K3033" s="11" t="s">
        <v>20</v>
      </c>
      <c r="L3033" s="11" t="s">
        <v>30</v>
      </c>
      <c r="M3033" s="11" t="s">
        <v>29</v>
      </c>
      <c r="N3033" s="11" t="s">
        <v>29</v>
      </c>
      <c r="O3033" s="16" t="s">
        <v>29</v>
      </c>
      <c r="P3033" s="15">
        <v>223</v>
      </c>
      <c r="Q3033" s="8"/>
      <c r="W3033" s="317">
        <v>4.5999999999999996</v>
      </c>
      <c r="X3033" s="190"/>
      <c r="Y3033" s="8"/>
      <c r="Z3033" s="8"/>
    </row>
    <row r="3034" spans="1:26" ht="12.75" customHeight="1" x14ac:dyDescent="0.2">
      <c r="A3034" s="15">
        <v>51</v>
      </c>
      <c r="B3034" s="15">
        <v>1993</v>
      </c>
      <c r="C3034" s="15">
        <v>11</v>
      </c>
      <c r="D3034" s="15">
        <v>8</v>
      </c>
      <c r="E3034" s="22" t="s">
        <v>17</v>
      </c>
      <c r="F3034" s="11" t="s">
        <v>18</v>
      </c>
      <c r="G3034" s="15">
        <v>147</v>
      </c>
      <c r="H3034" s="15" t="s">
        <v>29</v>
      </c>
      <c r="I3034" s="25">
        <v>17</v>
      </c>
      <c r="J3034" s="11" t="s">
        <v>19</v>
      </c>
      <c r="K3034" s="11" t="s">
        <v>20</v>
      </c>
      <c r="L3034" s="11" t="s">
        <v>30</v>
      </c>
      <c r="M3034" s="11" t="s">
        <v>46</v>
      </c>
      <c r="N3034" s="11" t="s">
        <v>29</v>
      </c>
      <c r="O3034" s="16" t="s">
        <v>29</v>
      </c>
      <c r="P3034" s="15">
        <v>223</v>
      </c>
      <c r="Q3034" s="8"/>
      <c r="R3034">
        <v>13.72</v>
      </c>
      <c r="S3034">
        <v>2579.86</v>
      </c>
      <c r="T3034">
        <v>6.59</v>
      </c>
      <c r="U3034">
        <v>9.85</v>
      </c>
      <c r="V3034">
        <v>137</v>
      </c>
      <c r="W3034" s="317">
        <v>4.5999999999999996</v>
      </c>
      <c r="X3034" s="190">
        <f t="shared" ref="X3034:X3059" si="139">I3034*W3034</f>
        <v>78.199999999999989</v>
      </c>
      <c r="Y3034" s="8"/>
      <c r="Z3034" s="8"/>
    </row>
    <row r="3035" spans="1:26" ht="12.75" customHeight="1" x14ac:dyDescent="0.2">
      <c r="A3035" s="15">
        <v>52</v>
      </c>
      <c r="B3035" s="15">
        <v>1993</v>
      </c>
      <c r="C3035" s="15">
        <v>11</v>
      </c>
      <c r="D3035" s="15">
        <v>8</v>
      </c>
      <c r="E3035" s="22" t="s">
        <v>17</v>
      </c>
      <c r="F3035" s="11" t="s">
        <v>18</v>
      </c>
      <c r="G3035" s="15">
        <v>151</v>
      </c>
      <c r="H3035" s="15" t="s">
        <v>29</v>
      </c>
      <c r="I3035" s="25">
        <v>15</v>
      </c>
      <c r="J3035" s="11" t="s">
        <v>19</v>
      </c>
      <c r="K3035" s="11" t="s">
        <v>20</v>
      </c>
      <c r="L3035" s="11" t="s">
        <v>30</v>
      </c>
      <c r="M3035" s="11" t="s">
        <v>29</v>
      </c>
      <c r="N3035" s="11" t="s">
        <v>28</v>
      </c>
      <c r="O3035" s="16" t="s">
        <v>29</v>
      </c>
      <c r="P3035" s="15">
        <v>223</v>
      </c>
      <c r="Q3035" s="8"/>
      <c r="R3035">
        <v>14.09</v>
      </c>
      <c r="S3035">
        <v>2796.25</v>
      </c>
      <c r="T3035">
        <v>5.36</v>
      </c>
      <c r="U3035">
        <v>10.119999999999999</v>
      </c>
      <c r="V3035">
        <v>141</v>
      </c>
      <c r="W3035" s="317">
        <v>4.5999999999999996</v>
      </c>
      <c r="X3035" s="190">
        <f t="shared" si="139"/>
        <v>69</v>
      </c>
      <c r="Y3035" s="8"/>
      <c r="Z3035" s="8"/>
    </row>
    <row r="3036" spans="1:26" ht="12.75" customHeight="1" x14ac:dyDescent="0.2">
      <c r="A3036" s="15">
        <v>53</v>
      </c>
      <c r="B3036" s="15">
        <v>1993</v>
      </c>
      <c r="C3036" s="15">
        <v>11</v>
      </c>
      <c r="D3036" s="15">
        <v>8</v>
      </c>
      <c r="E3036" s="22" t="s">
        <v>17</v>
      </c>
      <c r="F3036" s="11" t="s">
        <v>28</v>
      </c>
      <c r="G3036" s="11" t="s">
        <v>29</v>
      </c>
      <c r="H3036" s="15" t="s">
        <v>29</v>
      </c>
      <c r="I3036" s="25" t="s">
        <v>29</v>
      </c>
      <c r="J3036" s="11" t="s">
        <v>19</v>
      </c>
      <c r="K3036" s="11" t="s">
        <v>20</v>
      </c>
      <c r="L3036" s="11" t="s">
        <v>30</v>
      </c>
      <c r="M3036" s="11" t="s">
        <v>29</v>
      </c>
      <c r="N3036" s="11" t="s">
        <v>29</v>
      </c>
      <c r="O3036" s="16" t="s">
        <v>29</v>
      </c>
      <c r="P3036" s="15">
        <v>223</v>
      </c>
      <c r="Q3036" s="8"/>
      <c r="W3036" s="317">
        <v>4.5999999999999996</v>
      </c>
      <c r="X3036" s="190"/>
      <c r="Y3036" s="8"/>
      <c r="Z3036" s="8"/>
    </row>
    <row r="3037" spans="1:26" ht="12.75" customHeight="1" x14ac:dyDescent="0.2">
      <c r="A3037" s="15">
        <v>54</v>
      </c>
      <c r="B3037" s="15">
        <v>1993</v>
      </c>
      <c r="C3037" s="15">
        <v>11</v>
      </c>
      <c r="D3037" s="15">
        <v>8</v>
      </c>
      <c r="E3037" s="22" t="s">
        <v>17</v>
      </c>
      <c r="F3037" s="11" t="s">
        <v>18</v>
      </c>
      <c r="G3037" s="15">
        <v>136</v>
      </c>
      <c r="H3037" s="15" t="s">
        <v>29</v>
      </c>
      <c r="I3037" s="25">
        <v>12</v>
      </c>
      <c r="J3037" s="11" t="s">
        <v>19</v>
      </c>
      <c r="K3037" s="11" t="s">
        <v>20</v>
      </c>
      <c r="L3037" s="11" t="s">
        <v>30</v>
      </c>
      <c r="M3037" s="11" t="s">
        <v>45</v>
      </c>
      <c r="N3037" s="11" t="s">
        <v>29</v>
      </c>
      <c r="O3037" s="16" t="s">
        <v>29</v>
      </c>
      <c r="P3037" s="15">
        <v>223</v>
      </c>
      <c r="Q3037" s="8"/>
      <c r="R3037">
        <v>12.69</v>
      </c>
      <c r="S3037">
        <v>2042.97</v>
      </c>
      <c r="T3037">
        <v>5.87</v>
      </c>
      <c r="U3037">
        <v>9.11</v>
      </c>
      <c r="V3037">
        <v>127</v>
      </c>
      <c r="W3037" s="317">
        <v>4.5999999999999996</v>
      </c>
      <c r="X3037" s="190">
        <f t="shared" si="139"/>
        <v>55.199999999999996</v>
      </c>
      <c r="Y3037" s="8"/>
      <c r="Z3037" s="8"/>
    </row>
    <row r="3038" spans="1:26" ht="12.75" customHeight="1" x14ac:dyDescent="0.2">
      <c r="A3038" s="15">
        <v>55</v>
      </c>
      <c r="B3038" s="15">
        <v>1993</v>
      </c>
      <c r="C3038" s="15">
        <v>11</v>
      </c>
      <c r="D3038" s="15">
        <v>8</v>
      </c>
      <c r="E3038" s="22" t="s">
        <v>17</v>
      </c>
      <c r="F3038" s="11" t="s">
        <v>18</v>
      </c>
      <c r="G3038" s="15">
        <v>136</v>
      </c>
      <c r="H3038" s="15" t="s">
        <v>29</v>
      </c>
      <c r="I3038" s="25">
        <v>14</v>
      </c>
      <c r="J3038" s="11" t="s">
        <v>19</v>
      </c>
      <c r="K3038" s="11" t="s">
        <v>20</v>
      </c>
      <c r="L3038" s="11" t="s">
        <v>30</v>
      </c>
      <c r="M3038" s="11" t="s">
        <v>45</v>
      </c>
      <c r="N3038" s="11" t="s">
        <v>29</v>
      </c>
      <c r="O3038" s="16" t="s">
        <v>29</v>
      </c>
      <c r="P3038" s="15">
        <v>223</v>
      </c>
      <c r="Q3038" s="8"/>
      <c r="R3038">
        <v>12.69</v>
      </c>
      <c r="S3038">
        <v>2042.97</v>
      </c>
      <c r="T3038">
        <v>6.85</v>
      </c>
      <c r="U3038">
        <v>9.11</v>
      </c>
      <c r="V3038">
        <v>127</v>
      </c>
      <c r="W3038" s="317">
        <v>4.5999999999999996</v>
      </c>
      <c r="X3038" s="190">
        <f t="shared" si="139"/>
        <v>64.399999999999991</v>
      </c>
      <c r="Y3038" s="8"/>
      <c r="Z3038" s="8"/>
    </row>
    <row r="3039" spans="1:26" ht="12.75" customHeight="1" x14ac:dyDescent="0.2">
      <c r="A3039" s="15">
        <v>56</v>
      </c>
      <c r="B3039" s="15">
        <v>1993</v>
      </c>
      <c r="C3039" s="15">
        <v>11</v>
      </c>
      <c r="D3039" s="15">
        <v>8</v>
      </c>
      <c r="E3039" s="22" t="s">
        <v>17</v>
      </c>
      <c r="F3039" s="11" t="s">
        <v>18</v>
      </c>
      <c r="G3039" s="15">
        <v>150</v>
      </c>
      <c r="H3039" s="15" t="s">
        <v>29</v>
      </c>
      <c r="I3039" s="25">
        <v>16</v>
      </c>
      <c r="J3039" s="11" t="s">
        <v>19</v>
      </c>
      <c r="K3039" s="11" t="s">
        <v>20</v>
      </c>
      <c r="L3039" s="11" t="s">
        <v>30</v>
      </c>
      <c r="M3039" s="11" t="s">
        <v>29</v>
      </c>
      <c r="N3039" s="11" t="s">
        <v>33</v>
      </c>
      <c r="O3039" s="16" t="s">
        <v>29</v>
      </c>
      <c r="P3039" s="15">
        <v>223</v>
      </c>
      <c r="Q3039" s="8"/>
      <c r="R3039">
        <v>14</v>
      </c>
      <c r="S3039">
        <v>2741.06</v>
      </c>
      <c r="T3039">
        <v>5.84</v>
      </c>
      <c r="U3039">
        <v>10.050000000000001</v>
      </c>
      <c r="V3039">
        <v>140</v>
      </c>
      <c r="W3039" s="317">
        <v>4.5999999999999996</v>
      </c>
      <c r="X3039" s="190">
        <f t="shared" si="139"/>
        <v>73.599999999999994</v>
      </c>
      <c r="Y3039" s="8"/>
      <c r="Z3039" s="8"/>
    </row>
    <row r="3040" spans="1:26" ht="12.75" customHeight="1" x14ac:dyDescent="0.2">
      <c r="A3040" s="15">
        <v>57</v>
      </c>
      <c r="B3040" s="15">
        <v>1993</v>
      </c>
      <c r="C3040" s="15">
        <v>11</v>
      </c>
      <c r="D3040" s="15">
        <v>8</v>
      </c>
      <c r="E3040" s="22" t="s">
        <v>17</v>
      </c>
      <c r="F3040" s="11" t="s">
        <v>18</v>
      </c>
      <c r="G3040" s="15">
        <v>143</v>
      </c>
      <c r="H3040" s="15" t="s">
        <v>29</v>
      </c>
      <c r="I3040" s="25">
        <v>16</v>
      </c>
      <c r="J3040" s="11" t="s">
        <v>19</v>
      </c>
      <c r="K3040" s="11" t="s">
        <v>20</v>
      </c>
      <c r="L3040" s="11" t="s">
        <v>30</v>
      </c>
      <c r="M3040" s="11" t="s">
        <v>46</v>
      </c>
      <c r="N3040" s="11" t="s">
        <v>33</v>
      </c>
      <c r="O3040" s="16" t="s">
        <v>29</v>
      </c>
      <c r="P3040" s="15">
        <v>223</v>
      </c>
      <c r="Q3040" s="8"/>
      <c r="R3040">
        <v>13.34</v>
      </c>
      <c r="S3040">
        <v>2374.94</v>
      </c>
      <c r="T3040">
        <v>6.74</v>
      </c>
      <c r="U3040">
        <v>9.58</v>
      </c>
      <c r="V3040">
        <v>133</v>
      </c>
      <c r="W3040" s="317">
        <v>4.5999999999999996</v>
      </c>
      <c r="X3040" s="190">
        <f t="shared" si="139"/>
        <v>73.599999999999994</v>
      </c>
      <c r="Y3040" s="8"/>
      <c r="Z3040" s="8"/>
    </row>
    <row r="3041" spans="1:26" ht="12.75" customHeight="1" x14ac:dyDescent="0.2">
      <c r="A3041" s="15">
        <v>58</v>
      </c>
      <c r="B3041" s="15">
        <v>1993</v>
      </c>
      <c r="C3041" s="15">
        <v>11</v>
      </c>
      <c r="D3041" s="15">
        <v>8</v>
      </c>
      <c r="E3041" s="22" t="s">
        <v>17</v>
      </c>
      <c r="F3041" s="11" t="s">
        <v>18</v>
      </c>
      <c r="G3041" s="15">
        <v>125</v>
      </c>
      <c r="H3041" s="15" t="s">
        <v>29</v>
      </c>
      <c r="I3041" s="25" t="s">
        <v>29</v>
      </c>
      <c r="J3041" s="11" t="s">
        <v>19</v>
      </c>
      <c r="K3041" s="11" t="s">
        <v>20</v>
      </c>
      <c r="L3041" s="11" t="s">
        <v>30</v>
      </c>
      <c r="M3041" s="11" t="s">
        <v>46</v>
      </c>
      <c r="N3041" s="11" t="s">
        <v>25</v>
      </c>
      <c r="O3041" s="16" t="s">
        <v>29</v>
      </c>
      <c r="P3041" s="15">
        <v>223</v>
      </c>
      <c r="Q3041" s="8"/>
      <c r="U3041">
        <v>8.3800000000000008</v>
      </c>
      <c r="V3041">
        <v>117</v>
      </c>
      <c r="W3041" s="317">
        <v>4.5999999999999996</v>
      </c>
      <c r="X3041" s="190"/>
      <c r="Y3041" s="8"/>
      <c r="Z3041" s="8"/>
    </row>
    <row r="3042" spans="1:26" ht="12.75" customHeight="1" x14ac:dyDescent="0.2">
      <c r="A3042" s="15">
        <v>59</v>
      </c>
      <c r="B3042" s="15">
        <v>1993</v>
      </c>
      <c r="C3042" s="15">
        <v>11</v>
      </c>
      <c r="D3042" s="15">
        <v>8</v>
      </c>
      <c r="E3042" s="22" t="s">
        <v>17</v>
      </c>
      <c r="F3042" s="11" t="s">
        <v>18</v>
      </c>
      <c r="G3042" s="15">
        <v>165</v>
      </c>
      <c r="H3042" s="15" t="s">
        <v>29</v>
      </c>
      <c r="I3042" s="25">
        <v>20.5</v>
      </c>
      <c r="J3042" s="11" t="s">
        <v>19</v>
      </c>
      <c r="K3042" s="11" t="s">
        <v>20</v>
      </c>
      <c r="L3042" s="11" t="s">
        <v>21</v>
      </c>
      <c r="M3042" s="11" t="s">
        <v>45</v>
      </c>
      <c r="N3042" s="11" t="s">
        <v>23</v>
      </c>
      <c r="O3042" s="16" t="s">
        <v>29</v>
      </c>
      <c r="P3042" s="15">
        <v>223</v>
      </c>
      <c r="Q3042" s="8"/>
      <c r="R3042">
        <v>15.39</v>
      </c>
      <c r="S3042">
        <v>3648.35</v>
      </c>
      <c r="T3042">
        <v>5.62</v>
      </c>
      <c r="U3042">
        <v>11.06</v>
      </c>
      <c r="V3042">
        <v>154</v>
      </c>
      <c r="W3042" s="317">
        <v>3.9</v>
      </c>
      <c r="X3042" s="190">
        <f t="shared" si="139"/>
        <v>79.95</v>
      </c>
      <c r="Y3042" s="8"/>
      <c r="Z3042" s="8"/>
    </row>
    <row r="3043" spans="1:26" ht="12.75" customHeight="1" x14ac:dyDescent="0.2">
      <c r="A3043" s="15">
        <v>60</v>
      </c>
      <c r="B3043" s="15">
        <v>1993</v>
      </c>
      <c r="C3043" s="15">
        <v>11</v>
      </c>
      <c r="D3043" s="15">
        <v>8</v>
      </c>
      <c r="E3043" s="22" t="s">
        <v>17</v>
      </c>
      <c r="F3043" s="11" t="s">
        <v>18</v>
      </c>
      <c r="G3043" s="15">
        <v>145</v>
      </c>
      <c r="H3043" s="15" t="s">
        <v>29</v>
      </c>
      <c r="I3043" s="25">
        <v>15</v>
      </c>
      <c r="J3043" s="11" t="s">
        <v>19</v>
      </c>
      <c r="K3043" s="11" t="s">
        <v>20</v>
      </c>
      <c r="L3043" s="11" t="s">
        <v>30</v>
      </c>
      <c r="M3043" s="11" t="s">
        <v>45</v>
      </c>
      <c r="N3043" s="11" t="s">
        <v>25</v>
      </c>
      <c r="O3043" s="16" t="s">
        <v>29</v>
      </c>
      <c r="P3043" s="15">
        <v>223</v>
      </c>
      <c r="Q3043" s="8"/>
      <c r="R3043">
        <v>13.53</v>
      </c>
      <c r="S3043">
        <v>2475.9899999999998</v>
      </c>
      <c r="T3043">
        <v>6.06</v>
      </c>
      <c r="U3043">
        <v>9.7200000000000006</v>
      </c>
      <c r="V3043">
        <v>135</v>
      </c>
      <c r="W3043" s="317">
        <v>4.5999999999999996</v>
      </c>
      <c r="X3043" s="190">
        <f t="shared" si="139"/>
        <v>69</v>
      </c>
      <c r="Y3043" s="8"/>
      <c r="Z3043" s="8"/>
    </row>
    <row r="3044" spans="1:26" ht="12.75" customHeight="1" x14ac:dyDescent="0.2">
      <c r="A3044" s="15">
        <v>61</v>
      </c>
      <c r="B3044" s="15">
        <v>1993</v>
      </c>
      <c r="C3044" s="15">
        <v>11</v>
      </c>
      <c r="D3044" s="15">
        <v>8</v>
      </c>
      <c r="E3044" s="22" t="s">
        <v>17</v>
      </c>
      <c r="F3044" s="11" t="s">
        <v>18</v>
      </c>
      <c r="G3044" s="15">
        <v>157</v>
      </c>
      <c r="H3044" s="15" t="s">
        <v>29</v>
      </c>
      <c r="I3044" s="25">
        <v>16</v>
      </c>
      <c r="J3044" s="11" t="s">
        <v>19</v>
      </c>
      <c r="K3044" s="11" t="s">
        <v>20</v>
      </c>
      <c r="L3044" s="11" t="s">
        <v>30</v>
      </c>
      <c r="M3044" s="11" t="s">
        <v>45</v>
      </c>
      <c r="N3044" s="11" t="s">
        <v>29</v>
      </c>
      <c r="O3044" s="16" t="s">
        <v>29</v>
      </c>
      <c r="P3044" s="15">
        <v>223</v>
      </c>
      <c r="Q3044" s="8"/>
      <c r="R3044">
        <v>14.65</v>
      </c>
      <c r="S3044">
        <v>3143</v>
      </c>
      <c r="T3044">
        <v>5.09</v>
      </c>
      <c r="U3044">
        <v>10.52</v>
      </c>
      <c r="V3044">
        <v>146</v>
      </c>
      <c r="W3044" s="317">
        <v>4.5999999999999996</v>
      </c>
      <c r="X3044" s="190">
        <f t="shared" si="139"/>
        <v>73.599999999999994</v>
      </c>
      <c r="Y3044" s="8"/>
      <c r="Z3044" s="8"/>
    </row>
    <row r="3045" spans="1:26" ht="12.75" customHeight="1" x14ac:dyDescent="0.2">
      <c r="A3045" s="15">
        <v>62</v>
      </c>
      <c r="B3045" s="15">
        <v>1993</v>
      </c>
      <c r="C3045" s="15">
        <v>10</v>
      </c>
      <c r="D3045" s="15">
        <v>8</v>
      </c>
      <c r="E3045" s="22" t="s">
        <v>17</v>
      </c>
      <c r="F3045" s="11" t="s">
        <v>18</v>
      </c>
      <c r="G3045" s="15">
        <v>155</v>
      </c>
      <c r="H3045" s="15" t="s">
        <v>29</v>
      </c>
      <c r="I3045" s="25">
        <v>15.5</v>
      </c>
      <c r="J3045" s="11" t="s">
        <v>19</v>
      </c>
      <c r="K3045" s="11" t="s">
        <v>20</v>
      </c>
      <c r="L3045" s="11" t="s">
        <v>30</v>
      </c>
      <c r="M3045" s="11" t="s">
        <v>47</v>
      </c>
      <c r="N3045" s="11" t="s">
        <v>33</v>
      </c>
      <c r="O3045" s="16" t="s">
        <v>29</v>
      </c>
      <c r="P3045" s="15">
        <v>222</v>
      </c>
      <c r="Q3045" s="8"/>
      <c r="R3045">
        <v>14.46</v>
      </c>
      <c r="S3045">
        <v>3024.41</v>
      </c>
      <c r="T3045">
        <v>5.12</v>
      </c>
      <c r="U3045">
        <v>10.39</v>
      </c>
      <c r="V3045">
        <v>145</v>
      </c>
      <c r="W3045" s="317">
        <v>4.5999999999999996</v>
      </c>
      <c r="X3045" s="190">
        <f t="shared" si="139"/>
        <v>71.3</v>
      </c>
      <c r="Y3045" s="8"/>
      <c r="Z3045" s="8"/>
    </row>
    <row r="3046" spans="1:26" ht="12.75" customHeight="1" x14ac:dyDescent="0.2">
      <c r="A3046" s="15">
        <v>63</v>
      </c>
      <c r="B3046" s="15">
        <v>1993</v>
      </c>
      <c r="C3046" s="15">
        <v>10</v>
      </c>
      <c r="D3046" s="15">
        <v>8</v>
      </c>
      <c r="E3046" s="22" t="s">
        <v>17</v>
      </c>
      <c r="F3046" s="11" t="s">
        <v>18</v>
      </c>
      <c r="G3046" s="15">
        <v>141</v>
      </c>
      <c r="H3046" s="15" t="s">
        <v>29</v>
      </c>
      <c r="I3046" s="25">
        <v>12</v>
      </c>
      <c r="J3046" s="11" t="s">
        <v>19</v>
      </c>
      <c r="K3046" s="11" t="s">
        <v>20</v>
      </c>
      <c r="L3046" s="11" t="s">
        <v>30</v>
      </c>
      <c r="M3046" s="11" t="s">
        <v>45</v>
      </c>
      <c r="N3046" s="11" t="s">
        <v>33</v>
      </c>
      <c r="O3046" s="16" t="s">
        <v>29</v>
      </c>
      <c r="P3046" s="15">
        <v>222</v>
      </c>
      <c r="Q3046" s="8"/>
      <c r="R3046">
        <v>13.16</v>
      </c>
      <c r="S3046">
        <v>2276.6799999999998</v>
      </c>
      <c r="T3046">
        <v>5.27</v>
      </c>
      <c r="U3046">
        <v>9.4499999999999993</v>
      </c>
      <c r="V3046">
        <v>132</v>
      </c>
      <c r="W3046" s="317">
        <v>4.5999999999999996</v>
      </c>
      <c r="X3046" s="190">
        <f t="shared" si="139"/>
        <v>55.199999999999996</v>
      </c>
      <c r="Y3046" s="8"/>
      <c r="Z3046" s="8"/>
    </row>
    <row r="3047" spans="1:26" ht="12.75" customHeight="1" x14ac:dyDescent="0.2">
      <c r="A3047" s="15">
        <v>64</v>
      </c>
      <c r="B3047" s="15">
        <v>1993</v>
      </c>
      <c r="C3047" s="15">
        <v>10</v>
      </c>
      <c r="D3047" s="15">
        <v>8</v>
      </c>
      <c r="E3047" s="22" t="s">
        <v>17</v>
      </c>
      <c r="F3047" s="11" t="s">
        <v>18</v>
      </c>
      <c r="G3047" s="15">
        <v>146</v>
      </c>
      <c r="H3047" s="15" t="s">
        <v>29</v>
      </c>
      <c r="I3047" s="25">
        <v>15</v>
      </c>
      <c r="J3047" s="11" t="s">
        <v>19</v>
      </c>
      <c r="K3047" s="11" t="s">
        <v>20</v>
      </c>
      <c r="L3047" s="11" t="s">
        <v>30</v>
      </c>
      <c r="M3047" s="11" t="s">
        <v>27</v>
      </c>
      <c r="N3047" s="11" t="s">
        <v>29</v>
      </c>
      <c r="O3047" s="16" t="s">
        <v>29</v>
      </c>
      <c r="P3047" s="15">
        <v>222</v>
      </c>
      <c r="Q3047" s="8"/>
      <c r="R3047">
        <v>13.62</v>
      </c>
      <c r="S3047">
        <v>2527.5700000000002</v>
      </c>
      <c r="T3047">
        <v>5.93</v>
      </c>
      <c r="U3047">
        <v>9.7799999999999994</v>
      </c>
      <c r="V3047">
        <v>136</v>
      </c>
      <c r="W3047" s="317">
        <v>4.5999999999999996</v>
      </c>
      <c r="X3047" s="190">
        <f t="shared" si="139"/>
        <v>69</v>
      </c>
      <c r="Y3047" s="8"/>
      <c r="Z3047" s="8"/>
    </row>
    <row r="3048" spans="1:26" ht="12.75" customHeight="1" x14ac:dyDescent="0.2">
      <c r="A3048" s="15">
        <v>65</v>
      </c>
      <c r="B3048" s="15">
        <v>1993</v>
      </c>
      <c r="C3048" s="15">
        <v>10</v>
      </c>
      <c r="D3048" s="15">
        <v>8</v>
      </c>
      <c r="E3048" s="22" t="s">
        <v>17</v>
      </c>
      <c r="F3048" s="11" t="s">
        <v>18</v>
      </c>
      <c r="G3048" s="15">
        <v>156</v>
      </c>
      <c r="H3048" s="15" t="s">
        <v>29</v>
      </c>
      <c r="I3048" s="25">
        <v>19</v>
      </c>
      <c r="J3048" s="11" t="s">
        <v>19</v>
      </c>
      <c r="K3048" s="11" t="s">
        <v>20</v>
      </c>
      <c r="L3048" s="11" t="s">
        <v>30</v>
      </c>
      <c r="M3048" s="11" t="s">
        <v>224</v>
      </c>
      <c r="N3048" s="11" t="s">
        <v>29</v>
      </c>
      <c r="O3048" s="16" t="s">
        <v>29</v>
      </c>
      <c r="P3048" s="15">
        <v>222</v>
      </c>
      <c r="Q3048" s="8"/>
      <c r="R3048">
        <v>14.55</v>
      </c>
      <c r="S3048">
        <v>3083.32</v>
      </c>
      <c r="T3048">
        <v>6.16</v>
      </c>
      <c r="U3048">
        <v>10.45</v>
      </c>
      <c r="V3048">
        <v>146</v>
      </c>
      <c r="W3048" s="317">
        <v>4.5999999999999996</v>
      </c>
      <c r="X3048" s="190">
        <f t="shared" si="139"/>
        <v>87.399999999999991</v>
      </c>
      <c r="Y3048" s="8"/>
      <c r="Z3048" s="8"/>
    </row>
    <row r="3049" spans="1:26" ht="12.75" customHeight="1" x14ac:dyDescent="0.2">
      <c r="A3049" s="15">
        <v>66</v>
      </c>
      <c r="B3049" s="15">
        <v>1993</v>
      </c>
      <c r="C3049" s="15">
        <v>10</v>
      </c>
      <c r="D3049" s="15">
        <v>8</v>
      </c>
      <c r="E3049" s="22" t="s">
        <v>17</v>
      </c>
      <c r="F3049" s="11" t="s">
        <v>28</v>
      </c>
      <c r="G3049" s="11" t="s">
        <v>29</v>
      </c>
      <c r="H3049" s="15" t="s">
        <v>29</v>
      </c>
      <c r="I3049" s="25" t="s">
        <v>29</v>
      </c>
      <c r="J3049" s="11" t="s">
        <v>19</v>
      </c>
      <c r="K3049" s="11" t="s">
        <v>20</v>
      </c>
      <c r="L3049" s="11" t="s">
        <v>21</v>
      </c>
      <c r="M3049" s="11" t="s">
        <v>29</v>
      </c>
      <c r="N3049" s="23" t="s">
        <v>25</v>
      </c>
      <c r="O3049" s="16" t="s">
        <v>29</v>
      </c>
      <c r="P3049" s="15">
        <v>222</v>
      </c>
      <c r="Q3049" s="8"/>
      <c r="W3049" s="317">
        <v>3.9</v>
      </c>
      <c r="X3049" s="190"/>
      <c r="Y3049" s="8"/>
      <c r="Z3049" s="8"/>
    </row>
    <row r="3050" spans="1:26" ht="12.75" customHeight="1" x14ac:dyDescent="0.2">
      <c r="A3050" s="15">
        <v>67</v>
      </c>
      <c r="B3050" s="15">
        <v>1993</v>
      </c>
      <c r="C3050" s="15">
        <v>10</v>
      </c>
      <c r="D3050" s="15">
        <v>8</v>
      </c>
      <c r="E3050" s="22" t="s">
        <v>17</v>
      </c>
      <c r="F3050" s="11" t="s">
        <v>18</v>
      </c>
      <c r="G3050" s="15">
        <v>153</v>
      </c>
      <c r="H3050" s="15" t="s">
        <v>29</v>
      </c>
      <c r="I3050" s="25">
        <v>17</v>
      </c>
      <c r="J3050" s="11" t="s">
        <v>19</v>
      </c>
      <c r="K3050" s="11" t="s">
        <v>20</v>
      </c>
      <c r="L3050" s="11" t="s">
        <v>30</v>
      </c>
      <c r="M3050" s="11" t="s">
        <v>46</v>
      </c>
      <c r="N3050" s="11" t="s">
        <v>29</v>
      </c>
      <c r="O3050" s="16" t="s">
        <v>29</v>
      </c>
      <c r="P3050" s="15">
        <v>222</v>
      </c>
      <c r="Q3050" s="8"/>
      <c r="R3050">
        <v>14.27</v>
      </c>
      <c r="S3050">
        <v>2908.84</v>
      </c>
      <c r="T3050">
        <v>5.84</v>
      </c>
      <c r="U3050">
        <v>10.25</v>
      </c>
      <c r="V3050">
        <v>143</v>
      </c>
      <c r="W3050" s="317">
        <v>4.5999999999999996</v>
      </c>
      <c r="X3050" s="190">
        <f t="shared" si="139"/>
        <v>78.199999999999989</v>
      </c>
      <c r="Y3050" s="8"/>
      <c r="Z3050" s="8"/>
    </row>
    <row r="3051" spans="1:26" ht="12.75" customHeight="1" x14ac:dyDescent="0.2">
      <c r="A3051" s="15">
        <v>68</v>
      </c>
      <c r="B3051" s="15">
        <v>1993</v>
      </c>
      <c r="C3051" s="15">
        <v>10</v>
      </c>
      <c r="D3051" s="15">
        <v>8</v>
      </c>
      <c r="E3051" s="22" t="s">
        <v>17</v>
      </c>
      <c r="F3051" s="11" t="s">
        <v>18</v>
      </c>
      <c r="G3051" s="15">
        <v>152</v>
      </c>
      <c r="H3051" s="15" t="s">
        <v>29</v>
      </c>
      <c r="I3051" s="25">
        <v>15</v>
      </c>
      <c r="J3051" s="11" t="s">
        <v>19</v>
      </c>
      <c r="K3051" s="11" t="s">
        <v>20</v>
      </c>
      <c r="L3051" s="11" t="s">
        <v>30</v>
      </c>
      <c r="M3051" s="11" t="s">
        <v>46</v>
      </c>
      <c r="N3051" s="11" t="s">
        <v>29</v>
      </c>
      <c r="O3051" s="16" t="s">
        <v>29</v>
      </c>
      <c r="P3051" s="15">
        <v>222</v>
      </c>
      <c r="Q3051" s="8"/>
      <c r="R3051">
        <v>14.18</v>
      </c>
      <c r="S3051">
        <v>2852.17</v>
      </c>
      <c r="T3051">
        <v>5.26</v>
      </c>
      <c r="U3051">
        <v>10.18</v>
      </c>
      <c r="V3051">
        <v>142</v>
      </c>
      <c r="W3051" s="317">
        <v>4.5999999999999996</v>
      </c>
      <c r="X3051" s="190">
        <f t="shared" si="139"/>
        <v>69</v>
      </c>
      <c r="Y3051" s="8"/>
      <c r="Z3051" s="8"/>
    </row>
    <row r="3052" spans="1:26" ht="12.75" customHeight="1" x14ac:dyDescent="0.2">
      <c r="A3052" s="15">
        <v>69</v>
      </c>
      <c r="B3052" s="15">
        <v>1993</v>
      </c>
      <c r="C3052" s="15">
        <v>10</v>
      </c>
      <c r="D3052" s="15">
        <v>8</v>
      </c>
      <c r="E3052" s="22" t="s">
        <v>17</v>
      </c>
      <c r="F3052" s="23" t="s">
        <v>18</v>
      </c>
      <c r="G3052" s="15">
        <v>158</v>
      </c>
      <c r="H3052" s="15" t="s">
        <v>29</v>
      </c>
      <c r="I3052" s="25">
        <v>18.3</v>
      </c>
      <c r="J3052" s="11" t="s">
        <v>19</v>
      </c>
      <c r="K3052" s="11" t="s">
        <v>20</v>
      </c>
      <c r="L3052" s="11" t="s">
        <v>30</v>
      </c>
      <c r="M3052" s="11" t="s">
        <v>27</v>
      </c>
      <c r="N3052" s="23" t="s">
        <v>25</v>
      </c>
      <c r="O3052" s="16" t="s">
        <v>29</v>
      </c>
      <c r="P3052" s="15">
        <v>222</v>
      </c>
      <c r="Q3052" s="8"/>
      <c r="R3052">
        <v>14.74</v>
      </c>
      <c r="S3052">
        <v>3203.44</v>
      </c>
      <c r="T3052">
        <v>5.71</v>
      </c>
      <c r="U3052">
        <v>10.59</v>
      </c>
      <c r="V3052">
        <v>147</v>
      </c>
      <c r="W3052" s="317">
        <v>4.5999999999999996</v>
      </c>
      <c r="X3052" s="190">
        <f t="shared" si="139"/>
        <v>84.179999999999993</v>
      </c>
      <c r="Y3052" s="8"/>
      <c r="Z3052" s="8"/>
    </row>
    <row r="3053" spans="1:26" ht="12.75" customHeight="1" x14ac:dyDescent="0.2">
      <c r="A3053" s="15">
        <v>70</v>
      </c>
      <c r="B3053" s="15">
        <v>1993</v>
      </c>
      <c r="C3053" s="15">
        <v>10</v>
      </c>
      <c r="D3053" s="15">
        <v>8</v>
      </c>
      <c r="E3053" s="22" t="s">
        <v>17</v>
      </c>
      <c r="F3053" s="23" t="s">
        <v>18</v>
      </c>
      <c r="G3053" s="15">
        <v>158</v>
      </c>
      <c r="H3053" s="15" t="s">
        <v>29</v>
      </c>
      <c r="I3053" s="25">
        <v>19</v>
      </c>
      <c r="J3053" s="11" t="s">
        <v>19</v>
      </c>
      <c r="K3053" s="11" t="s">
        <v>20</v>
      </c>
      <c r="L3053" s="11" t="s">
        <v>30</v>
      </c>
      <c r="M3053" s="11" t="s">
        <v>45</v>
      </c>
      <c r="N3053" s="23" t="s">
        <v>25</v>
      </c>
      <c r="O3053" s="16" t="s">
        <v>29</v>
      </c>
      <c r="P3053" s="15">
        <v>222</v>
      </c>
      <c r="Q3053" s="8"/>
      <c r="R3053">
        <v>14.74</v>
      </c>
      <c r="S3053">
        <v>3203.44</v>
      </c>
      <c r="T3053">
        <v>5.93</v>
      </c>
      <c r="U3053">
        <v>10.59</v>
      </c>
      <c r="V3053">
        <v>147</v>
      </c>
      <c r="W3053" s="317">
        <v>4.5999999999999996</v>
      </c>
      <c r="X3053" s="190">
        <f t="shared" si="139"/>
        <v>87.399999999999991</v>
      </c>
      <c r="Y3053" s="8"/>
      <c r="Z3053" s="8"/>
    </row>
    <row r="3054" spans="1:26" ht="12.75" customHeight="1" x14ac:dyDescent="0.2">
      <c r="A3054" s="15">
        <v>71</v>
      </c>
      <c r="B3054" s="15">
        <v>1993</v>
      </c>
      <c r="C3054" s="15">
        <v>10</v>
      </c>
      <c r="D3054" s="15">
        <v>8</v>
      </c>
      <c r="E3054" s="22" t="s">
        <v>17</v>
      </c>
      <c r="F3054" s="11" t="s">
        <v>18</v>
      </c>
      <c r="G3054" s="15">
        <v>163</v>
      </c>
      <c r="H3054" s="15" t="s">
        <v>29</v>
      </c>
      <c r="I3054" s="25">
        <v>14.8</v>
      </c>
      <c r="J3054" s="11" t="s">
        <v>19</v>
      </c>
      <c r="K3054" s="11" t="s">
        <v>20</v>
      </c>
      <c r="L3054" s="11" t="s">
        <v>21</v>
      </c>
      <c r="M3054" s="11" t="s">
        <v>46</v>
      </c>
      <c r="N3054" s="11" t="s">
        <v>29</v>
      </c>
      <c r="O3054" s="16" t="s">
        <v>29</v>
      </c>
      <c r="P3054" s="15">
        <v>222</v>
      </c>
      <c r="Q3054" s="8"/>
      <c r="R3054">
        <v>15.21</v>
      </c>
      <c r="S3054">
        <v>3517.29</v>
      </c>
      <c r="T3054">
        <v>4.21</v>
      </c>
      <c r="U3054">
        <v>10.92</v>
      </c>
      <c r="V3054">
        <v>152</v>
      </c>
      <c r="W3054" s="317">
        <v>3.9</v>
      </c>
      <c r="X3054" s="190">
        <f t="shared" si="139"/>
        <v>57.72</v>
      </c>
      <c r="Y3054" s="8"/>
      <c r="Z3054" s="8"/>
    </row>
    <row r="3055" spans="1:26" ht="12.75" customHeight="1" x14ac:dyDescent="0.2">
      <c r="A3055" s="15">
        <v>72</v>
      </c>
      <c r="B3055" s="15">
        <v>1993</v>
      </c>
      <c r="C3055" s="15">
        <v>10</v>
      </c>
      <c r="D3055" s="15">
        <v>8</v>
      </c>
      <c r="E3055" s="22" t="s">
        <v>17</v>
      </c>
      <c r="F3055" s="11" t="s">
        <v>18</v>
      </c>
      <c r="G3055" s="15">
        <v>153</v>
      </c>
      <c r="H3055" s="15" t="s">
        <v>29</v>
      </c>
      <c r="I3055" s="25">
        <v>17.5</v>
      </c>
      <c r="J3055" s="11" t="s">
        <v>19</v>
      </c>
      <c r="K3055" s="11" t="s">
        <v>20</v>
      </c>
      <c r="L3055" s="11" t="s">
        <v>30</v>
      </c>
      <c r="M3055" s="11" t="s">
        <v>46</v>
      </c>
      <c r="N3055" s="11" t="s">
        <v>29</v>
      </c>
      <c r="O3055" s="16" t="s">
        <v>29</v>
      </c>
      <c r="P3055" s="15">
        <v>222</v>
      </c>
      <c r="Q3055" s="8"/>
      <c r="R3055">
        <v>14.27</v>
      </c>
      <c r="S3055">
        <v>2908.84</v>
      </c>
      <c r="T3055">
        <v>6.02</v>
      </c>
      <c r="U3055">
        <v>10.25</v>
      </c>
      <c r="V3055">
        <v>143</v>
      </c>
      <c r="W3055" s="317">
        <v>4.5999999999999996</v>
      </c>
      <c r="X3055" s="190">
        <f t="shared" si="139"/>
        <v>80.5</v>
      </c>
      <c r="Y3055" s="8"/>
      <c r="Z3055" s="8"/>
    </row>
    <row r="3056" spans="1:26" ht="12.75" customHeight="1" x14ac:dyDescent="0.2">
      <c r="A3056" s="15">
        <v>73</v>
      </c>
      <c r="B3056" s="15">
        <v>1993</v>
      </c>
      <c r="C3056" s="15">
        <v>10</v>
      </c>
      <c r="D3056" s="15">
        <v>8</v>
      </c>
      <c r="E3056" s="22" t="s">
        <v>17</v>
      </c>
      <c r="F3056" s="11" t="s">
        <v>18</v>
      </c>
      <c r="G3056" s="15">
        <v>161</v>
      </c>
      <c r="H3056" s="15" t="s">
        <v>29</v>
      </c>
      <c r="I3056" s="25">
        <v>20.5</v>
      </c>
      <c r="J3056" s="11" t="s">
        <v>19</v>
      </c>
      <c r="K3056" s="11" t="s">
        <v>20</v>
      </c>
      <c r="L3056" s="11" t="s">
        <v>30</v>
      </c>
      <c r="M3056" s="11" t="s">
        <v>45</v>
      </c>
      <c r="N3056" s="11" t="s">
        <v>29</v>
      </c>
      <c r="O3056" s="16" t="s">
        <v>29</v>
      </c>
      <c r="P3056" s="15">
        <v>222</v>
      </c>
      <c r="Q3056" s="8"/>
      <c r="R3056">
        <v>15.02</v>
      </c>
      <c r="S3056">
        <v>3389.4</v>
      </c>
      <c r="T3056">
        <v>6.05</v>
      </c>
      <c r="U3056">
        <v>10.79</v>
      </c>
      <c r="V3056">
        <v>150</v>
      </c>
      <c r="W3056" s="317">
        <v>4.5999999999999996</v>
      </c>
      <c r="X3056" s="190">
        <f t="shared" si="139"/>
        <v>94.3</v>
      </c>
      <c r="Y3056" s="8"/>
      <c r="Z3056" s="8"/>
    </row>
    <row r="3057" spans="1:26" ht="12.75" customHeight="1" x14ac:dyDescent="0.2">
      <c r="A3057" s="15">
        <v>74</v>
      </c>
      <c r="B3057" s="15">
        <v>1993</v>
      </c>
      <c r="C3057" s="15">
        <v>10</v>
      </c>
      <c r="D3057" s="15">
        <v>8</v>
      </c>
      <c r="E3057" s="22" t="s">
        <v>17</v>
      </c>
      <c r="F3057" s="11" t="s">
        <v>18</v>
      </c>
      <c r="G3057" s="15">
        <v>140</v>
      </c>
      <c r="H3057" s="15" t="s">
        <v>29</v>
      </c>
      <c r="I3057" s="25">
        <v>13</v>
      </c>
      <c r="J3057" s="11" t="s">
        <v>19</v>
      </c>
      <c r="K3057" s="11" t="s">
        <v>20</v>
      </c>
      <c r="L3057" s="11" t="s">
        <v>30</v>
      </c>
      <c r="M3057" s="11" t="s">
        <v>46</v>
      </c>
      <c r="N3057" s="11" t="s">
        <v>29</v>
      </c>
      <c r="O3057" s="16" t="s">
        <v>29</v>
      </c>
      <c r="P3057" s="15">
        <v>222</v>
      </c>
      <c r="Q3057" s="8"/>
      <c r="R3057">
        <v>13.06</v>
      </c>
      <c r="S3057">
        <v>2228.58</v>
      </c>
      <c r="T3057">
        <v>5.83</v>
      </c>
      <c r="U3057">
        <v>9.3800000000000008</v>
      </c>
      <c r="V3057">
        <v>131</v>
      </c>
      <c r="W3057" s="317">
        <v>4.5999999999999996</v>
      </c>
      <c r="X3057" s="190">
        <f t="shared" si="139"/>
        <v>59.8</v>
      </c>
      <c r="Y3057" s="8"/>
      <c r="Z3057" s="8"/>
    </row>
    <row r="3058" spans="1:26" ht="12.75" customHeight="1" x14ac:dyDescent="0.2">
      <c r="A3058" s="15">
        <v>75</v>
      </c>
      <c r="B3058" s="15">
        <v>1993</v>
      </c>
      <c r="C3058" s="15">
        <v>10</v>
      </c>
      <c r="D3058" s="15">
        <v>8</v>
      </c>
      <c r="E3058" s="22" t="s">
        <v>17</v>
      </c>
      <c r="F3058" s="23" t="s">
        <v>18</v>
      </c>
      <c r="G3058" s="15">
        <v>155</v>
      </c>
      <c r="H3058" s="15" t="s">
        <v>29</v>
      </c>
      <c r="I3058" s="25">
        <v>19</v>
      </c>
      <c r="J3058" s="11" t="s">
        <v>19</v>
      </c>
      <c r="K3058" s="11" t="s">
        <v>20</v>
      </c>
      <c r="L3058" s="11" t="s">
        <v>30</v>
      </c>
      <c r="M3058" s="11" t="s">
        <v>29</v>
      </c>
      <c r="N3058" s="23" t="s">
        <v>25</v>
      </c>
      <c r="O3058" s="16" t="s">
        <v>29</v>
      </c>
      <c r="P3058" s="15">
        <v>222</v>
      </c>
      <c r="Q3058" s="8"/>
      <c r="R3058">
        <v>14.46</v>
      </c>
      <c r="S3058">
        <v>3024.41</v>
      </c>
      <c r="T3058">
        <v>6.28</v>
      </c>
      <c r="U3058">
        <v>10.39</v>
      </c>
      <c r="V3058">
        <v>145</v>
      </c>
      <c r="W3058" s="317">
        <v>4.5999999999999996</v>
      </c>
      <c r="X3058" s="190">
        <f t="shared" si="139"/>
        <v>87.399999999999991</v>
      </c>
      <c r="Y3058" s="8"/>
      <c r="Z3058" s="8"/>
    </row>
    <row r="3059" spans="1:26" ht="12.75" customHeight="1" x14ac:dyDescent="0.2">
      <c r="A3059" s="15">
        <v>76</v>
      </c>
      <c r="B3059" s="15">
        <v>1993</v>
      </c>
      <c r="C3059" s="15">
        <v>10</v>
      </c>
      <c r="D3059" s="15">
        <v>8</v>
      </c>
      <c r="E3059" s="22" t="s">
        <v>17</v>
      </c>
      <c r="F3059" s="23" t="s">
        <v>18</v>
      </c>
      <c r="G3059" s="15">
        <v>140</v>
      </c>
      <c r="H3059" s="15" t="s">
        <v>29</v>
      </c>
      <c r="I3059" s="25">
        <v>11.5</v>
      </c>
      <c r="J3059" s="11" t="s">
        <v>19</v>
      </c>
      <c r="K3059" s="11" t="s">
        <v>20</v>
      </c>
      <c r="L3059" s="11" t="s">
        <v>30</v>
      </c>
      <c r="M3059" s="11" t="s">
        <v>29</v>
      </c>
      <c r="N3059" s="23" t="s">
        <v>23</v>
      </c>
      <c r="O3059" s="16" t="s">
        <v>29</v>
      </c>
      <c r="P3059" s="15">
        <v>222</v>
      </c>
      <c r="Q3059" s="8"/>
      <c r="R3059">
        <v>13.06</v>
      </c>
      <c r="S3059">
        <v>2228.58</v>
      </c>
      <c r="T3059">
        <v>5.16</v>
      </c>
      <c r="U3059">
        <v>9.3800000000000008</v>
      </c>
      <c r="V3059">
        <v>131</v>
      </c>
      <c r="W3059" s="317">
        <v>4.5999999999999996</v>
      </c>
      <c r="X3059" s="190">
        <f t="shared" si="139"/>
        <v>52.9</v>
      </c>
      <c r="Y3059" s="8"/>
      <c r="Z3059" s="8"/>
    </row>
    <row r="3060" spans="1:26" ht="12.75" customHeight="1" x14ac:dyDescent="0.2">
      <c r="A3060" s="15">
        <v>77</v>
      </c>
      <c r="B3060" s="15">
        <v>1993</v>
      </c>
      <c r="C3060" s="15">
        <v>10</v>
      </c>
      <c r="D3060" s="15">
        <v>8</v>
      </c>
      <c r="E3060" s="22" t="s">
        <v>17</v>
      </c>
      <c r="F3060" s="11" t="s">
        <v>28</v>
      </c>
      <c r="G3060" s="11" t="s">
        <v>29</v>
      </c>
      <c r="H3060" s="15" t="s">
        <v>29</v>
      </c>
      <c r="I3060" s="25" t="s">
        <v>29</v>
      </c>
      <c r="J3060" s="11" t="s">
        <v>19</v>
      </c>
      <c r="K3060" s="11" t="s">
        <v>20</v>
      </c>
      <c r="L3060" s="11" t="s">
        <v>30</v>
      </c>
      <c r="M3060" s="11" t="s">
        <v>45</v>
      </c>
      <c r="N3060" s="23" t="s">
        <v>25</v>
      </c>
      <c r="O3060" s="16" t="s">
        <v>29</v>
      </c>
      <c r="P3060" s="15">
        <v>222</v>
      </c>
      <c r="Q3060" s="8"/>
      <c r="W3060" s="317">
        <v>4.5999999999999996</v>
      </c>
      <c r="X3060" s="190"/>
      <c r="Y3060" s="8"/>
      <c r="Z3060" s="8"/>
    </row>
    <row r="3061" spans="1:26" ht="12.75" customHeight="1" x14ac:dyDescent="0.2">
      <c r="A3061" s="15">
        <v>78</v>
      </c>
      <c r="B3061" s="15">
        <v>1993</v>
      </c>
      <c r="C3061" s="15">
        <v>10</v>
      </c>
      <c r="D3061" s="15">
        <v>8</v>
      </c>
      <c r="E3061" s="22" t="s">
        <v>17</v>
      </c>
      <c r="F3061" s="11" t="s">
        <v>18</v>
      </c>
      <c r="G3061" s="15">
        <v>131</v>
      </c>
      <c r="H3061" s="15" t="s">
        <v>29</v>
      </c>
      <c r="I3061" s="25">
        <v>8</v>
      </c>
      <c r="J3061" s="11" t="s">
        <v>19</v>
      </c>
      <c r="K3061" s="11" t="s">
        <v>41</v>
      </c>
      <c r="L3061" s="11" t="s">
        <v>35</v>
      </c>
      <c r="M3061" s="11" t="s">
        <v>27</v>
      </c>
      <c r="N3061" s="11" t="s">
        <v>23</v>
      </c>
      <c r="O3061" s="16" t="s">
        <v>29</v>
      </c>
      <c r="P3061" s="15">
        <v>222</v>
      </c>
      <c r="Q3061" s="8"/>
      <c r="R3061">
        <v>12.22</v>
      </c>
      <c r="S3061">
        <v>1825.82</v>
      </c>
      <c r="T3061">
        <v>4.38</v>
      </c>
      <c r="U3061">
        <v>8.7799999999999994</v>
      </c>
      <c r="V3061">
        <v>122</v>
      </c>
      <c r="W3061" s="8"/>
      <c r="X3061" s="8"/>
      <c r="Y3061" s="8"/>
      <c r="Z3061" s="8"/>
    </row>
    <row r="3062" spans="1:26" ht="12.75" customHeight="1" x14ac:dyDescent="0.2">
      <c r="A3062" s="15">
        <v>79</v>
      </c>
      <c r="B3062" s="15">
        <v>1993</v>
      </c>
      <c r="C3062" s="15">
        <v>10</v>
      </c>
      <c r="D3062" s="15">
        <v>8</v>
      </c>
      <c r="E3062" s="22" t="s">
        <v>17</v>
      </c>
      <c r="F3062" s="11" t="s">
        <v>18</v>
      </c>
      <c r="G3062" s="15">
        <v>145</v>
      </c>
      <c r="H3062" s="15" t="s">
        <v>29</v>
      </c>
      <c r="I3062" s="25">
        <v>11.5</v>
      </c>
      <c r="J3062" s="11" t="s">
        <v>19</v>
      </c>
      <c r="K3062" s="11" t="s">
        <v>20</v>
      </c>
      <c r="L3062" s="11" t="s">
        <v>21</v>
      </c>
      <c r="M3062" s="11" t="s">
        <v>45</v>
      </c>
      <c r="N3062" s="11" t="s">
        <v>23</v>
      </c>
      <c r="O3062" s="16" t="s">
        <v>29</v>
      </c>
      <c r="P3062" s="15">
        <v>222</v>
      </c>
      <c r="Q3062" s="8"/>
      <c r="R3062">
        <v>13.53</v>
      </c>
      <c r="S3062">
        <v>2475.9899999999998</v>
      </c>
      <c r="T3062">
        <v>4.6399999999999997</v>
      </c>
      <c r="U3062">
        <v>9.7200000000000006</v>
      </c>
      <c r="V3062">
        <v>135</v>
      </c>
      <c r="W3062" s="317">
        <v>3.9</v>
      </c>
      <c r="X3062" s="190">
        <f>I3062*W3062</f>
        <v>44.85</v>
      </c>
      <c r="Y3062" s="8"/>
      <c r="Z3062" s="8"/>
    </row>
    <row r="3063" spans="1:26" ht="12.75" customHeight="1" x14ac:dyDescent="0.2">
      <c r="A3063" s="15">
        <v>80</v>
      </c>
      <c r="B3063" s="15">
        <v>1993</v>
      </c>
      <c r="C3063" s="15">
        <v>10</v>
      </c>
      <c r="D3063" s="15">
        <v>8</v>
      </c>
      <c r="E3063" s="22" t="s">
        <v>17</v>
      </c>
      <c r="F3063" s="11" t="s">
        <v>18</v>
      </c>
      <c r="G3063" s="15">
        <v>160</v>
      </c>
      <c r="H3063" s="15" t="s">
        <v>29</v>
      </c>
      <c r="I3063" s="25">
        <v>21</v>
      </c>
      <c r="J3063" s="11" t="s">
        <v>19</v>
      </c>
      <c r="K3063" s="11" t="s">
        <v>34</v>
      </c>
      <c r="L3063" s="11" t="s">
        <v>41</v>
      </c>
      <c r="M3063" s="11" t="s">
        <v>29</v>
      </c>
      <c r="N3063" s="11" t="s">
        <v>29</v>
      </c>
      <c r="O3063" s="16" t="s">
        <v>29</v>
      </c>
      <c r="P3063" s="15">
        <v>222</v>
      </c>
      <c r="Q3063" s="8"/>
      <c r="R3063">
        <v>14.93</v>
      </c>
      <c r="S3063">
        <v>3326.63</v>
      </c>
      <c r="T3063">
        <v>6.31</v>
      </c>
      <c r="U3063">
        <v>10.72</v>
      </c>
      <c r="V3063">
        <v>149</v>
      </c>
      <c r="W3063" s="317">
        <v>3.8</v>
      </c>
      <c r="X3063" s="190">
        <f>I3063*W3063</f>
        <v>79.8</v>
      </c>
      <c r="Y3063" s="8"/>
      <c r="Z3063" s="8"/>
    </row>
    <row r="3064" spans="1:26" ht="12.75" customHeight="1" x14ac:dyDescent="0.2">
      <c r="A3064" s="15">
        <v>81</v>
      </c>
      <c r="B3064" s="15">
        <v>1993</v>
      </c>
      <c r="C3064" s="15">
        <v>10</v>
      </c>
      <c r="D3064" s="15">
        <v>8</v>
      </c>
      <c r="E3064" s="22" t="s">
        <v>17</v>
      </c>
      <c r="F3064" s="11" t="s">
        <v>18</v>
      </c>
      <c r="G3064" s="15">
        <v>148</v>
      </c>
      <c r="H3064" s="15" t="s">
        <v>29</v>
      </c>
      <c r="I3064" s="25">
        <v>15.3</v>
      </c>
      <c r="J3064" s="11" t="s">
        <v>19</v>
      </c>
      <c r="K3064" s="11" t="s">
        <v>20</v>
      </c>
      <c r="L3064" s="11" t="s">
        <v>30</v>
      </c>
      <c r="M3064" s="11" t="s">
        <v>46</v>
      </c>
      <c r="N3064" s="11" t="s">
        <v>29</v>
      </c>
      <c r="O3064" s="16" t="s">
        <v>29</v>
      </c>
      <c r="P3064" s="15">
        <v>222</v>
      </c>
      <c r="Q3064" s="8"/>
      <c r="R3064">
        <v>13.81</v>
      </c>
      <c r="S3064">
        <v>2632.87</v>
      </c>
      <c r="T3064">
        <v>5.81</v>
      </c>
      <c r="U3064">
        <v>9.92</v>
      </c>
      <c r="V3064">
        <v>138</v>
      </c>
      <c r="W3064" s="317">
        <v>4.5999999999999996</v>
      </c>
      <c r="X3064" s="190">
        <f t="shared" ref="X3064:X3078" si="140">I3064*W3064</f>
        <v>70.38</v>
      </c>
      <c r="Y3064" s="8"/>
      <c r="Z3064" s="8"/>
    </row>
    <row r="3065" spans="1:26" ht="12.75" customHeight="1" x14ac:dyDescent="0.2">
      <c r="A3065" s="15">
        <v>82</v>
      </c>
      <c r="B3065" s="15">
        <v>1993</v>
      </c>
      <c r="C3065" s="15">
        <v>10</v>
      </c>
      <c r="D3065" s="15">
        <v>8</v>
      </c>
      <c r="E3065" s="22" t="s">
        <v>17</v>
      </c>
      <c r="F3065" s="11" t="s">
        <v>28</v>
      </c>
      <c r="G3065" s="11" t="s">
        <v>29</v>
      </c>
      <c r="H3065" s="15" t="s">
        <v>29</v>
      </c>
      <c r="I3065" s="25" t="s">
        <v>29</v>
      </c>
      <c r="J3065" s="11" t="s">
        <v>19</v>
      </c>
      <c r="K3065" s="11" t="s">
        <v>20</v>
      </c>
      <c r="L3065" s="11" t="s">
        <v>30</v>
      </c>
      <c r="M3065" s="11" t="s">
        <v>29</v>
      </c>
      <c r="N3065" s="11" t="s">
        <v>29</v>
      </c>
      <c r="O3065" s="16" t="s">
        <v>29</v>
      </c>
      <c r="P3065" s="15">
        <v>222</v>
      </c>
      <c r="Q3065" s="8"/>
      <c r="W3065" s="317">
        <v>4.5999999999999996</v>
      </c>
      <c r="X3065" s="190"/>
      <c r="Y3065" s="8"/>
      <c r="Z3065" s="8"/>
    </row>
    <row r="3066" spans="1:26" ht="12.75" customHeight="1" x14ac:dyDescent="0.2">
      <c r="A3066" s="15">
        <v>83</v>
      </c>
      <c r="B3066" s="15">
        <v>1993</v>
      </c>
      <c r="C3066" s="15">
        <v>10</v>
      </c>
      <c r="D3066" s="15">
        <v>8</v>
      </c>
      <c r="E3066" s="22" t="s">
        <v>17</v>
      </c>
      <c r="F3066" s="11" t="s">
        <v>18</v>
      </c>
      <c r="G3066" s="15">
        <v>130</v>
      </c>
      <c r="H3066" s="15" t="s">
        <v>29</v>
      </c>
      <c r="I3066" s="25">
        <v>9.5</v>
      </c>
      <c r="J3066" s="11" t="s">
        <v>19</v>
      </c>
      <c r="K3066" s="11" t="s">
        <v>20</v>
      </c>
      <c r="L3066" s="11" t="s">
        <v>30</v>
      </c>
      <c r="M3066" s="11" t="s">
        <v>224</v>
      </c>
      <c r="N3066" s="11" t="s">
        <v>29</v>
      </c>
      <c r="O3066" s="16" t="s">
        <v>29</v>
      </c>
      <c r="P3066" s="15">
        <v>222</v>
      </c>
      <c r="Q3066" s="8"/>
      <c r="R3066">
        <v>12.13</v>
      </c>
      <c r="S3066">
        <v>1784.33</v>
      </c>
      <c r="T3066">
        <v>5.32</v>
      </c>
      <c r="U3066">
        <v>8.7100000000000009</v>
      </c>
      <c r="V3066">
        <v>121</v>
      </c>
      <c r="W3066" s="317">
        <v>4.5999999999999996</v>
      </c>
      <c r="X3066" s="190">
        <f t="shared" si="140"/>
        <v>43.699999999999996</v>
      </c>
      <c r="Y3066" s="8"/>
      <c r="Z3066" s="8"/>
    </row>
    <row r="3067" spans="1:26" ht="12.75" customHeight="1" x14ac:dyDescent="0.2">
      <c r="A3067" s="15">
        <v>84</v>
      </c>
      <c r="B3067" s="15">
        <v>1993</v>
      </c>
      <c r="C3067" s="15">
        <v>10</v>
      </c>
      <c r="D3067" s="15">
        <v>8</v>
      </c>
      <c r="E3067" s="22" t="s">
        <v>17</v>
      </c>
      <c r="F3067" s="11" t="s">
        <v>18</v>
      </c>
      <c r="G3067" s="15">
        <v>155</v>
      </c>
      <c r="H3067" s="15" t="s">
        <v>29</v>
      </c>
      <c r="I3067" s="25">
        <v>17.5</v>
      </c>
      <c r="J3067" s="11" t="s">
        <v>19</v>
      </c>
      <c r="K3067" s="11" t="s">
        <v>20</v>
      </c>
      <c r="L3067" s="11" t="s">
        <v>30</v>
      </c>
      <c r="M3067" s="11" t="s">
        <v>46</v>
      </c>
      <c r="N3067" s="11" t="s">
        <v>29</v>
      </c>
      <c r="O3067" s="16" t="s">
        <v>29</v>
      </c>
      <c r="P3067" s="15">
        <v>222</v>
      </c>
      <c r="Q3067" s="8"/>
      <c r="R3067">
        <v>14.46</v>
      </c>
      <c r="S3067">
        <v>3024.41</v>
      </c>
      <c r="T3067">
        <v>5.79</v>
      </c>
      <c r="U3067">
        <v>10.39</v>
      </c>
      <c r="V3067">
        <v>145</v>
      </c>
      <c r="W3067" s="317">
        <v>4.5999999999999996</v>
      </c>
      <c r="X3067" s="190">
        <f t="shared" si="140"/>
        <v>80.5</v>
      </c>
      <c r="Y3067" s="8"/>
      <c r="Z3067" s="8"/>
    </row>
    <row r="3068" spans="1:26" ht="12.75" customHeight="1" x14ac:dyDescent="0.2">
      <c r="A3068" s="15">
        <v>85</v>
      </c>
      <c r="B3068" s="15">
        <v>1993</v>
      </c>
      <c r="C3068" s="15">
        <v>10</v>
      </c>
      <c r="D3068" s="15">
        <v>8</v>
      </c>
      <c r="E3068" s="22" t="s">
        <v>17</v>
      </c>
      <c r="F3068" s="11" t="s">
        <v>18</v>
      </c>
      <c r="G3068" s="15">
        <v>153</v>
      </c>
      <c r="H3068" s="15" t="s">
        <v>29</v>
      </c>
      <c r="I3068" s="25">
        <v>19.5</v>
      </c>
      <c r="J3068" s="11" t="s">
        <v>19</v>
      </c>
      <c r="K3068" s="11" t="s">
        <v>20</v>
      </c>
      <c r="L3068" s="11" t="s">
        <v>30</v>
      </c>
      <c r="M3068" s="11" t="s">
        <v>46</v>
      </c>
      <c r="N3068" s="11" t="s">
        <v>29</v>
      </c>
      <c r="O3068" s="16" t="s">
        <v>29</v>
      </c>
      <c r="P3068" s="15">
        <v>222</v>
      </c>
      <c r="Q3068" s="8"/>
      <c r="R3068">
        <v>14.27</v>
      </c>
      <c r="S3068">
        <v>2908.84</v>
      </c>
      <c r="T3068">
        <v>6.7</v>
      </c>
      <c r="U3068">
        <v>10.25</v>
      </c>
      <c r="V3068">
        <v>143</v>
      </c>
      <c r="W3068" s="317">
        <v>4.5999999999999996</v>
      </c>
      <c r="X3068" s="190">
        <f t="shared" si="140"/>
        <v>89.699999999999989</v>
      </c>
      <c r="Y3068" s="8"/>
      <c r="Z3068" s="8"/>
    </row>
    <row r="3069" spans="1:26" ht="12.75" customHeight="1" x14ac:dyDescent="0.2">
      <c r="A3069" s="15">
        <v>86</v>
      </c>
      <c r="B3069" s="15">
        <v>1993</v>
      </c>
      <c r="C3069" s="15">
        <v>10</v>
      </c>
      <c r="D3069" s="15">
        <v>8</v>
      </c>
      <c r="E3069" s="22" t="s">
        <v>17</v>
      </c>
      <c r="F3069" s="11" t="s">
        <v>28</v>
      </c>
      <c r="G3069" s="11" t="s">
        <v>29</v>
      </c>
      <c r="H3069" s="15" t="s">
        <v>29</v>
      </c>
      <c r="I3069" s="25" t="s">
        <v>29</v>
      </c>
      <c r="J3069" s="11" t="s">
        <v>19</v>
      </c>
      <c r="K3069" s="11" t="s">
        <v>20</v>
      </c>
      <c r="L3069" s="11" t="s">
        <v>30</v>
      </c>
      <c r="M3069" s="11" t="s">
        <v>27</v>
      </c>
      <c r="N3069" s="23" t="s">
        <v>25</v>
      </c>
      <c r="O3069" s="16" t="s">
        <v>29</v>
      </c>
      <c r="P3069" s="15">
        <v>222</v>
      </c>
      <c r="Q3069" s="8"/>
      <c r="W3069" s="317">
        <v>4.5999999999999996</v>
      </c>
      <c r="X3069" s="190"/>
      <c r="Y3069" s="8"/>
      <c r="Z3069" s="8"/>
    </row>
    <row r="3070" spans="1:26" ht="12.75" customHeight="1" x14ac:dyDescent="0.2">
      <c r="A3070" s="15">
        <v>87</v>
      </c>
      <c r="B3070" s="15">
        <v>1993</v>
      </c>
      <c r="C3070" s="15">
        <v>10</v>
      </c>
      <c r="D3070" s="15">
        <v>8</v>
      </c>
      <c r="E3070" s="22" t="s">
        <v>17</v>
      </c>
      <c r="F3070" s="11" t="s">
        <v>18</v>
      </c>
      <c r="G3070" s="15">
        <v>152</v>
      </c>
      <c r="H3070" s="15" t="s">
        <v>29</v>
      </c>
      <c r="I3070" s="25">
        <v>17</v>
      </c>
      <c r="J3070" s="11" t="s">
        <v>19</v>
      </c>
      <c r="K3070" s="11" t="s">
        <v>20</v>
      </c>
      <c r="L3070" s="11" t="s">
        <v>30</v>
      </c>
      <c r="M3070" s="11" t="s">
        <v>224</v>
      </c>
      <c r="N3070" s="11" t="s">
        <v>29</v>
      </c>
      <c r="O3070" s="16" t="s">
        <v>29</v>
      </c>
      <c r="P3070" s="15">
        <v>222</v>
      </c>
      <c r="Q3070" s="8"/>
      <c r="R3070">
        <v>14.18</v>
      </c>
      <c r="S3070">
        <v>2852.17</v>
      </c>
      <c r="T3070">
        <v>5.96</v>
      </c>
      <c r="U3070">
        <v>10.18</v>
      </c>
      <c r="V3070">
        <v>142</v>
      </c>
      <c r="W3070" s="317">
        <v>4.5999999999999996</v>
      </c>
      <c r="X3070" s="190">
        <f t="shared" si="140"/>
        <v>78.199999999999989</v>
      </c>
      <c r="Y3070" s="8"/>
      <c r="Z3070" s="8"/>
    </row>
    <row r="3071" spans="1:26" ht="12.75" customHeight="1" x14ac:dyDescent="0.2">
      <c r="A3071" s="15">
        <v>88</v>
      </c>
      <c r="B3071" s="15">
        <v>1993</v>
      </c>
      <c r="C3071" s="15">
        <v>10</v>
      </c>
      <c r="D3071" s="15">
        <v>8</v>
      </c>
      <c r="E3071" s="22" t="s">
        <v>17</v>
      </c>
      <c r="F3071" s="11" t="s">
        <v>18</v>
      </c>
      <c r="G3071" s="15">
        <v>140</v>
      </c>
      <c r="H3071" s="15" t="s">
        <v>29</v>
      </c>
      <c r="I3071" s="25">
        <v>10</v>
      </c>
      <c r="J3071" s="11" t="s">
        <v>19</v>
      </c>
      <c r="K3071" s="11" t="s">
        <v>20</v>
      </c>
      <c r="L3071" s="11" t="s">
        <v>30</v>
      </c>
      <c r="M3071" s="11" t="s">
        <v>29</v>
      </c>
      <c r="N3071" s="11" t="s">
        <v>29</v>
      </c>
      <c r="O3071" s="16" t="s">
        <v>29</v>
      </c>
      <c r="P3071" s="15">
        <v>222</v>
      </c>
      <c r="Q3071" s="8"/>
      <c r="R3071">
        <v>13.06</v>
      </c>
      <c r="S3071">
        <v>2228.58</v>
      </c>
      <c r="T3071">
        <v>4.49</v>
      </c>
      <c r="U3071">
        <v>9.3800000000000008</v>
      </c>
      <c r="V3071">
        <v>131</v>
      </c>
      <c r="W3071" s="317">
        <v>4.5999999999999996</v>
      </c>
      <c r="X3071" s="190">
        <f t="shared" si="140"/>
        <v>46</v>
      </c>
      <c r="Y3071" s="8"/>
      <c r="Z3071" s="8"/>
    </row>
    <row r="3072" spans="1:26" ht="12.75" customHeight="1" x14ac:dyDescent="0.2">
      <c r="A3072" s="15">
        <v>89</v>
      </c>
      <c r="B3072" s="15">
        <v>1993</v>
      </c>
      <c r="C3072" s="15">
        <v>10</v>
      </c>
      <c r="D3072" s="15">
        <v>8</v>
      </c>
      <c r="E3072" s="22" t="s">
        <v>17</v>
      </c>
      <c r="F3072" s="11" t="s">
        <v>18</v>
      </c>
      <c r="G3072" s="15">
        <v>146</v>
      </c>
      <c r="H3072" s="15" t="s">
        <v>29</v>
      </c>
      <c r="I3072" s="25">
        <v>14</v>
      </c>
      <c r="J3072" s="11" t="s">
        <v>19</v>
      </c>
      <c r="K3072" s="11" t="s">
        <v>20</v>
      </c>
      <c r="L3072" s="11" t="s">
        <v>30</v>
      </c>
      <c r="M3072" s="11" t="s">
        <v>29</v>
      </c>
      <c r="N3072" s="11" t="s">
        <v>29</v>
      </c>
      <c r="O3072" s="16" t="s">
        <v>29</v>
      </c>
      <c r="P3072" s="15">
        <v>222</v>
      </c>
      <c r="Q3072" s="8"/>
      <c r="R3072">
        <v>13.62</v>
      </c>
      <c r="S3072">
        <v>2527.5700000000002</v>
      </c>
      <c r="T3072">
        <v>5.54</v>
      </c>
      <c r="U3072">
        <v>9.7799999999999994</v>
      </c>
      <c r="V3072">
        <v>136</v>
      </c>
      <c r="W3072" s="317">
        <v>4.5999999999999996</v>
      </c>
      <c r="X3072" s="190">
        <f t="shared" si="140"/>
        <v>64.399999999999991</v>
      </c>
      <c r="Y3072" s="8"/>
      <c r="Z3072" s="8"/>
    </row>
    <row r="3073" spans="1:26" ht="12.75" customHeight="1" x14ac:dyDescent="0.2">
      <c r="A3073" s="15">
        <v>90</v>
      </c>
      <c r="B3073" s="15">
        <v>1993</v>
      </c>
      <c r="C3073" s="15">
        <v>10</v>
      </c>
      <c r="D3073" s="15">
        <v>8</v>
      </c>
      <c r="E3073" s="22" t="s">
        <v>17</v>
      </c>
      <c r="F3073" s="11" t="s">
        <v>18</v>
      </c>
      <c r="G3073" s="15">
        <v>144</v>
      </c>
      <c r="H3073" s="15" t="s">
        <v>29</v>
      </c>
      <c r="I3073" s="25">
        <v>13.5</v>
      </c>
      <c r="J3073" s="11" t="s">
        <v>19</v>
      </c>
      <c r="K3073" s="11" t="s">
        <v>20</v>
      </c>
      <c r="L3073" s="11" t="s">
        <v>30</v>
      </c>
      <c r="M3073" s="11" t="s">
        <v>29</v>
      </c>
      <c r="N3073" s="11" t="s">
        <v>29</v>
      </c>
      <c r="O3073" s="16" t="s">
        <v>29</v>
      </c>
      <c r="P3073" s="15">
        <v>222</v>
      </c>
      <c r="Q3073" s="8"/>
      <c r="R3073">
        <v>13.44</v>
      </c>
      <c r="S3073">
        <v>2425.12</v>
      </c>
      <c r="T3073">
        <v>5.57</v>
      </c>
      <c r="U3073">
        <v>9.65</v>
      </c>
      <c r="V3073">
        <v>134</v>
      </c>
      <c r="W3073" s="317">
        <v>4.5999999999999996</v>
      </c>
      <c r="X3073" s="190">
        <f t="shared" si="140"/>
        <v>62.099999999999994</v>
      </c>
      <c r="Y3073" s="8"/>
      <c r="Z3073" s="8"/>
    </row>
    <row r="3074" spans="1:26" ht="12.75" customHeight="1" x14ac:dyDescent="0.2">
      <c r="A3074" s="15">
        <v>91</v>
      </c>
      <c r="B3074" s="15">
        <v>1993</v>
      </c>
      <c r="C3074" s="15">
        <v>10</v>
      </c>
      <c r="D3074" s="15">
        <v>8</v>
      </c>
      <c r="E3074" s="22" t="s">
        <v>17</v>
      </c>
      <c r="F3074" s="11" t="s">
        <v>18</v>
      </c>
      <c r="G3074" s="15">
        <v>159</v>
      </c>
      <c r="H3074" s="15" t="s">
        <v>29</v>
      </c>
      <c r="I3074" s="25">
        <v>17</v>
      </c>
      <c r="J3074" s="11" t="s">
        <v>19</v>
      </c>
      <c r="K3074" s="11" t="s">
        <v>20</v>
      </c>
      <c r="L3074" s="11" t="s">
        <v>30</v>
      </c>
      <c r="M3074" s="11" t="s">
        <v>46</v>
      </c>
      <c r="N3074" s="11" t="s">
        <v>29</v>
      </c>
      <c r="O3074" s="16" t="s">
        <v>29</v>
      </c>
      <c r="P3074" s="15">
        <v>222</v>
      </c>
      <c r="Q3074" s="8"/>
      <c r="R3074">
        <v>14.83</v>
      </c>
      <c r="S3074">
        <v>3264.65</v>
      </c>
      <c r="T3074">
        <v>5.21</v>
      </c>
      <c r="U3074">
        <v>10.65</v>
      </c>
      <c r="V3074">
        <v>148</v>
      </c>
      <c r="W3074" s="317">
        <v>4.5999999999999996</v>
      </c>
      <c r="X3074" s="190">
        <f t="shared" si="140"/>
        <v>78.199999999999989</v>
      </c>
      <c r="Y3074" s="8"/>
      <c r="Z3074" s="8"/>
    </row>
    <row r="3075" spans="1:26" ht="12.75" customHeight="1" x14ac:dyDescent="0.2">
      <c r="A3075" s="15">
        <v>92</v>
      </c>
      <c r="B3075" s="15">
        <v>1993</v>
      </c>
      <c r="C3075" s="15">
        <v>10</v>
      </c>
      <c r="D3075" s="15">
        <v>8</v>
      </c>
      <c r="E3075" s="22" t="s">
        <v>17</v>
      </c>
      <c r="F3075" s="11" t="s">
        <v>18</v>
      </c>
      <c r="G3075" s="15">
        <v>155</v>
      </c>
      <c r="H3075" s="15" t="s">
        <v>29</v>
      </c>
      <c r="I3075" s="25">
        <v>17</v>
      </c>
      <c r="J3075" s="11" t="s">
        <v>19</v>
      </c>
      <c r="K3075" s="11" t="s">
        <v>20</v>
      </c>
      <c r="L3075" s="11" t="s">
        <v>30</v>
      </c>
      <c r="M3075" s="11" t="s">
        <v>46</v>
      </c>
      <c r="N3075" s="11" t="s">
        <v>29</v>
      </c>
      <c r="O3075" s="16" t="s">
        <v>29</v>
      </c>
      <c r="P3075" s="15">
        <v>222</v>
      </c>
      <c r="Q3075" s="8"/>
      <c r="R3075">
        <v>14.46</v>
      </c>
      <c r="S3075">
        <v>3024.41</v>
      </c>
      <c r="T3075">
        <v>5.62</v>
      </c>
      <c r="U3075">
        <v>10.39</v>
      </c>
      <c r="V3075">
        <v>145</v>
      </c>
      <c r="W3075" s="317">
        <v>4.5999999999999996</v>
      </c>
      <c r="X3075" s="190">
        <f t="shared" si="140"/>
        <v>78.199999999999989</v>
      </c>
      <c r="Y3075" s="8"/>
      <c r="Z3075" s="8"/>
    </row>
    <row r="3076" spans="1:26" ht="12.75" customHeight="1" x14ac:dyDescent="0.2">
      <c r="A3076" s="15">
        <v>93</v>
      </c>
      <c r="B3076" s="15">
        <v>1993</v>
      </c>
      <c r="C3076" s="15">
        <v>10</v>
      </c>
      <c r="D3076" s="15">
        <v>8</v>
      </c>
      <c r="E3076" s="22" t="s">
        <v>17</v>
      </c>
      <c r="F3076" s="11" t="s">
        <v>18</v>
      </c>
      <c r="G3076" s="15">
        <v>144</v>
      </c>
      <c r="H3076" s="15" t="s">
        <v>29</v>
      </c>
      <c r="I3076" s="25">
        <v>15.5</v>
      </c>
      <c r="J3076" s="11" t="s">
        <v>19</v>
      </c>
      <c r="K3076" s="11" t="s">
        <v>20</v>
      </c>
      <c r="L3076" s="11" t="s">
        <v>30</v>
      </c>
      <c r="M3076" s="11" t="s">
        <v>46</v>
      </c>
      <c r="N3076" s="11" t="s">
        <v>29</v>
      </c>
      <c r="O3076" s="16" t="s">
        <v>29</v>
      </c>
      <c r="P3076" s="15">
        <v>222</v>
      </c>
      <c r="Q3076" s="8"/>
      <c r="R3076">
        <v>13.44</v>
      </c>
      <c r="S3076">
        <v>2425.12</v>
      </c>
      <c r="T3076">
        <v>6.39</v>
      </c>
      <c r="U3076">
        <v>9.65</v>
      </c>
      <c r="V3076">
        <v>134</v>
      </c>
      <c r="W3076" s="317">
        <v>4.5999999999999996</v>
      </c>
      <c r="X3076" s="190">
        <f t="shared" si="140"/>
        <v>71.3</v>
      </c>
      <c r="Y3076" s="8"/>
      <c r="Z3076" s="8"/>
    </row>
    <row r="3077" spans="1:26" ht="12.75" customHeight="1" x14ac:dyDescent="0.2">
      <c r="A3077" s="15">
        <v>94</v>
      </c>
      <c r="B3077" s="15">
        <v>1993</v>
      </c>
      <c r="C3077" s="15">
        <v>10</v>
      </c>
      <c r="D3077" s="15">
        <v>8</v>
      </c>
      <c r="E3077" s="22" t="s">
        <v>17</v>
      </c>
      <c r="F3077" s="11" t="s">
        <v>18</v>
      </c>
      <c r="G3077" s="15">
        <v>164</v>
      </c>
      <c r="H3077" s="15" t="s">
        <v>29</v>
      </c>
      <c r="I3077" s="25">
        <v>18</v>
      </c>
      <c r="J3077" s="11" t="s">
        <v>19</v>
      </c>
      <c r="K3077" s="11" t="s">
        <v>20</v>
      </c>
      <c r="L3077" s="11" t="s">
        <v>30</v>
      </c>
      <c r="M3077" s="11" t="s">
        <v>45</v>
      </c>
      <c r="N3077" s="11" t="s">
        <v>29</v>
      </c>
      <c r="O3077" s="16" t="s">
        <v>29</v>
      </c>
      <c r="P3077" s="15">
        <v>222</v>
      </c>
      <c r="Q3077" s="8"/>
      <c r="R3077">
        <v>15.3</v>
      </c>
      <c r="S3077">
        <v>3582.42</v>
      </c>
      <c r="T3077">
        <v>5.0199999999999996</v>
      </c>
      <c r="U3077">
        <v>10.99</v>
      </c>
      <c r="V3077">
        <v>153</v>
      </c>
      <c r="W3077" s="317">
        <v>4.5999999999999996</v>
      </c>
      <c r="X3077" s="190">
        <f t="shared" si="140"/>
        <v>82.8</v>
      </c>
      <c r="Y3077" s="8"/>
      <c r="Z3077" s="8"/>
    </row>
    <row r="3078" spans="1:26" ht="12.75" customHeight="1" x14ac:dyDescent="0.2">
      <c r="A3078" s="15">
        <v>95</v>
      </c>
      <c r="B3078" s="15">
        <v>1993</v>
      </c>
      <c r="C3078" s="15">
        <v>10</v>
      </c>
      <c r="D3078" s="15">
        <v>8</v>
      </c>
      <c r="E3078" s="22" t="s">
        <v>17</v>
      </c>
      <c r="F3078" s="11" t="s">
        <v>18</v>
      </c>
      <c r="G3078" s="15">
        <v>167</v>
      </c>
      <c r="H3078" s="15" t="s">
        <v>29</v>
      </c>
      <c r="I3078" s="25">
        <v>19.3</v>
      </c>
      <c r="J3078" s="11" t="s">
        <v>19</v>
      </c>
      <c r="K3078" s="11" t="s">
        <v>34</v>
      </c>
      <c r="L3078" s="11" t="s">
        <v>41</v>
      </c>
      <c r="M3078" s="11" t="s">
        <v>45</v>
      </c>
      <c r="N3078" s="11" t="s">
        <v>29</v>
      </c>
      <c r="O3078" s="16" t="s">
        <v>29</v>
      </c>
      <c r="P3078" s="15">
        <v>222</v>
      </c>
      <c r="Q3078" s="8"/>
      <c r="R3078">
        <v>15.58</v>
      </c>
      <c r="S3078">
        <v>3782.63</v>
      </c>
      <c r="T3078">
        <v>5.0999999999999996</v>
      </c>
      <c r="U3078">
        <v>11.19</v>
      </c>
      <c r="V3078">
        <v>156</v>
      </c>
      <c r="W3078" s="317">
        <v>3.8</v>
      </c>
      <c r="X3078" s="190">
        <f t="shared" si="140"/>
        <v>73.34</v>
      </c>
      <c r="Y3078" s="8"/>
      <c r="Z3078" s="8"/>
    </row>
    <row r="3079" spans="1:26" ht="12.75" customHeight="1" x14ac:dyDescent="0.2">
      <c r="A3079" s="15">
        <v>96</v>
      </c>
      <c r="B3079" s="15">
        <v>1993</v>
      </c>
      <c r="C3079" s="15">
        <v>10</v>
      </c>
      <c r="D3079" s="15">
        <v>8</v>
      </c>
      <c r="E3079" s="22" t="s">
        <v>17</v>
      </c>
      <c r="F3079" s="11" t="s">
        <v>18</v>
      </c>
      <c r="G3079" s="15">
        <v>145</v>
      </c>
      <c r="H3079" s="15" t="s">
        <v>29</v>
      </c>
      <c r="I3079" s="25">
        <v>15</v>
      </c>
      <c r="J3079" s="11" t="s">
        <v>19</v>
      </c>
      <c r="K3079" s="11" t="s">
        <v>20</v>
      </c>
      <c r="L3079" s="11" t="s">
        <v>30</v>
      </c>
      <c r="M3079" s="11" t="s">
        <v>29</v>
      </c>
      <c r="N3079" s="11" t="s">
        <v>25</v>
      </c>
      <c r="O3079" s="16" t="s">
        <v>29</v>
      </c>
      <c r="P3079" s="15">
        <v>222</v>
      </c>
      <c r="Q3079" s="8"/>
      <c r="R3079">
        <v>13.53</v>
      </c>
      <c r="S3079">
        <v>2475.9899999999998</v>
      </c>
      <c r="T3079">
        <v>6.06</v>
      </c>
      <c r="U3079">
        <v>9.7200000000000006</v>
      </c>
      <c r="V3079">
        <v>135</v>
      </c>
      <c r="W3079" s="317">
        <v>4.5999999999999996</v>
      </c>
      <c r="X3079" s="190">
        <f>I3079*W3079</f>
        <v>69</v>
      </c>
      <c r="Y3079" s="8"/>
      <c r="Z3079" s="8"/>
    </row>
    <row r="3080" spans="1:26" ht="12.75" customHeight="1" x14ac:dyDescent="0.2">
      <c r="A3080" s="15">
        <v>97</v>
      </c>
      <c r="B3080" s="15">
        <v>1993</v>
      </c>
      <c r="C3080" s="15">
        <v>10</v>
      </c>
      <c r="D3080" s="15">
        <v>8</v>
      </c>
      <c r="E3080" s="22" t="s">
        <v>17</v>
      </c>
      <c r="F3080" s="11" t="s">
        <v>18</v>
      </c>
      <c r="G3080" s="15">
        <v>161</v>
      </c>
      <c r="H3080" s="15" t="s">
        <v>29</v>
      </c>
      <c r="I3080" s="25">
        <v>22</v>
      </c>
      <c r="J3080" s="11" t="s">
        <v>19</v>
      </c>
      <c r="K3080" s="11" t="s">
        <v>34</v>
      </c>
      <c r="L3080" s="11" t="s">
        <v>41</v>
      </c>
      <c r="M3080" s="11" t="s">
        <v>46</v>
      </c>
      <c r="N3080" s="11" t="s">
        <v>29</v>
      </c>
      <c r="O3080" s="16" t="s">
        <v>29</v>
      </c>
      <c r="P3080" s="15">
        <v>222</v>
      </c>
      <c r="Q3080" s="8"/>
      <c r="R3080">
        <v>15.02</v>
      </c>
      <c r="S3080">
        <v>3389.4</v>
      </c>
      <c r="T3080">
        <v>6.49</v>
      </c>
      <c r="U3080">
        <v>10.79</v>
      </c>
      <c r="V3080">
        <v>150</v>
      </c>
      <c r="W3080" s="317">
        <v>3.8</v>
      </c>
      <c r="X3080" s="190">
        <f>I3080*W3080</f>
        <v>83.6</v>
      </c>
      <c r="Y3080" s="8"/>
      <c r="Z3080" s="8"/>
    </row>
    <row r="3081" spans="1:26" ht="12.75" customHeight="1" x14ac:dyDescent="0.2">
      <c r="A3081" s="15">
        <v>98</v>
      </c>
      <c r="B3081" s="15">
        <v>1993</v>
      </c>
      <c r="C3081" s="15">
        <v>10</v>
      </c>
      <c r="D3081" s="15">
        <v>8</v>
      </c>
      <c r="E3081" s="22" t="s">
        <v>17</v>
      </c>
      <c r="F3081" s="11" t="s">
        <v>18</v>
      </c>
      <c r="G3081" s="15">
        <v>153</v>
      </c>
      <c r="H3081" s="15" t="s">
        <v>29</v>
      </c>
      <c r="I3081" s="25">
        <v>14</v>
      </c>
      <c r="J3081" s="11" t="s">
        <v>19</v>
      </c>
      <c r="K3081" s="11" t="s">
        <v>20</v>
      </c>
      <c r="L3081" s="11" t="s">
        <v>30</v>
      </c>
      <c r="M3081" s="11" t="s">
        <v>46</v>
      </c>
      <c r="N3081" s="11" t="s">
        <v>25</v>
      </c>
      <c r="O3081" s="16" t="s">
        <v>29</v>
      </c>
      <c r="P3081" s="15">
        <v>222</v>
      </c>
      <c r="Q3081" s="8"/>
      <c r="R3081">
        <v>14.27</v>
      </c>
      <c r="S3081">
        <v>2908.84</v>
      </c>
      <c r="T3081">
        <v>4.8099999999999996</v>
      </c>
      <c r="U3081">
        <v>10.25</v>
      </c>
      <c r="V3081">
        <v>143</v>
      </c>
      <c r="W3081" s="317">
        <v>4.5999999999999996</v>
      </c>
      <c r="X3081" s="190">
        <f t="shared" ref="X3081:X3099" si="141">I3081*W3081</f>
        <v>64.399999999999991</v>
      </c>
      <c r="Y3081" s="8"/>
      <c r="Z3081" s="8"/>
    </row>
    <row r="3082" spans="1:26" ht="12.75" customHeight="1" x14ac:dyDescent="0.2">
      <c r="A3082" s="15">
        <v>99</v>
      </c>
      <c r="B3082" s="15">
        <v>1993</v>
      </c>
      <c r="C3082" s="15">
        <v>10</v>
      </c>
      <c r="D3082" s="15">
        <v>8</v>
      </c>
      <c r="E3082" s="22" t="s">
        <v>17</v>
      </c>
      <c r="F3082" s="11" t="s">
        <v>18</v>
      </c>
      <c r="G3082" s="15">
        <v>149</v>
      </c>
      <c r="H3082" s="15" t="s">
        <v>29</v>
      </c>
      <c r="I3082" s="25">
        <v>15.5</v>
      </c>
      <c r="J3082" s="11" t="s">
        <v>19</v>
      </c>
      <c r="K3082" s="11" t="s">
        <v>20</v>
      </c>
      <c r="L3082" s="11" t="s">
        <v>30</v>
      </c>
      <c r="M3082" s="11" t="s">
        <v>45</v>
      </c>
      <c r="N3082" s="11" t="s">
        <v>25</v>
      </c>
      <c r="O3082" s="16" t="s">
        <v>29</v>
      </c>
      <c r="P3082" s="15">
        <v>222</v>
      </c>
      <c r="Q3082" s="8"/>
      <c r="R3082">
        <v>13.9</v>
      </c>
      <c r="S3082">
        <v>2686.6</v>
      </c>
      <c r="T3082">
        <v>5.77</v>
      </c>
      <c r="U3082">
        <v>9.98</v>
      </c>
      <c r="V3082">
        <v>139</v>
      </c>
      <c r="W3082" s="317">
        <v>4.5999999999999996</v>
      </c>
      <c r="X3082" s="190">
        <f t="shared" si="141"/>
        <v>71.3</v>
      </c>
      <c r="Y3082" s="8"/>
      <c r="Z3082" s="8"/>
    </row>
    <row r="3083" spans="1:26" ht="12.75" customHeight="1" x14ac:dyDescent="0.2">
      <c r="A3083" s="15">
        <v>100</v>
      </c>
      <c r="B3083" s="15">
        <v>1993</v>
      </c>
      <c r="C3083" s="15">
        <v>10</v>
      </c>
      <c r="D3083" s="15">
        <v>8</v>
      </c>
      <c r="E3083" s="22" t="s">
        <v>17</v>
      </c>
      <c r="F3083" s="11" t="s">
        <v>18</v>
      </c>
      <c r="G3083" s="15">
        <v>148</v>
      </c>
      <c r="H3083" s="15" t="s">
        <v>29</v>
      </c>
      <c r="I3083" s="25">
        <v>14.5</v>
      </c>
      <c r="J3083" s="11" t="s">
        <v>19</v>
      </c>
      <c r="K3083" s="11" t="s">
        <v>20</v>
      </c>
      <c r="L3083" s="11" t="s">
        <v>30</v>
      </c>
      <c r="M3083" s="11" t="s">
        <v>45</v>
      </c>
      <c r="N3083" s="11" t="s">
        <v>25</v>
      </c>
      <c r="O3083" s="16" t="s">
        <v>29</v>
      </c>
      <c r="P3083" s="15">
        <v>222</v>
      </c>
      <c r="Q3083" s="8"/>
      <c r="R3083">
        <v>13.81</v>
      </c>
      <c r="S3083">
        <v>2632.87</v>
      </c>
      <c r="T3083">
        <v>5.51</v>
      </c>
      <c r="U3083">
        <v>9.92</v>
      </c>
      <c r="V3083">
        <v>138</v>
      </c>
      <c r="W3083" s="317">
        <v>4.5999999999999996</v>
      </c>
      <c r="X3083" s="190">
        <f t="shared" si="141"/>
        <v>66.699999999999989</v>
      </c>
      <c r="Y3083" s="8"/>
      <c r="Z3083" s="8"/>
    </row>
    <row r="3084" spans="1:26" ht="12.75" customHeight="1" x14ac:dyDescent="0.2">
      <c r="A3084" s="15">
        <v>101</v>
      </c>
      <c r="B3084" s="15">
        <v>1993</v>
      </c>
      <c r="C3084" s="15">
        <v>10</v>
      </c>
      <c r="D3084" s="15">
        <v>8</v>
      </c>
      <c r="E3084" s="22" t="s">
        <v>17</v>
      </c>
      <c r="F3084" s="11" t="s">
        <v>18</v>
      </c>
      <c r="G3084" s="15">
        <v>149</v>
      </c>
      <c r="H3084" s="15" t="s">
        <v>29</v>
      </c>
      <c r="I3084" s="25">
        <v>17</v>
      </c>
      <c r="J3084" s="11" t="s">
        <v>19</v>
      </c>
      <c r="K3084" s="11" t="s">
        <v>20</v>
      </c>
      <c r="L3084" s="11" t="s">
        <v>30</v>
      </c>
      <c r="M3084" s="11" t="s">
        <v>45</v>
      </c>
      <c r="N3084" s="11" t="s">
        <v>29</v>
      </c>
      <c r="O3084" s="16" t="s">
        <v>29</v>
      </c>
      <c r="P3084" s="15">
        <v>222</v>
      </c>
      <c r="Q3084" s="8"/>
      <c r="R3084">
        <v>13.9</v>
      </c>
      <c r="S3084">
        <v>2686.6</v>
      </c>
      <c r="T3084">
        <v>6.33</v>
      </c>
      <c r="U3084">
        <v>9.98</v>
      </c>
      <c r="V3084">
        <v>139</v>
      </c>
      <c r="W3084" s="317">
        <v>4.5999999999999996</v>
      </c>
      <c r="X3084" s="190">
        <f t="shared" si="141"/>
        <v>78.199999999999989</v>
      </c>
      <c r="Y3084" s="8"/>
      <c r="Z3084" s="8"/>
    </row>
    <row r="3085" spans="1:26" ht="12.75" customHeight="1" x14ac:dyDescent="0.2">
      <c r="A3085" s="15">
        <v>102</v>
      </c>
      <c r="B3085" s="15">
        <v>1993</v>
      </c>
      <c r="C3085" s="15">
        <v>10</v>
      </c>
      <c r="D3085" s="15">
        <v>8</v>
      </c>
      <c r="E3085" s="22" t="s">
        <v>17</v>
      </c>
      <c r="F3085" s="11" t="s">
        <v>18</v>
      </c>
      <c r="G3085" s="15">
        <v>164</v>
      </c>
      <c r="H3085" s="15" t="s">
        <v>29</v>
      </c>
      <c r="I3085" s="25">
        <v>20</v>
      </c>
      <c r="J3085" s="11" t="s">
        <v>19</v>
      </c>
      <c r="K3085" s="11" t="s">
        <v>20</v>
      </c>
      <c r="L3085" s="11" t="s">
        <v>30</v>
      </c>
      <c r="M3085" s="11" t="s">
        <v>45</v>
      </c>
      <c r="N3085" s="11" t="s">
        <v>25</v>
      </c>
      <c r="O3085" s="16" t="s">
        <v>29</v>
      </c>
      <c r="P3085" s="15">
        <v>222</v>
      </c>
      <c r="Q3085" s="8"/>
      <c r="R3085">
        <v>15.3</v>
      </c>
      <c r="S3085">
        <v>3582.42</v>
      </c>
      <c r="T3085">
        <v>5.58</v>
      </c>
      <c r="U3085">
        <v>10.99</v>
      </c>
      <c r="V3085">
        <v>153</v>
      </c>
      <c r="W3085" s="317">
        <v>4.5999999999999996</v>
      </c>
      <c r="X3085" s="190">
        <f t="shared" si="141"/>
        <v>92</v>
      </c>
      <c r="Y3085" s="8"/>
      <c r="Z3085" s="8"/>
    </row>
    <row r="3086" spans="1:26" ht="12.75" customHeight="1" x14ac:dyDescent="0.2">
      <c r="A3086" s="15">
        <v>103</v>
      </c>
      <c r="B3086" s="15">
        <v>1993</v>
      </c>
      <c r="C3086" s="15">
        <v>10</v>
      </c>
      <c r="D3086" s="15">
        <v>8</v>
      </c>
      <c r="E3086" s="22" t="s">
        <v>17</v>
      </c>
      <c r="F3086" s="11" t="s">
        <v>18</v>
      </c>
      <c r="G3086" s="15">
        <v>150</v>
      </c>
      <c r="H3086" s="15" t="s">
        <v>29</v>
      </c>
      <c r="I3086" s="25">
        <v>14.5</v>
      </c>
      <c r="J3086" s="11" t="s">
        <v>19</v>
      </c>
      <c r="K3086" s="11" t="s">
        <v>20</v>
      </c>
      <c r="L3086" s="11" t="s">
        <v>30</v>
      </c>
      <c r="M3086" s="11" t="s">
        <v>45</v>
      </c>
      <c r="N3086" s="11" t="s">
        <v>29</v>
      </c>
      <c r="O3086" s="16" t="s">
        <v>29</v>
      </c>
      <c r="P3086" s="15">
        <v>222</v>
      </c>
      <c r="Q3086" s="8"/>
      <c r="R3086">
        <v>14</v>
      </c>
      <c r="S3086">
        <v>2741.06</v>
      </c>
      <c r="T3086">
        <v>5.29</v>
      </c>
      <c r="U3086">
        <v>10.050000000000001</v>
      </c>
      <c r="V3086">
        <v>140</v>
      </c>
      <c r="W3086" s="317">
        <v>4.5999999999999996</v>
      </c>
      <c r="X3086" s="190">
        <f t="shared" si="141"/>
        <v>66.699999999999989</v>
      </c>
      <c r="Y3086" s="8"/>
      <c r="Z3086" s="8"/>
    </row>
    <row r="3087" spans="1:26" ht="12.75" customHeight="1" x14ac:dyDescent="0.2">
      <c r="A3087" s="15">
        <v>104</v>
      </c>
      <c r="B3087" s="15">
        <v>1993</v>
      </c>
      <c r="C3087" s="15">
        <v>10</v>
      </c>
      <c r="D3087" s="15">
        <v>8</v>
      </c>
      <c r="E3087" s="22" t="s">
        <v>17</v>
      </c>
      <c r="F3087" s="11" t="s">
        <v>18</v>
      </c>
      <c r="G3087" s="15">
        <v>160</v>
      </c>
      <c r="H3087" s="15" t="s">
        <v>29</v>
      </c>
      <c r="I3087" s="25">
        <v>20.5</v>
      </c>
      <c r="J3087" s="11" t="s">
        <v>19</v>
      </c>
      <c r="K3087" s="11" t="s">
        <v>20</v>
      </c>
      <c r="L3087" s="11" t="s">
        <v>30</v>
      </c>
      <c r="M3087" s="11" t="s">
        <v>45</v>
      </c>
      <c r="N3087" s="11" t="s">
        <v>33</v>
      </c>
      <c r="O3087" s="16" t="s">
        <v>29</v>
      </c>
      <c r="P3087" s="15">
        <v>222</v>
      </c>
      <c r="Q3087" s="8"/>
      <c r="R3087">
        <v>14.93</v>
      </c>
      <c r="S3087">
        <v>3326.63</v>
      </c>
      <c r="T3087">
        <v>6.16</v>
      </c>
      <c r="U3087">
        <v>10.72</v>
      </c>
      <c r="V3087">
        <v>149</v>
      </c>
      <c r="W3087" s="317">
        <v>4.5999999999999996</v>
      </c>
      <c r="X3087" s="190">
        <f t="shared" si="141"/>
        <v>94.3</v>
      </c>
      <c r="Y3087" s="8"/>
      <c r="Z3087" s="8"/>
    </row>
    <row r="3088" spans="1:26" ht="12.75" customHeight="1" x14ac:dyDescent="0.2">
      <c r="A3088" s="15">
        <v>105</v>
      </c>
      <c r="B3088" s="15">
        <v>1993</v>
      </c>
      <c r="C3088" s="15">
        <v>10</v>
      </c>
      <c r="D3088" s="15">
        <v>8</v>
      </c>
      <c r="E3088" s="22" t="s">
        <v>17</v>
      </c>
      <c r="F3088" s="11" t="s">
        <v>18</v>
      </c>
      <c r="G3088" s="15">
        <v>156</v>
      </c>
      <c r="H3088" s="15" t="s">
        <v>29</v>
      </c>
      <c r="I3088" s="25">
        <v>17</v>
      </c>
      <c r="J3088" s="11" t="s">
        <v>19</v>
      </c>
      <c r="K3088" s="11" t="s">
        <v>20</v>
      </c>
      <c r="L3088" s="11" t="s">
        <v>30</v>
      </c>
      <c r="M3088" s="11" t="s">
        <v>224</v>
      </c>
      <c r="N3088" s="11" t="s">
        <v>29</v>
      </c>
      <c r="O3088" s="16" t="s">
        <v>29</v>
      </c>
      <c r="P3088" s="15">
        <v>222</v>
      </c>
      <c r="Q3088" s="8"/>
      <c r="R3088">
        <v>14.55</v>
      </c>
      <c r="S3088">
        <v>3083.32</v>
      </c>
      <c r="T3088">
        <v>5.51</v>
      </c>
      <c r="U3088">
        <v>10.45</v>
      </c>
      <c r="V3088">
        <v>146</v>
      </c>
      <c r="W3088" s="317">
        <v>4.5999999999999996</v>
      </c>
      <c r="X3088" s="190">
        <f t="shared" si="141"/>
        <v>78.199999999999989</v>
      </c>
      <c r="Y3088" s="8"/>
      <c r="Z3088" s="8"/>
    </row>
    <row r="3089" spans="1:26" ht="12.75" customHeight="1" x14ac:dyDescent="0.2">
      <c r="A3089" s="15">
        <v>106</v>
      </c>
      <c r="B3089" s="15">
        <v>1993</v>
      </c>
      <c r="C3089" s="15">
        <v>10</v>
      </c>
      <c r="D3089" s="15">
        <v>8</v>
      </c>
      <c r="E3089" s="22" t="s">
        <v>17</v>
      </c>
      <c r="F3089" s="11" t="s">
        <v>18</v>
      </c>
      <c r="G3089" s="15">
        <v>138</v>
      </c>
      <c r="H3089" s="15" t="s">
        <v>29</v>
      </c>
      <c r="I3089" s="25">
        <v>13.5</v>
      </c>
      <c r="J3089" s="11" t="s">
        <v>19</v>
      </c>
      <c r="K3089" s="11" t="s">
        <v>20</v>
      </c>
      <c r="L3089" s="11" t="s">
        <v>30</v>
      </c>
      <c r="M3089" s="11" t="s">
        <v>46</v>
      </c>
      <c r="N3089" s="11" t="s">
        <v>29</v>
      </c>
      <c r="O3089" s="16" t="s">
        <v>29</v>
      </c>
      <c r="P3089" s="15">
        <v>222</v>
      </c>
      <c r="Q3089" s="8"/>
      <c r="R3089">
        <v>12.88</v>
      </c>
      <c r="S3089">
        <v>2134.4299999999998</v>
      </c>
      <c r="T3089">
        <v>6.32</v>
      </c>
      <c r="U3089">
        <v>9.25</v>
      </c>
      <c r="V3089">
        <v>129</v>
      </c>
      <c r="W3089" s="317">
        <v>4.5999999999999996</v>
      </c>
      <c r="X3089" s="190">
        <f t="shared" si="141"/>
        <v>62.099999999999994</v>
      </c>
      <c r="Y3089" s="8"/>
      <c r="Z3089" s="8"/>
    </row>
    <row r="3090" spans="1:26" ht="12.75" customHeight="1" x14ac:dyDescent="0.2">
      <c r="A3090" s="15">
        <v>107</v>
      </c>
      <c r="B3090" s="15">
        <v>1993</v>
      </c>
      <c r="C3090" s="15">
        <v>10</v>
      </c>
      <c r="D3090" s="15">
        <v>8</v>
      </c>
      <c r="E3090" s="22" t="s">
        <v>17</v>
      </c>
      <c r="F3090" s="11" t="s">
        <v>18</v>
      </c>
      <c r="G3090" s="15">
        <v>160</v>
      </c>
      <c r="H3090" s="15" t="s">
        <v>29</v>
      </c>
      <c r="I3090" s="25">
        <v>14.5</v>
      </c>
      <c r="J3090" s="11" t="s">
        <v>19</v>
      </c>
      <c r="K3090" s="11" t="s">
        <v>20</v>
      </c>
      <c r="L3090" s="11" t="s">
        <v>30</v>
      </c>
      <c r="M3090" s="11" t="s">
        <v>29</v>
      </c>
      <c r="N3090" s="11" t="s">
        <v>25</v>
      </c>
      <c r="O3090" s="16" t="s">
        <v>29</v>
      </c>
      <c r="P3090" s="15">
        <v>222</v>
      </c>
      <c r="Q3090" s="8"/>
      <c r="R3090">
        <v>14.93</v>
      </c>
      <c r="S3090">
        <v>3326.63</v>
      </c>
      <c r="T3090">
        <v>4.3600000000000003</v>
      </c>
      <c r="U3090">
        <v>10.72</v>
      </c>
      <c r="V3090">
        <v>149</v>
      </c>
      <c r="W3090" s="317">
        <v>4.5999999999999996</v>
      </c>
      <c r="X3090" s="190">
        <f t="shared" si="141"/>
        <v>66.699999999999989</v>
      </c>
      <c r="Y3090" s="8"/>
      <c r="Z3090" s="8"/>
    </row>
    <row r="3091" spans="1:26" ht="12.75" customHeight="1" x14ac:dyDescent="0.2">
      <c r="A3091" s="15">
        <v>108</v>
      </c>
      <c r="B3091" s="15">
        <v>1993</v>
      </c>
      <c r="C3091" s="15">
        <v>10</v>
      </c>
      <c r="D3091" s="15">
        <v>8</v>
      </c>
      <c r="E3091" s="22" t="s">
        <v>17</v>
      </c>
      <c r="F3091" s="11" t="s">
        <v>18</v>
      </c>
      <c r="G3091" s="15">
        <v>160</v>
      </c>
      <c r="H3091" s="15" t="s">
        <v>29</v>
      </c>
      <c r="I3091" s="25">
        <v>18.5</v>
      </c>
      <c r="J3091" s="11" t="s">
        <v>19</v>
      </c>
      <c r="K3091" s="11" t="s">
        <v>20</v>
      </c>
      <c r="L3091" s="11" t="s">
        <v>30</v>
      </c>
      <c r="M3091" s="11" t="s">
        <v>45</v>
      </c>
      <c r="N3091" s="11" t="s">
        <v>29</v>
      </c>
      <c r="O3091" s="16" t="s">
        <v>29</v>
      </c>
      <c r="P3091" s="15">
        <v>222</v>
      </c>
      <c r="Q3091" s="8"/>
      <c r="R3091">
        <v>14.93</v>
      </c>
      <c r="S3091">
        <v>3326.63</v>
      </c>
      <c r="T3091">
        <v>5.56</v>
      </c>
      <c r="U3091">
        <v>10.72</v>
      </c>
      <c r="V3091">
        <v>149</v>
      </c>
      <c r="W3091" s="317">
        <v>4.5999999999999996</v>
      </c>
      <c r="X3091" s="190">
        <f t="shared" si="141"/>
        <v>85.1</v>
      </c>
      <c r="Y3091" s="8"/>
      <c r="Z3091" s="8"/>
    </row>
    <row r="3092" spans="1:26" ht="12.75" customHeight="1" x14ac:dyDescent="0.2">
      <c r="A3092" s="15">
        <v>109</v>
      </c>
      <c r="B3092" s="15">
        <v>1993</v>
      </c>
      <c r="C3092" s="15">
        <v>10</v>
      </c>
      <c r="D3092" s="15">
        <v>8</v>
      </c>
      <c r="E3092" s="22" t="s">
        <v>17</v>
      </c>
      <c r="F3092" s="11" t="s">
        <v>18</v>
      </c>
      <c r="G3092" s="15">
        <v>152</v>
      </c>
      <c r="H3092" s="15" t="s">
        <v>29</v>
      </c>
      <c r="I3092" s="25">
        <v>19</v>
      </c>
      <c r="J3092" s="11" t="s">
        <v>19</v>
      </c>
      <c r="K3092" s="11" t="s">
        <v>20</v>
      </c>
      <c r="L3092" s="11" t="s">
        <v>30</v>
      </c>
      <c r="M3092" s="11" t="s">
        <v>29</v>
      </c>
      <c r="N3092" s="11" t="s">
        <v>29</v>
      </c>
      <c r="O3092" s="16" t="s">
        <v>29</v>
      </c>
      <c r="P3092" s="15">
        <v>222</v>
      </c>
      <c r="Q3092" s="8"/>
      <c r="R3092">
        <v>14.18</v>
      </c>
      <c r="S3092">
        <v>2852.17</v>
      </c>
      <c r="T3092">
        <v>6.66</v>
      </c>
      <c r="U3092">
        <v>10.18</v>
      </c>
      <c r="V3092">
        <v>142</v>
      </c>
      <c r="W3092" s="317">
        <v>4.5999999999999996</v>
      </c>
      <c r="X3092" s="190">
        <f t="shared" si="141"/>
        <v>87.399999999999991</v>
      </c>
      <c r="Y3092" s="8"/>
      <c r="Z3092" s="8"/>
    </row>
    <row r="3093" spans="1:26" ht="12.75" customHeight="1" x14ac:dyDescent="0.2">
      <c r="A3093" s="15">
        <v>110</v>
      </c>
      <c r="B3093" s="15">
        <v>1993</v>
      </c>
      <c r="C3093" s="15">
        <v>10</v>
      </c>
      <c r="D3093" s="15">
        <v>8</v>
      </c>
      <c r="E3093" s="22" t="s">
        <v>17</v>
      </c>
      <c r="F3093" s="11" t="s">
        <v>18</v>
      </c>
      <c r="G3093" s="15">
        <v>138</v>
      </c>
      <c r="H3093" s="15" t="s">
        <v>29</v>
      </c>
      <c r="I3093" s="25">
        <v>14.3</v>
      </c>
      <c r="J3093" s="11" t="s">
        <v>19</v>
      </c>
      <c r="K3093" s="11" t="s">
        <v>20</v>
      </c>
      <c r="L3093" s="11" t="s">
        <v>30</v>
      </c>
      <c r="M3093" s="11" t="s">
        <v>45</v>
      </c>
      <c r="N3093" s="11" t="s">
        <v>29</v>
      </c>
      <c r="O3093" s="16" t="s">
        <v>29</v>
      </c>
      <c r="P3093" s="15">
        <v>222</v>
      </c>
      <c r="Q3093" s="8"/>
      <c r="R3093">
        <v>12.88</v>
      </c>
      <c r="S3093">
        <v>2134.4299999999998</v>
      </c>
      <c r="T3093">
        <v>6.7</v>
      </c>
      <c r="U3093">
        <v>9.25</v>
      </c>
      <c r="V3093">
        <v>129</v>
      </c>
      <c r="W3093" s="317">
        <v>4.5999999999999996</v>
      </c>
      <c r="X3093" s="190">
        <f t="shared" si="141"/>
        <v>65.78</v>
      </c>
      <c r="Y3093" s="8"/>
      <c r="Z3093" s="8"/>
    </row>
    <row r="3094" spans="1:26" ht="12.75" customHeight="1" x14ac:dyDescent="0.2">
      <c r="A3094" s="15">
        <v>111</v>
      </c>
      <c r="B3094" s="15">
        <v>1993</v>
      </c>
      <c r="C3094" s="15">
        <v>10</v>
      </c>
      <c r="D3094" s="15">
        <v>8</v>
      </c>
      <c r="E3094" s="22" t="s">
        <v>17</v>
      </c>
      <c r="F3094" s="11" t="s">
        <v>18</v>
      </c>
      <c r="G3094" s="15">
        <v>127</v>
      </c>
      <c r="H3094" s="15" t="s">
        <v>29</v>
      </c>
      <c r="I3094" s="25">
        <v>9</v>
      </c>
      <c r="J3094" s="11" t="s">
        <v>19</v>
      </c>
      <c r="K3094" s="11" t="s">
        <v>20</v>
      </c>
      <c r="L3094" s="11" t="s">
        <v>30</v>
      </c>
      <c r="M3094" s="11" t="s">
        <v>46</v>
      </c>
      <c r="N3094" s="11" t="s">
        <v>29</v>
      </c>
      <c r="O3094" s="16" t="s">
        <v>29</v>
      </c>
      <c r="P3094" s="15">
        <v>222</v>
      </c>
      <c r="Q3094" s="8"/>
      <c r="R3094">
        <v>11.85</v>
      </c>
      <c r="S3094">
        <v>1663.63</v>
      </c>
      <c r="T3094">
        <v>5.41</v>
      </c>
      <c r="U3094">
        <v>8.51</v>
      </c>
      <c r="V3094">
        <v>118</v>
      </c>
      <c r="W3094" s="317">
        <v>4.5999999999999996</v>
      </c>
      <c r="X3094" s="190">
        <f t="shared" si="141"/>
        <v>41.4</v>
      </c>
      <c r="Y3094" s="8"/>
      <c r="Z3094" s="8"/>
    </row>
    <row r="3095" spans="1:26" ht="12.75" customHeight="1" x14ac:dyDescent="0.2">
      <c r="A3095" s="15">
        <v>112</v>
      </c>
      <c r="B3095" s="15">
        <v>1993</v>
      </c>
      <c r="C3095" s="15">
        <v>10</v>
      </c>
      <c r="D3095" s="15">
        <v>8</v>
      </c>
      <c r="E3095" s="22" t="s">
        <v>17</v>
      </c>
      <c r="F3095" s="11" t="s">
        <v>18</v>
      </c>
      <c r="G3095" s="15">
        <v>132</v>
      </c>
      <c r="H3095" s="15" t="s">
        <v>29</v>
      </c>
      <c r="I3095" s="25">
        <v>12</v>
      </c>
      <c r="J3095" s="11" t="s">
        <v>19</v>
      </c>
      <c r="K3095" s="11" t="s">
        <v>20</v>
      </c>
      <c r="L3095" s="11" t="s">
        <v>30</v>
      </c>
      <c r="M3095" s="11" t="s">
        <v>45</v>
      </c>
      <c r="N3095" s="11" t="s">
        <v>33</v>
      </c>
      <c r="O3095" s="16" t="s">
        <v>29</v>
      </c>
      <c r="P3095" s="15">
        <v>222</v>
      </c>
      <c r="Q3095" s="8"/>
      <c r="R3095">
        <v>12.32</v>
      </c>
      <c r="S3095">
        <v>1867.96</v>
      </c>
      <c r="T3095">
        <v>6.42</v>
      </c>
      <c r="U3095">
        <v>8.84</v>
      </c>
      <c r="V3095">
        <v>123</v>
      </c>
      <c r="W3095" s="317">
        <v>4.5999999999999996</v>
      </c>
      <c r="X3095" s="190">
        <f t="shared" si="141"/>
        <v>55.199999999999996</v>
      </c>
      <c r="Y3095" s="8"/>
      <c r="Z3095" s="8"/>
    </row>
    <row r="3096" spans="1:26" ht="12.75" customHeight="1" x14ac:dyDescent="0.2">
      <c r="A3096" s="15">
        <v>113</v>
      </c>
      <c r="B3096" s="15">
        <v>1993</v>
      </c>
      <c r="C3096" s="15">
        <v>10</v>
      </c>
      <c r="D3096" s="15">
        <v>8</v>
      </c>
      <c r="E3096" s="22" t="s">
        <v>17</v>
      </c>
      <c r="F3096" s="11" t="s">
        <v>28</v>
      </c>
      <c r="G3096" s="11" t="s">
        <v>29</v>
      </c>
      <c r="H3096" s="15" t="s">
        <v>29</v>
      </c>
      <c r="I3096" s="19" t="s">
        <v>29</v>
      </c>
      <c r="J3096" s="11" t="s">
        <v>19</v>
      </c>
      <c r="K3096" s="11" t="s">
        <v>20</v>
      </c>
      <c r="L3096" s="11" t="s">
        <v>30</v>
      </c>
      <c r="M3096" s="11" t="s">
        <v>29</v>
      </c>
      <c r="N3096" s="11" t="s">
        <v>29</v>
      </c>
      <c r="O3096" s="16" t="s">
        <v>29</v>
      </c>
      <c r="P3096" s="15">
        <v>222</v>
      </c>
      <c r="Q3096" s="8"/>
      <c r="W3096" s="317">
        <v>4.5999999999999996</v>
      </c>
      <c r="X3096" s="190"/>
      <c r="Y3096" s="8"/>
      <c r="Z3096" s="8"/>
    </row>
    <row r="3097" spans="1:26" ht="12.75" customHeight="1" x14ac:dyDescent="0.2">
      <c r="A3097" s="15">
        <v>114</v>
      </c>
      <c r="B3097" s="15">
        <v>1993</v>
      </c>
      <c r="C3097" s="15">
        <v>10</v>
      </c>
      <c r="D3097" s="15">
        <v>8</v>
      </c>
      <c r="E3097" s="22" t="s">
        <v>17</v>
      </c>
      <c r="F3097" s="11" t="s">
        <v>18</v>
      </c>
      <c r="G3097" s="15">
        <v>149</v>
      </c>
      <c r="H3097" s="15" t="s">
        <v>29</v>
      </c>
      <c r="I3097" s="25">
        <v>12</v>
      </c>
      <c r="J3097" s="11" t="s">
        <v>19</v>
      </c>
      <c r="K3097" s="11" t="s">
        <v>20</v>
      </c>
      <c r="L3097" s="11" t="s">
        <v>30</v>
      </c>
      <c r="M3097" s="11" t="s">
        <v>46</v>
      </c>
      <c r="N3097" s="11" t="s">
        <v>29</v>
      </c>
      <c r="O3097" s="16" t="s">
        <v>29</v>
      </c>
      <c r="P3097" s="15">
        <v>222</v>
      </c>
      <c r="Q3097" s="8"/>
      <c r="R3097">
        <v>13.9</v>
      </c>
      <c r="S3097">
        <v>2686.6</v>
      </c>
      <c r="T3097">
        <v>4.47</v>
      </c>
      <c r="U3097">
        <v>9.98</v>
      </c>
      <c r="V3097">
        <v>139</v>
      </c>
      <c r="W3097" s="317">
        <v>4.5999999999999996</v>
      </c>
      <c r="X3097" s="190">
        <f t="shared" si="141"/>
        <v>55.199999999999996</v>
      </c>
      <c r="Y3097" s="8"/>
      <c r="Z3097" s="8"/>
    </row>
    <row r="3098" spans="1:26" ht="12.75" customHeight="1" x14ac:dyDescent="0.2">
      <c r="A3098" s="15">
        <v>115</v>
      </c>
      <c r="B3098" s="15">
        <v>1993</v>
      </c>
      <c r="C3098" s="15">
        <v>8</v>
      </c>
      <c r="D3098" s="15">
        <v>8</v>
      </c>
      <c r="E3098" s="22" t="s">
        <v>17</v>
      </c>
      <c r="F3098" s="23" t="s">
        <v>18</v>
      </c>
      <c r="G3098" s="15">
        <v>151</v>
      </c>
      <c r="H3098" s="15" t="s">
        <v>29</v>
      </c>
      <c r="I3098" s="25">
        <v>13</v>
      </c>
      <c r="J3098" s="11" t="s">
        <v>19</v>
      </c>
      <c r="K3098" s="11" t="s">
        <v>20</v>
      </c>
      <c r="L3098" s="11" t="s">
        <v>30</v>
      </c>
      <c r="M3098" s="11" t="s">
        <v>27</v>
      </c>
      <c r="N3098" s="23" t="s">
        <v>25</v>
      </c>
      <c r="O3098" s="16" t="s">
        <v>29</v>
      </c>
      <c r="P3098" s="15">
        <v>220</v>
      </c>
      <c r="Q3098" s="8"/>
      <c r="R3098">
        <v>14.09</v>
      </c>
      <c r="S3098">
        <v>2796.25</v>
      </c>
      <c r="T3098">
        <v>4.6500000000000004</v>
      </c>
      <c r="U3098">
        <v>10.119999999999999</v>
      </c>
      <c r="V3098">
        <v>141</v>
      </c>
      <c r="W3098" s="317">
        <v>4.5999999999999996</v>
      </c>
      <c r="X3098" s="190">
        <f t="shared" si="141"/>
        <v>59.8</v>
      </c>
      <c r="Y3098" s="8"/>
      <c r="Z3098" s="8"/>
    </row>
    <row r="3099" spans="1:26" ht="12.75" customHeight="1" x14ac:dyDescent="0.2">
      <c r="A3099" s="15">
        <v>116</v>
      </c>
      <c r="B3099" s="15">
        <v>1993</v>
      </c>
      <c r="C3099" s="15">
        <v>8</v>
      </c>
      <c r="D3099" s="15">
        <v>8</v>
      </c>
      <c r="E3099" s="22" t="s">
        <v>17</v>
      </c>
      <c r="F3099" s="23" t="s">
        <v>18</v>
      </c>
      <c r="G3099" s="15">
        <v>163</v>
      </c>
      <c r="H3099" s="15" t="s">
        <v>29</v>
      </c>
      <c r="I3099" s="25">
        <v>21.5</v>
      </c>
      <c r="J3099" s="11" t="s">
        <v>19</v>
      </c>
      <c r="K3099" s="11" t="s">
        <v>34</v>
      </c>
      <c r="L3099" s="11" t="s">
        <v>41</v>
      </c>
      <c r="M3099" s="11" t="s">
        <v>27</v>
      </c>
      <c r="N3099" s="23" t="s">
        <v>25</v>
      </c>
      <c r="O3099" s="16" t="s">
        <v>29</v>
      </c>
      <c r="P3099" s="15">
        <v>220</v>
      </c>
      <c r="Q3099" s="8"/>
      <c r="R3099">
        <v>15.21</v>
      </c>
      <c r="S3099">
        <v>3517.29</v>
      </c>
      <c r="T3099">
        <v>6.11</v>
      </c>
      <c r="U3099">
        <v>10.92</v>
      </c>
      <c r="V3099">
        <v>152</v>
      </c>
      <c r="W3099" s="317">
        <v>3.8</v>
      </c>
      <c r="X3099" s="190">
        <f t="shared" si="141"/>
        <v>81.7</v>
      </c>
      <c r="Y3099" s="8"/>
      <c r="Z3099" s="8"/>
    </row>
    <row r="3100" spans="1:26" ht="12.75" customHeight="1" x14ac:dyDescent="0.2">
      <c r="A3100" s="15">
        <v>117</v>
      </c>
      <c r="B3100" s="15">
        <v>1993</v>
      </c>
      <c r="C3100" s="15">
        <v>8</v>
      </c>
      <c r="D3100" s="15">
        <v>8</v>
      </c>
      <c r="E3100" s="22" t="s">
        <v>17</v>
      </c>
      <c r="F3100" s="11" t="s">
        <v>18</v>
      </c>
      <c r="G3100" s="15">
        <v>144</v>
      </c>
      <c r="H3100" s="15" t="s">
        <v>29</v>
      </c>
      <c r="I3100" s="25">
        <v>13</v>
      </c>
      <c r="J3100" s="11" t="s">
        <v>19</v>
      </c>
      <c r="K3100" s="11" t="s">
        <v>20</v>
      </c>
      <c r="L3100" s="11" t="s">
        <v>30</v>
      </c>
      <c r="M3100" s="11" t="s">
        <v>46</v>
      </c>
      <c r="N3100" s="11" t="s">
        <v>23</v>
      </c>
      <c r="O3100" s="16" t="s">
        <v>29</v>
      </c>
      <c r="P3100" s="15">
        <v>220</v>
      </c>
      <c r="Q3100" s="8"/>
      <c r="R3100">
        <v>13.44</v>
      </c>
      <c r="S3100">
        <v>2425.12</v>
      </c>
      <c r="T3100">
        <v>5.36</v>
      </c>
      <c r="U3100">
        <v>9.65</v>
      </c>
      <c r="V3100">
        <v>134</v>
      </c>
      <c r="W3100" s="317">
        <v>4.5999999999999996</v>
      </c>
      <c r="X3100" s="190">
        <f>I3100*W3100</f>
        <v>59.8</v>
      </c>
      <c r="Y3100" s="8"/>
      <c r="Z3100" s="8"/>
    </row>
    <row r="3101" spans="1:26" ht="12.75" customHeight="1" x14ac:dyDescent="0.2">
      <c r="A3101" s="15">
        <v>118</v>
      </c>
      <c r="B3101" s="15">
        <v>1993</v>
      </c>
      <c r="C3101" s="15">
        <v>8</v>
      </c>
      <c r="D3101" s="15">
        <v>8</v>
      </c>
      <c r="E3101" s="22" t="s">
        <v>17</v>
      </c>
      <c r="F3101" s="11" t="s">
        <v>18</v>
      </c>
      <c r="G3101" s="15">
        <v>145</v>
      </c>
      <c r="H3101" s="15" t="s">
        <v>29</v>
      </c>
      <c r="I3101" s="25">
        <v>12.5</v>
      </c>
      <c r="J3101" s="11" t="s">
        <v>19</v>
      </c>
      <c r="K3101" s="11" t="s">
        <v>20</v>
      </c>
      <c r="L3101" s="11" t="s">
        <v>30</v>
      </c>
      <c r="M3101" s="11" t="s">
        <v>45</v>
      </c>
      <c r="N3101" s="11" t="s">
        <v>29</v>
      </c>
      <c r="O3101" s="16" t="s">
        <v>29</v>
      </c>
      <c r="P3101" s="15">
        <v>220</v>
      </c>
      <c r="Q3101" s="8"/>
      <c r="R3101">
        <v>13.53</v>
      </c>
      <c r="S3101">
        <v>2475.9899999999998</v>
      </c>
      <c r="T3101">
        <v>5.05</v>
      </c>
      <c r="U3101">
        <v>9.7200000000000006</v>
      </c>
      <c r="V3101">
        <v>135</v>
      </c>
      <c r="W3101" s="317">
        <v>4.5999999999999996</v>
      </c>
      <c r="X3101" s="190">
        <f>I3101*W3101</f>
        <v>57.499999999999993</v>
      </c>
      <c r="Y3101" s="8"/>
      <c r="Z3101" s="8"/>
    </row>
    <row r="3102" spans="1:26" ht="12.75" customHeight="1" x14ac:dyDescent="0.2">
      <c r="A3102" s="15">
        <v>119</v>
      </c>
      <c r="B3102" s="15">
        <v>1993</v>
      </c>
      <c r="C3102" s="15">
        <v>8</v>
      </c>
      <c r="D3102" s="15">
        <v>8</v>
      </c>
      <c r="E3102" s="22" t="s">
        <v>17</v>
      </c>
      <c r="F3102" s="11" t="s">
        <v>18</v>
      </c>
      <c r="G3102" s="15">
        <v>156</v>
      </c>
      <c r="H3102" s="15" t="s">
        <v>29</v>
      </c>
      <c r="I3102" s="25">
        <v>12</v>
      </c>
      <c r="J3102" s="11" t="s">
        <v>19</v>
      </c>
      <c r="K3102" s="11" t="s">
        <v>20</v>
      </c>
      <c r="L3102" s="11" t="s">
        <v>21</v>
      </c>
      <c r="M3102" s="11" t="s">
        <v>27</v>
      </c>
      <c r="N3102" s="11" t="s">
        <v>29</v>
      </c>
      <c r="O3102" s="16" t="s">
        <v>29</v>
      </c>
      <c r="P3102" s="15">
        <v>220</v>
      </c>
      <c r="Q3102" s="8"/>
      <c r="R3102">
        <v>14.55</v>
      </c>
      <c r="S3102">
        <v>3083.32</v>
      </c>
      <c r="T3102">
        <v>3.89</v>
      </c>
      <c r="U3102">
        <v>10.45</v>
      </c>
      <c r="V3102">
        <v>146</v>
      </c>
      <c r="W3102" s="317">
        <v>3.9</v>
      </c>
      <c r="X3102" s="190">
        <f>I3102*W3102</f>
        <v>46.8</v>
      </c>
      <c r="Y3102" s="8"/>
      <c r="Z3102" s="8"/>
    </row>
    <row r="3103" spans="1:26" ht="12.75" customHeight="1" x14ac:dyDescent="0.2">
      <c r="A3103" s="15">
        <v>120</v>
      </c>
      <c r="B3103" s="15">
        <v>1993</v>
      </c>
      <c r="C3103" s="15">
        <v>8</v>
      </c>
      <c r="D3103" s="15">
        <v>8</v>
      </c>
      <c r="E3103" s="22" t="s">
        <v>17</v>
      </c>
      <c r="F3103" s="23" t="s">
        <v>18</v>
      </c>
      <c r="G3103" s="15">
        <v>163</v>
      </c>
      <c r="H3103" s="15" t="s">
        <v>29</v>
      </c>
      <c r="I3103" s="25">
        <v>22</v>
      </c>
      <c r="J3103" s="11" t="s">
        <v>19</v>
      </c>
      <c r="K3103" s="11" t="s">
        <v>34</v>
      </c>
      <c r="L3103" s="11" t="s">
        <v>41</v>
      </c>
      <c r="M3103" s="11" t="s">
        <v>46</v>
      </c>
      <c r="N3103" s="23" t="s">
        <v>25</v>
      </c>
      <c r="O3103" s="16" t="s">
        <v>29</v>
      </c>
      <c r="P3103" s="15">
        <v>220</v>
      </c>
      <c r="Q3103" s="8"/>
      <c r="R3103">
        <v>15.21</v>
      </c>
      <c r="S3103">
        <v>3517.29</v>
      </c>
      <c r="T3103">
        <v>6.25</v>
      </c>
      <c r="U3103">
        <v>10.92</v>
      </c>
      <c r="V3103">
        <v>152</v>
      </c>
      <c r="W3103" s="317">
        <v>3.8</v>
      </c>
      <c r="X3103" s="190">
        <f>I3103*W3103</f>
        <v>83.6</v>
      </c>
      <c r="Y3103" s="8"/>
      <c r="Z3103" s="8"/>
    </row>
    <row r="3104" spans="1:26" ht="12.75" customHeight="1" x14ac:dyDescent="0.2">
      <c r="A3104" s="15">
        <v>121</v>
      </c>
      <c r="B3104" s="15">
        <v>1993</v>
      </c>
      <c r="C3104" s="15">
        <v>8</v>
      </c>
      <c r="D3104" s="15">
        <v>8</v>
      </c>
      <c r="E3104" s="22" t="s">
        <v>17</v>
      </c>
      <c r="F3104" s="11" t="s">
        <v>18</v>
      </c>
      <c r="G3104" s="15">
        <v>143</v>
      </c>
      <c r="H3104" s="15" t="s">
        <v>29</v>
      </c>
      <c r="I3104" s="25">
        <v>10</v>
      </c>
      <c r="J3104" s="11" t="s">
        <v>19</v>
      </c>
      <c r="K3104" s="11" t="s">
        <v>20</v>
      </c>
      <c r="L3104" s="11" t="s">
        <v>21</v>
      </c>
      <c r="M3104" s="11" t="s">
        <v>29</v>
      </c>
      <c r="N3104" s="11" t="s">
        <v>29</v>
      </c>
      <c r="O3104" s="16" t="s">
        <v>29</v>
      </c>
      <c r="P3104" s="15">
        <v>220</v>
      </c>
      <c r="Q3104" s="8"/>
      <c r="R3104">
        <v>13.34</v>
      </c>
      <c r="S3104">
        <v>2374.94</v>
      </c>
      <c r="T3104">
        <v>4.21</v>
      </c>
      <c r="U3104">
        <v>9.58</v>
      </c>
      <c r="V3104">
        <v>133</v>
      </c>
      <c r="W3104" s="317">
        <v>3.9</v>
      </c>
      <c r="X3104" s="190">
        <f>I3104*W3104</f>
        <v>39</v>
      </c>
      <c r="Y3104" s="8"/>
      <c r="Z3104" s="8"/>
    </row>
    <row r="3105" spans="1:26" ht="12.75" customHeight="1" x14ac:dyDescent="0.2">
      <c r="A3105" s="15">
        <v>122</v>
      </c>
      <c r="B3105" s="15">
        <v>1993</v>
      </c>
      <c r="C3105" s="15">
        <v>8</v>
      </c>
      <c r="D3105" s="15">
        <v>8</v>
      </c>
      <c r="E3105" s="22" t="s">
        <v>17</v>
      </c>
      <c r="F3105" s="11" t="s">
        <v>18</v>
      </c>
      <c r="G3105" s="15">
        <v>150</v>
      </c>
      <c r="H3105" s="15" t="s">
        <v>29</v>
      </c>
      <c r="I3105" s="25">
        <v>11</v>
      </c>
      <c r="J3105" s="11" t="s">
        <v>19</v>
      </c>
      <c r="K3105" s="11" t="s">
        <v>41</v>
      </c>
      <c r="L3105" s="11" t="s">
        <v>35</v>
      </c>
      <c r="M3105" s="11" t="s">
        <v>27</v>
      </c>
      <c r="N3105" s="11" t="s">
        <v>29</v>
      </c>
      <c r="O3105" s="16" t="s">
        <v>29</v>
      </c>
      <c r="P3105" s="15">
        <v>220</v>
      </c>
      <c r="Q3105" s="8"/>
      <c r="R3105">
        <v>14</v>
      </c>
      <c r="S3105">
        <v>2741.06</v>
      </c>
      <c r="T3105">
        <v>4.01</v>
      </c>
      <c r="U3105">
        <v>10.050000000000001</v>
      </c>
      <c r="V3105">
        <v>140</v>
      </c>
      <c r="W3105" s="8"/>
      <c r="X3105" s="8"/>
      <c r="Y3105" s="8"/>
      <c r="Z3105" s="8"/>
    </row>
    <row r="3106" spans="1:26" ht="12.75" customHeight="1" x14ac:dyDescent="0.2">
      <c r="A3106" s="15">
        <v>123</v>
      </c>
      <c r="B3106" s="15">
        <v>1993</v>
      </c>
      <c r="C3106" s="15">
        <v>8</v>
      </c>
      <c r="D3106" s="15">
        <v>8</v>
      </c>
      <c r="E3106" s="22" t="s">
        <v>17</v>
      </c>
      <c r="F3106" s="11" t="s">
        <v>18</v>
      </c>
      <c r="G3106" s="15">
        <v>161</v>
      </c>
      <c r="H3106" s="15" t="s">
        <v>29</v>
      </c>
      <c r="I3106" s="25">
        <v>20.5</v>
      </c>
      <c r="J3106" s="11" t="s">
        <v>19</v>
      </c>
      <c r="K3106" s="11" t="s">
        <v>34</v>
      </c>
      <c r="L3106" s="11" t="s">
        <v>41</v>
      </c>
      <c r="M3106" s="11" t="s">
        <v>224</v>
      </c>
      <c r="N3106" s="11" t="s">
        <v>29</v>
      </c>
      <c r="O3106" s="16" t="s">
        <v>29</v>
      </c>
      <c r="P3106" s="15">
        <v>220</v>
      </c>
      <c r="Q3106" s="8"/>
      <c r="R3106">
        <v>15.02</v>
      </c>
      <c r="S3106">
        <v>3389.4</v>
      </c>
      <c r="T3106">
        <v>6.05</v>
      </c>
      <c r="U3106">
        <v>10.79</v>
      </c>
      <c r="V3106">
        <v>150</v>
      </c>
      <c r="W3106" s="317">
        <v>3.8</v>
      </c>
      <c r="X3106" s="190">
        <f>I3106*W3106</f>
        <v>77.899999999999991</v>
      </c>
      <c r="Y3106" s="8"/>
      <c r="Z3106" s="8"/>
    </row>
    <row r="3107" spans="1:26" ht="12.75" customHeight="1" x14ac:dyDescent="0.2">
      <c r="A3107" s="15">
        <v>124</v>
      </c>
      <c r="B3107" s="15">
        <v>1993</v>
      </c>
      <c r="C3107" s="15">
        <v>8</v>
      </c>
      <c r="D3107" s="15">
        <v>8</v>
      </c>
      <c r="E3107" s="22" t="s">
        <v>17</v>
      </c>
      <c r="F3107" s="11" t="s">
        <v>18</v>
      </c>
      <c r="G3107" s="15">
        <v>148</v>
      </c>
      <c r="H3107" s="15" t="s">
        <v>29</v>
      </c>
      <c r="I3107" s="25">
        <v>13</v>
      </c>
      <c r="J3107" s="11" t="s">
        <v>19</v>
      </c>
      <c r="K3107" s="11" t="s">
        <v>20</v>
      </c>
      <c r="L3107" s="11" t="s">
        <v>21</v>
      </c>
      <c r="M3107" s="11" t="s">
        <v>224</v>
      </c>
      <c r="N3107" s="11" t="s">
        <v>29</v>
      </c>
      <c r="O3107" s="16" t="s">
        <v>29</v>
      </c>
      <c r="P3107" s="15">
        <v>220</v>
      </c>
      <c r="Q3107" s="8"/>
      <c r="R3107">
        <v>13.81</v>
      </c>
      <c r="S3107">
        <v>2632.87</v>
      </c>
      <c r="T3107">
        <v>4.9400000000000004</v>
      </c>
      <c r="U3107">
        <v>9.92</v>
      </c>
      <c r="V3107">
        <v>138</v>
      </c>
      <c r="W3107" s="317">
        <v>3.9</v>
      </c>
      <c r="X3107" s="190">
        <f t="shared" ref="X3107:X3111" si="142">I3107*W3107</f>
        <v>50.699999999999996</v>
      </c>
      <c r="Y3107" s="8"/>
      <c r="Z3107" s="8"/>
    </row>
    <row r="3108" spans="1:26" ht="12.75" customHeight="1" x14ac:dyDescent="0.2">
      <c r="A3108" s="15">
        <v>125</v>
      </c>
      <c r="B3108" s="15">
        <v>1993</v>
      </c>
      <c r="C3108" s="15">
        <v>8</v>
      </c>
      <c r="D3108" s="15">
        <v>8</v>
      </c>
      <c r="E3108" s="22" t="s">
        <v>17</v>
      </c>
      <c r="F3108" s="11" t="s">
        <v>18</v>
      </c>
      <c r="G3108" s="15">
        <v>133</v>
      </c>
      <c r="H3108" s="15" t="s">
        <v>29</v>
      </c>
      <c r="I3108" s="25">
        <v>11</v>
      </c>
      <c r="J3108" s="11" t="s">
        <v>19</v>
      </c>
      <c r="K3108" s="11" t="s">
        <v>20</v>
      </c>
      <c r="L3108" s="11" t="s">
        <v>30</v>
      </c>
      <c r="M3108" s="11" t="s">
        <v>29</v>
      </c>
      <c r="N3108" s="11" t="s">
        <v>29</v>
      </c>
      <c r="O3108" s="16" t="s">
        <v>29</v>
      </c>
      <c r="P3108" s="15">
        <v>220</v>
      </c>
      <c r="Q3108" s="8"/>
      <c r="R3108">
        <v>12.41</v>
      </c>
      <c r="S3108">
        <v>1910.73</v>
      </c>
      <c r="T3108">
        <v>5.76</v>
      </c>
      <c r="U3108">
        <v>8.91</v>
      </c>
      <c r="V3108">
        <v>124</v>
      </c>
      <c r="W3108" s="317">
        <v>4.5999999999999996</v>
      </c>
      <c r="X3108" s="190">
        <f t="shared" si="142"/>
        <v>50.599999999999994</v>
      </c>
      <c r="Y3108" s="8"/>
      <c r="Z3108" s="8"/>
    </row>
    <row r="3109" spans="1:26" ht="12.75" customHeight="1" x14ac:dyDescent="0.2">
      <c r="A3109" s="15">
        <v>126</v>
      </c>
      <c r="B3109" s="15">
        <v>1993</v>
      </c>
      <c r="C3109" s="15">
        <v>8</v>
      </c>
      <c r="D3109" s="15">
        <v>8</v>
      </c>
      <c r="E3109" s="22" t="s">
        <v>17</v>
      </c>
      <c r="F3109" s="11" t="s">
        <v>18</v>
      </c>
      <c r="G3109" s="15">
        <v>147</v>
      </c>
      <c r="H3109" s="15" t="s">
        <v>29</v>
      </c>
      <c r="I3109" s="25">
        <v>14.5</v>
      </c>
      <c r="J3109" s="11" t="s">
        <v>19</v>
      </c>
      <c r="K3109" s="11" t="s">
        <v>20</v>
      </c>
      <c r="L3109" s="11" t="s">
        <v>30</v>
      </c>
      <c r="M3109" s="11" t="s">
        <v>29</v>
      </c>
      <c r="N3109" s="11" t="s">
        <v>29</v>
      </c>
      <c r="O3109" s="16" t="s">
        <v>29</v>
      </c>
      <c r="P3109" s="15">
        <v>220</v>
      </c>
      <c r="Q3109" s="8"/>
      <c r="R3109">
        <v>13.72</v>
      </c>
      <c r="S3109">
        <v>2579.86</v>
      </c>
      <c r="T3109">
        <v>5.62</v>
      </c>
      <c r="U3109">
        <v>9.85</v>
      </c>
      <c r="V3109">
        <v>137</v>
      </c>
      <c r="W3109" s="317">
        <v>4.5999999999999996</v>
      </c>
      <c r="X3109" s="190">
        <f t="shared" si="142"/>
        <v>66.699999999999989</v>
      </c>
      <c r="Y3109" s="8"/>
      <c r="Z3109" s="8"/>
    </row>
    <row r="3110" spans="1:26" ht="12.75" customHeight="1" x14ac:dyDescent="0.2">
      <c r="A3110" s="15">
        <v>127</v>
      </c>
      <c r="B3110" s="15">
        <v>1993</v>
      </c>
      <c r="C3110" s="15">
        <v>7</v>
      </c>
      <c r="D3110" s="15">
        <v>8</v>
      </c>
      <c r="E3110" s="22" t="s">
        <v>17</v>
      </c>
      <c r="F3110" s="23" t="s">
        <v>18</v>
      </c>
      <c r="G3110" s="15">
        <v>167</v>
      </c>
      <c r="H3110" s="15" t="s">
        <v>29</v>
      </c>
      <c r="I3110" s="25">
        <v>16</v>
      </c>
      <c r="J3110" s="11" t="s">
        <v>19</v>
      </c>
      <c r="K3110" s="11" t="s">
        <v>20</v>
      </c>
      <c r="L3110" s="11" t="s">
        <v>21</v>
      </c>
      <c r="M3110" s="11" t="s">
        <v>29</v>
      </c>
      <c r="N3110" s="23" t="s">
        <v>25</v>
      </c>
      <c r="O3110" s="16" t="s">
        <v>29</v>
      </c>
      <c r="P3110" s="15">
        <v>219</v>
      </c>
      <c r="Q3110" s="8"/>
      <c r="R3110">
        <v>15.58</v>
      </c>
      <c r="S3110">
        <v>3782.63</v>
      </c>
      <c r="T3110">
        <v>4.2300000000000004</v>
      </c>
      <c r="U3110">
        <v>11.19</v>
      </c>
      <c r="V3110">
        <v>156</v>
      </c>
      <c r="W3110" s="317">
        <v>3.9</v>
      </c>
      <c r="X3110" s="190">
        <f t="shared" si="142"/>
        <v>62.4</v>
      </c>
      <c r="Y3110" s="8"/>
      <c r="Z3110" s="8"/>
    </row>
    <row r="3111" spans="1:26" ht="12.75" customHeight="1" x14ac:dyDescent="0.2">
      <c r="A3111" s="15">
        <v>128</v>
      </c>
      <c r="B3111" s="15">
        <v>1993</v>
      </c>
      <c r="C3111" s="15">
        <v>7</v>
      </c>
      <c r="D3111" s="15">
        <v>8</v>
      </c>
      <c r="E3111" s="22" t="s">
        <v>17</v>
      </c>
      <c r="F3111" s="11" t="s">
        <v>18</v>
      </c>
      <c r="G3111" s="15">
        <v>135</v>
      </c>
      <c r="H3111" s="15" t="s">
        <v>29</v>
      </c>
      <c r="I3111" s="25">
        <v>11</v>
      </c>
      <c r="J3111" s="11" t="s">
        <v>19</v>
      </c>
      <c r="K3111" s="11" t="s">
        <v>20</v>
      </c>
      <c r="L3111" s="11" t="s">
        <v>30</v>
      </c>
      <c r="M3111" s="11" t="s">
        <v>27</v>
      </c>
      <c r="N3111" s="11" t="s">
        <v>29</v>
      </c>
      <c r="O3111" s="16" t="s">
        <v>29</v>
      </c>
      <c r="P3111" s="15">
        <v>219</v>
      </c>
      <c r="Q3111" s="8"/>
      <c r="R3111">
        <v>12.6</v>
      </c>
      <c r="S3111">
        <v>1998.23</v>
      </c>
      <c r="T3111">
        <v>5.5</v>
      </c>
      <c r="U3111">
        <v>9.0500000000000007</v>
      </c>
      <c r="V3111">
        <v>126</v>
      </c>
      <c r="W3111" s="317">
        <v>4.5999999999999996</v>
      </c>
      <c r="X3111" s="190">
        <f t="shared" si="142"/>
        <v>50.599999999999994</v>
      </c>
      <c r="Y3111" s="8"/>
      <c r="Z3111" s="8"/>
    </row>
    <row r="3112" spans="1:26" ht="12.75" customHeight="1" x14ac:dyDescent="0.2">
      <c r="A3112" s="15">
        <v>129</v>
      </c>
      <c r="B3112" s="15">
        <v>1993</v>
      </c>
      <c r="C3112" s="15">
        <v>7</v>
      </c>
      <c r="D3112" s="15">
        <v>8</v>
      </c>
      <c r="E3112" s="22" t="s">
        <v>17</v>
      </c>
      <c r="F3112" s="23" t="s">
        <v>18</v>
      </c>
      <c r="G3112" s="15">
        <v>143</v>
      </c>
      <c r="H3112" s="15" t="s">
        <v>29</v>
      </c>
      <c r="I3112" s="25" t="s">
        <v>29</v>
      </c>
      <c r="J3112" s="11" t="s">
        <v>19</v>
      </c>
      <c r="K3112" s="11" t="s">
        <v>20</v>
      </c>
      <c r="L3112" s="11" t="s">
        <v>30</v>
      </c>
      <c r="M3112" s="11" t="s">
        <v>29</v>
      </c>
      <c r="N3112" s="23" t="s">
        <v>25</v>
      </c>
      <c r="O3112" s="16" t="s">
        <v>29</v>
      </c>
      <c r="P3112" s="15">
        <v>219</v>
      </c>
      <c r="Q3112" s="8"/>
      <c r="U3112">
        <v>9.58</v>
      </c>
      <c r="V3112">
        <v>133</v>
      </c>
      <c r="W3112" s="317">
        <v>4.5999999999999996</v>
      </c>
      <c r="X3112" s="190"/>
      <c r="Y3112" s="8"/>
      <c r="Z3112" s="8"/>
    </row>
    <row r="3113" spans="1:26" ht="12.75" customHeight="1" x14ac:dyDescent="0.2">
      <c r="A3113" s="15">
        <v>130</v>
      </c>
      <c r="B3113" s="15">
        <v>1993</v>
      </c>
      <c r="C3113" s="15">
        <v>7</v>
      </c>
      <c r="D3113" s="15">
        <v>8</v>
      </c>
      <c r="E3113" s="22" t="s">
        <v>17</v>
      </c>
      <c r="F3113" s="11" t="s">
        <v>18</v>
      </c>
      <c r="G3113" s="15">
        <v>115</v>
      </c>
      <c r="H3113" s="15" t="s">
        <v>29</v>
      </c>
      <c r="I3113" s="25">
        <v>10</v>
      </c>
      <c r="J3113" s="11" t="s">
        <v>36</v>
      </c>
      <c r="K3113" s="11" t="s">
        <v>29</v>
      </c>
      <c r="L3113" s="11" t="s">
        <v>29</v>
      </c>
      <c r="M3113" s="11" t="s">
        <v>29</v>
      </c>
      <c r="N3113" s="11" t="s">
        <v>29</v>
      </c>
      <c r="O3113" s="16" t="s">
        <v>29</v>
      </c>
      <c r="P3113" s="15">
        <v>219</v>
      </c>
      <c r="Q3113" s="8"/>
      <c r="R3113">
        <v>10.73</v>
      </c>
      <c r="S3113">
        <v>1235.2</v>
      </c>
      <c r="T3113">
        <v>8.1</v>
      </c>
      <c r="U3113">
        <v>7.71</v>
      </c>
      <c r="V3113">
        <v>107</v>
      </c>
      <c r="W3113" s="8"/>
      <c r="X3113" s="8"/>
      <c r="Y3113" s="8"/>
      <c r="Z3113" s="8"/>
    </row>
    <row r="3114" spans="1:26" ht="12.75" customHeight="1" x14ac:dyDescent="0.2">
      <c r="A3114" s="15">
        <v>131</v>
      </c>
      <c r="B3114" s="15">
        <v>1993</v>
      </c>
      <c r="C3114" s="15">
        <v>7</v>
      </c>
      <c r="D3114" s="15">
        <v>8</v>
      </c>
      <c r="E3114" s="22" t="s">
        <v>17</v>
      </c>
      <c r="F3114" s="11" t="s">
        <v>18</v>
      </c>
      <c r="G3114" s="15">
        <v>134</v>
      </c>
      <c r="H3114" s="15" t="s">
        <v>29</v>
      </c>
      <c r="I3114" s="25">
        <v>11</v>
      </c>
      <c r="J3114" s="11" t="s">
        <v>19</v>
      </c>
      <c r="K3114" s="11" t="s">
        <v>20</v>
      </c>
      <c r="L3114" s="11" t="s">
        <v>30</v>
      </c>
      <c r="M3114" s="11" t="s">
        <v>46</v>
      </c>
      <c r="N3114" s="11" t="s">
        <v>29</v>
      </c>
      <c r="O3114" s="16" t="s">
        <v>29</v>
      </c>
      <c r="P3114" s="15">
        <v>219</v>
      </c>
      <c r="Q3114" s="8"/>
      <c r="R3114">
        <v>12.5</v>
      </c>
      <c r="S3114">
        <v>1954.16</v>
      </c>
      <c r="T3114">
        <v>5.63</v>
      </c>
      <c r="U3114">
        <v>8.98</v>
      </c>
      <c r="V3114">
        <v>125</v>
      </c>
      <c r="W3114" s="317">
        <v>4.5999999999999996</v>
      </c>
      <c r="X3114" s="190">
        <f t="shared" ref="X3114:X3128" si="143">I3114*W3114</f>
        <v>50.599999999999994</v>
      </c>
      <c r="Y3114" s="8"/>
      <c r="Z3114" s="8"/>
    </row>
    <row r="3115" spans="1:26" ht="12.75" customHeight="1" x14ac:dyDescent="0.2">
      <c r="A3115" s="15">
        <v>132</v>
      </c>
      <c r="B3115" s="15">
        <v>1993</v>
      </c>
      <c r="C3115" s="15">
        <v>7</v>
      </c>
      <c r="D3115" s="15">
        <v>8</v>
      </c>
      <c r="E3115" s="22" t="s">
        <v>17</v>
      </c>
      <c r="F3115" s="11" t="s">
        <v>18</v>
      </c>
      <c r="G3115" s="15">
        <v>146</v>
      </c>
      <c r="H3115" s="15" t="s">
        <v>29</v>
      </c>
      <c r="I3115" s="25" t="s">
        <v>29</v>
      </c>
      <c r="J3115" s="11" t="s">
        <v>19</v>
      </c>
      <c r="K3115" s="11" t="s">
        <v>20</v>
      </c>
      <c r="L3115" s="11" t="s">
        <v>30</v>
      </c>
      <c r="M3115" s="11" t="s">
        <v>47</v>
      </c>
      <c r="N3115" s="11" t="s">
        <v>29</v>
      </c>
      <c r="O3115" s="16" t="s">
        <v>29</v>
      </c>
      <c r="P3115" s="15">
        <v>219</v>
      </c>
      <c r="Q3115" s="8"/>
      <c r="U3115">
        <v>9.7799999999999994</v>
      </c>
      <c r="V3115">
        <v>136</v>
      </c>
      <c r="W3115" s="317">
        <v>4.5999999999999996</v>
      </c>
      <c r="X3115" s="190"/>
      <c r="Y3115" s="8"/>
      <c r="Z3115" s="8"/>
    </row>
    <row r="3116" spans="1:26" ht="12.75" customHeight="1" x14ac:dyDescent="0.2">
      <c r="A3116" s="15">
        <v>133</v>
      </c>
      <c r="B3116" s="15">
        <v>1993</v>
      </c>
      <c r="C3116" s="15">
        <v>7</v>
      </c>
      <c r="D3116" s="15">
        <v>8</v>
      </c>
      <c r="E3116" s="22" t="s">
        <v>17</v>
      </c>
      <c r="F3116" s="11" t="s">
        <v>18</v>
      </c>
      <c r="G3116" s="15">
        <v>150</v>
      </c>
      <c r="H3116" s="15" t="s">
        <v>29</v>
      </c>
      <c r="I3116" s="25">
        <v>13.5</v>
      </c>
      <c r="J3116" s="11" t="s">
        <v>19</v>
      </c>
      <c r="K3116" s="11" t="s">
        <v>20</v>
      </c>
      <c r="L3116" s="11" t="s">
        <v>30</v>
      </c>
      <c r="M3116" s="11" t="s">
        <v>29</v>
      </c>
      <c r="N3116" s="11" t="s">
        <v>29</v>
      </c>
      <c r="O3116" s="16" t="s">
        <v>29</v>
      </c>
      <c r="P3116" s="15">
        <v>219</v>
      </c>
      <c r="Q3116" s="8"/>
      <c r="R3116">
        <v>14</v>
      </c>
      <c r="S3116">
        <v>2741.06</v>
      </c>
      <c r="T3116">
        <v>4.93</v>
      </c>
      <c r="U3116">
        <v>10.050000000000001</v>
      </c>
      <c r="V3116">
        <v>140</v>
      </c>
      <c r="W3116" s="317">
        <v>4.5999999999999996</v>
      </c>
      <c r="X3116" s="190">
        <f t="shared" si="143"/>
        <v>62.099999999999994</v>
      </c>
      <c r="Y3116" s="8"/>
      <c r="Z3116" s="8"/>
    </row>
    <row r="3117" spans="1:26" ht="12.75" customHeight="1" x14ac:dyDescent="0.2">
      <c r="A3117" s="15">
        <v>134</v>
      </c>
      <c r="B3117" s="15">
        <v>1993</v>
      </c>
      <c r="C3117" s="15">
        <v>7</v>
      </c>
      <c r="D3117" s="15">
        <v>8</v>
      </c>
      <c r="E3117" s="22" t="s">
        <v>17</v>
      </c>
      <c r="F3117" s="11" t="s">
        <v>18</v>
      </c>
      <c r="G3117" s="15">
        <v>152</v>
      </c>
      <c r="H3117" s="15" t="s">
        <v>29</v>
      </c>
      <c r="I3117" s="25">
        <v>14.8</v>
      </c>
      <c r="J3117" s="11" t="s">
        <v>19</v>
      </c>
      <c r="K3117" s="11" t="s">
        <v>20</v>
      </c>
      <c r="L3117" s="11" t="s">
        <v>30</v>
      </c>
      <c r="M3117" s="11" t="s">
        <v>224</v>
      </c>
      <c r="N3117" s="11" t="s">
        <v>29</v>
      </c>
      <c r="O3117" s="16" t="s">
        <v>29</v>
      </c>
      <c r="P3117" s="15">
        <v>219</v>
      </c>
      <c r="Q3117" s="8"/>
      <c r="R3117">
        <v>14.18</v>
      </c>
      <c r="S3117">
        <v>2852.17</v>
      </c>
      <c r="T3117">
        <v>5.19</v>
      </c>
      <c r="U3117">
        <v>10.18</v>
      </c>
      <c r="V3117">
        <v>142</v>
      </c>
      <c r="W3117" s="317">
        <v>4.5999999999999996</v>
      </c>
      <c r="X3117" s="190">
        <f t="shared" si="143"/>
        <v>68.08</v>
      </c>
      <c r="Y3117" s="8"/>
      <c r="Z3117" s="8"/>
    </row>
    <row r="3118" spans="1:26" ht="12.75" customHeight="1" x14ac:dyDescent="0.2">
      <c r="A3118" s="15">
        <v>135</v>
      </c>
      <c r="B3118" s="15">
        <v>1993</v>
      </c>
      <c r="C3118" s="15">
        <v>7</v>
      </c>
      <c r="D3118" s="15">
        <v>8</v>
      </c>
      <c r="E3118" s="22" t="s">
        <v>17</v>
      </c>
      <c r="F3118" s="11" t="s">
        <v>18</v>
      </c>
      <c r="G3118" s="15">
        <v>137</v>
      </c>
      <c r="H3118" s="15" t="s">
        <v>29</v>
      </c>
      <c r="I3118" s="25" t="s">
        <v>29</v>
      </c>
      <c r="J3118" s="11" t="s">
        <v>19</v>
      </c>
      <c r="K3118" s="11" t="s">
        <v>20</v>
      </c>
      <c r="L3118" s="11" t="s">
        <v>30</v>
      </c>
      <c r="M3118" s="11" t="s">
        <v>29</v>
      </c>
      <c r="N3118" s="11" t="s">
        <v>29</v>
      </c>
      <c r="O3118" s="16" t="s">
        <v>29</v>
      </c>
      <c r="P3118" s="15">
        <v>219</v>
      </c>
      <c r="Q3118" s="8"/>
      <c r="U3118">
        <v>9.18</v>
      </c>
      <c r="V3118">
        <v>128</v>
      </c>
      <c r="W3118" s="317">
        <v>4.5999999999999996</v>
      </c>
      <c r="X3118" s="190"/>
      <c r="Y3118" s="8"/>
      <c r="Z3118" s="8"/>
    </row>
    <row r="3119" spans="1:26" ht="12.75" customHeight="1" x14ac:dyDescent="0.2">
      <c r="A3119" s="15">
        <v>136</v>
      </c>
      <c r="B3119" s="15">
        <v>1993</v>
      </c>
      <c r="C3119" s="15">
        <v>7</v>
      </c>
      <c r="D3119" s="15">
        <v>8</v>
      </c>
      <c r="E3119" s="22" t="s">
        <v>17</v>
      </c>
      <c r="F3119" s="11" t="s">
        <v>18</v>
      </c>
      <c r="G3119" s="15">
        <v>149</v>
      </c>
      <c r="H3119" s="15" t="s">
        <v>29</v>
      </c>
      <c r="I3119" s="25">
        <v>17</v>
      </c>
      <c r="J3119" s="11" t="s">
        <v>19</v>
      </c>
      <c r="K3119" s="11" t="s">
        <v>20</v>
      </c>
      <c r="L3119" s="11" t="s">
        <v>30</v>
      </c>
      <c r="M3119" s="11" t="s">
        <v>27</v>
      </c>
      <c r="N3119" s="11" t="s">
        <v>29</v>
      </c>
      <c r="O3119" s="16" t="s">
        <v>29</v>
      </c>
      <c r="P3119" s="15">
        <v>219</v>
      </c>
      <c r="Q3119" s="8"/>
      <c r="R3119">
        <v>13.9</v>
      </c>
      <c r="S3119">
        <v>2686.6</v>
      </c>
      <c r="T3119">
        <v>6.33</v>
      </c>
      <c r="U3119">
        <v>9.98</v>
      </c>
      <c r="V3119">
        <v>139</v>
      </c>
      <c r="W3119" s="317">
        <v>4.5999999999999996</v>
      </c>
      <c r="X3119" s="190">
        <f t="shared" si="143"/>
        <v>78.199999999999989</v>
      </c>
      <c r="Y3119" s="8"/>
      <c r="Z3119" s="8"/>
    </row>
    <row r="3120" spans="1:26" ht="12.75" customHeight="1" x14ac:dyDescent="0.2">
      <c r="A3120" s="15">
        <v>137</v>
      </c>
      <c r="B3120" s="15">
        <v>1993</v>
      </c>
      <c r="C3120" s="15">
        <v>7</v>
      </c>
      <c r="D3120" s="15">
        <v>8</v>
      </c>
      <c r="E3120" s="22" t="s">
        <v>17</v>
      </c>
      <c r="F3120" s="11" t="s">
        <v>18</v>
      </c>
      <c r="G3120" s="15">
        <v>156</v>
      </c>
      <c r="H3120" s="15" t="s">
        <v>29</v>
      </c>
      <c r="I3120" s="25" t="s">
        <v>29</v>
      </c>
      <c r="J3120" s="11" t="s">
        <v>19</v>
      </c>
      <c r="K3120" s="11" t="s">
        <v>20</v>
      </c>
      <c r="L3120" s="11" t="s">
        <v>30</v>
      </c>
      <c r="M3120" s="11" t="s">
        <v>29</v>
      </c>
      <c r="N3120" s="11" t="s">
        <v>29</v>
      </c>
      <c r="O3120" s="16" t="s">
        <v>29</v>
      </c>
      <c r="P3120" s="15">
        <v>219</v>
      </c>
      <c r="Q3120" s="8"/>
      <c r="U3120">
        <v>10.45</v>
      </c>
      <c r="V3120">
        <v>146</v>
      </c>
      <c r="W3120" s="317">
        <v>4.5999999999999996</v>
      </c>
      <c r="X3120" s="190"/>
      <c r="Y3120" s="8"/>
      <c r="Z3120" s="8"/>
    </row>
    <row r="3121" spans="1:26" ht="12.75" customHeight="1" x14ac:dyDescent="0.2">
      <c r="A3121" s="15">
        <v>138</v>
      </c>
      <c r="B3121" s="15">
        <v>1993</v>
      </c>
      <c r="C3121" s="15">
        <v>7</v>
      </c>
      <c r="D3121" s="15">
        <v>8</v>
      </c>
      <c r="E3121" s="22" t="s">
        <v>17</v>
      </c>
      <c r="F3121" s="11" t="s">
        <v>18</v>
      </c>
      <c r="G3121" s="15">
        <v>138</v>
      </c>
      <c r="H3121" s="15" t="s">
        <v>29</v>
      </c>
      <c r="I3121" s="25">
        <v>10</v>
      </c>
      <c r="J3121" s="11" t="s">
        <v>19</v>
      </c>
      <c r="K3121" s="11" t="s">
        <v>20</v>
      </c>
      <c r="L3121" s="11" t="s">
        <v>30</v>
      </c>
      <c r="M3121" s="11" t="s">
        <v>29</v>
      </c>
      <c r="N3121" s="11" t="s">
        <v>29</v>
      </c>
      <c r="O3121" s="16" t="s">
        <v>29</v>
      </c>
      <c r="P3121" s="15">
        <v>219</v>
      </c>
      <c r="Q3121" s="8"/>
      <c r="R3121">
        <v>12.88</v>
      </c>
      <c r="S3121">
        <v>2134.4299999999998</v>
      </c>
      <c r="T3121">
        <v>4.6900000000000004</v>
      </c>
      <c r="U3121">
        <v>9.25</v>
      </c>
      <c r="V3121">
        <v>129</v>
      </c>
      <c r="W3121" s="317">
        <v>4.5999999999999996</v>
      </c>
      <c r="X3121" s="190">
        <f t="shared" si="143"/>
        <v>46</v>
      </c>
      <c r="Y3121" s="8"/>
      <c r="Z3121" s="8"/>
    </row>
    <row r="3122" spans="1:26" ht="12.75" customHeight="1" x14ac:dyDescent="0.2">
      <c r="A3122" s="15">
        <v>139</v>
      </c>
      <c r="B3122" s="15">
        <v>1993</v>
      </c>
      <c r="C3122" s="15">
        <v>7</v>
      </c>
      <c r="D3122" s="15">
        <v>8</v>
      </c>
      <c r="E3122" s="22" t="s">
        <v>17</v>
      </c>
      <c r="F3122" s="11" t="s">
        <v>18</v>
      </c>
      <c r="G3122" s="15">
        <v>145</v>
      </c>
      <c r="H3122" s="15" t="s">
        <v>29</v>
      </c>
      <c r="I3122" s="25">
        <v>14.5</v>
      </c>
      <c r="J3122" s="11" t="s">
        <v>19</v>
      </c>
      <c r="K3122" s="11" t="s">
        <v>20</v>
      </c>
      <c r="L3122" s="11" t="s">
        <v>30</v>
      </c>
      <c r="M3122" s="11" t="s">
        <v>46</v>
      </c>
      <c r="N3122" s="11" t="s">
        <v>29</v>
      </c>
      <c r="O3122" s="16" t="s">
        <v>29</v>
      </c>
      <c r="P3122" s="15">
        <v>219</v>
      </c>
      <c r="Q3122" s="8"/>
      <c r="R3122">
        <v>13.53</v>
      </c>
      <c r="S3122">
        <v>2475.9899999999998</v>
      </c>
      <c r="T3122">
        <v>5.86</v>
      </c>
      <c r="U3122">
        <v>9.7200000000000006</v>
      </c>
      <c r="V3122">
        <v>135</v>
      </c>
      <c r="W3122" s="317">
        <v>4.5999999999999996</v>
      </c>
      <c r="X3122" s="190">
        <f t="shared" si="143"/>
        <v>66.699999999999989</v>
      </c>
      <c r="Y3122" s="8"/>
      <c r="Z3122" s="8"/>
    </row>
    <row r="3123" spans="1:26" ht="12.75" customHeight="1" x14ac:dyDescent="0.2">
      <c r="A3123" s="15">
        <v>140</v>
      </c>
      <c r="B3123" s="15">
        <v>1993</v>
      </c>
      <c r="C3123" s="15">
        <v>7</v>
      </c>
      <c r="D3123" s="15">
        <v>8</v>
      </c>
      <c r="E3123" s="22" t="s">
        <v>17</v>
      </c>
      <c r="F3123" s="11" t="s">
        <v>18</v>
      </c>
      <c r="G3123" s="15">
        <v>154</v>
      </c>
      <c r="H3123" s="15" t="s">
        <v>29</v>
      </c>
      <c r="I3123" s="25">
        <v>18.5</v>
      </c>
      <c r="J3123" s="11" t="s">
        <v>19</v>
      </c>
      <c r="K3123" s="11" t="s">
        <v>20</v>
      </c>
      <c r="L3123" s="11" t="s">
        <v>30</v>
      </c>
      <c r="M3123" s="11" t="s">
        <v>224</v>
      </c>
      <c r="N3123" s="11" t="s">
        <v>29</v>
      </c>
      <c r="O3123" s="16" t="s">
        <v>29</v>
      </c>
      <c r="P3123" s="15">
        <v>219</v>
      </c>
      <c r="Q3123" s="8"/>
      <c r="R3123">
        <v>14.37</v>
      </c>
      <c r="S3123">
        <v>2966.25</v>
      </c>
      <c r="T3123">
        <v>6.24</v>
      </c>
      <c r="U3123">
        <v>10.32</v>
      </c>
      <c r="V3123">
        <v>144</v>
      </c>
      <c r="W3123" s="317">
        <v>4.5999999999999996</v>
      </c>
      <c r="X3123" s="190">
        <f t="shared" si="143"/>
        <v>85.1</v>
      </c>
      <c r="Y3123" s="8"/>
      <c r="Z3123" s="8"/>
    </row>
    <row r="3124" spans="1:26" ht="12.75" customHeight="1" x14ac:dyDescent="0.2">
      <c r="A3124" s="15">
        <v>141</v>
      </c>
      <c r="B3124" s="15">
        <v>1993</v>
      </c>
      <c r="C3124" s="15">
        <v>6</v>
      </c>
      <c r="D3124" s="15">
        <v>8</v>
      </c>
      <c r="E3124" s="22" t="s">
        <v>17</v>
      </c>
      <c r="F3124" s="11" t="s">
        <v>18</v>
      </c>
      <c r="G3124" s="15">
        <v>136</v>
      </c>
      <c r="H3124" s="15" t="s">
        <v>29</v>
      </c>
      <c r="I3124" s="25">
        <v>7</v>
      </c>
      <c r="J3124" s="11" t="s">
        <v>19</v>
      </c>
      <c r="K3124" s="11" t="s">
        <v>20</v>
      </c>
      <c r="L3124" s="11" t="s">
        <v>21</v>
      </c>
      <c r="M3124" s="11" t="s">
        <v>29</v>
      </c>
      <c r="N3124" s="11" t="s">
        <v>29</v>
      </c>
      <c r="O3124" s="16" t="s">
        <v>29</v>
      </c>
      <c r="P3124" s="15">
        <v>218</v>
      </c>
      <c r="Q3124" s="8"/>
      <c r="R3124">
        <v>12.69</v>
      </c>
      <c r="S3124">
        <v>2042.97</v>
      </c>
      <c r="T3124">
        <v>3.43</v>
      </c>
      <c r="U3124">
        <v>9.11</v>
      </c>
      <c r="V3124">
        <v>127</v>
      </c>
      <c r="W3124" s="317">
        <v>3.9</v>
      </c>
      <c r="X3124" s="190">
        <f t="shared" si="143"/>
        <v>27.3</v>
      </c>
      <c r="Y3124" s="8"/>
      <c r="Z3124" s="8"/>
    </row>
    <row r="3125" spans="1:26" ht="12.75" customHeight="1" x14ac:dyDescent="0.2">
      <c r="A3125" s="15">
        <v>142</v>
      </c>
      <c r="B3125" s="15">
        <v>1993</v>
      </c>
      <c r="C3125" s="15">
        <v>6</v>
      </c>
      <c r="D3125" s="15">
        <v>8</v>
      </c>
      <c r="E3125" s="22" t="s">
        <v>17</v>
      </c>
      <c r="F3125" s="11" t="s">
        <v>18</v>
      </c>
      <c r="G3125" s="15">
        <v>151</v>
      </c>
      <c r="H3125" s="15" t="s">
        <v>29</v>
      </c>
      <c r="I3125" s="25">
        <v>17</v>
      </c>
      <c r="J3125" s="11" t="s">
        <v>19</v>
      </c>
      <c r="K3125" s="11" t="s">
        <v>20</v>
      </c>
      <c r="L3125" s="11" t="s">
        <v>21</v>
      </c>
      <c r="M3125" s="11" t="s">
        <v>29</v>
      </c>
      <c r="N3125" s="11" t="s">
        <v>25</v>
      </c>
      <c r="O3125" s="16" t="s">
        <v>29</v>
      </c>
      <c r="P3125" s="15">
        <v>218</v>
      </c>
      <c r="Q3125" s="8"/>
      <c r="R3125">
        <v>14.09</v>
      </c>
      <c r="S3125">
        <v>2796.25</v>
      </c>
      <c r="T3125">
        <v>6.08</v>
      </c>
      <c r="U3125">
        <v>10.119999999999999</v>
      </c>
      <c r="V3125">
        <v>141</v>
      </c>
      <c r="W3125" s="317">
        <v>3.9</v>
      </c>
      <c r="X3125" s="190">
        <f t="shared" si="143"/>
        <v>66.3</v>
      </c>
      <c r="Y3125" s="8"/>
      <c r="Z3125" s="8"/>
    </row>
    <row r="3126" spans="1:26" ht="12.75" customHeight="1" x14ac:dyDescent="0.2">
      <c r="A3126" s="15">
        <v>143</v>
      </c>
      <c r="B3126" s="15">
        <v>1993</v>
      </c>
      <c r="C3126" s="15">
        <v>6</v>
      </c>
      <c r="D3126" s="15">
        <v>8</v>
      </c>
      <c r="E3126" s="22" t="s">
        <v>17</v>
      </c>
      <c r="F3126" s="11" t="s">
        <v>18</v>
      </c>
      <c r="G3126" s="15">
        <v>151</v>
      </c>
      <c r="H3126" s="15" t="s">
        <v>29</v>
      </c>
      <c r="I3126" s="25">
        <v>9.5</v>
      </c>
      <c r="J3126" s="11" t="s">
        <v>19</v>
      </c>
      <c r="K3126" s="11" t="s">
        <v>20</v>
      </c>
      <c r="L3126" s="11" t="s">
        <v>21</v>
      </c>
      <c r="M3126" s="11" t="s">
        <v>29</v>
      </c>
      <c r="N3126" s="11" t="s">
        <v>29</v>
      </c>
      <c r="O3126" s="16" t="s">
        <v>29</v>
      </c>
      <c r="P3126" s="15">
        <v>218</v>
      </c>
      <c r="Q3126" s="8"/>
      <c r="R3126">
        <v>14.09</v>
      </c>
      <c r="S3126">
        <v>2796.25</v>
      </c>
      <c r="T3126">
        <v>3.4</v>
      </c>
      <c r="U3126">
        <v>10.119999999999999</v>
      </c>
      <c r="V3126">
        <v>141</v>
      </c>
      <c r="W3126" s="317">
        <v>3.9</v>
      </c>
      <c r="X3126" s="190">
        <f t="shared" si="143"/>
        <v>37.049999999999997</v>
      </c>
      <c r="Y3126" s="8"/>
      <c r="Z3126" s="8"/>
    </row>
    <row r="3127" spans="1:26" ht="12.75" customHeight="1" x14ac:dyDescent="0.2">
      <c r="A3127" s="15">
        <v>144</v>
      </c>
      <c r="B3127" s="15">
        <v>1993</v>
      </c>
      <c r="C3127" s="15">
        <v>6</v>
      </c>
      <c r="D3127" s="15">
        <v>8</v>
      </c>
      <c r="E3127" s="22" t="s">
        <v>17</v>
      </c>
      <c r="F3127" s="23" t="s">
        <v>18</v>
      </c>
      <c r="G3127" s="15">
        <v>151</v>
      </c>
      <c r="H3127" s="15" t="s">
        <v>29</v>
      </c>
      <c r="I3127" s="25">
        <v>9</v>
      </c>
      <c r="J3127" s="11" t="s">
        <v>19</v>
      </c>
      <c r="K3127" s="11" t="s">
        <v>20</v>
      </c>
      <c r="L3127" s="11" t="s">
        <v>21</v>
      </c>
      <c r="M3127" s="11" t="s">
        <v>29</v>
      </c>
      <c r="N3127" s="23" t="s">
        <v>25</v>
      </c>
      <c r="O3127" s="16" t="s">
        <v>29</v>
      </c>
      <c r="P3127" s="15">
        <v>218</v>
      </c>
      <c r="Q3127" s="8"/>
      <c r="R3127">
        <v>14.09</v>
      </c>
      <c r="S3127">
        <v>2796.25</v>
      </c>
      <c r="T3127">
        <v>3.22</v>
      </c>
      <c r="U3127">
        <v>10.119999999999999</v>
      </c>
      <c r="V3127">
        <v>141</v>
      </c>
      <c r="W3127" s="317">
        <v>3.9</v>
      </c>
      <c r="X3127" s="190">
        <f t="shared" si="143"/>
        <v>35.1</v>
      </c>
      <c r="Y3127" s="8"/>
      <c r="Z3127" s="8"/>
    </row>
    <row r="3128" spans="1:26" ht="12.75" customHeight="1" x14ac:dyDescent="0.2">
      <c r="A3128" s="15">
        <v>145</v>
      </c>
      <c r="B3128" s="15">
        <v>1993</v>
      </c>
      <c r="C3128" s="15">
        <v>6</v>
      </c>
      <c r="D3128" s="15">
        <v>8</v>
      </c>
      <c r="E3128" s="22" t="s">
        <v>17</v>
      </c>
      <c r="F3128" s="11" t="s">
        <v>18</v>
      </c>
      <c r="G3128" s="15">
        <v>155</v>
      </c>
      <c r="H3128" s="15" t="s">
        <v>29</v>
      </c>
      <c r="I3128" s="25">
        <v>19</v>
      </c>
      <c r="J3128" s="11" t="s">
        <v>19</v>
      </c>
      <c r="K3128" s="11" t="s">
        <v>20</v>
      </c>
      <c r="L3128" s="11" t="s">
        <v>30</v>
      </c>
      <c r="M3128" s="11" t="s">
        <v>29</v>
      </c>
      <c r="N3128" s="11" t="s">
        <v>29</v>
      </c>
      <c r="O3128" s="16" t="s">
        <v>29</v>
      </c>
      <c r="P3128" s="15">
        <v>218</v>
      </c>
      <c r="Q3128" s="8"/>
      <c r="R3128">
        <v>14.46</v>
      </c>
      <c r="S3128">
        <v>3024.41</v>
      </c>
      <c r="T3128">
        <v>6.28</v>
      </c>
      <c r="U3128">
        <v>10.39</v>
      </c>
      <c r="V3128">
        <v>145</v>
      </c>
      <c r="W3128" s="317">
        <v>4.5999999999999996</v>
      </c>
      <c r="X3128" s="190">
        <f t="shared" si="143"/>
        <v>87.399999999999991</v>
      </c>
      <c r="Y3128" s="8"/>
      <c r="Z3128" s="8"/>
    </row>
    <row r="3129" spans="1:26" ht="12.75" customHeight="1" x14ac:dyDescent="0.2">
      <c r="A3129" s="15">
        <v>146</v>
      </c>
      <c r="B3129" s="15">
        <v>1993</v>
      </c>
      <c r="C3129" s="15">
        <v>6</v>
      </c>
      <c r="D3129" s="15">
        <v>8</v>
      </c>
      <c r="E3129" s="22" t="s">
        <v>17</v>
      </c>
      <c r="F3129" s="11" t="s">
        <v>28</v>
      </c>
      <c r="G3129" s="11" t="s">
        <v>29</v>
      </c>
      <c r="H3129" s="15" t="s">
        <v>29</v>
      </c>
      <c r="I3129" s="25" t="s">
        <v>29</v>
      </c>
      <c r="J3129" s="11" t="s">
        <v>19</v>
      </c>
      <c r="K3129" s="11" t="s">
        <v>20</v>
      </c>
      <c r="L3129" s="11" t="s">
        <v>30</v>
      </c>
      <c r="M3129" s="11" t="s">
        <v>29</v>
      </c>
      <c r="N3129" s="11" t="s">
        <v>29</v>
      </c>
      <c r="O3129" s="16" t="s">
        <v>29</v>
      </c>
      <c r="P3129" s="15">
        <v>218</v>
      </c>
      <c r="Q3129" s="8"/>
      <c r="W3129" s="317">
        <v>4.5999999999999996</v>
      </c>
      <c r="X3129" s="190"/>
      <c r="Y3129" s="8"/>
      <c r="Z3129" s="8"/>
    </row>
    <row r="3130" spans="1:26" ht="12.75" customHeight="1" x14ac:dyDescent="0.2">
      <c r="A3130" s="15">
        <v>147</v>
      </c>
      <c r="B3130" s="15">
        <v>1993</v>
      </c>
      <c r="C3130" s="15">
        <v>6</v>
      </c>
      <c r="D3130" s="15">
        <v>8</v>
      </c>
      <c r="E3130" s="22" t="s">
        <v>17</v>
      </c>
      <c r="F3130" s="11" t="s">
        <v>18</v>
      </c>
      <c r="G3130" s="15">
        <v>159</v>
      </c>
      <c r="H3130" s="15" t="s">
        <v>29</v>
      </c>
      <c r="I3130" s="25">
        <v>20.5</v>
      </c>
      <c r="J3130" s="11" t="s">
        <v>19</v>
      </c>
      <c r="K3130" s="11" t="s">
        <v>34</v>
      </c>
      <c r="L3130" s="11" t="s">
        <v>41</v>
      </c>
      <c r="M3130" s="11" t="s">
        <v>29</v>
      </c>
      <c r="N3130" s="11" t="s">
        <v>29</v>
      </c>
      <c r="O3130" s="16" t="s">
        <v>29</v>
      </c>
      <c r="P3130" s="15">
        <v>218</v>
      </c>
      <c r="Q3130" s="8"/>
      <c r="R3130">
        <v>14.83</v>
      </c>
      <c r="S3130">
        <v>3264.65</v>
      </c>
      <c r="T3130">
        <v>6.28</v>
      </c>
      <c r="U3130">
        <v>10.65</v>
      </c>
      <c r="V3130">
        <v>148</v>
      </c>
      <c r="W3130" s="317">
        <v>3.8</v>
      </c>
      <c r="X3130" s="190">
        <f>I3130*W3130</f>
        <v>77.899999999999991</v>
      </c>
      <c r="Y3130" s="8"/>
      <c r="Z3130" s="8"/>
    </row>
    <row r="3131" spans="1:26" ht="12.75" customHeight="1" x14ac:dyDescent="0.2">
      <c r="A3131" s="15">
        <v>148</v>
      </c>
      <c r="B3131" s="15">
        <v>1993</v>
      </c>
      <c r="C3131" s="15">
        <v>6</v>
      </c>
      <c r="D3131" s="15">
        <v>8</v>
      </c>
      <c r="E3131" s="22" t="s">
        <v>17</v>
      </c>
      <c r="F3131" s="11" t="s">
        <v>18</v>
      </c>
      <c r="G3131" s="15">
        <v>150</v>
      </c>
      <c r="H3131" s="15" t="s">
        <v>29</v>
      </c>
      <c r="I3131" s="25">
        <v>14.5</v>
      </c>
      <c r="J3131" s="11" t="s">
        <v>19</v>
      </c>
      <c r="K3131" s="11" t="s">
        <v>20</v>
      </c>
      <c r="L3131" s="11" t="s">
        <v>30</v>
      </c>
      <c r="M3131" s="11" t="s">
        <v>29</v>
      </c>
      <c r="N3131" s="11" t="s">
        <v>29</v>
      </c>
      <c r="O3131" s="16" t="s">
        <v>29</v>
      </c>
      <c r="P3131" s="15">
        <v>218</v>
      </c>
      <c r="Q3131" s="8"/>
      <c r="R3131">
        <v>14</v>
      </c>
      <c r="S3131">
        <v>2741.06</v>
      </c>
      <c r="T3131">
        <v>5.29</v>
      </c>
      <c r="U3131">
        <v>10.050000000000001</v>
      </c>
      <c r="V3131">
        <v>140</v>
      </c>
      <c r="W3131" s="317">
        <v>4.5999999999999996</v>
      </c>
      <c r="X3131" s="190">
        <f>I3131*W3131</f>
        <v>66.699999999999989</v>
      </c>
      <c r="Y3131" s="8"/>
      <c r="Z3131" s="8"/>
    </row>
    <row r="3132" spans="1:26" ht="12.75" customHeight="1" x14ac:dyDescent="0.2">
      <c r="A3132" s="15">
        <v>149</v>
      </c>
      <c r="B3132" s="15">
        <v>1993</v>
      </c>
      <c r="C3132" s="15">
        <v>6</v>
      </c>
      <c r="D3132" s="15">
        <v>8</v>
      </c>
      <c r="E3132" s="22" t="s">
        <v>17</v>
      </c>
      <c r="F3132" s="11" t="s">
        <v>18</v>
      </c>
      <c r="G3132" s="15">
        <v>146</v>
      </c>
      <c r="H3132" s="15" t="s">
        <v>29</v>
      </c>
      <c r="I3132" s="25">
        <v>15</v>
      </c>
      <c r="J3132" s="11" t="s">
        <v>19</v>
      </c>
      <c r="K3132" s="11" t="s">
        <v>20</v>
      </c>
      <c r="L3132" s="11" t="s">
        <v>30</v>
      </c>
      <c r="M3132" s="11" t="s">
        <v>29</v>
      </c>
      <c r="N3132" s="11" t="s">
        <v>23</v>
      </c>
      <c r="O3132" s="16" t="s">
        <v>29</v>
      </c>
      <c r="P3132" s="15">
        <v>218</v>
      </c>
      <c r="Q3132" s="8"/>
      <c r="R3132">
        <v>13.62</v>
      </c>
      <c r="S3132">
        <v>2527.5700000000002</v>
      </c>
      <c r="T3132">
        <v>5.93</v>
      </c>
      <c r="U3132">
        <v>9.7799999999999994</v>
      </c>
      <c r="V3132">
        <v>136</v>
      </c>
      <c r="W3132" s="317">
        <v>4.5999999999999996</v>
      </c>
      <c r="X3132" s="190">
        <f>I3132*W3132</f>
        <v>69</v>
      </c>
      <c r="Y3132" s="8"/>
      <c r="Z3132" s="8"/>
    </row>
    <row r="3133" spans="1:26" ht="12.75" customHeight="1" x14ac:dyDescent="0.2">
      <c r="A3133" s="15">
        <v>150</v>
      </c>
      <c r="B3133" s="15">
        <v>1993</v>
      </c>
      <c r="C3133" s="15">
        <v>6</v>
      </c>
      <c r="D3133" s="15">
        <v>8</v>
      </c>
      <c r="E3133" s="22" t="s">
        <v>17</v>
      </c>
      <c r="F3133" s="11" t="s">
        <v>18</v>
      </c>
      <c r="G3133" s="15">
        <v>114</v>
      </c>
      <c r="H3133" s="15" t="s">
        <v>29</v>
      </c>
      <c r="I3133" s="25">
        <v>10</v>
      </c>
      <c r="J3133" s="11" t="s">
        <v>237</v>
      </c>
      <c r="K3133" s="11" t="s">
        <v>29</v>
      </c>
      <c r="L3133" s="11" t="s">
        <v>238</v>
      </c>
      <c r="M3133" s="11" t="s">
        <v>29</v>
      </c>
      <c r="N3133" s="11" t="s">
        <v>29</v>
      </c>
      <c r="O3133" s="16" t="s">
        <v>29</v>
      </c>
      <c r="P3133" s="15">
        <v>218</v>
      </c>
      <c r="Q3133" s="8"/>
      <c r="R3133">
        <v>10.64</v>
      </c>
      <c r="S3133">
        <v>1203.26</v>
      </c>
      <c r="T3133">
        <v>8.31</v>
      </c>
      <c r="U3133">
        <v>7.64</v>
      </c>
      <c r="V3133">
        <v>106</v>
      </c>
      <c r="W3133" s="8"/>
      <c r="X3133" s="8"/>
      <c r="Y3133" s="8"/>
      <c r="Z3133" s="8"/>
    </row>
    <row r="3134" spans="1:26" ht="12.75" customHeight="1" x14ac:dyDescent="0.2">
      <c r="A3134" s="15">
        <v>151</v>
      </c>
      <c r="B3134" s="15">
        <v>1993</v>
      </c>
      <c r="C3134" s="15">
        <v>5</v>
      </c>
      <c r="D3134" s="15">
        <v>8</v>
      </c>
      <c r="E3134" s="22" t="s">
        <v>17</v>
      </c>
      <c r="F3134" s="11" t="s">
        <v>18</v>
      </c>
      <c r="G3134" s="15">
        <v>145</v>
      </c>
      <c r="H3134" s="15" t="s">
        <v>29</v>
      </c>
      <c r="I3134" s="25">
        <v>13.5</v>
      </c>
      <c r="J3134" s="11" t="s">
        <v>19</v>
      </c>
      <c r="K3134" s="11" t="s">
        <v>20</v>
      </c>
      <c r="L3134" s="11" t="s">
        <v>30</v>
      </c>
      <c r="M3134" s="11" t="s">
        <v>29</v>
      </c>
      <c r="N3134" s="11" t="s">
        <v>29</v>
      </c>
      <c r="O3134" s="16" t="s">
        <v>29</v>
      </c>
      <c r="P3134" s="15">
        <v>217</v>
      </c>
      <c r="Q3134" s="8"/>
      <c r="R3134">
        <v>13.53</v>
      </c>
      <c r="S3134">
        <v>2475.9899999999998</v>
      </c>
      <c r="T3134">
        <v>5.45</v>
      </c>
      <c r="U3134">
        <v>9.7200000000000006</v>
      </c>
      <c r="V3134">
        <v>135</v>
      </c>
      <c r="W3134" s="317">
        <v>4.5999999999999996</v>
      </c>
      <c r="X3134" s="190">
        <f t="shared" ref="X3134:X3142" si="144">I3134*W3134</f>
        <v>62.099999999999994</v>
      </c>
      <c r="Y3134" s="8"/>
      <c r="Z3134" s="8"/>
    </row>
    <row r="3135" spans="1:26" ht="12.75" customHeight="1" x14ac:dyDescent="0.2">
      <c r="A3135" s="15">
        <v>152</v>
      </c>
      <c r="B3135" s="15">
        <v>1993</v>
      </c>
      <c r="C3135" s="15">
        <v>5</v>
      </c>
      <c r="D3135" s="15">
        <v>8</v>
      </c>
      <c r="E3135" s="22" t="s">
        <v>17</v>
      </c>
      <c r="F3135" s="11" t="s">
        <v>18</v>
      </c>
      <c r="G3135" s="15">
        <v>148</v>
      </c>
      <c r="H3135" s="15" t="s">
        <v>29</v>
      </c>
      <c r="I3135" s="25">
        <v>11.5</v>
      </c>
      <c r="J3135" s="11" t="s">
        <v>19</v>
      </c>
      <c r="K3135" s="11" t="s">
        <v>20</v>
      </c>
      <c r="L3135" s="11" t="s">
        <v>21</v>
      </c>
      <c r="M3135" s="11" t="s">
        <v>29</v>
      </c>
      <c r="N3135" s="11" t="s">
        <v>29</v>
      </c>
      <c r="O3135" s="16" t="s">
        <v>29</v>
      </c>
      <c r="P3135" s="15">
        <v>217</v>
      </c>
      <c r="Q3135" s="8"/>
      <c r="R3135">
        <v>13.81</v>
      </c>
      <c r="S3135">
        <v>2632.87</v>
      </c>
      <c r="T3135">
        <v>4.37</v>
      </c>
      <c r="U3135">
        <v>9.92</v>
      </c>
      <c r="V3135">
        <v>138</v>
      </c>
      <c r="W3135" s="317">
        <v>3.9</v>
      </c>
      <c r="X3135" s="190">
        <f t="shared" si="144"/>
        <v>44.85</v>
      </c>
      <c r="Y3135" s="8"/>
      <c r="Z3135" s="8"/>
    </row>
    <row r="3136" spans="1:26" ht="12.75" customHeight="1" x14ac:dyDescent="0.2">
      <c r="A3136" s="15">
        <v>1</v>
      </c>
      <c r="B3136" s="15">
        <v>1992</v>
      </c>
      <c r="C3136" s="15">
        <v>10</v>
      </c>
      <c r="D3136" s="15">
        <v>8</v>
      </c>
      <c r="E3136" s="40">
        <v>0.41666666666666669</v>
      </c>
      <c r="F3136" s="23" t="s">
        <v>18</v>
      </c>
      <c r="G3136" s="15">
        <v>120</v>
      </c>
      <c r="H3136" s="15" t="s">
        <v>29</v>
      </c>
      <c r="I3136" s="41">
        <v>7.1</v>
      </c>
      <c r="J3136" s="11" t="s">
        <v>19</v>
      </c>
      <c r="K3136" s="23" t="s">
        <v>20</v>
      </c>
      <c r="L3136" s="23" t="s">
        <v>30</v>
      </c>
      <c r="M3136" s="11" t="s">
        <v>29</v>
      </c>
      <c r="N3136" s="23" t="s">
        <v>24</v>
      </c>
      <c r="O3136" s="42" t="s">
        <v>29</v>
      </c>
      <c r="P3136" s="15">
        <v>223</v>
      </c>
      <c r="Q3136" s="8"/>
      <c r="R3136">
        <v>11.2</v>
      </c>
      <c r="S3136">
        <v>1403.42</v>
      </c>
      <c r="T3136">
        <v>5.0599999999999996</v>
      </c>
      <c r="U3136">
        <v>8.0399999999999991</v>
      </c>
      <c r="V3136">
        <v>112</v>
      </c>
      <c r="W3136" s="317">
        <v>4.5999999999999996</v>
      </c>
      <c r="X3136" s="190">
        <f t="shared" si="144"/>
        <v>32.659999999999997</v>
      </c>
      <c r="Y3136" s="8"/>
      <c r="Z3136" s="8"/>
    </row>
    <row r="3137" spans="1:26" ht="12.75" customHeight="1" x14ac:dyDescent="0.2">
      <c r="A3137" s="15">
        <v>2</v>
      </c>
      <c r="B3137" s="15">
        <v>1992</v>
      </c>
      <c r="C3137" s="15">
        <v>10</v>
      </c>
      <c r="D3137" s="15">
        <v>8</v>
      </c>
      <c r="E3137" s="40">
        <v>0.41666666666666669</v>
      </c>
      <c r="F3137" s="23" t="s">
        <v>18</v>
      </c>
      <c r="G3137" s="15">
        <v>134</v>
      </c>
      <c r="H3137" s="15" t="s">
        <v>29</v>
      </c>
      <c r="I3137" s="41">
        <v>10.4</v>
      </c>
      <c r="J3137" s="11" t="s">
        <v>19</v>
      </c>
      <c r="K3137" s="23" t="s">
        <v>20</v>
      </c>
      <c r="L3137" s="23" t="s">
        <v>30</v>
      </c>
      <c r="M3137" s="11" t="s">
        <v>29</v>
      </c>
      <c r="N3137" s="23" t="s">
        <v>23</v>
      </c>
      <c r="O3137" s="42" t="s">
        <v>29</v>
      </c>
      <c r="P3137" s="15">
        <v>223</v>
      </c>
      <c r="Q3137" s="8"/>
      <c r="R3137">
        <v>12.5</v>
      </c>
      <c r="S3137">
        <v>1954.16</v>
      </c>
      <c r="T3137">
        <v>5.32</v>
      </c>
      <c r="U3137">
        <v>8.98</v>
      </c>
      <c r="V3137">
        <v>125</v>
      </c>
      <c r="W3137" s="317">
        <v>4.5999999999999996</v>
      </c>
      <c r="X3137" s="190">
        <f t="shared" si="144"/>
        <v>47.839999999999996</v>
      </c>
      <c r="Y3137" s="8"/>
      <c r="Z3137" s="8"/>
    </row>
    <row r="3138" spans="1:26" ht="12.75" customHeight="1" x14ac:dyDescent="0.2">
      <c r="A3138" s="15">
        <v>3</v>
      </c>
      <c r="B3138" s="15">
        <v>1992</v>
      </c>
      <c r="C3138" s="15">
        <v>10</v>
      </c>
      <c r="D3138" s="15">
        <v>8</v>
      </c>
      <c r="E3138" s="40">
        <v>0.41666666666666669</v>
      </c>
      <c r="F3138" s="23" t="s">
        <v>18</v>
      </c>
      <c r="G3138" s="15">
        <v>135</v>
      </c>
      <c r="H3138" s="15" t="s">
        <v>29</v>
      </c>
      <c r="I3138" s="41">
        <v>10.8</v>
      </c>
      <c r="J3138" s="11" t="s">
        <v>19</v>
      </c>
      <c r="K3138" s="23" t="s">
        <v>20</v>
      </c>
      <c r="L3138" s="11" t="s">
        <v>21</v>
      </c>
      <c r="M3138" s="11" t="s">
        <v>29</v>
      </c>
      <c r="N3138" s="23" t="s">
        <v>23</v>
      </c>
      <c r="O3138" s="42" t="s">
        <v>29</v>
      </c>
      <c r="P3138" s="15">
        <v>223</v>
      </c>
      <c r="Q3138" s="8"/>
      <c r="R3138">
        <v>12.6</v>
      </c>
      <c r="S3138">
        <v>1998.23</v>
      </c>
      <c r="T3138">
        <v>5.4</v>
      </c>
      <c r="U3138">
        <v>9.0500000000000007</v>
      </c>
      <c r="V3138">
        <v>126</v>
      </c>
      <c r="W3138" s="317">
        <v>3.9</v>
      </c>
      <c r="X3138" s="190">
        <f t="shared" si="144"/>
        <v>42.120000000000005</v>
      </c>
      <c r="Y3138" s="8"/>
      <c r="Z3138" s="8"/>
    </row>
    <row r="3139" spans="1:26" ht="12.75" customHeight="1" x14ac:dyDescent="0.2">
      <c r="A3139" s="15">
        <v>4</v>
      </c>
      <c r="B3139" s="15">
        <v>1992</v>
      </c>
      <c r="C3139" s="15">
        <v>10</v>
      </c>
      <c r="D3139" s="15">
        <v>8</v>
      </c>
      <c r="E3139" s="40">
        <v>0.41666666666666669</v>
      </c>
      <c r="F3139" s="23" t="s">
        <v>18</v>
      </c>
      <c r="G3139" s="15">
        <v>124</v>
      </c>
      <c r="H3139" s="15" t="s">
        <v>29</v>
      </c>
      <c r="I3139" s="41">
        <v>7.5</v>
      </c>
      <c r="J3139" s="11" t="s">
        <v>19</v>
      </c>
      <c r="K3139" s="23" t="s">
        <v>20</v>
      </c>
      <c r="L3139" s="11" t="s">
        <v>21</v>
      </c>
      <c r="M3139" s="11" t="s">
        <v>29</v>
      </c>
      <c r="N3139" s="23" t="s">
        <v>23</v>
      </c>
      <c r="O3139" s="42" t="s">
        <v>29</v>
      </c>
      <c r="P3139" s="15">
        <v>223</v>
      </c>
      <c r="Q3139" s="8"/>
      <c r="R3139">
        <v>11.57</v>
      </c>
      <c r="S3139">
        <v>1548.5</v>
      </c>
      <c r="T3139">
        <v>4.84</v>
      </c>
      <c r="U3139">
        <v>8.31</v>
      </c>
      <c r="V3139">
        <v>116</v>
      </c>
      <c r="W3139" s="317">
        <v>3.9</v>
      </c>
      <c r="X3139" s="190">
        <f t="shared" si="144"/>
        <v>29.25</v>
      </c>
      <c r="Y3139" s="8"/>
      <c r="Z3139" s="8"/>
    </row>
    <row r="3140" spans="1:26" ht="12.75" customHeight="1" x14ac:dyDescent="0.2">
      <c r="A3140" s="15">
        <v>5</v>
      </c>
      <c r="B3140" s="15">
        <v>1992</v>
      </c>
      <c r="C3140" s="15">
        <v>10</v>
      </c>
      <c r="D3140" s="15">
        <v>8</v>
      </c>
      <c r="E3140" s="40">
        <v>0.41666666666666669</v>
      </c>
      <c r="F3140" s="23" t="s">
        <v>18</v>
      </c>
      <c r="G3140" s="15">
        <v>147</v>
      </c>
      <c r="H3140" s="15" t="s">
        <v>29</v>
      </c>
      <c r="I3140" s="41">
        <v>14</v>
      </c>
      <c r="J3140" s="11" t="s">
        <v>19</v>
      </c>
      <c r="K3140" s="23" t="s">
        <v>20</v>
      </c>
      <c r="L3140" s="11" t="s">
        <v>21</v>
      </c>
      <c r="M3140" s="11" t="s">
        <v>29</v>
      </c>
      <c r="N3140" s="23" t="s">
        <v>24</v>
      </c>
      <c r="O3140" s="42" t="s">
        <v>29</v>
      </c>
      <c r="P3140" s="15">
        <v>223</v>
      </c>
      <c r="Q3140" s="8"/>
      <c r="R3140">
        <v>13.72</v>
      </c>
      <c r="S3140">
        <v>2579.86</v>
      </c>
      <c r="T3140">
        <v>5.43</v>
      </c>
      <c r="U3140">
        <v>9.85</v>
      </c>
      <c r="V3140">
        <v>137</v>
      </c>
      <c r="W3140" s="317">
        <v>3.9</v>
      </c>
      <c r="X3140" s="190">
        <f t="shared" si="144"/>
        <v>54.6</v>
      </c>
      <c r="Y3140" s="8"/>
      <c r="Z3140" s="8"/>
    </row>
    <row r="3141" spans="1:26" ht="12.75" customHeight="1" x14ac:dyDescent="0.2">
      <c r="A3141" s="15">
        <v>6</v>
      </c>
      <c r="B3141" s="15">
        <v>1992</v>
      </c>
      <c r="C3141" s="15">
        <v>10</v>
      </c>
      <c r="D3141" s="15">
        <v>8</v>
      </c>
      <c r="E3141" s="40">
        <v>0.41666666666666669</v>
      </c>
      <c r="F3141" s="23" t="s">
        <v>18</v>
      </c>
      <c r="G3141" s="15">
        <v>160</v>
      </c>
      <c r="H3141" s="15" t="s">
        <v>29</v>
      </c>
      <c r="I3141" s="41">
        <v>14.5</v>
      </c>
      <c r="J3141" s="11" t="s">
        <v>19</v>
      </c>
      <c r="K3141" s="23" t="s">
        <v>20</v>
      </c>
      <c r="L3141" s="23" t="s">
        <v>30</v>
      </c>
      <c r="M3141" s="11" t="s">
        <v>29</v>
      </c>
      <c r="N3141" s="23" t="s">
        <v>24</v>
      </c>
      <c r="O3141" s="42" t="s">
        <v>29</v>
      </c>
      <c r="P3141" s="15">
        <v>223</v>
      </c>
      <c r="Q3141" s="8"/>
      <c r="R3141">
        <v>14.93</v>
      </c>
      <c r="S3141">
        <v>3326.63</v>
      </c>
      <c r="T3141">
        <v>4.3600000000000003</v>
      </c>
      <c r="U3141">
        <v>10.72</v>
      </c>
      <c r="V3141">
        <v>149</v>
      </c>
      <c r="W3141" s="317">
        <v>4.5999999999999996</v>
      </c>
      <c r="X3141" s="190">
        <f t="shared" si="144"/>
        <v>66.699999999999989</v>
      </c>
      <c r="Y3141" s="8"/>
      <c r="Z3141" s="8"/>
    </row>
    <row r="3142" spans="1:26" ht="12.75" customHeight="1" x14ac:dyDescent="0.2">
      <c r="A3142" s="15">
        <v>7</v>
      </c>
      <c r="B3142" s="15">
        <v>1992</v>
      </c>
      <c r="C3142" s="15">
        <v>10</v>
      </c>
      <c r="D3142" s="15">
        <v>8</v>
      </c>
      <c r="E3142" s="40">
        <v>0.41666666666666669</v>
      </c>
      <c r="F3142" s="23" t="s">
        <v>18</v>
      </c>
      <c r="G3142" s="15">
        <v>192</v>
      </c>
      <c r="H3142" s="15" t="s">
        <v>29</v>
      </c>
      <c r="I3142" s="41">
        <v>19.2</v>
      </c>
      <c r="J3142" s="11" t="s">
        <v>19</v>
      </c>
      <c r="K3142" s="23" t="s">
        <v>34</v>
      </c>
      <c r="L3142" s="11" t="s">
        <v>41</v>
      </c>
      <c r="M3142" s="11" t="s">
        <v>29</v>
      </c>
      <c r="N3142" s="23" t="s">
        <v>24</v>
      </c>
      <c r="O3142" s="42" t="s">
        <v>29</v>
      </c>
      <c r="P3142" s="15">
        <v>223</v>
      </c>
      <c r="Q3142" s="8"/>
      <c r="R3142">
        <v>17.91</v>
      </c>
      <c r="S3142">
        <v>5748.42</v>
      </c>
      <c r="T3142">
        <v>3.34</v>
      </c>
      <c r="U3142">
        <v>12.86</v>
      </c>
      <c r="V3142">
        <v>179</v>
      </c>
      <c r="W3142" s="317">
        <v>3.8</v>
      </c>
      <c r="X3142" s="190">
        <f t="shared" si="144"/>
        <v>72.959999999999994</v>
      </c>
      <c r="Y3142" s="8"/>
      <c r="Z3142" s="8"/>
    </row>
    <row r="3143" spans="1:26" ht="12.75" customHeight="1" x14ac:dyDescent="0.2">
      <c r="A3143" s="15">
        <v>8</v>
      </c>
      <c r="B3143" s="15">
        <v>1992</v>
      </c>
      <c r="C3143" s="15">
        <v>10</v>
      </c>
      <c r="D3143" s="15">
        <v>8</v>
      </c>
      <c r="E3143" s="40">
        <v>0.41666666666666669</v>
      </c>
      <c r="F3143" s="23" t="s">
        <v>18</v>
      </c>
      <c r="G3143" s="15">
        <v>138</v>
      </c>
      <c r="H3143" s="15" t="s">
        <v>29</v>
      </c>
      <c r="I3143" s="41">
        <v>14</v>
      </c>
      <c r="J3143" s="11" t="s">
        <v>19</v>
      </c>
      <c r="K3143" s="23" t="s">
        <v>20</v>
      </c>
      <c r="L3143" s="23" t="s">
        <v>30</v>
      </c>
      <c r="M3143" s="11" t="s">
        <v>29</v>
      </c>
      <c r="N3143" s="23" t="s">
        <v>25</v>
      </c>
      <c r="O3143" s="42" t="s">
        <v>29</v>
      </c>
      <c r="P3143" s="15">
        <v>223</v>
      </c>
      <c r="Q3143" s="8"/>
      <c r="R3143">
        <v>12.88</v>
      </c>
      <c r="S3143">
        <v>2134.4299999999998</v>
      </c>
      <c r="T3143">
        <v>6.56</v>
      </c>
      <c r="U3143">
        <v>9.25</v>
      </c>
      <c r="V3143">
        <v>129</v>
      </c>
      <c r="W3143" s="317">
        <v>4.5999999999999996</v>
      </c>
      <c r="X3143" s="190">
        <f>I3143*W3143</f>
        <v>64.399999999999991</v>
      </c>
      <c r="Y3143" s="8"/>
      <c r="Z3143" s="8"/>
    </row>
    <row r="3144" spans="1:26" ht="12.75" customHeight="1" x14ac:dyDescent="0.2">
      <c r="A3144" s="15">
        <v>9</v>
      </c>
      <c r="B3144" s="15">
        <v>1992</v>
      </c>
      <c r="C3144" s="15">
        <v>10</v>
      </c>
      <c r="D3144" s="15">
        <v>8</v>
      </c>
      <c r="E3144" s="40">
        <v>0.41666666666666669</v>
      </c>
      <c r="F3144" s="23" t="s">
        <v>18</v>
      </c>
      <c r="G3144" s="15">
        <v>130</v>
      </c>
      <c r="H3144" s="15" t="s">
        <v>29</v>
      </c>
      <c r="I3144" s="41">
        <v>9.6999999999999993</v>
      </c>
      <c r="J3144" s="11" t="s">
        <v>19</v>
      </c>
      <c r="K3144" s="23" t="s">
        <v>20</v>
      </c>
      <c r="L3144" s="11" t="s">
        <v>21</v>
      </c>
      <c r="M3144" s="11" t="s">
        <v>29</v>
      </c>
      <c r="N3144" s="11" t="s">
        <v>29</v>
      </c>
      <c r="O3144" s="42" t="s">
        <v>29</v>
      </c>
      <c r="P3144" s="15">
        <v>223</v>
      </c>
      <c r="Q3144" s="8"/>
      <c r="R3144">
        <v>12.13</v>
      </c>
      <c r="S3144">
        <v>1784.33</v>
      </c>
      <c r="T3144">
        <v>5.44</v>
      </c>
      <c r="U3144">
        <v>8.7100000000000009</v>
      </c>
      <c r="V3144">
        <v>121</v>
      </c>
      <c r="W3144" s="317">
        <v>3.9</v>
      </c>
      <c r="X3144" s="190">
        <f>I3144*W3144</f>
        <v>37.83</v>
      </c>
      <c r="Y3144" s="8"/>
      <c r="Z3144" s="8"/>
    </row>
    <row r="3145" spans="1:26" ht="12.75" customHeight="1" x14ac:dyDescent="0.2">
      <c r="A3145" s="15">
        <v>10</v>
      </c>
      <c r="B3145" s="15">
        <v>1992</v>
      </c>
      <c r="C3145" s="15">
        <v>10</v>
      </c>
      <c r="D3145" s="15">
        <v>8</v>
      </c>
      <c r="E3145" s="40">
        <v>0.41666666666666669</v>
      </c>
      <c r="F3145" s="23" t="s">
        <v>18</v>
      </c>
      <c r="G3145" s="15">
        <v>111</v>
      </c>
      <c r="H3145" s="15" t="s">
        <v>29</v>
      </c>
      <c r="I3145" s="41">
        <v>5.2</v>
      </c>
      <c r="J3145" s="11" t="s">
        <v>19</v>
      </c>
      <c r="K3145" s="11" t="s">
        <v>41</v>
      </c>
      <c r="L3145" s="23" t="s">
        <v>35</v>
      </c>
      <c r="M3145" s="11" t="s">
        <v>29</v>
      </c>
      <c r="N3145" s="23" t="s">
        <v>25</v>
      </c>
      <c r="O3145" s="42" t="s">
        <v>29</v>
      </c>
      <c r="P3145" s="15">
        <v>223</v>
      </c>
      <c r="Q3145" s="8"/>
      <c r="R3145">
        <v>10.36</v>
      </c>
      <c r="S3145">
        <v>1110.74</v>
      </c>
      <c r="T3145">
        <v>4.68</v>
      </c>
      <c r="U3145">
        <v>7.44</v>
      </c>
      <c r="V3145">
        <v>104</v>
      </c>
      <c r="W3145" s="8"/>
      <c r="X3145" s="8"/>
      <c r="Y3145" s="8"/>
      <c r="Z3145" s="8"/>
    </row>
    <row r="3146" spans="1:26" ht="12.75" customHeight="1" x14ac:dyDescent="0.2">
      <c r="A3146" s="15">
        <v>11</v>
      </c>
      <c r="B3146" s="15">
        <v>1992</v>
      </c>
      <c r="C3146" s="15">
        <v>9</v>
      </c>
      <c r="D3146" s="15">
        <v>8</v>
      </c>
      <c r="E3146" s="43" t="s">
        <v>17</v>
      </c>
      <c r="F3146" s="23" t="s">
        <v>18</v>
      </c>
      <c r="G3146" s="15">
        <v>97</v>
      </c>
      <c r="H3146" s="15" t="s">
        <v>29</v>
      </c>
      <c r="I3146" s="41">
        <v>5</v>
      </c>
      <c r="J3146" s="11" t="s">
        <v>19</v>
      </c>
      <c r="K3146" s="11" t="s">
        <v>41</v>
      </c>
      <c r="L3146" s="23" t="s">
        <v>35</v>
      </c>
      <c r="M3146" s="11" t="s">
        <v>29</v>
      </c>
      <c r="N3146" s="11" t="s">
        <v>29</v>
      </c>
      <c r="O3146" s="42" t="s">
        <v>29</v>
      </c>
      <c r="P3146" s="15">
        <v>222</v>
      </c>
      <c r="Q3146" s="8"/>
      <c r="R3146">
        <v>9.0500000000000007</v>
      </c>
      <c r="S3146">
        <v>741.24</v>
      </c>
      <c r="T3146">
        <v>6.75</v>
      </c>
      <c r="U3146">
        <v>6.5</v>
      </c>
      <c r="V3146">
        <v>91</v>
      </c>
      <c r="W3146" s="8"/>
      <c r="X3146" s="8"/>
      <c r="Y3146" s="8"/>
      <c r="Z3146" s="8"/>
    </row>
    <row r="3147" spans="1:26" ht="12.75" customHeight="1" x14ac:dyDescent="0.2">
      <c r="A3147" s="15">
        <v>12</v>
      </c>
      <c r="B3147" s="15">
        <v>1992</v>
      </c>
      <c r="C3147" s="15">
        <v>9</v>
      </c>
      <c r="D3147" s="15">
        <v>8</v>
      </c>
      <c r="E3147" s="43" t="s">
        <v>17</v>
      </c>
      <c r="F3147" s="23" t="s">
        <v>18</v>
      </c>
      <c r="G3147" s="15">
        <v>132</v>
      </c>
      <c r="H3147" s="15" t="s">
        <v>29</v>
      </c>
      <c r="I3147" s="41">
        <v>10.5</v>
      </c>
      <c r="J3147" s="11" t="s">
        <v>19</v>
      </c>
      <c r="K3147" s="23" t="s">
        <v>20</v>
      </c>
      <c r="L3147" s="23" t="s">
        <v>30</v>
      </c>
      <c r="M3147" s="11" t="s">
        <v>29</v>
      </c>
      <c r="N3147" s="11" t="s">
        <v>29</v>
      </c>
      <c r="O3147" s="42" t="s">
        <v>29</v>
      </c>
      <c r="P3147" s="15">
        <v>222</v>
      </c>
      <c r="Q3147" s="8"/>
      <c r="R3147">
        <v>12.32</v>
      </c>
      <c r="S3147">
        <v>1867.96</v>
      </c>
      <c r="T3147">
        <v>5.62</v>
      </c>
      <c r="U3147">
        <v>8.84</v>
      </c>
      <c r="V3147">
        <v>123</v>
      </c>
      <c r="W3147" s="317">
        <v>4.5999999999999996</v>
      </c>
      <c r="X3147" s="190">
        <f>I3147*W3147</f>
        <v>48.3</v>
      </c>
      <c r="Y3147" s="8"/>
      <c r="Z3147" s="8"/>
    </row>
    <row r="3148" spans="1:26" ht="12.75" customHeight="1" x14ac:dyDescent="0.2">
      <c r="A3148" s="15">
        <v>13</v>
      </c>
      <c r="B3148" s="15">
        <v>1992</v>
      </c>
      <c r="C3148" s="15">
        <v>9</v>
      </c>
      <c r="D3148" s="15">
        <v>8</v>
      </c>
      <c r="E3148" s="43" t="s">
        <v>17</v>
      </c>
      <c r="F3148" s="23" t="s">
        <v>18</v>
      </c>
      <c r="G3148" s="15">
        <v>150</v>
      </c>
      <c r="H3148" s="15" t="s">
        <v>29</v>
      </c>
      <c r="I3148" s="41">
        <v>14</v>
      </c>
      <c r="J3148" s="11" t="s">
        <v>19</v>
      </c>
      <c r="K3148" s="23" t="s">
        <v>20</v>
      </c>
      <c r="L3148" s="11" t="s">
        <v>21</v>
      </c>
      <c r="M3148" s="11" t="s">
        <v>29</v>
      </c>
      <c r="N3148" s="11" t="s">
        <v>29</v>
      </c>
      <c r="O3148" s="42" t="s">
        <v>29</v>
      </c>
      <c r="P3148" s="15">
        <v>222</v>
      </c>
      <c r="Q3148" s="8"/>
      <c r="R3148">
        <v>14</v>
      </c>
      <c r="S3148">
        <v>2741.06</v>
      </c>
      <c r="T3148">
        <v>5.1100000000000003</v>
      </c>
      <c r="U3148">
        <v>10.050000000000001</v>
      </c>
      <c r="V3148">
        <v>140</v>
      </c>
      <c r="W3148" s="317">
        <v>3.9</v>
      </c>
      <c r="X3148" s="190">
        <f>I3148*W3148</f>
        <v>54.6</v>
      </c>
      <c r="Y3148" s="8"/>
      <c r="Z3148" s="8"/>
    </row>
    <row r="3149" spans="1:26" ht="12.75" customHeight="1" x14ac:dyDescent="0.2">
      <c r="A3149" s="15">
        <v>14</v>
      </c>
      <c r="B3149" s="15">
        <v>1992</v>
      </c>
      <c r="C3149" s="15">
        <v>9</v>
      </c>
      <c r="D3149" s="15">
        <v>8</v>
      </c>
      <c r="E3149" s="43" t="s">
        <v>17</v>
      </c>
      <c r="F3149" s="23" t="s">
        <v>18</v>
      </c>
      <c r="G3149" s="15">
        <v>100</v>
      </c>
      <c r="H3149" s="15" t="s">
        <v>29</v>
      </c>
      <c r="I3149" s="41">
        <v>4</v>
      </c>
      <c r="J3149" s="11" t="s">
        <v>19</v>
      </c>
      <c r="K3149" s="11" t="s">
        <v>41</v>
      </c>
      <c r="L3149" s="23" t="s">
        <v>35</v>
      </c>
      <c r="M3149" s="11" t="s">
        <v>29</v>
      </c>
      <c r="N3149" s="11" t="s">
        <v>29</v>
      </c>
      <c r="O3149" s="42" t="s">
        <v>29</v>
      </c>
      <c r="P3149" s="15">
        <v>222</v>
      </c>
      <c r="Q3149" s="8"/>
      <c r="R3149">
        <v>9.33</v>
      </c>
      <c r="S3149">
        <v>812.17</v>
      </c>
      <c r="T3149">
        <v>4.93</v>
      </c>
      <c r="U3149">
        <v>6.7</v>
      </c>
      <c r="V3149">
        <v>93</v>
      </c>
      <c r="W3149" s="8"/>
      <c r="X3149" s="8"/>
      <c r="Y3149" s="8"/>
      <c r="Z3149" s="8"/>
    </row>
    <row r="3150" spans="1:26" ht="12.75" customHeight="1" x14ac:dyDescent="0.2">
      <c r="A3150" s="15">
        <v>15</v>
      </c>
      <c r="B3150" s="15">
        <v>1992</v>
      </c>
      <c r="C3150" s="15">
        <v>9</v>
      </c>
      <c r="D3150" s="15">
        <v>8</v>
      </c>
      <c r="E3150" s="43" t="s">
        <v>17</v>
      </c>
      <c r="F3150" s="23" t="s">
        <v>18</v>
      </c>
      <c r="G3150" s="15">
        <v>147</v>
      </c>
      <c r="H3150" s="15" t="s">
        <v>29</v>
      </c>
      <c r="I3150" s="41">
        <v>9</v>
      </c>
      <c r="J3150" s="11" t="s">
        <v>32</v>
      </c>
      <c r="K3150" s="11" t="s">
        <v>29</v>
      </c>
      <c r="L3150" s="11" t="s">
        <v>29</v>
      </c>
      <c r="M3150" s="11" t="s">
        <v>29</v>
      </c>
      <c r="N3150" s="23" t="s">
        <v>25</v>
      </c>
      <c r="O3150" s="42" t="s">
        <v>29</v>
      </c>
      <c r="P3150" s="15">
        <v>222</v>
      </c>
      <c r="Q3150" s="8"/>
      <c r="R3150">
        <v>13.72</v>
      </c>
      <c r="S3150">
        <v>2579.86</v>
      </c>
      <c r="T3150">
        <v>3.49</v>
      </c>
      <c r="U3150">
        <v>9.85</v>
      </c>
      <c r="V3150">
        <v>137</v>
      </c>
      <c r="W3150" s="8"/>
      <c r="X3150" s="8"/>
      <c r="Y3150" s="8"/>
      <c r="Z3150" s="8"/>
    </row>
    <row r="3151" spans="1:26" ht="12.75" customHeight="1" x14ac:dyDescent="0.2">
      <c r="A3151" s="15">
        <v>16</v>
      </c>
      <c r="B3151" s="15">
        <v>1992</v>
      </c>
      <c r="C3151" s="15">
        <v>9</v>
      </c>
      <c r="D3151" s="15">
        <v>8</v>
      </c>
      <c r="E3151" s="43" t="s">
        <v>17</v>
      </c>
      <c r="F3151" s="23" t="s">
        <v>18</v>
      </c>
      <c r="G3151" s="15">
        <v>119</v>
      </c>
      <c r="H3151" s="15" t="s">
        <v>29</v>
      </c>
      <c r="I3151" s="41">
        <v>9.5</v>
      </c>
      <c r="J3151" s="11" t="s">
        <v>19</v>
      </c>
      <c r="K3151" s="23" t="s">
        <v>20</v>
      </c>
      <c r="L3151" s="23" t="s">
        <v>30</v>
      </c>
      <c r="M3151" s="11" t="s">
        <v>29</v>
      </c>
      <c r="N3151" s="23" t="s">
        <v>25</v>
      </c>
      <c r="O3151" s="42" t="s">
        <v>29</v>
      </c>
      <c r="P3151" s="15">
        <v>222</v>
      </c>
      <c r="Q3151" s="8"/>
      <c r="R3151">
        <v>11.1</v>
      </c>
      <c r="S3151">
        <v>1368.63</v>
      </c>
      <c r="T3151">
        <v>6.94</v>
      </c>
      <c r="U3151">
        <v>7.97</v>
      </c>
      <c r="V3151">
        <v>111</v>
      </c>
      <c r="W3151" s="317">
        <v>4.5999999999999996</v>
      </c>
      <c r="X3151" s="190">
        <f>I3151*W3151</f>
        <v>43.699999999999996</v>
      </c>
      <c r="Y3151" s="8"/>
      <c r="Z3151" s="8"/>
    </row>
    <row r="3152" spans="1:26" ht="12.75" customHeight="1" x14ac:dyDescent="0.2">
      <c r="A3152" s="15">
        <v>17</v>
      </c>
      <c r="B3152" s="15">
        <v>1992</v>
      </c>
      <c r="C3152" s="15">
        <v>9</v>
      </c>
      <c r="D3152" s="15">
        <v>8</v>
      </c>
      <c r="E3152" s="43" t="s">
        <v>17</v>
      </c>
      <c r="F3152" s="23" t="s">
        <v>18</v>
      </c>
      <c r="G3152" s="15">
        <v>146</v>
      </c>
      <c r="H3152" s="15" t="s">
        <v>29</v>
      </c>
      <c r="I3152" s="41">
        <v>13.5</v>
      </c>
      <c r="J3152" s="11" t="s">
        <v>19</v>
      </c>
      <c r="K3152" s="23" t="s">
        <v>20</v>
      </c>
      <c r="L3152" s="23" t="s">
        <v>30</v>
      </c>
      <c r="M3152" s="11" t="s">
        <v>29</v>
      </c>
      <c r="N3152" s="23" t="s">
        <v>24</v>
      </c>
      <c r="O3152" s="42" t="s">
        <v>29</v>
      </c>
      <c r="P3152" s="15">
        <v>222</v>
      </c>
      <c r="Q3152" s="8"/>
      <c r="R3152">
        <v>13.62</v>
      </c>
      <c r="S3152">
        <v>2527.5700000000002</v>
      </c>
      <c r="T3152">
        <v>5.34</v>
      </c>
      <c r="U3152">
        <v>9.7799999999999994</v>
      </c>
      <c r="V3152">
        <v>136</v>
      </c>
      <c r="W3152" s="317">
        <v>4.5999999999999996</v>
      </c>
      <c r="X3152" s="190">
        <f>I3152*W3152</f>
        <v>62.099999999999994</v>
      </c>
      <c r="Y3152" s="8"/>
      <c r="Z3152" s="8"/>
    </row>
    <row r="3153" spans="1:26" ht="12.75" customHeight="1" x14ac:dyDescent="0.2">
      <c r="A3153" s="15">
        <v>18</v>
      </c>
      <c r="B3153" s="15">
        <v>1992</v>
      </c>
      <c r="C3153" s="15">
        <v>9</v>
      </c>
      <c r="D3153" s="15">
        <v>8</v>
      </c>
      <c r="E3153" s="43" t="s">
        <v>17</v>
      </c>
      <c r="F3153" s="23" t="s">
        <v>18</v>
      </c>
      <c r="G3153" s="11" t="s">
        <v>29</v>
      </c>
      <c r="H3153" s="15" t="s">
        <v>29</v>
      </c>
      <c r="I3153" s="41">
        <v>10.3</v>
      </c>
      <c r="J3153" s="11" t="s">
        <v>36</v>
      </c>
      <c r="K3153" s="11" t="s">
        <v>29</v>
      </c>
      <c r="L3153" s="11" t="s">
        <v>29</v>
      </c>
      <c r="M3153" s="11" t="s">
        <v>29</v>
      </c>
      <c r="N3153" s="23" t="s">
        <v>24</v>
      </c>
      <c r="O3153" s="42" t="s">
        <v>29</v>
      </c>
      <c r="P3153" s="15">
        <v>222</v>
      </c>
      <c r="Q3153" s="8"/>
      <c r="W3153" s="8"/>
      <c r="X3153" s="8"/>
      <c r="Y3153" s="8"/>
      <c r="Z3153" s="8"/>
    </row>
    <row r="3154" spans="1:26" ht="12.75" customHeight="1" x14ac:dyDescent="0.2">
      <c r="A3154" s="15">
        <v>19</v>
      </c>
      <c r="B3154" s="15">
        <v>1992</v>
      </c>
      <c r="C3154" s="15">
        <v>9</v>
      </c>
      <c r="D3154" s="15">
        <v>8</v>
      </c>
      <c r="E3154" s="43" t="s">
        <v>17</v>
      </c>
      <c r="F3154" s="23" t="s">
        <v>18</v>
      </c>
      <c r="G3154" s="15">
        <v>130</v>
      </c>
      <c r="H3154" s="15" t="s">
        <v>29</v>
      </c>
      <c r="I3154" s="41">
        <v>11</v>
      </c>
      <c r="J3154" s="11" t="s">
        <v>19</v>
      </c>
      <c r="K3154" s="23" t="s">
        <v>20</v>
      </c>
      <c r="L3154" s="11" t="s">
        <v>21</v>
      </c>
      <c r="M3154" s="11" t="s">
        <v>29</v>
      </c>
      <c r="N3154" s="11" t="s">
        <v>29</v>
      </c>
      <c r="O3154" s="42" t="s">
        <v>29</v>
      </c>
      <c r="P3154" s="15">
        <v>222</v>
      </c>
      <c r="Q3154" s="8"/>
      <c r="R3154">
        <v>12.13</v>
      </c>
      <c r="S3154">
        <v>1784.33</v>
      </c>
      <c r="T3154">
        <v>6.16</v>
      </c>
      <c r="U3154">
        <v>8.7100000000000009</v>
      </c>
      <c r="V3154">
        <v>121</v>
      </c>
      <c r="W3154" s="317">
        <v>3.9</v>
      </c>
      <c r="X3154" s="190">
        <f t="shared" ref="X3154:X3161" si="145">I3154*W3154</f>
        <v>42.9</v>
      </c>
      <c r="Y3154" s="8"/>
      <c r="Z3154" s="8"/>
    </row>
    <row r="3155" spans="1:26" ht="12.75" customHeight="1" x14ac:dyDescent="0.2">
      <c r="A3155" s="15">
        <v>20</v>
      </c>
      <c r="B3155" s="15">
        <v>1992</v>
      </c>
      <c r="C3155" s="15">
        <v>9</v>
      </c>
      <c r="D3155" s="15">
        <v>8</v>
      </c>
      <c r="E3155" s="43" t="s">
        <v>17</v>
      </c>
      <c r="F3155" s="23" t="s">
        <v>18</v>
      </c>
      <c r="G3155" s="15">
        <v>125</v>
      </c>
      <c r="H3155" s="15" t="s">
        <v>29</v>
      </c>
      <c r="I3155" s="41">
        <v>9.9</v>
      </c>
      <c r="J3155" s="11" t="s">
        <v>19</v>
      </c>
      <c r="K3155" s="23" t="s">
        <v>20</v>
      </c>
      <c r="L3155" s="23" t="s">
        <v>30</v>
      </c>
      <c r="M3155" s="11" t="s">
        <v>29</v>
      </c>
      <c r="N3155" s="11" t="s">
        <v>29</v>
      </c>
      <c r="O3155" s="42" t="s">
        <v>29</v>
      </c>
      <c r="P3155" s="15">
        <v>222</v>
      </c>
      <c r="Q3155" s="8"/>
      <c r="R3155">
        <v>11.66</v>
      </c>
      <c r="S3155">
        <v>1586.26</v>
      </c>
      <c r="T3155">
        <v>6.24</v>
      </c>
      <c r="U3155">
        <v>8.3800000000000008</v>
      </c>
      <c r="V3155">
        <v>117</v>
      </c>
      <c r="W3155" s="317">
        <v>4.5999999999999996</v>
      </c>
      <c r="X3155" s="190">
        <f t="shared" si="145"/>
        <v>45.54</v>
      </c>
      <c r="Y3155" s="8"/>
      <c r="Z3155" s="8"/>
    </row>
    <row r="3156" spans="1:26" ht="12.75" customHeight="1" x14ac:dyDescent="0.2">
      <c r="A3156" s="15">
        <v>21</v>
      </c>
      <c r="B3156" s="15">
        <v>1992</v>
      </c>
      <c r="C3156" s="15">
        <v>9</v>
      </c>
      <c r="D3156" s="15">
        <v>8</v>
      </c>
      <c r="E3156" s="43" t="s">
        <v>17</v>
      </c>
      <c r="F3156" s="23" t="s">
        <v>18</v>
      </c>
      <c r="G3156" s="15">
        <v>150</v>
      </c>
      <c r="H3156" s="15" t="s">
        <v>29</v>
      </c>
      <c r="I3156" s="41">
        <v>13.5</v>
      </c>
      <c r="J3156" s="11" t="s">
        <v>19</v>
      </c>
      <c r="K3156" s="23" t="s">
        <v>20</v>
      </c>
      <c r="L3156" s="11" t="s">
        <v>21</v>
      </c>
      <c r="M3156" s="11" t="s">
        <v>29</v>
      </c>
      <c r="N3156" s="23" t="s">
        <v>25</v>
      </c>
      <c r="O3156" s="42" t="s">
        <v>29</v>
      </c>
      <c r="P3156" s="15">
        <v>222</v>
      </c>
      <c r="Q3156" s="8"/>
      <c r="R3156">
        <v>14</v>
      </c>
      <c r="S3156">
        <v>2741.06</v>
      </c>
      <c r="T3156">
        <v>4.93</v>
      </c>
      <c r="U3156">
        <v>10.050000000000001</v>
      </c>
      <c r="V3156">
        <v>140</v>
      </c>
      <c r="W3156" s="317">
        <v>3.9</v>
      </c>
      <c r="X3156" s="190">
        <f t="shared" si="145"/>
        <v>52.65</v>
      </c>
      <c r="Y3156" s="8"/>
      <c r="Z3156" s="8"/>
    </row>
    <row r="3157" spans="1:26" ht="12.75" customHeight="1" x14ac:dyDescent="0.2">
      <c r="A3157" s="15">
        <v>22</v>
      </c>
      <c r="B3157" s="15">
        <v>1992</v>
      </c>
      <c r="C3157" s="15">
        <v>9</v>
      </c>
      <c r="D3157" s="15">
        <v>8</v>
      </c>
      <c r="E3157" s="43" t="s">
        <v>17</v>
      </c>
      <c r="F3157" s="23" t="s">
        <v>18</v>
      </c>
      <c r="G3157" s="15">
        <v>150</v>
      </c>
      <c r="H3157" s="15" t="s">
        <v>29</v>
      </c>
      <c r="I3157" s="41">
        <v>23.5</v>
      </c>
      <c r="J3157" s="11" t="s">
        <v>19</v>
      </c>
      <c r="K3157" s="23" t="s">
        <v>34</v>
      </c>
      <c r="L3157" s="11" t="s">
        <v>41</v>
      </c>
      <c r="M3157" s="11" t="s">
        <v>29</v>
      </c>
      <c r="N3157" s="23" t="s">
        <v>24</v>
      </c>
      <c r="O3157" s="42" t="s">
        <v>29</v>
      </c>
      <c r="P3157" s="15">
        <v>222</v>
      </c>
      <c r="Q3157" s="8"/>
      <c r="R3157">
        <v>14</v>
      </c>
      <c r="S3157">
        <v>2741.06</v>
      </c>
      <c r="T3157">
        <v>8.57</v>
      </c>
      <c r="U3157">
        <v>10.050000000000001</v>
      </c>
      <c r="V3157">
        <v>140</v>
      </c>
      <c r="W3157" s="317">
        <v>3.8</v>
      </c>
      <c r="X3157" s="190">
        <f t="shared" si="145"/>
        <v>89.3</v>
      </c>
      <c r="Y3157" s="8"/>
      <c r="Z3157" s="8"/>
    </row>
    <row r="3158" spans="1:26" ht="12.75" customHeight="1" x14ac:dyDescent="0.2">
      <c r="A3158" s="15">
        <v>23</v>
      </c>
      <c r="B3158" s="15">
        <v>1992</v>
      </c>
      <c r="C3158" s="15">
        <v>9</v>
      </c>
      <c r="D3158" s="15">
        <v>8</v>
      </c>
      <c r="E3158" s="43" t="s">
        <v>17</v>
      </c>
      <c r="F3158" s="23" t="s">
        <v>18</v>
      </c>
      <c r="G3158" s="15">
        <v>150</v>
      </c>
      <c r="H3158" s="15" t="s">
        <v>29</v>
      </c>
      <c r="I3158" s="41">
        <v>16</v>
      </c>
      <c r="J3158" s="11" t="s">
        <v>19</v>
      </c>
      <c r="K3158" s="23" t="s">
        <v>34</v>
      </c>
      <c r="L3158" s="11" t="s">
        <v>41</v>
      </c>
      <c r="M3158" s="11" t="s">
        <v>29</v>
      </c>
      <c r="N3158" s="23" t="s">
        <v>25</v>
      </c>
      <c r="O3158" s="42" t="s">
        <v>29</v>
      </c>
      <c r="P3158" s="15">
        <v>222</v>
      </c>
      <c r="Q3158" s="8"/>
      <c r="R3158">
        <v>14</v>
      </c>
      <c r="S3158">
        <v>2741.06</v>
      </c>
      <c r="T3158">
        <v>5.84</v>
      </c>
      <c r="U3158">
        <v>10.050000000000001</v>
      </c>
      <c r="V3158">
        <v>140</v>
      </c>
      <c r="W3158" s="317">
        <v>3.8</v>
      </c>
      <c r="X3158" s="190">
        <f t="shared" si="145"/>
        <v>60.8</v>
      </c>
      <c r="Y3158" s="8"/>
      <c r="Z3158" s="8"/>
    </row>
    <row r="3159" spans="1:26" ht="12.75" customHeight="1" x14ac:dyDescent="0.2">
      <c r="A3159" s="15">
        <v>24</v>
      </c>
      <c r="B3159" s="15">
        <v>1992</v>
      </c>
      <c r="C3159" s="15">
        <v>9</v>
      </c>
      <c r="D3159" s="15">
        <v>8</v>
      </c>
      <c r="E3159" s="43" t="s">
        <v>17</v>
      </c>
      <c r="F3159" s="23" t="s">
        <v>18</v>
      </c>
      <c r="G3159" s="15">
        <v>135</v>
      </c>
      <c r="H3159" s="15" t="s">
        <v>29</v>
      </c>
      <c r="I3159" s="41">
        <v>16</v>
      </c>
      <c r="J3159" s="11" t="s">
        <v>19</v>
      </c>
      <c r="K3159" s="23" t="s">
        <v>20</v>
      </c>
      <c r="L3159" s="23" t="s">
        <v>30</v>
      </c>
      <c r="M3159" s="11" t="s">
        <v>29</v>
      </c>
      <c r="N3159" s="23" t="s">
        <v>23</v>
      </c>
      <c r="O3159" s="42" t="s">
        <v>29</v>
      </c>
      <c r="P3159" s="15">
        <v>222</v>
      </c>
      <c r="Q3159" s="8"/>
      <c r="R3159">
        <v>12.6</v>
      </c>
      <c r="S3159">
        <v>1998.23</v>
      </c>
      <c r="T3159">
        <v>8.01</v>
      </c>
      <c r="U3159">
        <v>9.0500000000000007</v>
      </c>
      <c r="V3159">
        <v>126</v>
      </c>
      <c r="W3159" s="317">
        <v>4.5999999999999996</v>
      </c>
      <c r="X3159" s="190">
        <f t="shared" si="145"/>
        <v>73.599999999999994</v>
      </c>
      <c r="Y3159" s="8"/>
      <c r="Z3159" s="8"/>
    </row>
    <row r="3160" spans="1:26" ht="12.75" customHeight="1" x14ac:dyDescent="0.2">
      <c r="A3160" s="15">
        <v>25</v>
      </c>
      <c r="B3160" s="15">
        <v>1992</v>
      </c>
      <c r="C3160" s="15">
        <v>9</v>
      </c>
      <c r="D3160" s="15">
        <v>8</v>
      </c>
      <c r="E3160" s="43" t="s">
        <v>17</v>
      </c>
      <c r="F3160" s="23" t="s">
        <v>18</v>
      </c>
      <c r="G3160" s="15">
        <v>157</v>
      </c>
      <c r="H3160" s="15" t="s">
        <v>29</v>
      </c>
      <c r="I3160" s="41">
        <v>24.5</v>
      </c>
      <c r="J3160" s="11" t="s">
        <v>19</v>
      </c>
      <c r="K3160" s="23" t="s">
        <v>34</v>
      </c>
      <c r="L3160" s="11" t="s">
        <v>41</v>
      </c>
      <c r="M3160" s="11" t="s">
        <v>29</v>
      </c>
      <c r="N3160" s="23" t="s">
        <v>24</v>
      </c>
      <c r="O3160" s="42" t="s">
        <v>29</v>
      </c>
      <c r="P3160" s="15">
        <v>222</v>
      </c>
      <c r="Q3160" s="8"/>
      <c r="R3160">
        <v>14.65</v>
      </c>
      <c r="S3160">
        <v>3143</v>
      </c>
      <c r="T3160">
        <v>7.8</v>
      </c>
      <c r="U3160">
        <v>10.52</v>
      </c>
      <c r="V3160">
        <v>146</v>
      </c>
      <c r="W3160" s="317">
        <v>3.8</v>
      </c>
      <c r="X3160" s="190">
        <f t="shared" si="145"/>
        <v>93.1</v>
      </c>
      <c r="Y3160" s="8"/>
      <c r="Z3160" s="8"/>
    </row>
    <row r="3161" spans="1:26" ht="12.75" customHeight="1" x14ac:dyDescent="0.2">
      <c r="A3161" s="15">
        <v>26</v>
      </c>
      <c r="B3161" s="15">
        <v>1992</v>
      </c>
      <c r="C3161" s="15">
        <v>9</v>
      </c>
      <c r="D3161" s="15">
        <v>8</v>
      </c>
      <c r="E3161" s="43" t="s">
        <v>17</v>
      </c>
      <c r="F3161" s="23" t="s">
        <v>18</v>
      </c>
      <c r="G3161" s="15">
        <v>130</v>
      </c>
      <c r="H3161" s="15" t="s">
        <v>29</v>
      </c>
      <c r="I3161" s="41">
        <v>12.4</v>
      </c>
      <c r="J3161" s="11" t="s">
        <v>19</v>
      </c>
      <c r="K3161" s="23" t="s">
        <v>20</v>
      </c>
      <c r="L3161" s="23" t="s">
        <v>30</v>
      </c>
      <c r="M3161" s="11" t="s">
        <v>29</v>
      </c>
      <c r="N3161" s="23" t="s">
        <v>23</v>
      </c>
      <c r="O3161" s="42" t="s">
        <v>29</v>
      </c>
      <c r="P3161" s="15">
        <v>222</v>
      </c>
      <c r="Q3161" s="8"/>
      <c r="R3161">
        <v>12.13</v>
      </c>
      <c r="S3161">
        <v>1784.33</v>
      </c>
      <c r="T3161">
        <v>6.95</v>
      </c>
      <c r="U3161">
        <v>8.7100000000000009</v>
      </c>
      <c r="V3161">
        <v>121</v>
      </c>
      <c r="W3161" s="317">
        <v>4.5999999999999996</v>
      </c>
      <c r="X3161" s="190">
        <f t="shared" si="145"/>
        <v>57.04</v>
      </c>
      <c r="Y3161" s="8"/>
      <c r="Z3161" s="8"/>
    </row>
    <row r="3162" spans="1:26" ht="12.75" customHeight="1" x14ac:dyDescent="0.2">
      <c r="A3162" s="15">
        <v>27</v>
      </c>
      <c r="B3162" s="15">
        <v>1992</v>
      </c>
      <c r="C3162" s="15">
        <v>9</v>
      </c>
      <c r="D3162" s="15">
        <v>8</v>
      </c>
      <c r="E3162" s="43" t="s">
        <v>17</v>
      </c>
      <c r="F3162" s="23" t="s">
        <v>18</v>
      </c>
      <c r="G3162" s="11" t="s">
        <v>29</v>
      </c>
      <c r="H3162" s="15" t="s">
        <v>29</v>
      </c>
      <c r="I3162" s="41">
        <v>8.4</v>
      </c>
      <c r="J3162" s="11" t="s">
        <v>229</v>
      </c>
      <c r="K3162" s="11" t="s">
        <v>29</v>
      </c>
      <c r="L3162" s="11" t="s">
        <v>29</v>
      </c>
      <c r="M3162" s="11" t="s">
        <v>29</v>
      </c>
      <c r="N3162" s="23" t="s">
        <v>24</v>
      </c>
      <c r="O3162" s="42" t="s">
        <v>29</v>
      </c>
      <c r="P3162" s="15">
        <v>222</v>
      </c>
      <c r="Q3162" s="8"/>
      <c r="W3162" s="8"/>
      <c r="X3162" s="8"/>
      <c r="Y3162" s="8"/>
      <c r="Z3162" s="8"/>
    </row>
    <row r="3163" spans="1:26" ht="12.75" customHeight="1" x14ac:dyDescent="0.2">
      <c r="A3163" s="15">
        <v>28</v>
      </c>
      <c r="B3163" s="15">
        <v>1992</v>
      </c>
      <c r="C3163" s="15">
        <v>9</v>
      </c>
      <c r="D3163" s="15">
        <v>8</v>
      </c>
      <c r="E3163" s="43" t="s">
        <v>17</v>
      </c>
      <c r="F3163" s="23" t="s">
        <v>18</v>
      </c>
      <c r="G3163" s="15">
        <v>111</v>
      </c>
      <c r="H3163" s="15" t="s">
        <v>29</v>
      </c>
      <c r="I3163" s="41">
        <v>5.5</v>
      </c>
      <c r="J3163" s="11" t="s">
        <v>19</v>
      </c>
      <c r="K3163" s="11" t="s">
        <v>41</v>
      </c>
      <c r="L3163" s="23" t="s">
        <v>35</v>
      </c>
      <c r="M3163" s="11" t="s">
        <v>29</v>
      </c>
      <c r="N3163" s="23" t="s">
        <v>24</v>
      </c>
      <c r="O3163" s="42" t="s">
        <v>29</v>
      </c>
      <c r="P3163" s="15">
        <v>222</v>
      </c>
      <c r="Q3163" s="8"/>
      <c r="R3163">
        <v>10.36</v>
      </c>
      <c r="S3163">
        <v>1110.74</v>
      </c>
      <c r="T3163">
        <v>4.95</v>
      </c>
      <c r="U3163">
        <v>7.44</v>
      </c>
      <c r="V3163">
        <v>104</v>
      </c>
      <c r="W3163" s="8"/>
      <c r="X3163" s="8"/>
      <c r="Y3163" s="8"/>
      <c r="Z3163" s="8"/>
    </row>
    <row r="3164" spans="1:26" ht="12.75" customHeight="1" x14ac:dyDescent="0.2">
      <c r="A3164" s="15">
        <v>29</v>
      </c>
      <c r="B3164" s="15">
        <v>1992</v>
      </c>
      <c r="C3164" s="15">
        <v>9</v>
      </c>
      <c r="D3164" s="15">
        <v>8</v>
      </c>
      <c r="E3164" s="43" t="s">
        <v>17</v>
      </c>
      <c r="F3164" s="23" t="s">
        <v>18</v>
      </c>
      <c r="G3164" s="15">
        <v>100</v>
      </c>
      <c r="H3164" s="15" t="s">
        <v>29</v>
      </c>
      <c r="I3164" s="41">
        <v>5</v>
      </c>
      <c r="J3164" s="11" t="s">
        <v>19</v>
      </c>
      <c r="K3164" s="11" t="s">
        <v>41</v>
      </c>
      <c r="L3164" s="23" t="s">
        <v>35</v>
      </c>
      <c r="M3164" s="11" t="s">
        <v>29</v>
      </c>
      <c r="N3164" s="23" t="s">
        <v>23</v>
      </c>
      <c r="O3164" s="42" t="s">
        <v>29</v>
      </c>
      <c r="P3164" s="15">
        <v>222</v>
      </c>
      <c r="Q3164" s="8"/>
      <c r="R3164">
        <v>9.33</v>
      </c>
      <c r="S3164">
        <v>812.17</v>
      </c>
      <c r="T3164">
        <v>6.16</v>
      </c>
      <c r="U3164">
        <v>6.7</v>
      </c>
      <c r="V3164">
        <v>93</v>
      </c>
      <c r="W3164" s="8"/>
      <c r="X3164" s="8"/>
      <c r="Y3164" s="8"/>
      <c r="Z3164" s="8"/>
    </row>
    <row r="3165" spans="1:26" ht="12.75" customHeight="1" x14ac:dyDescent="0.2">
      <c r="A3165" s="15">
        <v>30</v>
      </c>
      <c r="B3165" s="15">
        <v>1992</v>
      </c>
      <c r="C3165" s="15">
        <v>9</v>
      </c>
      <c r="D3165" s="15">
        <v>8</v>
      </c>
      <c r="E3165" s="43" t="s">
        <v>17</v>
      </c>
      <c r="F3165" s="23" t="s">
        <v>18</v>
      </c>
      <c r="G3165" s="15">
        <v>121</v>
      </c>
      <c r="H3165" s="15" t="s">
        <v>29</v>
      </c>
      <c r="I3165" s="41">
        <v>9</v>
      </c>
      <c r="J3165" s="11" t="s">
        <v>19</v>
      </c>
      <c r="K3165" s="23" t="s">
        <v>20</v>
      </c>
      <c r="L3165" s="23" t="s">
        <v>30</v>
      </c>
      <c r="M3165" s="11" t="s">
        <v>29</v>
      </c>
      <c r="N3165" s="11" t="s">
        <v>29</v>
      </c>
      <c r="O3165" s="42" t="s">
        <v>29</v>
      </c>
      <c r="P3165" s="15">
        <v>222</v>
      </c>
      <c r="Q3165" s="8"/>
      <c r="R3165">
        <v>11.29</v>
      </c>
      <c r="S3165">
        <v>1438.8</v>
      </c>
      <c r="T3165">
        <v>6.26</v>
      </c>
      <c r="U3165">
        <v>8.11</v>
      </c>
      <c r="V3165">
        <v>113</v>
      </c>
      <c r="W3165" s="317">
        <v>4.5999999999999996</v>
      </c>
      <c r="X3165" s="190">
        <f>I3165*W3165</f>
        <v>41.4</v>
      </c>
      <c r="Y3165" s="8"/>
      <c r="Z3165" s="8"/>
    </row>
    <row r="3166" spans="1:26" ht="12.75" customHeight="1" x14ac:dyDescent="0.2">
      <c r="A3166" s="15">
        <v>31</v>
      </c>
      <c r="B3166" s="15">
        <v>1992</v>
      </c>
      <c r="C3166" s="15">
        <v>9</v>
      </c>
      <c r="D3166" s="15">
        <v>8</v>
      </c>
      <c r="E3166" s="43" t="s">
        <v>17</v>
      </c>
      <c r="F3166" s="23" t="s">
        <v>18</v>
      </c>
      <c r="G3166" s="15">
        <v>119</v>
      </c>
      <c r="H3166" s="15" t="s">
        <v>29</v>
      </c>
      <c r="I3166" s="41">
        <v>9.5</v>
      </c>
      <c r="J3166" s="11" t="s">
        <v>19</v>
      </c>
      <c r="K3166" s="23" t="s">
        <v>20</v>
      </c>
      <c r="L3166" s="23" t="s">
        <v>30</v>
      </c>
      <c r="M3166" s="11" t="s">
        <v>29</v>
      </c>
      <c r="N3166" s="11" t="s">
        <v>29</v>
      </c>
      <c r="O3166" s="42" t="s">
        <v>29</v>
      </c>
      <c r="P3166" s="15">
        <v>222</v>
      </c>
      <c r="Q3166" s="8"/>
      <c r="R3166">
        <v>11.1</v>
      </c>
      <c r="S3166">
        <v>1368.63</v>
      </c>
      <c r="T3166">
        <v>6.94</v>
      </c>
      <c r="U3166">
        <v>7.97</v>
      </c>
      <c r="V3166">
        <v>111</v>
      </c>
      <c r="W3166" s="317">
        <v>4.5999999999999996</v>
      </c>
      <c r="X3166" s="190">
        <f>I3166*W3166</f>
        <v>43.699999999999996</v>
      </c>
      <c r="Y3166" s="8"/>
      <c r="Z3166" s="8"/>
    </row>
    <row r="3167" spans="1:26" ht="12.75" customHeight="1" x14ac:dyDescent="0.2">
      <c r="A3167" s="15">
        <v>32</v>
      </c>
      <c r="B3167" s="15">
        <v>1992</v>
      </c>
      <c r="C3167" s="15">
        <v>9</v>
      </c>
      <c r="D3167" s="15">
        <v>8</v>
      </c>
      <c r="E3167" s="43" t="s">
        <v>17</v>
      </c>
      <c r="F3167" s="23" t="s">
        <v>18</v>
      </c>
      <c r="G3167" s="15">
        <v>101</v>
      </c>
      <c r="H3167" s="15" t="s">
        <v>29</v>
      </c>
      <c r="I3167" s="41">
        <v>4.5</v>
      </c>
      <c r="J3167" s="11" t="s">
        <v>19</v>
      </c>
      <c r="K3167" s="11" t="s">
        <v>41</v>
      </c>
      <c r="L3167" s="23" t="s">
        <v>35</v>
      </c>
      <c r="M3167" s="11" t="s">
        <v>29</v>
      </c>
      <c r="N3167" s="11" t="s">
        <v>29</v>
      </c>
      <c r="O3167" s="42" t="s">
        <v>29</v>
      </c>
      <c r="P3167" s="15">
        <v>222</v>
      </c>
      <c r="Q3167" s="8"/>
      <c r="R3167">
        <v>9.42</v>
      </c>
      <c r="S3167">
        <v>836.78</v>
      </c>
      <c r="T3167">
        <v>5.38</v>
      </c>
      <c r="U3167">
        <v>6.77</v>
      </c>
      <c r="V3167">
        <v>94</v>
      </c>
      <c r="W3167" s="8"/>
      <c r="X3167" s="8"/>
      <c r="Y3167" s="8"/>
      <c r="Z3167" s="8"/>
    </row>
    <row r="3168" spans="1:26" ht="12.75" customHeight="1" x14ac:dyDescent="0.2">
      <c r="A3168" s="15">
        <v>33</v>
      </c>
      <c r="B3168" s="15">
        <v>1992</v>
      </c>
      <c r="C3168" s="15">
        <v>9</v>
      </c>
      <c r="D3168" s="15">
        <v>8</v>
      </c>
      <c r="E3168" s="43" t="s">
        <v>17</v>
      </c>
      <c r="F3168" s="23" t="s">
        <v>18</v>
      </c>
      <c r="G3168" s="15">
        <v>147</v>
      </c>
      <c r="H3168" s="15" t="s">
        <v>29</v>
      </c>
      <c r="I3168" s="41">
        <v>18.8</v>
      </c>
      <c r="J3168" s="11" t="s">
        <v>19</v>
      </c>
      <c r="K3168" s="23" t="s">
        <v>34</v>
      </c>
      <c r="L3168" s="11" t="s">
        <v>41</v>
      </c>
      <c r="M3168" s="11" t="s">
        <v>29</v>
      </c>
      <c r="N3168" s="23" t="s">
        <v>25</v>
      </c>
      <c r="O3168" s="42" t="s">
        <v>29</v>
      </c>
      <c r="P3168" s="15">
        <v>222</v>
      </c>
      <c r="Q3168" s="8"/>
      <c r="R3168">
        <v>13.72</v>
      </c>
      <c r="S3168">
        <v>2579.86</v>
      </c>
      <c r="T3168">
        <v>7.29</v>
      </c>
      <c r="U3168">
        <v>9.85</v>
      </c>
      <c r="V3168">
        <v>137</v>
      </c>
      <c r="W3168" s="317">
        <v>3.8</v>
      </c>
      <c r="X3168" s="190">
        <f>I3168*W3168</f>
        <v>71.44</v>
      </c>
      <c r="Y3168" s="8"/>
      <c r="Z3168" s="8"/>
    </row>
    <row r="3169" spans="1:26" ht="12.75" customHeight="1" x14ac:dyDescent="0.2">
      <c r="A3169" s="15">
        <v>34</v>
      </c>
      <c r="B3169" s="15">
        <v>1992</v>
      </c>
      <c r="C3169" s="15">
        <v>9</v>
      </c>
      <c r="D3169" s="15">
        <v>8</v>
      </c>
      <c r="E3169" s="43" t="s">
        <v>17</v>
      </c>
      <c r="F3169" s="23" t="s">
        <v>18</v>
      </c>
      <c r="G3169" s="15">
        <v>123</v>
      </c>
      <c r="H3169" s="15" t="s">
        <v>29</v>
      </c>
      <c r="I3169" s="41">
        <v>5.5</v>
      </c>
      <c r="J3169" s="11" t="s">
        <v>19</v>
      </c>
      <c r="K3169" s="11" t="s">
        <v>41</v>
      </c>
      <c r="L3169" s="23" t="s">
        <v>35</v>
      </c>
      <c r="M3169" s="11" t="s">
        <v>29</v>
      </c>
      <c r="N3169" s="23" t="s">
        <v>33</v>
      </c>
      <c r="O3169" s="42" t="s">
        <v>29</v>
      </c>
      <c r="P3169" s="15">
        <v>222</v>
      </c>
      <c r="Q3169" s="8"/>
      <c r="R3169">
        <v>11.48</v>
      </c>
      <c r="S3169">
        <v>1511.33</v>
      </c>
      <c r="T3169">
        <v>3.64</v>
      </c>
      <c r="U3169">
        <v>8.24</v>
      </c>
      <c r="V3169">
        <v>115</v>
      </c>
      <c r="W3169" s="8"/>
      <c r="X3169" s="8"/>
      <c r="Y3169" s="8"/>
      <c r="Z3169" s="8"/>
    </row>
    <row r="3170" spans="1:26" ht="12.75" customHeight="1" x14ac:dyDescent="0.2">
      <c r="A3170" s="15">
        <v>35</v>
      </c>
      <c r="B3170" s="15">
        <v>1992</v>
      </c>
      <c r="C3170" s="15">
        <v>9</v>
      </c>
      <c r="D3170" s="15">
        <v>8</v>
      </c>
      <c r="E3170" s="43" t="s">
        <v>17</v>
      </c>
      <c r="F3170" s="23" t="s">
        <v>18</v>
      </c>
      <c r="G3170" s="15">
        <v>110</v>
      </c>
      <c r="H3170" s="15" t="s">
        <v>29</v>
      </c>
      <c r="I3170" s="41">
        <v>7.5</v>
      </c>
      <c r="J3170" s="11" t="s">
        <v>19</v>
      </c>
      <c r="K3170" s="11" t="s">
        <v>41</v>
      </c>
      <c r="L3170" s="23" t="s">
        <v>35</v>
      </c>
      <c r="M3170" s="11" t="s">
        <v>29</v>
      </c>
      <c r="N3170" s="23" t="s">
        <v>24</v>
      </c>
      <c r="O3170" s="42" t="s">
        <v>29</v>
      </c>
      <c r="P3170" s="15">
        <v>222</v>
      </c>
      <c r="Q3170" s="8"/>
      <c r="R3170">
        <v>10.26</v>
      </c>
      <c r="S3170">
        <v>1080.99</v>
      </c>
      <c r="T3170">
        <v>6.94</v>
      </c>
      <c r="U3170">
        <v>7.37</v>
      </c>
      <c r="V3170">
        <v>103</v>
      </c>
      <c r="W3170" s="8"/>
      <c r="X3170" s="8"/>
      <c r="Y3170" s="8"/>
      <c r="Z3170" s="8"/>
    </row>
    <row r="3171" spans="1:26" ht="12.75" customHeight="1" x14ac:dyDescent="0.2">
      <c r="A3171" s="15">
        <v>36</v>
      </c>
      <c r="B3171" s="15">
        <v>1992</v>
      </c>
      <c r="C3171" s="15">
        <v>9</v>
      </c>
      <c r="D3171" s="15">
        <v>8</v>
      </c>
      <c r="E3171" s="43" t="s">
        <v>17</v>
      </c>
      <c r="F3171" s="23" t="s">
        <v>18</v>
      </c>
      <c r="G3171" s="15">
        <v>96</v>
      </c>
      <c r="H3171" s="15" t="s">
        <v>29</v>
      </c>
      <c r="I3171" s="41">
        <v>5.5</v>
      </c>
      <c r="J3171" s="11" t="s">
        <v>237</v>
      </c>
      <c r="K3171" s="11" t="s">
        <v>29</v>
      </c>
      <c r="L3171" s="11" t="s">
        <v>29</v>
      </c>
      <c r="M3171" s="11" t="s">
        <v>29</v>
      </c>
      <c r="N3171" s="11" t="s">
        <v>29</v>
      </c>
      <c r="O3171" s="42" t="s">
        <v>29</v>
      </c>
      <c r="P3171" s="15">
        <v>222</v>
      </c>
      <c r="Q3171" s="8"/>
      <c r="R3171">
        <v>8.9600000000000009</v>
      </c>
      <c r="S3171">
        <v>718.55</v>
      </c>
      <c r="T3171">
        <v>7.65</v>
      </c>
      <c r="U3171">
        <v>6.43</v>
      </c>
      <c r="V3171">
        <v>90</v>
      </c>
      <c r="W3171" s="8"/>
      <c r="X3171" s="8"/>
      <c r="Y3171" s="8"/>
      <c r="Z3171" s="8"/>
    </row>
    <row r="3172" spans="1:26" ht="12.75" customHeight="1" x14ac:dyDescent="0.2">
      <c r="A3172" s="15">
        <v>37</v>
      </c>
      <c r="B3172" s="15">
        <v>1992</v>
      </c>
      <c r="C3172" s="15">
        <v>9</v>
      </c>
      <c r="D3172" s="15">
        <v>8</v>
      </c>
      <c r="E3172" s="43" t="s">
        <v>17</v>
      </c>
      <c r="F3172" s="23" t="s">
        <v>18</v>
      </c>
      <c r="G3172" s="15">
        <v>150</v>
      </c>
      <c r="H3172" s="15" t="s">
        <v>29</v>
      </c>
      <c r="I3172" s="41">
        <v>16.5</v>
      </c>
      <c r="J3172" s="11" t="s">
        <v>19</v>
      </c>
      <c r="K3172" s="23" t="s">
        <v>20</v>
      </c>
      <c r="L3172" s="23" t="s">
        <v>30</v>
      </c>
      <c r="M3172" s="11" t="s">
        <v>29</v>
      </c>
      <c r="N3172" s="23" t="s">
        <v>23</v>
      </c>
      <c r="O3172" s="42" t="s">
        <v>29</v>
      </c>
      <c r="P3172" s="15">
        <v>222</v>
      </c>
      <c r="Q3172" s="8"/>
      <c r="R3172">
        <v>14</v>
      </c>
      <c r="S3172">
        <v>2741.06</v>
      </c>
      <c r="T3172">
        <v>6.02</v>
      </c>
      <c r="U3172">
        <v>10.050000000000001</v>
      </c>
      <c r="V3172">
        <v>140</v>
      </c>
      <c r="W3172" s="317">
        <v>4.5999999999999996</v>
      </c>
      <c r="X3172" s="190">
        <f>I3172*W3172</f>
        <v>75.899999999999991</v>
      </c>
      <c r="Y3172" s="8"/>
      <c r="Z3172" s="8"/>
    </row>
    <row r="3173" spans="1:26" ht="12.75" customHeight="1" x14ac:dyDescent="0.2">
      <c r="A3173" s="15">
        <v>38</v>
      </c>
      <c r="B3173" s="15">
        <v>1992</v>
      </c>
      <c r="C3173" s="15">
        <v>9</v>
      </c>
      <c r="D3173" s="15">
        <v>8</v>
      </c>
      <c r="E3173" s="43" t="s">
        <v>239</v>
      </c>
      <c r="F3173" s="23" t="s">
        <v>18</v>
      </c>
      <c r="G3173" s="15">
        <v>125</v>
      </c>
      <c r="H3173" s="15" t="s">
        <v>29</v>
      </c>
      <c r="I3173" s="41">
        <v>9.5</v>
      </c>
      <c r="J3173" s="11" t="s">
        <v>19</v>
      </c>
      <c r="K3173" s="11" t="s">
        <v>41</v>
      </c>
      <c r="L3173" s="23" t="s">
        <v>35</v>
      </c>
      <c r="M3173" s="11" t="s">
        <v>29</v>
      </c>
      <c r="N3173" s="23" t="s">
        <v>25</v>
      </c>
      <c r="O3173" s="42" t="s">
        <v>29</v>
      </c>
      <c r="P3173" s="15">
        <v>222</v>
      </c>
      <c r="Q3173" s="8"/>
      <c r="R3173">
        <v>11.66</v>
      </c>
      <c r="S3173">
        <v>1586.26</v>
      </c>
      <c r="T3173">
        <v>5.99</v>
      </c>
      <c r="U3173">
        <v>8.3800000000000008</v>
      </c>
      <c r="V3173">
        <v>117</v>
      </c>
      <c r="W3173" s="8"/>
      <c r="X3173" s="8"/>
      <c r="Y3173" s="8"/>
      <c r="Z3173" s="8"/>
    </row>
    <row r="3174" spans="1:26" ht="12.75" customHeight="1" x14ac:dyDescent="0.2">
      <c r="A3174" s="15">
        <v>39</v>
      </c>
      <c r="B3174" s="15">
        <v>1992</v>
      </c>
      <c r="C3174" s="15">
        <v>9</v>
      </c>
      <c r="D3174" s="15">
        <v>8</v>
      </c>
      <c r="E3174" s="43" t="s">
        <v>239</v>
      </c>
      <c r="F3174" s="23" t="s">
        <v>18</v>
      </c>
      <c r="G3174" s="15">
        <v>150</v>
      </c>
      <c r="H3174" s="15" t="s">
        <v>29</v>
      </c>
      <c r="I3174" s="41">
        <v>18</v>
      </c>
      <c r="J3174" s="11" t="s">
        <v>19</v>
      </c>
      <c r="K3174" s="23" t="s">
        <v>20</v>
      </c>
      <c r="L3174" s="23" t="s">
        <v>30</v>
      </c>
      <c r="M3174" s="11" t="s">
        <v>29</v>
      </c>
      <c r="N3174" s="11" t="s">
        <v>29</v>
      </c>
      <c r="O3174" s="42" t="s">
        <v>29</v>
      </c>
      <c r="P3174" s="15">
        <v>222</v>
      </c>
      <c r="Q3174" s="8"/>
      <c r="R3174">
        <v>14</v>
      </c>
      <c r="S3174">
        <v>2741.06</v>
      </c>
      <c r="T3174">
        <v>6.57</v>
      </c>
      <c r="U3174">
        <v>10.050000000000001</v>
      </c>
      <c r="V3174">
        <v>140</v>
      </c>
      <c r="W3174" s="317">
        <v>4.5999999999999996</v>
      </c>
      <c r="X3174" s="190">
        <f>I3174*W3174</f>
        <v>82.8</v>
      </c>
      <c r="Y3174" s="8"/>
      <c r="Z3174" s="8"/>
    </row>
    <row r="3175" spans="1:26" ht="12.75" customHeight="1" x14ac:dyDescent="0.2">
      <c r="A3175" s="15">
        <v>40</v>
      </c>
      <c r="B3175" s="15">
        <v>1992</v>
      </c>
      <c r="C3175" s="15">
        <v>9</v>
      </c>
      <c r="D3175" s="15">
        <v>8</v>
      </c>
      <c r="E3175" s="43" t="s">
        <v>239</v>
      </c>
      <c r="F3175" s="23" t="s">
        <v>18</v>
      </c>
      <c r="G3175" s="15">
        <v>127</v>
      </c>
      <c r="H3175" s="15" t="s">
        <v>29</v>
      </c>
      <c r="I3175" s="41">
        <v>9.5</v>
      </c>
      <c r="J3175" s="11" t="s">
        <v>19</v>
      </c>
      <c r="K3175" s="23" t="s">
        <v>20</v>
      </c>
      <c r="L3175" s="23" t="s">
        <v>30</v>
      </c>
      <c r="M3175" s="11" t="s">
        <v>29</v>
      </c>
      <c r="N3175" s="23" t="s">
        <v>25</v>
      </c>
      <c r="O3175" s="42" t="s">
        <v>29</v>
      </c>
      <c r="P3175" s="15">
        <v>222</v>
      </c>
      <c r="Q3175" s="8"/>
      <c r="R3175">
        <v>11.85</v>
      </c>
      <c r="S3175">
        <v>1663.63</v>
      </c>
      <c r="T3175">
        <v>5.71</v>
      </c>
      <c r="U3175">
        <v>8.51</v>
      </c>
      <c r="V3175">
        <v>118</v>
      </c>
      <c r="W3175" s="317">
        <v>4.5999999999999996</v>
      </c>
      <c r="X3175" s="190">
        <f>I3175*W3175</f>
        <v>43.699999999999996</v>
      </c>
      <c r="Y3175" s="8"/>
      <c r="Z3175" s="8"/>
    </row>
    <row r="3176" spans="1:26" ht="12.75" customHeight="1" x14ac:dyDescent="0.2">
      <c r="A3176" s="15">
        <v>41</v>
      </c>
      <c r="B3176" s="15">
        <v>1992</v>
      </c>
      <c r="C3176" s="15">
        <v>9</v>
      </c>
      <c r="D3176" s="15">
        <v>8</v>
      </c>
      <c r="E3176" s="43" t="s">
        <v>239</v>
      </c>
      <c r="F3176" s="23" t="s">
        <v>18</v>
      </c>
      <c r="G3176" s="15">
        <v>135</v>
      </c>
      <c r="H3176" s="15" t="s">
        <v>29</v>
      </c>
      <c r="I3176" s="41">
        <v>13</v>
      </c>
      <c r="J3176" s="11" t="s">
        <v>19</v>
      </c>
      <c r="K3176" s="23" t="s">
        <v>20</v>
      </c>
      <c r="L3176" s="23" t="s">
        <v>30</v>
      </c>
      <c r="M3176" s="11" t="s">
        <v>29</v>
      </c>
      <c r="N3176" s="11" t="s">
        <v>29</v>
      </c>
      <c r="O3176" s="42" t="s">
        <v>29</v>
      </c>
      <c r="P3176" s="15">
        <v>222</v>
      </c>
      <c r="Q3176" s="8"/>
      <c r="R3176">
        <v>12.6</v>
      </c>
      <c r="S3176">
        <v>1998.23</v>
      </c>
      <c r="T3176">
        <v>6.51</v>
      </c>
      <c r="U3176">
        <v>9.0500000000000007</v>
      </c>
      <c r="V3176">
        <v>126</v>
      </c>
      <c r="W3176" s="317">
        <v>4.5999999999999996</v>
      </c>
      <c r="X3176" s="190">
        <f>I3176*W3176</f>
        <v>59.8</v>
      </c>
      <c r="Y3176" s="8"/>
      <c r="Z3176" s="8"/>
    </row>
    <row r="3177" spans="1:26" ht="12.75" customHeight="1" x14ac:dyDescent="0.2">
      <c r="A3177" s="15">
        <v>42</v>
      </c>
      <c r="B3177" s="15">
        <v>1992</v>
      </c>
      <c r="C3177" s="15">
        <v>9</v>
      </c>
      <c r="D3177" s="15">
        <v>8</v>
      </c>
      <c r="E3177" s="43" t="s">
        <v>239</v>
      </c>
      <c r="F3177" s="23" t="s">
        <v>18</v>
      </c>
      <c r="G3177" s="15">
        <v>123</v>
      </c>
      <c r="H3177" s="15" t="s">
        <v>29</v>
      </c>
      <c r="I3177" s="41">
        <v>5.5</v>
      </c>
      <c r="J3177" s="11" t="s">
        <v>19</v>
      </c>
      <c r="K3177" s="11" t="s">
        <v>41</v>
      </c>
      <c r="L3177" s="23" t="s">
        <v>35</v>
      </c>
      <c r="M3177" s="11" t="s">
        <v>29</v>
      </c>
      <c r="N3177" s="11" t="s">
        <v>29</v>
      </c>
      <c r="O3177" s="42" t="s">
        <v>29</v>
      </c>
      <c r="P3177" s="15">
        <v>222</v>
      </c>
      <c r="Q3177" s="8"/>
      <c r="R3177">
        <v>11.48</v>
      </c>
      <c r="S3177">
        <v>1511.33</v>
      </c>
      <c r="T3177">
        <v>3.64</v>
      </c>
      <c r="U3177">
        <v>8.24</v>
      </c>
      <c r="V3177">
        <v>115</v>
      </c>
      <c r="W3177" s="8"/>
      <c r="X3177" s="8"/>
      <c r="Y3177" s="8"/>
      <c r="Z3177" s="8"/>
    </row>
    <row r="3178" spans="1:26" ht="12.75" customHeight="1" x14ac:dyDescent="0.2">
      <c r="A3178" s="15">
        <v>43</v>
      </c>
      <c r="B3178" s="15">
        <v>1992</v>
      </c>
      <c r="C3178" s="15">
        <v>9</v>
      </c>
      <c r="D3178" s="15">
        <v>8</v>
      </c>
      <c r="E3178" s="43" t="s">
        <v>239</v>
      </c>
      <c r="F3178" s="23" t="s">
        <v>18</v>
      </c>
      <c r="G3178" s="15">
        <v>130</v>
      </c>
      <c r="H3178" s="15" t="s">
        <v>29</v>
      </c>
      <c r="I3178" s="41">
        <v>10.8</v>
      </c>
      <c r="J3178" s="11" t="s">
        <v>19</v>
      </c>
      <c r="K3178" s="23" t="s">
        <v>20</v>
      </c>
      <c r="L3178" s="23" t="s">
        <v>30</v>
      </c>
      <c r="M3178" s="11" t="s">
        <v>29</v>
      </c>
      <c r="N3178" s="23" t="s">
        <v>23</v>
      </c>
      <c r="O3178" s="42" t="s">
        <v>29</v>
      </c>
      <c r="P3178" s="15">
        <v>222</v>
      </c>
      <c r="Q3178" s="8"/>
      <c r="R3178">
        <v>12.13</v>
      </c>
      <c r="S3178">
        <v>1784.33</v>
      </c>
      <c r="T3178">
        <v>6.05</v>
      </c>
      <c r="U3178">
        <v>8.7100000000000009</v>
      </c>
      <c r="V3178">
        <v>121</v>
      </c>
      <c r="W3178" s="317">
        <v>4.5999999999999996</v>
      </c>
      <c r="X3178" s="190">
        <f>I3178*W3178</f>
        <v>49.68</v>
      </c>
      <c r="Y3178" s="8"/>
      <c r="Z3178" s="8"/>
    </row>
    <row r="3179" spans="1:26" ht="12.75" customHeight="1" x14ac:dyDescent="0.2">
      <c r="A3179" s="15">
        <v>44</v>
      </c>
      <c r="B3179" s="15">
        <v>1992</v>
      </c>
      <c r="C3179" s="15">
        <v>9</v>
      </c>
      <c r="D3179" s="15">
        <v>8</v>
      </c>
      <c r="E3179" s="43" t="s">
        <v>239</v>
      </c>
      <c r="F3179" s="23" t="s">
        <v>18</v>
      </c>
      <c r="G3179" s="15">
        <v>155</v>
      </c>
      <c r="H3179" s="15" t="s">
        <v>29</v>
      </c>
      <c r="I3179" s="41">
        <v>18</v>
      </c>
      <c r="J3179" s="11" t="s">
        <v>19</v>
      </c>
      <c r="K3179" s="23" t="s">
        <v>20</v>
      </c>
      <c r="L3179" s="23" t="s">
        <v>30</v>
      </c>
      <c r="M3179" s="11" t="s">
        <v>29</v>
      </c>
      <c r="N3179" s="23" t="s">
        <v>23</v>
      </c>
      <c r="O3179" s="42" t="s">
        <v>29</v>
      </c>
      <c r="P3179" s="15">
        <v>222</v>
      </c>
      <c r="Q3179" s="8"/>
      <c r="R3179">
        <v>14.46</v>
      </c>
      <c r="S3179">
        <v>3024.41</v>
      </c>
      <c r="T3179">
        <v>5.95</v>
      </c>
      <c r="U3179">
        <v>10.39</v>
      </c>
      <c r="V3179">
        <v>145</v>
      </c>
      <c r="W3179" s="317">
        <v>4.5999999999999996</v>
      </c>
      <c r="X3179" s="190">
        <f>I3179*W3179</f>
        <v>82.8</v>
      </c>
      <c r="Y3179" s="8"/>
      <c r="Z3179" s="8"/>
    </row>
    <row r="3180" spans="1:26" ht="12.75" customHeight="1" x14ac:dyDescent="0.2">
      <c r="A3180" s="15">
        <v>45</v>
      </c>
      <c r="B3180" s="15">
        <v>1992</v>
      </c>
      <c r="C3180" s="15">
        <v>9</v>
      </c>
      <c r="D3180" s="15">
        <v>8</v>
      </c>
      <c r="E3180" s="43" t="s">
        <v>239</v>
      </c>
      <c r="F3180" s="23" t="s">
        <v>18</v>
      </c>
      <c r="G3180" s="15">
        <v>142</v>
      </c>
      <c r="H3180" s="15" t="s">
        <v>29</v>
      </c>
      <c r="I3180" s="41">
        <v>16.5</v>
      </c>
      <c r="J3180" s="11" t="s">
        <v>19</v>
      </c>
      <c r="K3180" s="23" t="s">
        <v>20</v>
      </c>
      <c r="L3180" s="23" t="s">
        <v>30</v>
      </c>
      <c r="M3180" s="11" t="s">
        <v>29</v>
      </c>
      <c r="N3180" s="23" t="s">
        <v>23</v>
      </c>
      <c r="O3180" s="42" t="s">
        <v>29</v>
      </c>
      <c r="P3180" s="15">
        <v>222</v>
      </c>
      <c r="Q3180" s="8"/>
      <c r="R3180">
        <v>13.25</v>
      </c>
      <c r="S3180">
        <v>2325.4699999999998</v>
      </c>
      <c r="T3180">
        <v>7.1</v>
      </c>
      <c r="U3180">
        <v>9.51</v>
      </c>
      <c r="V3180">
        <v>132</v>
      </c>
      <c r="W3180" s="317">
        <v>4.5999999999999996</v>
      </c>
      <c r="X3180" s="190">
        <f>I3180*W3180</f>
        <v>75.899999999999991</v>
      </c>
      <c r="Y3180" s="8"/>
      <c r="Z3180" s="8"/>
    </row>
    <row r="3181" spans="1:26" ht="12.75" customHeight="1" x14ac:dyDescent="0.2">
      <c r="A3181" s="15">
        <v>46</v>
      </c>
      <c r="B3181" s="15">
        <v>1992</v>
      </c>
      <c r="C3181" s="15">
        <v>9</v>
      </c>
      <c r="D3181" s="15">
        <v>8</v>
      </c>
      <c r="E3181" s="43" t="s">
        <v>239</v>
      </c>
      <c r="F3181" s="23" t="s">
        <v>18</v>
      </c>
      <c r="G3181" s="15">
        <v>138</v>
      </c>
      <c r="H3181" s="15" t="s">
        <v>29</v>
      </c>
      <c r="I3181" s="41">
        <v>10</v>
      </c>
      <c r="J3181" s="11" t="s">
        <v>19</v>
      </c>
      <c r="K3181" s="23" t="s">
        <v>20</v>
      </c>
      <c r="L3181" s="23" t="s">
        <v>30</v>
      </c>
      <c r="M3181" s="11" t="s">
        <v>29</v>
      </c>
      <c r="N3181" s="23" t="s">
        <v>25</v>
      </c>
      <c r="O3181" s="42" t="s">
        <v>29</v>
      </c>
      <c r="P3181" s="15">
        <v>222</v>
      </c>
      <c r="Q3181" s="8"/>
      <c r="R3181">
        <v>12.88</v>
      </c>
      <c r="S3181">
        <v>2134.4299999999998</v>
      </c>
      <c r="T3181">
        <v>4.6900000000000004</v>
      </c>
      <c r="U3181">
        <v>9.25</v>
      </c>
      <c r="V3181">
        <v>129</v>
      </c>
      <c r="W3181" s="317">
        <v>4.5999999999999996</v>
      </c>
      <c r="X3181" s="190">
        <f>I3181*W3181</f>
        <v>46</v>
      </c>
      <c r="Y3181" s="8"/>
      <c r="Z3181" s="8"/>
    </row>
    <row r="3182" spans="1:26" ht="12.75" customHeight="1" x14ac:dyDescent="0.2">
      <c r="A3182" s="15">
        <v>47</v>
      </c>
      <c r="B3182" s="15">
        <v>1992</v>
      </c>
      <c r="C3182" s="15">
        <v>9</v>
      </c>
      <c r="D3182" s="15">
        <v>8</v>
      </c>
      <c r="E3182" s="43" t="s">
        <v>239</v>
      </c>
      <c r="F3182" s="23" t="s">
        <v>18</v>
      </c>
      <c r="G3182" s="15">
        <v>96</v>
      </c>
      <c r="H3182" s="15" t="s">
        <v>29</v>
      </c>
      <c r="I3182" s="41">
        <v>3.5</v>
      </c>
      <c r="J3182" s="11" t="s">
        <v>19</v>
      </c>
      <c r="K3182" s="11" t="s">
        <v>41</v>
      </c>
      <c r="L3182" s="23" t="s">
        <v>35</v>
      </c>
      <c r="M3182" s="11" t="s">
        <v>29</v>
      </c>
      <c r="N3182" s="11" t="s">
        <v>29</v>
      </c>
      <c r="O3182" s="42" t="s">
        <v>29</v>
      </c>
      <c r="P3182" s="15">
        <v>222</v>
      </c>
      <c r="Q3182" s="8"/>
      <c r="R3182">
        <v>8.9600000000000009</v>
      </c>
      <c r="S3182">
        <v>718.55</v>
      </c>
      <c r="T3182">
        <v>4.87</v>
      </c>
      <c r="U3182">
        <v>6.43</v>
      </c>
      <c r="V3182">
        <v>90</v>
      </c>
      <c r="W3182" s="8"/>
      <c r="X3182" s="8"/>
      <c r="Y3182" s="8"/>
      <c r="Z3182" s="8"/>
    </row>
    <row r="3183" spans="1:26" ht="12.75" customHeight="1" x14ac:dyDescent="0.2">
      <c r="A3183" s="15">
        <v>48</v>
      </c>
      <c r="B3183" s="15">
        <v>1992</v>
      </c>
      <c r="C3183" s="15">
        <v>9</v>
      </c>
      <c r="D3183" s="15">
        <v>8</v>
      </c>
      <c r="E3183" s="43" t="s">
        <v>239</v>
      </c>
      <c r="F3183" s="11" t="s">
        <v>28</v>
      </c>
      <c r="G3183" s="11" t="s">
        <v>29</v>
      </c>
      <c r="H3183" s="15" t="s">
        <v>29</v>
      </c>
      <c r="I3183" s="25" t="s">
        <v>29</v>
      </c>
      <c r="J3183" s="11" t="s">
        <v>19</v>
      </c>
      <c r="K3183" s="23" t="s">
        <v>20</v>
      </c>
      <c r="L3183" s="23" t="s">
        <v>30</v>
      </c>
      <c r="M3183" s="11" t="s">
        <v>29</v>
      </c>
      <c r="N3183" s="11" t="s">
        <v>29</v>
      </c>
      <c r="O3183" s="42" t="s">
        <v>29</v>
      </c>
      <c r="P3183" s="15">
        <v>222</v>
      </c>
      <c r="Q3183" s="8"/>
      <c r="W3183" s="317">
        <v>4.5999999999999996</v>
      </c>
      <c r="X3183" s="190"/>
      <c r="Y3183" s="8"/>
      <c r="Z3183" s="8"/>
    </row>
    <row r="3184" spans="1:26" ht="12.75" customHeight="1" x14ac:dyDescent="0.2">
      <c r="A3184" s="15">
        <v>49</v>
      </c>
      <c r="B3184" s="15">
        <v>1992</v>
      </c>
      <c r="C3184" s="15">
        <v>9</v>
      </c>
      <c r="D3184" s="15">
        <v>8</v>
      </c>
      <c r="E3184" s="43" t="s">
        <v>239</v>
      </c>
      <c r="F3184" s="23" t="s">
        <v>18</v>
      </c>
      <c r="G3184" s="15">
        <v>92</v>
      </c>
      <c r="H3184" s="15" t="s">
        <v>29</v>
      </c>
      <c r="I3184" s="41">
        <v>2.2999999999999998</v>
      </c>
      <c r="J3184" s="11" t="s">
        <v>19</v>
      </c>
      <c r="K3184" s="11" t="s">
        <v>41</v>
      </c>
      <c r="L3184" s="23" t="s">
        <v>35</v>
      </c>
      <c r="M3184" s="11" t="s">
        <v>29</v>
      </c>
      <c r="N3184" s="11" t="s">
        <v>29</v>
      </c>
      <c r="O3184" s="42" t="s">
        <v>29</v>
      </c>
      <c r="P3184" s="15">
        <v>222</v>
      </c>
      <c r="Q3184" s="8"/>
      <c r="R3184">
        <v>8.58</v>
      </c>
      <c r="S3184">
        <v>632.41999999999996</v>
      </c>
      <c r="T3184">
        <v>3.64</v>
      </c>
      <c r="U3184">
        <v>6.16</v>
      </c>
      <c r="V3184">
        <v>86</v>
      </c>
      <c r="W3184" s="8"/>
      <c r="X3184" s="8"/>
      <c r="Y3184" s="8"/>
      <c r="Z3184" s="8"/>
    </row>
    <row r="3185" spans="1:26" ht="12.75" customHeight="1" x14ac:dyDescent="0.2">
      <c r="A3185" s="15">
        <v>50</v>
      </c>
      <c r="B3185" s="15">
        <v>1992</v>
      </c>
      <c r="C3185" s="15">
        <v>9</v>
      </c>
      <c r="D3185" s="15">
        <v>8</v>
      </c>
      <c r="E3185" s="43" t="s">
        <v>239</v>
      </c>
      <c r="F3185" s="23" t="s">
        <v>18</v>
      </c>
      <c r="G3185" s="15">
        <v>124</v>
      </c>
      <c r="H3185" s="15" t="s">
        <v>29</v>
      </c>
      <c r="I3185" s="41">
        <v>7</v>
      </c>
      <c r="J3185" s="11" t="s">
        <v>19</v>
      </c>
      <c r="K3185" s="11" t="s">
        <v>41</v>
      </c>
      <c r="L3185" s="23" t="s">
        <v>35</v>
      </c>
      <c r="M3185" s="11" t="s">
        <v>29</v>
      </c>
      <c r="N3185" s="11" t="s">
        <v>29</v>
      </c>
      <c r="O3185" s="42" t="s">
        <v>29</v>
      </c>
      <c r="P3185" s="15">
        <v>222</v>
      </c>
      <c r="Q3185" s="8"/>
      <c r="R3185">
        <v>11.57</v>
      </c>
      <c r="S3185">
        <v>1548.5</v>
      </c>
      <c r="T3185">
        <v>4.5199999999999996</v>
      </c>
      <c r="U3185">
        <v>8.31</v>
      </c>
      <c r="V3185">
        <v>116</v>
      </c>
      <c r="W3185" s="8"/>
      <c r="X3185" s="8"/>
      <c r="Y3185" s="8"/>
      <c r="Z3185" s="8"/>
    </row>
    <row r="3186" spans="1:26" ht="12.75" customHeight="1" x14ac:dyDescent="0.2">
      <c r="A3186" s="15">
        <v>51</v>
      </c>
      <c r="B3186" s="15">
        <v>1992</v>
      </c>
      <c r="C3186" s="15">
        <v>9</v>
      </c>
      <c r="D3186" s="15">
        <v>8</v>
      </c>
      <c r="E3186" s="43" t="s">
        <v>239</v>
      </c>
      <c r="F3186" s="11" t="s">
        <v>28</v>
      </c>
      <c r="G3186" s="11" t="s">
        <v>29</v>
      </c>
      <c r="H3186" s="15" t="s">
        <v>29</v>
      </c>
      <c r="I3186" s="41">
        <v>2.5</v>
      </c>
      <c r="J3186" s="11" t="s">
        <v>19</v>
      </c>
      <c r="K3186" s="11" t="s">
        <v>41</v>
      </c>
      <c r="L3186" s="23" t="s">
        <v>35</v>
      </c>
      <c r="M3186" s="11" t="s">
        <v>29</v>
      </c>
      <c r="N3186" s="11" t="s">
        <v>29</v>
      </c>
      <c r="O3186" s="42" t="s">
        <v>29</v>
      </c>
      <c r="P3186" s="15">
        <v>222</v>
      </c>
      <c r="Q3186" s="8"/>
      <c r="W3186" s="8"/>
      <c r="X3186" s="8"/>
      <c r="Y3186" s="8"/>
      <c r="Z3186" s="8"/>
    </row>
    <row r="3187" spans="1:26" ht="12.75" customHeight="1" x14ac:dyDescent="0.2">
      <c r="A3187" s="15">
        <v>52</v>
      </c>
      <c r="B3187" s="15">
        <v>1992</v>
      </c>
      <c r="C3187" s="15">
        <v>9</v>
      </c>
      <c r="D3187" s="15">
        <v>8</v>
      </c>
      <c r="E3187" s="43" t="s">
        <v>239</v>
      </c>
      <c r="F3187" s="11" t="s">
        <v>28</v>
      </c>
      <c r="G3187" s="11" t="s">
        <v>29</v>
      </c>
      <c r="H3187" s="15" t="s">
        <v>29</v>
      </c>
      <c r="I3187" s="25" t="s">
        <v>29</v>
      </c>
      <c r="J3187" s="11" t="s">
        <v>19</v>
      </c>
      <c r="K3187" s="11" t="s">
        <v>41</v>
      </c>
      <c r="L3187" s="23" t="s">
        <v>35</v>
      </c>
      <c r="M3187" s="11" t="s">
        <v>29</v>
      </c>
      <c r="N3187" s="11" t="s">
        <v>29</v>
      </c>
      <c r="O3187" s="42" t="s">
        <v>29</v>
      </c>
      <c r="P3187" s="15">
        <v>222</v>
      </c>
      <c r="Q3187" s="8"/>
      <c r="W3187" s="8"/>
      <c r="X3187" s="8"/>
      <c r="Y3187" s="8"/>
      <c r="Z3187" s="8"/>
    </row>
    <row r="3188" spans="1:26" ht="12.75" customHeight="1" x14ac:dyDescent="0.2">
      <c r="A3188" s="15">
        <v>53</v>
      </c>
      <c r="B3188" s="15">
        <v>1992</v>
      </c>
      <c r="C3188" s="15">
        <v>8</v>
      </c>
      <c r="D3188" s="15">
        <v>8</v>
      </c>
      <c r="E3188" s="43" t="s">
        <v>17</v>
      </c>
      <c r="F3188" s="23" t="s">
        <v>18</v>
      </c>
      <c r="G3188" s="15">
        <v>134</v>
      </c>
      <c r="H3188" s="15" t="s">
        <v>29</v>
      </c>
      <c r="I3188" s="41">
        <v>13</v>
      </c>
      <c r="J3188" s="11" t="s">
        <v>19</v>
      </c>
      <c r="K3188" s="23" t="s">
        <v>20</v>
      </c>
      <c r="L3188" s="23" t="s">
        <v>30</v>
      </c>
      <c r="M3188" s="11" t="s">
        <v>29</v>
      </c>
      <c r="N3188" s="23" t="s">
        <v>33</v>
      </c>
      <c r="O3188" s="42" t="s">
        <v>29</v>
      </c>
      <c r="P3188" s="15">
        <v>221</v>
      </c>
      <c r="Q3188" s="8"/>
      <c r="R3188">
        <v>12.5</v>
      </c>
      <c r="S3188">
        <v>1954.16</v>
      </c>
      <c r="T3188">
        <v>6.65</v>
      </c>
      <c r="U3188">
        <v>8.98</v>
      </c>
      <c r="V3188">
        <v>125</v>
      </c>
      <c r="W3188" s="317">
        <v>4.5999999999999996</v>
      </c>
      <c r="X3188" s="190">
        <f>I3188*W3188</f>
        <v>59.8</v>
      </c>
      <c r="Y3188" s="8"/>
      <c r="Z3188" s="8"/>
    </row>
    <row r="3189" spans="1:26" ht="12.75" customHeight="1" x14ac:dyDescent="0.2">
      <c r="A3189" s="15">
        <v>54</v>
      </c>
      <c r="B3189" s="15">
        <v>1992</v>
      </c>
      <c r="C3189" s="15">
        <v>8</v>
      </c>
      <c r="D3189" s="15">
        <v>8</v>
      </c>
      <c r="E3189" s="43" t="s">
        <v>17</v>
      </c>
      <c r="F3189" s="23" t="s">
        <v>18</v>
      </c>
      <c r="G3189" s="15">
        <v>128</v>
      </c>
      <c r="H3189" s="15" t="s">
        <v>29</v>
      </c>
      <c r="I3189" s="41">
        <v>13</v>
      </c>
      <c r="J3189" s="11" t="s">
        <v>231</v>
      </c>
      <c r="K3189" s="11" t="s">
        <v>29</v>
      </c>
      <c r="L3189" s="11" t="s">
        <v>29</v>
      </c>
      <c r="M3189" s="11" t="s">
        <v>29</v>
      </c>
      <c r="N3189" s="23" t="s">
        <v>24</v>
      </c>
      <c r="O3189" s="42" t="s">
        <v>29</v>
      </c>
      <c r="P3189" s="15">
        <v>221</v>
      </c>
      <c r="Q3189" s="8"/>
      <c r="R3189">
        <v>11.94</v>
      </c>
      <c r="S3189">
        <v>1703.24</v>
      </c>
      <c r="T3189">
        <v>7.63</v>
      </c>
      <c r="U3189">
        <v>8.58</v>
      </c>
      <c r="V3189">
        <v>119</v>
      </c>
      <c r="W3189" s="8"/>
      <c r="X3189" s="8"/>
      <c r="Y3189" s="8"/>
      <c r="Z3189" s="8"/>
    </row>
    <row r="3190" spans="1:26" ht="12.75" customHeight="1" x14ac:dyDescent="0.2">
      <c r="A3190" s="15">
        <v>55</v>
      </c>
      <c r="B3190" s="15">
        <v>1992</v>
      </c>
      <c r="C3190" s="15">
        <v>8</v>
      </c>
      <c r="D3190" s="15">
        <v>8</v>
      </c>
      <c r="E3190" s="43" t="s">
        <v>17</v>
      </c>
      <c r="F3190" s="23" t="s">
        <v>18</v>
      </c>
      <c r="G3190" s="15">
        <v>149</v>
      </c>
      <c r="H3190" s="15" t="s">
        <v>29</v>
      </c>
      <c r="I3190" s="41">
        <v>22.5</v>
      </c>
      <c r="J3190" s="11" t="s">
        <v>19</v>
      </c>
      <c r="K3190" s="23" t="s">
        <v>34</v>
      </c>
      <c r="L3190" s="11" t="s">
        <v>41</v>
      </c>
      <c r="M3190" s="11" t="s">
        <v>29</v>
      </c>
      <c r="N3190" s="23" t="s">
        <v>33</v>
      </c>
      <c r="O3190" s="42" t="s">
        <v>29</v>
      </c>
      <c r="P3190" s="15">
        <v>221</v>
      </c>
      <c r="Q3190" s="8"/>
      <c r="R3190">
        <v>13.9</v>
      </c>
      <c r="S3190">
        <v>2686.6</v>
      </c>
      <c r="T3190">
        <v>8.3699999999999992</v>
      </c>
      <c r="U3190">
        <v>9.98</v>
      </c>
      <c r="V3190">
        <v>139</v>
      </c>
      <c r="W3190" s="317">
        <v>3.8</v>
      </c>
      <c r="X3190" s="190">
        <f>I3190*W3190</f>
        <v>85.5</v>
      </c>
      <c r="Y3190" s="8"/>
      <c r="Z3190" s="8"/>
    </row>
    <row r="3191" spans="1:26" ht="12.75" customHeight="1" x14ac:dyDescent="0.2">
      <c r="A3191" s="15">
        <v>56</v>
      </c>
      <c r="B3191" s="15">
        <v>1992</v>
      </c>
      <c r="C3191" s="15">
        <v>8</v>
      </c>
      <c r="D3191" s="15">
        <v>8</v>
      </c>
      <c r="E3191" s="43" t="s">
        <v>17</v>
      </c>
      <c r="F3191" s="23" t="s">
        <v>18</v>
      </c>
      <c r="G3191" s="15">
        <v>149</v>
      </c>
      <c r="H3191" s="15" t="s">
        <v>29</v>
      </c>
      <c r="I3191" s="41">
        <v>14</v>
      </c>
      <c r="J3191" s="11" t="s">
        <v>19</v>
      </c>
      <c r="K3191" s="23" t="s">
        <v>20</v>
      </c>
      <c r="L3191" s="23" t="s">
        <v>30</v>
      </c>
      <c r="M3191" s="11" t="s">
        <v>29</v>
      </c>
      <c r="N3191" s="23" t="s">
        <v>33</v>
      </c>
      <c r="O3191" s="42" t="s">
        <v>29</v>
      </c>
      <c r="P3191" s="15">
        <v>221</v>
      </c>
      <c r="Q3191" s="8"/>
      <c r="R3191">
        <v>13.9</v>
      </c>
      <c r="S3191">
        <v>2686.6</v>
      </c>
      <c r="T3191">
        <v>5.21</v>
      </c>
      <c r="U3191">
        <v>9.98</v>
      </c>
      <c r="V3191">
        <v>139</v>
      </c>
      <c r="W3191" s="317">
        <v>4.5999999999999996</v>
      </c>
      <c r="X3191" s="190">
        <f>I3191*W3191</f>
        <v>64.399999999999991</v>
      </c>
      <c r="Y3191" s="8"/>
      <c r="Z3191" s="8"/>
    </row>
    <row r="3192" spans="1:26" ht="12.75" customHeight="1" x14ac:dyDescent="0.2">
      <c r="A3192" s="15">
        <v>57</v>
      </c>
      <c r="B3192" s="15">
        <v>1992</v>
      </c>
      <c r="C3192" s="15">
        <v>8</v>
      </c>
      <c r="D3192" s="15">
        <v>8</v>
      </c>
      <c r="E3192" s="43" t="s">
        <v>17</v>
      </c>
      <c r="F3192" s="23" t="s">
        <v>18</v>
      </c>
      <c r="G3192" s="15">
        <v>138</v>
      </c>
      <c r="H3192" s="15" t="s">
        <v>29</v>
      </c>
      <c r="I3192" s="41">
        <v>14</v>
      </c>
      <c r="J3192" s="11" t="s">
        <v>19</v>
      </c>
      <c r="K3192" s="23" t="s">
        <v>20</v>
      </c>
      <c r="L3192" s="23" t="s">
        <v>30</v>
      </c>
      <c r="M3192" s="11" t="s">
        <v>29</v>
      </c>
      <c r="N3192" s="11" t="s">
        <v>29</v>
      </c>
      <c r="O3192" s="42" t="s">
        <v>29</v>
      </c>
      <c r="P3192" s="15">
        <v>221</v>
      </c>
      <c r="Q3192" s="8"/>
      <c r="R3192">
        <v>12.88</v>
      </c>
      <c r="S3192">
        <v>2134.4299999999998</v>
      </c>
      <c r="T3192">
        <v>6.56</v>
      </c>
      <c r="U3192">
        <v>9.25</v>
      </c>
      <c r="V3192">
        <v>129</v>
      </c>
      <c r="W3192" s="317">
        <v>4.5999999999999996</v>
      </c>
      <c r="X3192" s="190">
        <f>I3192*W3192</f>
        <v>64.399999999999991</v>
      </c>
      <c r="Y3192" s="8"/>
      <c r="Z3192" s="8"/>
    </row>
    <row r="3193" spans="1:26" ht="12.75" customHeight="1" x14ac:dyDescent="0.2">
      <c r="A3193" s="15">
        <v>58</v>
      </c>
      <c r="B3193" s="15">
        <v>1992</v>
      </c>
      <c r="C3193" s="15">
        <v>8</v>
      </c>
      <c r="D3193" s="15">
        <v>8</v>
      </c>
      <c r="E3193" s="43" t="s">
        <v>17</v>
      </c>
      <c r="F3193" s="23" t="s">
        <v>18</v>
      </c>
      <c r="G3193" s="15">
        <v>132</v>
      </c>
      <c r="H3193" s="15" t="s">
        <v>29</v>
      </c>
      <c r="I3193" s="41">
        <v>12.5</v>
      </c>
      <c r="J3193" s="11" t="s">
        <v>19</v>
      </c>
      <c r="K3193" s="23" t="s">
        <v>20</v>
      </c>
      <c r="L3193" s="23" t="s">
        <v>30</v>
      </c>
      <c r="M3193" s="11" t="s">
        <v>29</v>
      </c>
      <c r="N3193" s="23" t="s">
        <v>33</v>
      </c>
      <c r="O3193" s="42" t="s">
        <v>29</v>
      </c>
      <c r="P3193" s="15">
        <v>221</v>
      </c>
      <c r="Q3193" s="8"/>
      <c r="R3193">
        <v>12.32</v>
      </c>
      <c r="S3193">
        <v>1867.96</v>
      </c>
      <c r="T3193">
        <v>6.69</v>
      </c>
      <c r="U3193">
        <v>8.84</v>
      </c>
      <c r="V3193">
        <v>123</v>
      </c>
      <c r="W3193" s="317">
        <v>4.5999999999999996</v>
      </c>
      <c r="X3193" s="190">
        <f>I3193*W3193</f>
        <v>57.499999999999993</v>
      </c>
      <c r="Y3193" s="8"/>
      <c r="Z3193" s="8"/>
    </row>
    <row r="3194" spans="1:26" ht="12.75" customHeight="1" x14ac:dyDescent="0.2">
      <c r="A3194" s="15">
        <v>59</v>
      </c>
      <c r="B3194" s="15">
        <v>1992</v>
      </c>
      <c r="C3194" s="15">
        <v>8</v>
      </c>
      <c r="D3194" s="15">
        <v>8</v>
      </c>
      <c r="E3194" s="40">
        <v>0.5</v>
      </c>
      <c r="F3194" s="23" t="s">
        <v>18</v>
      </c>
      <c r="G3194" s="15">
        <v>155</v>
      </c>
      <c r="H3194" s="15" t="s">
        <v>29</v>
      </c>
      <c r="I3194" s="41">
        <v>23</v>
      </c>
      <c r="J3194" s="11" t="s">
        <v>19</v>
      </c>
      <c r="K3194" s="23" t="s">
        <v>34</v>
      </c>
      <c r="L3194" s="11" t="s">
        <v>41</v>
      </c>
      <c r="M3194" s="11" t="s">
        <v>29</v>
      </c>
      <c r="N3194" s="23" t="s">
        <v>25</v>
      </c>
      <c r="O3194" s="42" t="s">
        <v>29</v>
      </c>
      <c r="P3194" s="15">
        <v>221</v>
      </c>
      <c r="Q3194" s="8"/>
      <c r="R3194">
        <v>14.46</v>
      </c>
      <c r="S3194">
        <v>3024.41</v>
      </c>
      <c r="T3194">
        <v>7.6</v>
      </c>
      <c r="U3194">
        <v>10.39</v>
      </c>
      <c r="V3194">
        <v>145</v>
      </c>
      <c r="W3194" s="317">
        <v>3.8</v>
      </c>
      <c r="X3194" s="190">
        <f>I3194*W3194</f>
        <v>87.399999999999991</v>
      </c>
      <c r="Y3194" s="8"/>
      <c r="Z3194" s="8"/>
    </row>
    <row r="3195" spans="1:26" ht="12.75" customHeight="1" x14ac:dyDescent="0.2">
      <c r="A3195" s="15">
        <v>60</v>
      </c>
      <c r="B3195" s="15">
        <v>1992</v>
      </c>
      <c r="C3195" s="15">
        <v>8</v>
      </c>
      <c r="D3195" s="15">
        <v>8</v>
      </c>
      <c r="E3195" s="40">
        <v>0.5</v>
      </c>
      <c r="F3195" s="11" t="s">
        <v>28</v>
      </c>
      <c r="G3195" s="11" t="s">
        <v>29</v>
      </c>
      <c r="H3195" s="15" t="s">
        <v>29</v>
      </c>
      <c r="I3195" s="25" t="s">
        <v>29</v>
      </c>
      <c r="J3195" s="11" t="s">
        <v>19</v>
      </c>
      <c r="K3195" s="23" t="s">
        <v>20</v>
      </c>
      <c r="L3195" s="23" t="s">
        <v>30</v>
      </c>
      <c r="M3195" s="11" t="s">
        <v>29</v>
      </c>
      <c r="N3195" s="11" t="s">
        <v>29</v>
      </c>
      <c r="O3195" s="42" t="s">
        <v>29</v>
      </c>
      <c r="P3195" s="15">
        <v>221</v>
      </c>
      <c r="Q3195" s="8"/>
      <c r="W3195" s="317">
        <v>4.5999999999999996</v>
      </c>
      <c r="X3195" s="190"/>
      <c r="Y3195" s="8"/>
      <c r="Z3195" s="8"/>
    </row>
    <row r="3196" spans="1:26" ht="12.75" customHeight="1" x14ac:dyDescent="0.2">
      <c r="A3196" s="15">
        <v>61</v>
      </c>
      <c r="B3196" s="15">
        <v>1992</v>
      </c>
      <c r="C3196" s="15">
        <v>8</v>
      </c>
      <c r="D3196" s="15">
        <v>8</v>
      </c>
      <c r="E3196" s="40">
        <v>0.5</v>
      </c>
      <c r="F3196" s="23" t="s">
        <v>18</v>
      </c>
      <c r="G3196" s="15">
        <v>132</v>
      </c>
      <c r="H3196" s="15" t="s">
        <v>29</v>
      </c>
      <c r="I3196" s="41">
        <v>16.5</v>
      </c>
      <c r="J3196" s="11" t="s">
        <v>19</v>
      </c>
      <c r="K3196" s="23" t="s">
        <v>34</v>
      </c>
      <c r="L3196" s="11" t="s">
        <v>41</v>
      </c>
      <c r="M3196" s="11" t="s">
        <v>29</v>
      </c>
      <c r="N3196" s="11" t="s">
        <v>29</v>
      </c>
      <c r="O3196" s="42" t="s">
        <v>29</v>
      </c>
      <c r="P3196" s="15">
        <v>221</v>
      </c>
      <c r="Q3196" s="8"/>
      <c r="R3196">
        <v>12.32</v>
      </c>
      <c r="S3196">
        <v>1867.96</v>
      </c>
      <c r="T3196">
        <v>8.83</v>
      </c>
      <c r="U3196">
        <v>8.84</v>
      </c>
      <c r="V3196">
        <v>123</v>
      </c>
      <c r="W3196" s="317">
        <v>3.8</v>
      </c>
      <c r="X3196" s="190">
        <f>I3196*W3196</f>
        <v>62.699999999999996</v>
      </c>
      <c r="Y3196" s="8"/>
      <c r="Z3196" s="8"/>
    </row>
    <row r="3197" spans="1:26" ht="12.75" customHeight="1" x14ac:dyDescent="0.2">
      <c r="A3197" s="15">
        <v>62</v>
      </c>
      <c r="B3197" s="15">
        <v>1992</v>
      </c>
      <c r="C3197" s="15">
        <v>8</v>
      </c>
      <c r="D3197" s="15">
        <v>8</v>
      </c>
      <c r="E3197" s="40">
        <v>0.5</v>
      </c>
      <c r="F3197" s="23" t="s">
        <v>18</v>
      </c>
      <c r="G3197" s="11" t="s">
        <v>29</v>
      </c>
      <c r="H3197" s="15" t="s">
        <v>29</v>
      </c>
      <c r="I3197" s="41">
        <v>15.3</v>
      </c>
      <c r="J3197" s="11" t="s">
        <v>19</v>
      </c>
      <c r="K3197" s="23" t="s">
        <v>20</v>
      </c>
      <c r="L3197" s="23" t="s">
        <v>30</v>
      </c>
      <c r="M3197" s="11" t="s">
        <v>29</v>
      </c>
      <c r="N3197" s="23" t="s">
        <v>23</v>
      </c>
      <c r="O3197" s="42" t="s">
        <v>29</v>
      </c>
      <c r="P3197" s="15">
        <v>221</v>
      </c>
      <c r="Q3197" s="8"/>
      <c r="W3197" s="317">
        <v>4.5999999999999996</v>
      </c>
      <c r="X3197" s="190">
        <f>I3197*W3197</f>
        <v>70.38</v>
      </c>
      <c r="Y3197" s="8"/>
      <c r="Z3197" s="8"/>
    </row>
    <row r="3198" spans="1:26" ht="12.75" customHeight="1" x14ac:dyDescent="0.2">
      <c r="A3198" s="15">
        <v>63</v>
      </c>
      <c r="B3198" s="15">
        <v>1992</v>
      </c>
      <c r="C3198" s="15">
        <v>8</v>
      </c>
      <c r="D3198" s="15">
        <v>8</v>
      </c>
      <c r="E3198" s="40">
        <v>0.5</v>
      </c>
      <c r="F3198" s="23" t="s">
        <v>18</v>
      </c>
      <c r="G3198" s="15">
        <v>138</v>
      </c>
      <c r="H3198" s="15" t="s">
        <v>29</v>
      </c>
      <c r="I3198" s="41">
        <v>18.3</v>
      </c>
      <c r="J3198" s="11" t="s">
        <v>19</v>
      </c>
      <c r="K3198" s="23" t="s">
        <v>34</v>
      </c>
      <c r="L3198" s="11" t="s">
        <v>41</v>
      </c>
      <c r="M3198" s="11" t="s">
        <v>29</v>
      </c>
      <c r="N3198" s="23" t="s">
        <v>23</v>
      </c>
      <c r="O3198" s="42" t="s">
        <v>29</v>
      </c>
      <c r="P3198" s="15">
        <v>221</v>
      </c>
      <c r="Q3198" s="8"/>
      <c r="R3198">
        <v>12.88</v>
      </c>
      <c r="S3198">
        <v>2134.4299999999998</v>
      </c>
      <c r="T3198">
        <v>8.57</v>
      </c>
      <c r="U3198">
        <v>9.25</v>
      </c>
      <c r="V3198">
        <v>129</v>
      </c>
      <c r="W3198" s="317">
        <v>3.8</v>
      </c>
      <c r="X3198" s="190">
        <f>I3198*W3198</f>
        <v>69.540000000000006</v>
      </c>
      <c r="Y3198" s="8"/>
      <c r="Z3198" s="8"/>
    </row>
    <row r="3199" spans="1:26" ht="12.75" customHeight="1" x14ac:dyDescent="0.2">
      <c r="A3199" s="15">
        <v>64</v>
      </c>
      <c r="B3199" s="15">
        <v>1992</v>
      </c>
      <c r="C3199" s="15">
        <v>8</v>
      </c>
      <c r="D3199" s="15">
        <v>8</v>
      </c>
      <c r="E3199" s="40">
        <v>0.5</v>
      </c>
      <c r="F3199" s="23" t="s">
        <v>18</v>
      </c>
      <c r="G3199" s="15">
        <v>112</v>
      </c>
      <c r="H3199" s="15" t="s">
        <v>29</v>
      </c>
      <c r="I3199" s="41">
        <v>6.5</v>
      </c>
      <c r="J3199" s="11" t="s">
        <v>19</v>
      </c>
      <c r="K3199" s="11" t="s">
        <v>20</v>
      </c>
      <c r="L3199" s="11" t="s">
        <v>21</v>
      </c>
      <c r="M3199" s="11" t="s">
        <v>29</v>
      </c>
      <c r="N3199" s="11" t="s">
        <v>29</v>
      </c>
      <c r="O3199" s="42" t="s">
        <v>29</v>
      </c>
      <c r="P3199" s="15">
        <v>221</v>
      </c>
      <c r="Q3199" s="8"/>
      <c r="R3199">
        <v>10.45</v>
      </c>
      <c r="S3199">
        <v>1141.04</v>
      </c>
      <c r="T3199">
        <v>5.7</v>
      </c>
      <c r="U3199">
        <v>7.5</v>
      </c>
      <c r="V3199">
        <v>104</v>
      </c>
      <c r="W3199" s="317">
        <v>3.9</v>
      </c>
      <c r="X3199" s="190">
        <f t="shared" ref="X3199:X3204" si="146">I3199*W3199</f>
        <v>25.349999999999998</v>
      </c>
      <c r="Y3199" s="8"/>
      <c r="Z3199" s="8"/>
    </row>
    <row r="3200" spans="1:26" ht="12.75" customHeight="1" x14ac:dyDescent="0.2">
      <c r="A3200" s="15">
        <v>65</v>
      </c>
      <c r="B3200" s="15">
        <v>1992</v>
      </c>
      <c r="C3200" s="15">
        <v>8</v>
      </c>
      <c r="D3200" s="15">
        <v>8</v>
      </c>
      <c r="E3200" s="40">
        <v>0.5</v>
      </c>
      <c r="F3200" s="23" t="s">
        <v>18</v>
      </c>
      <c r="G3200" s="15">
        <v>141</v>
      </c>
      <c r="H3200" s="15" t="s">
        <v>29</v>
      </c>
      <c r="I3200" s="41">
        <v>15</v>
      </c>
      <c r="J3200" s="11" t="s">
        <v>19</v>
      </c>
      <c r="K3200" s="23" t="s">
        <v>20</v>
      </c>
      <c r="L3200" s="23" t="s">
        <v>30</v>
      </c>
      <c r="M3200" s="11" t="s">
        <v>29</v>
      </c>
      <c r="N3200" s="23" t="s">
        <v>33</v>
      </c>
      <c r="O3200" s="42" t="s">
        <v>29</v>
      </c>
      <c r="P3200" s="15">
        <v>221</v>
      </c>
      <c r="Q3200" s="8"/>
      <c r="R3200">
        <v>13.16</v>
      </c>
      <c r="S3200">
        <v>2276.6799999999998</v>
      </c>
      <c r="T3200">
        <v>6.59</v>
      </c>
      <c r="U3200">
        <v>9.4499999999999993</v>
      </c>
      <c r="V3200">
        <v>132</v>
      </c>
      <c r="W3200" s="317">
        <v>4.5999999999999996</v>
      </c>
      <c r="X3200" s="190">
        <f t="shared" si="146"/>
        <v>69</v>
      </c>
      <c r="Y3200" s="8"/>
      <c r="Z3200" s="8"/>
    </row>
    <row r="3201" spans="1:26" ht="12.75" customHeight="1" x14ac:dyDescent="0.2">
      <c r="A3201" s="15">
        <v>66</v>
      </c>
      <c r="B3201" s="15">
        <v>1992</v>
      </c>
      <c r="C3201" s="15">
        <v>8</v>
      </c>
      <c r="D3201" s="15">
        <v>8</v>
      </c>
      <c r="E3201" s="40">
        <v>0.5</v>
      </c>
      <c r="F3201" s="23" t="s">
        <v>18</v>
      </c>
      <c r="G3201" s="15">
        <v>138</v>
      </c>
      <c r="H3201" s="15" t="s">
        <v>29</v>
      </c>
      <c r="I3201" s="41">
        <v>16</v>
      </c>
      <c r="J3201" s="11" t="s">
        <v>19</v>
      </c>
      <c r="K3201" s="23" t="s">
        <v>20</v>
      </c>
      <c r="L3201" s="23" t="s">
        <v>30</v>
      </c>
      <c r="M3201" s="11" t="s">
        <v>29</v>
      </c>
      <c r="N3201" s="11" t="s">
        <v>29</v>
      </c>
      <c r="O3201" s="42" t="s">
        <v>29</v>
      </c>
      <c r="P3201" s="15">
        <v>221</v>
      </c>
      <c r="Q3201" s="8"/>
      <c r="R3201">
        <v>12.88</v>
      </c>
      <c r="S3201">
        <v>2134.4299999999998</v>
      </c>
      <c r="T3201">
        <v>7.5</v>
      </c>
      <c r="U3201">
        <v>9.25</v>
      </c>
      <c r="V3201">
        <v>129</v>
      </c>
      <c r="W3201" s="317">
        <v>4.5999999999999996</v>
      </c>
      <c r="X3201" s="190">
        <f t="shared" si="146"/>
        <v>73.599999999999994</v>
      </c>
      <c r="Y3201" s="8"/>
      <c r="Z3201" s="8"/>
    </row>
    <row r="3202" spans="1:26" ht="12.75" customHeight="1" x14ac:dyDescent="0.2">
      <c r="A3202" s="15">
        <v>67</v>
      </c>
      <c r="B3202" s="15">
        <v>1992</v>
      </c>
      <c r="C3202" s="15">
        <v>8</v>
      </c>
      <c r="D3202" s="15">
        <v>8</v>
      </c>
      <c r="E3202" s="40">
        <v>0.5</v>
      </c>
      <c r="F3202" s="11" t="s">
        <v>28</v>
      </c>
      <c r="G3202" s="11" t="s">
        <v>29</v>
      </c>
      <c r="H3202" s="15" t="s">
        <v>29</v>
      </c>
      <c r="I3202" s="25" t="s">
        <v>29</v>
      </c>
      <c r="J3202" s="11" t="s">
        <v>19</v>
      </c>
      <c r="K3202" s="23" t="s">
        <v>20</v>
      </c>
      <c r="L3202" s="23" t="s">
        <v>30</v>
      </c>
      <c r="M3202" s="11" t="s">
        <v>29</v>
      </c>
      <c r="N3202" s="11" t="s">
        <v>29</v>
      </c>
      <c r="O3202" s="42" t="s">
        <v>29</v>
      </c>
      <c r="P3202" s="15">
        <v>221</v>
      </c>
      <c r="Q3202" s="8"/>
      <c r="W3202" s="317">
        <v>4.5999999999999996</v>
      </c>
      <c r="X3202" s="190"/>
      <c r="Y3202" s="8"/>
      <c r="Z3202" s="8"/>
    </row>
    <row r="3203" spans="1:26" ht="12.75" customHeight="1" x14ac:dyDescent="0.2">
      <c r="A3203" s="15">
        <v>68</v>
      </c>
      <c r="B3203" s="15">
        <v>1992</v>
      </c>
      <c r="C3203" s="15">
        <v>8</v>
      </c>
      <c r="D3203" s="15">
        <v>8</v>
      </c>
      <c r="E3203" s="40">
        <v>0.5</v>
      </c>
      <c r="F3203" s="23" t="s">
        <v>18</v>
      </c>
      <c r="G3203" s="15">
        <v>145</v>
      </c>
      <c r="H3203" s="15" t="s">
        <v>29</v>
      </c>
      <c r="I3203" s="41">
        <v>17</v>
      </c>
      <c r="J3203" s="11" t="s">
        <v>19</v>
      </c>
      <c r="K3203" s="23" t="s">
        <v>20</v>
      </c>
      <c r="L3203" s="23" t="s">
        <v>30</v>
      </c>
      <c r="M3203" s="11" t="s">
        <v>29</v>
      </c>
      <c r="N3203" s="11" t="s">
        <v>29</v>
      </c>
      <c r="O3203" s="42" t="s">
        <v>29</v>
      </c>
      <c r="P3203" s="15">
        <v>221</v>
      </c>
      <c r="Q3203" s="8"/>
      <c r="R3203">
        <v>13.53</v>
      </c>
      <c r="S3203">
        <v>2475.9899999999998</v>
      </c>
      <c r="T3203">
        <v>6.87</v>
      </c>
      <c r="U3203">
        <v>9.7200000000000006</v>
      </c>
      <c r="V3203">
        <v>135</v>
      </c>
      <c r="W3203" s="317">
        <v>4.5999999999999996</v>
      </c>
      <c r="X3203" s="190">
        <f t="shared" si="146"/>
        <v>78.199999999999989</v>
      </c>
      <c r="Y3203" s="8"/>
      <c r="Z3203" s="8"/>
    </row>
    <row r="3204" spans="1:26" ht="12.75" customHeight="1" x14ac:dyDescent="0.2">
      <c r="A3204" s="15">
        <v>69</v>
      </c>
      <c r="B3204" s="15">
        <v>1992</v>
      </c>
      <c r="C3204" s="15">
        <v>8</v>
      </c>
      <c r="D3204" s="15">
        <v>8</v>
      </c>
      <c r="E3204" s="40">
        <v>0.5</v>
      </c>
      <c r="F3204" s="23" t="s">
        <v>18</v>
      </c>
      <c r="G3204" s="15">
        <v>147</v>
      </c>
      <c r="H3204" s="15" t="s">
        <v>29</v>
      </c>
      <c r="I3204" s="41">
        <v>19.8</v>
      </c>
      <c r="J3204" s="11" t="s">
        <v>19</v>
      </c>
      <c r="K3204" s="23" t="s">
        <v>34</v>
      </c>
      <c r="L3204" s="11" t="s">
        <v>41</v>
      </c>
      <c r="M3204" s="11" t="s">
        <v>29</v>
      </c>
      <c r="N3204" s="23" t="s">
        <v>33</v>
      </c>
      <c r="O3204" s="42" t="s">
        <v>29</v>
      </c>
      <c r="P3204" s="15">
        <v>221</v>
      </c>
      <c r="Q3204" s="8"/>
      <c r="R3204">
        <v>13.72</v>
      </c>
      <c r="S3204">
        <v>2579.86</v>
      </c>
      <c r="T3204">
        <v>7.67</v>
      </c>
      <c r="U3204">
        <v>9.85</v>
      </c>
      <c r="V3204">
        <v>137</v>
      </c>
      <c r="W3204" s="317">
        <v>3.8</v>
      </c>
      <c r="X3204" s="190">
        <f t="shared" si="146"/>
        <v>75.239999999999995</v>
      </c>
      <c r="Y3204" s="8"/>
      <c r="Z3204" s="8"/>
    </row>
    <row r="3205" spans="1:26" ht="12.75" customHeight="1" x14ac:dyDescent="0.2">
      <c r="A3205" s="15">
        <v>70</v>
      </c>
      <c r="B3205" s="15">
        <v>1992</v>
      </c>
      <c r="C3205" s="15">
        <v>8</v>
      </c>
      <c r="D3205" s="15">
        <v>8</v>
      </c>
      <c r="E3205" s="40">
        <v>0.5</v>
      </c>
      <c r="F3205" s="23" t="s">
        <v>18</v>
      </c>
      <c r="G3205" s="15">
        <v>147</v>
      </c>
      <c r="H3205" s="15" t="s">
        <v>29</v>
      </c>
      <c r="I3205" s="41">
        <v>16.5</v>
      </c>
      <c r="J3205" s="11" t="s">
        <v>19</v>
      </c>
      <c r="K3205" s="23" t="s">
        <v>20</v>
      </c>
      <c r="L3205" s="23" t="s">
        <v>30</v>
      </c>
      <c r="M3205" s="11" t="s">
        <v>29</v>
      </c>
      <c r="N3205" s="23" t="s">
        <v>33</v>
      </c>
      <c r="O3205" s="42" t="s">
        <v>29</v>
      </c>
      <c r="P3205" s="15">
        <v>221</v>
      </c>
      <c r="Q3205" s="8"/>
      <c r="R3205">
        <v>13.72</v>
      </c>
      <c r="S3205">
        <v>2579.86</v>
      </c>
      <c r="T3205">
        <v>6.4</v>
      </c>
      <c r="U3205">
        <v>9.85</v>
      </c>
      <c r="V3205">
        <v>137</v>
      </c>
      <c r="W3205" s="317">
        <v>4.5999999999999996</v>
      </c>
      <c r="X3205" s="190">
        <f>I3205*W3205</f>
        <v>75.899999999999991</v>
      </c>
      <c r="Y3205" s="8"/>
      <c r="Z3205" s="8"/>
    </row>
    <row r="3206" spans="1:26" ht="12.75" customHeight="1" x14ac:dyDescent="0.2">
      <c r="A3206" s="15">
        <v>71</v>
      </c>
      <c r="B3206" s="15">
        <v>1992</v>
      </c>
      <c r="C3206" s="15">
        <v>8</v>
      </c>
      <c r="D3206" s="15">
        <v>8</v>
      </c>
      <c r="E3206" s="40">
        <v>0.5</v>
      </c>
      <c r="F3206" s="23" t="s">
        <v>18</v>
      </c>
      <c r="G3206" s="15">
        <v>158</v>
      </c>
      <c r="H3206" s="15" t="s">
        <v>29</v>
      </c>
      <c r="I3206" s="41">
        <v>22.5</v>
      </c>
      <c r="J3206" s="11" t="s">
        <v>19</v>
      </c>
      <c r="K3206" s="23" t="s">
        <v>20</v>
      </c>
      <c r="L3206" s="23" t="s">
        <v>30</v>
      </c>
      <c r="M3206" s="11" t="s">
        <v>29</v>
      </c>
      <c r="N3206" s="11" t="s">
        <v>29</v>
      </c>
      <c r="O3206" s="42" t="s">
        <v>29</v>
      </c>
      <c r="P3206" s="15">
        <v>221</v>
      </c>
      <c r="Q3206" s="8"/>
      <c r="R3206">
        <v>14.74</v>
      </c>
      <c r="S3206">
        <v>3203.44</v>
      </c>
      <c r="T3206">
        <v>7.02</v>
      </c>
      <c r="U3206">
        <v>10.59</v>
      </c>
      <c r="V3206">
        <v>147</v>
      </c>
      <c r="W3206" s="317">
        <v>4.5999999999999996</v>
      </c>
      <c r="X3206" s="190">
        <f>I3206*W3206</f>
        <v>103.49999999999999</v>
      </c>
      <c r="Y3206" s="8"/>
      <c r="Z3206" s="8"/>
    </row>
    <row r="3207" spans="1:26" ht="12.75" customHeight="1" x14ac:dyDescent="0.2">
      <c r="A3207" s="15">
        <v>72</v>
      </c>
      <c r="B3207" s="15">
        <v>1992</v>
      </c>
      <c r="C3207" s="15">
        <v>8</v>
      </c>
      <c r="D3207" s="15">
        <v>8</v>
      </c>
      <c r="E3207" s="40">
        <v>0.5</v>
      </c>
      <c r="F3207" s="23" t="s">
        <v>18</v>
      </c>
      <c r="G3207" s="15">
        <v>148</v>
      </c>
      <c r="H3207" s="15" t="s">
        <v>29</v>
      </c>
      <c r="I3207" s="41">
        <v>23.6</v>
      </c>
      <c r="J3207" s="11" t="s">
        <v>19</v>
      </c>
      <c r="K3207" s="23" t="s">
        <v>34</v>
      </c>
      <c r="L3207" s="11" t="s">
        <v>41</v>
      </c>
      <c r="M3207" s="11" t="s">
        <v>29</v>
      </c>
      <c r="N3207" s="23" t="s">
        <v>25</v>
      </c>
      <c r="O3207" s="42" t="s">
        <v>29</v>
      </c>
      <c r="P3207" s="15">
        <v>221</v>
      </c>
      <c r="Q3207" s="8"/>
      <c r="R3207">
        <v>13.81</v>
      </c>
      <c r="S3207">
        <v>2632.87</v>
      </c>
      <c r="T3207">
        <v>8.9600000000000009</v>
      </c>
      <c r="U3207">
        <v>9.92</v>
      </c>
      <c r="V3207">
        <v>138</v>
      </c>
      <c r="W3207" s="317">
        <v>3.8</v>
      </c>
      <c r="X3207" s="190">
        <f>I3207*W3207</f>
        <v>89.68</v>
      </c>
      <c r="Y3207" s="8"/>
      <c r="Z3207" s="8"/>
    </row>
    <row r="3208" spans="1:26" ht="12.75" customHeight="1" x14ac:dyDescent="0.2">
      <c r="A3208" s="15">
        <v>73</v>
      </c>
      <c r="B3208" s="15">
        <v>1992</v>
      </c>
      <c r="C3208" s="15">
        <v>8</v>
      </c>
      <c r="D3208" s="15">
        <v>8</v>
      </c>
      <c r="E3208" s="40">
        <v>0.5</v>
      </c>
      <c r="F3208" s="23" t="s">
        <v>18</v>
      </c>
      <c r="G3208" s="15">
        <v>98</v>
      </c>
      <c r="H3208" s="15" t="s">
        <v>29</v>
      </c>
      <c r="I3208" s="41">
        <v>3.9</v>
      </c>
      <c r="J3208" s="11" t="s">
        <v>19</v>
      </c>
      <c r="K3208" s="11" t="s">
        <v>41</v>
      </c>
      <c r="L3208" s="23" t="s">
        <v>35</v>
      </c>
      <c r="M3208" s="11" t="s">
        <v>29</v>
      </c>
      <c r="N3208" s="11" t="s">
        <v>29</v>
      </c>
      <c r="O3208" s="42" t="s">
        <v>29</v>
      </c>
      <c r="P3208" s="15">
        <v>221</v>
      </c>
      <c r="Q3208" s="8"/>
      <c r="R3208">
        <v>9.14</v>
      </c>
      <c r="S3208">
        <v>764.4</v>
      </c>
      <c r="T3208">
        <v>5.0999999999999996</v>
      </c>
      <c r="U3208">
        <v>6.57</v>
      </c>
      <c r="V3208">
        <v>91</v>
      </c>
      <c r="W3208" s="8"/>
      <c r="X3208" s="8"/>
      <c r="Y3208" s="8"/>
      <c r="Z3208" s="8"/>
    </row>
    <row r="3209" spans="1:26" ht="12.75" customHeight="1" x14ac:dyDescent="0.2">
      <c r="A3209" s="15">
        <v>74</v>
      </c>
      <c r="B3209" s="15">
        <v>1992</v>
      </c>
      <c r="C3209" s="15">
        <v>8</v>
      </c>
      <c r="D3209" s="15">
        <v>8</v>
      </c>
      <c r="E3209" s="40">
        <v>0.5</v>
      </c>
      <c r="F3209" s="23" t="s">
        <v>18</v>
      </c>
      <c r="G3209" s="11" t="s">
        <v>29</v>
      </c>
      <c r="H3209" s="15" t="s">
        <v>29</v>
      </c>
      <c r="I3209" s="41">
        <v>11.2</v>
      </c>
      <c r="J3209" s="11" t="s">
        <v>19</v>
      </c>
      <c r="K3209" s="23" t="s">
        <v>20</v>
      </c>
      <c r="L3209" s="23" t="s">
        <v>30</v>
      </c>
      <c r="M3209" s="11" t="s">
        <v>29</v>
      </c>
      <c r="N3209" s="23" t="s">
        <v>25</v>
      </c>
      <c r="O3209" s="42" t="s">
        <v>29</v>
      </c>
      <c r="P3209" s="15">
        <v>221</v>
      </c>
      <c r="Q3209" s="8"/>
      <c r="W3209" s="317">
        <v>4.5999999999999996</v>
      </c>
      <c r="X3209" s="190">
        <f>I3209*W3209</f>
        <v>51.519999999999996</v>
      </c>
      <c r="Y3209" s="8"/>
      <c r="Z3209" s="8"/>
    </row>
    <row r="3210" spans="1:26" ht="12.75" customHeight="1" x14ac:dyDescent="0.2">
      <c r="A3210" s="15">
        <v>75</v>
      </c>
      <c r="B3210" s="15">
        <v>1992</v>
      </c>
      <c r="C3210" s="15">
        <v>8</v>
      </c>
      <c r="D3210" s="15">
        <v>8</v>
      </c>
      <c r="E3210" s="40">
        <v>0.5</v>
      </c>
      <c r="F3210" s="23" t="s">
        <v>18</v>
      </c>
      <c r="G3210" s="15">
        <v>92</v>
      </c>
      <c r="H3210" s="15" t="s">
        <v>29</v>
      </c>
      <c r="I3210" s="41">
        <v>3.5</v>
      </c>
      <c r="J3210" s="11" t="s">
        <v>19</v>
      </c>
      <c r="K3210" s="11" t="s">
        <v>41</v>
      </c>
      <c r="L3210" s="23" t="s">
        <v>35</v>
      </c>
      <c r="M3210" s="11" t="s">
        <v>29</v>
      </c>
      <c r="N3210" s="11" t="s">
        <v>29</v>
      </c>
      <c r="O3210" s="42" t="s">
        <v>29</v>
      </c>
      <c r="P3210" s="15">
        <v>221</v>
      </c>
      <c r="Q3210" s="8"/>
      <c r="R3210">
        <v>8.58</v>
      </c>
      <c r="S3210">
        <v>632.41999999999996</v>
      </c>
      <c r="T3210">
        <v>5.53</v>
      </c>
      <c r="U3210">
        <v>6.16</v>
      </c>
      <c r="V3210">
        <v>86</v>
      </c>
      <c r="W3210" s="8"/>
      <c r="X3210" s="8"/>
      <c r="Y3210" s="8"/>
      <c r="Z3210" s="8"/>
    </row>
    <row r="3211" spans="1:26" ht="12.75" customHeight="1" x14ac:dyDescent="0.2">
      <c r="A3211" s="15">
        <v>76</v>
      </c>
      <c r="B3211" s="15">
        <v>1992</v>
      </c>
      <c r="C3211" s="15">
        <v>8</v>
      </c>
      <c r="D3211" s="15">
        <v>8</v>
      </c>
      <c r="E3211" s="40">
        <v>0.5</v>
      </c>
      <c r="F3211" s="23" t="s">
        <v>18</v>
      </c>
      <c r="G3211" s="15">
        <v>158</v>
      </c>
      <c r="H3211" s="15" t="s">
        <v>29</v>
      </c>
      <c r="I3211" s="41">
        <v>21.5</v>
      </c>
      <c r="J3211" s="11" t="s">
        <v>19</v>
      </c>
      <c r="K3211" s="23" t="s">
        <v>34</v>
      </c>
      <c r="L3211" s="11" t="s">
        <v>41</v>
      </c>
      <c r="M3211" s="11" t="s">
        <v>29</v>
      </c>
      <c r="N3211" s="11" t="s">
        <v>29</v>
      </c>
      <c r="O3211" s="42" t="s">
        <v>29</v>
      </c>
      <c r="P3211" s="15">
        <v>221</v>
      </c>
      <c r="Q3211" s="8"/>
      <c r="R3211">
        <v>14.74</v>
      </c>
      <c r="S3211">
        <v>3203.44</v>
      </c>
      <c r="T3211">
        <v>6.71</v>
      </c>
      <c r="U3211">
        <v>10.59</v>
      </c>
      <c r="V3211">
        <v>147</v>
      </c>
      <c r="W3211" s="317">
        <v>3.8</v>
      </c>
      <c r="X3211" s="190">
        <f>I3211*W3211</f>
        <v>81.7</v>
      </c>
      <c r="Y3211" s="8"/>
      <c r="Z3211" s="8"/>
    </row>
    <row r="3212" spans="1:26" ht="12.75" customHeight="1" x14ac:dyDescent="0.2">
      <c r="A3212" s="15">
        <v>77</v>
      </c>
      <c r="B3212" s="15">
        <v>1992</v>
      </c>
      <c r="C3212" s="15">
        <v>8</v>
      </c>
      <c r="D3212" s="15">
        <v>8</v>
      </c>
      <c r="E3212" s="40">
        <v>0.5</v>
      </c>
      <c r="F3212" s="23" t="s">
        <v>18</v>
      </c>
      <c r="G3212" s="15">
        <v>90</v>
      </c>
      <c r="H3212" s="15" t="s">
        <v>29</v>
      </c>
      <c r="I3212" s="41">
        <v>2.5</v>
      </c>
      <c r="J3212" s="11" t="s">
        <v>19</v>
      </c>
      <c r="K3212" s="11" t="s">
        <v>41</v>
      </c>
      <c r="L3212" s="23" t="s">
        <v>35</v>
      </c>
      <c r="M3212" s="11" t="s">
        <v>29</v>
      </c>
      <c r="N3212" s="23" t="s">
        <v>25</v>
      </c>
      <c r="O3212" s="42" t="s">
        <v>29</v>
      </c>
      <c r="P3212" s="15">
        <v>221</v>
      </c>
      <c r="Q3212" s="8"/>
      <c r="R3212">
        <v>8.4</v>
      </c>
      <c r="S3212">
        <v>592.07000000000005</v>
      </c>
      <c r="T3212">
        <v>4.22</v>
      </c>
      <c r="U3212">
        <v>6.03</v>
      </c>
      <c r="V3212">
        <v>84</v>
      </c>
      <c r="W3212" s="8"/>
      <c r="X3212" s="8"/>
      <c r="Y3212" s="8"/>
      <c r="Z3212" s="8"/>
    </row>
    <row r="3213" spans="1:26" ht="12.75" customHeight="1" x14ac:dyDescent="0.2">
      <c r="A3213" s="15">
        <v>78</v>
      </c>
      <c r="B3213" s="15">
        <v>1992</v>
      </c>
      <c r="C3213" s="15">
        <v>8</v>
      </c>
      <c r="D3213" s="15">
        <v>8</v>
      </c>
      <c r="E3213" s="40">
        <v>0.5</v>
      </c>
      <c r="F3213" s="23" t="s">
        <v>18</v>
      </c>
      <c r="G3213" s="15">
        <v>140</v>
      </c>
      <c r="H3213" s="15" t="s">
        <v>29</v>
      </c>
      <c r="I3213" s="41">
        <v>12.5</v>
      </c>
      <c r="J3213" s="11" t="s">
        <v>19</v>
      </c>
      <c r="K3213" s="23" t="s">
        <v>20</v>
      </c>
      <c r="L3213" s="23" t="s">
        <v>30</v>
      </c>
      <c r="M3213" s="11" t="s">
        <v>29</v>
      </c>
      <c r="N3213" s="23" t="s">
        <v>23</v>
      </c>
      <c r="O3213" s="42" t="s">
        <v>29</v>
      </c>
      <c r="P3213" s="15">
        <v>221</v>
      </c>
      <c r="Q3213" s="8"/>
      <c r="R3213">
        <v>13.06</v>
      </c>
      <c r="S3213">
        <v>2228.58</v>
      </c>
      <c r="T3213">
        <v>5.61</v>
      </c>
      <c r="U3213">
        <v>9.3800000000000008</v>
      </c>
      <c r="V3213">
        <v>131</v>
      </c>
      <c r="W3213" s="317">
        <v>4.5999999999999996</v>
      </c>
      <c r="X3213" s="190">
        <f t="shared" ref="X3213:X3219" si="147">I3213*W3213</f>
        <v>57.499999999999993</v>
      </c>
      <c r="Y3213" s="8"/>
      <c r="Z3213" s="8"/>
    </row>
    <row r="3214" spans="1:26" ht="12.75" customHeight="1" x14ac:dyDescent="0.2">
      <c r="A3214" s="15">
        <v>79</v>
      </c>
      <c r="B3214" s="15">
        <v>1992</v>
      </c>
      <c r="C3214" s="15">
        <v>8</v>
      </c>
      <c r="D3214" s="15">
        <v>8</v>
      </c>
      <c r="E3214" s="40">
        <v>0.5</v>
      </c>
      <c r="F3214" s="23" t="s">
        <v>18</v>
      </c>
      <c r="G3214" s="15">
        <v>139</v>
      </c>
      <c r="H3214" s="15" t="s">
        <v>29</v>
      </c>
      <c r="I3214" s="41">
        <v>15.5</v>
      </c>
      <c r="J3214" s="11" t="s">
        <v>19</v>
      </c>
      <c r="K3214" s="23" t="s">
        <v>20</v>
      </c>
      <c r="L3214" s="23" t="s">
        <v>30</v>
      </c>
      <c r="M3214" s="11" t="s">
        <v>29</v>
      </c>
      <c r="N3214" s="23" t="s">
        <v>23</v>
      </c>
      <c r="O3214" s="42" t="s">
        <v>29</v>
      </c>
      <c r="P3214" s="15">
        <v>221</v>
      </c>
      <c r="Q3214" s="8"/>
      <c r="R3214">
        <v>12.97</v>
      </c>
      <c r="S3214">
        <v>2181.17</v>
      </c>
      <c r="T3214">
        <v>7.11</v>
      </c>
      <c r="U3214">
        <v>9.31</v>
      </c>
      <c r="V3214">
        <v>130</v>
      </c>
      <c r="W3214" s="317">
        <v>4.5999999999999996</v>
      </c>
      <c r="X3214" s="190">
        <f t="shared" si="147"/>
        <v>71.3</v>
      </c>
      <c r="Y3214" s="8"/>
      <c r="Z3214" s="8"/>
    </row>
    <row r="3215" spans="1:26" ht="12.75" customHeight="1" x14ac:dyDescent="0.2">
      <c r="A3215" s="15">
        <v>80</v>
      </c>
      <c r="B3215" s="15">
        <v>1992</v>
      </c>
      <c r="C3215" s="15">
        <v>8</v>
      </c>
      <c r="D3215" s="15">
        <v>8</v>
      </c>
      <c r="E3215" s="40">
        <v>0.5</v>
      </c>
      <c r="F3215" s="23" t="s">
        <v>18</v>
      </c>
      <c r="G3215" s="15">
        <v>146</v>
      </c>
      <c r="H3215" s="15" t="s">
        <v>29</v>
      </c>
      <c r="I3215" s="41">
        <v>19.5</v>
      </c>
      <c r="J3215" s="11" t="s">
        <v>19</v>
      </c>
      <c r="K3215" s="23" t="s">
        <v>20</v>
      </c>
      <c r="L3215" s="23" t="s">
        <v>30</v>
      </c>
      <c r="M3215" s="11" t="s">
        <v>29</v>
      </c>
      <c r="N3215" s="11" t="s">
        <v>29</v>
      </c>
      <c r="O3215" s="42" t="s">
        <v>29</v>
      </c>
      <c r="P3215" s="15">
        <v>221</v>
      </c>
      <c r="Q3215" s="8"/>
      <c r="R3215">
        <v>13.62</v>
      </c>
      <c r="S3215">
        <v>2527.5700000000002</v>
      </c>
      <c r="T3215">
        <v>7.71</v>
      </c>
      <c r="U3215">
        <v>9.7799999999999994</v>
      </c>
      <c r="V3215">
        <v>136</v>
      </c>
      <c r="W3215" s="317">
        <v>4.5999999999999996</v>
      </c>
      <c r="X3215" s="190">
        <f t="shared" si="147"/>
        <v>89.699999999999989</v>
      </c>
      <c r="Y3215" s="8"/>
      <c r="Z3215" s="8"/>
    </row>
    <row r="3216" spans="1:26" ht="12.75" customHeight="1" x14ac:dyDescent="0.2">
      <c r="A3216" s="15">
        <v>81</v>
      </c>
      <c r="B3216" s="15">
        <v>1992</v>
      </c>
      <c r="C3216" s="15">
        <v>8</v>
      </c>
      <c r="D3216" s="15">
        <v>8</v>
      </c>
      <c r="E3216" s="40">
        <v>0.5</v>
      </c>
      <c r="F3216" s="23" t="s">
        <v>18</v>
      </c>
      <c r="G3216" s="15">
        <v>143</v>
      </c>
      <c r="H3216" s="15" t="s">
        <v>29</v>
      </c>
      <c r="I3216" s="41">
        <v>16</v>
      </c>
      <c r="J3216" s="11" t="s">
        <v>19</v>
      </c>
      <c r="K3216" s="23" t="s">
        <v>20</v>
      </c>
      <c r="L3216" s="23" t="s">
        <v>30</v>
      </c>
      <c r="M3216" s="11" t="s">
        <v>29</v>
      </c>
      <c r="N3216" s="23" t="s">
        <v>23</v>
      </c>
      <c r="O3216" s="42" t="s">
        <v>29</v>
      </c>
      <c r="P3216" s="15">
        <v>221</v>
      </c>
      <c r="Q3216" s="8"/>
      <c r="R3216">
        <v>13.34</v>
      </c>
      <c r="S3216">
        <v>2374.94</v>
      </c>
      <c r="T3216">
        <v>6.74</v>
      </c>
      <c r="U3216">
        <v>9.58</v>
      </c>
      <c r="V3216">
        <v>133</v>
      </c>
      <c r="W3216" s="317">
        <v>4.5999999999999996</v>
      </c>
      <c r="X3216" s="190">
        <f t="shared" si="147"/>
        <v>73.599999999999994</v>
      </c>
      <c r="Y3216" s="8"/>
      <c r="Z3216" s="8"/>
    </row>
    <row r="3217" spans="1:26" ht="12.75" customHeight="1" x14ac:dyDescent="0.2">
      <c r="A3217" s="15">
        <v>82</v>
      </c>
      <c r="B3217" s="15">
        <v>1992</v>
      </c>
      <c r="C3217" s="15">
        <v>8</v>
      </c>
      <c r="D3217" s="15">
        <v>8</v>
      </c>
      <c r="E3217" s="40">
        <v>0.5</v>
      </c>
      <c r="F3217" s="23" t="s">
        <v>18</v>
      </c>
      <c r="G3217" s="15">
        <v>147</v>
      </c>
      <c r="H3217" s="15" t="s">
        <v>29</v>
      </c>
      <c r="I3217" s="41">
        <v>17</v>
      </c>
      <c r="J3217" s="11" t="s">
        <v>19</v>
      </c>
      <c r="K3217" s="23" t="s">
        <v>20</v>
      </c>
      <c r="L3217" s="23" t="s">
        <v>30</v>
      </c>
      <c r="M3217" s="11" t="s">
        <v>29</v>
      </c>
      <c r="N3217" s="11" t="s">
        <v>29</v>
      </c>
      <c r="O3217" s="42" t="s">
        <v>29</v>
      </c>
      <c r="P3217" s="15">
        <v>221</v>
      </c>
      <c r="Q3217" s="8"/>
      <c r="R3217">
        <v>13.72</v>
      </c>
      <c r="S3217">
        <v>2579.86</v>
      </c>
      <c r="T3217">
        <v>6.59</v>
      </c>
      <c r="U3217">
        <v>9.85</v>
      </c>
      <c r="V3217">
        <v>137</v>
      </c>
      <c r="W3217" s="317">
        <v>4.5999999999999996</v>
      </c>
      <c r="X3217" s="190">
        <f t="shared" si="147"/>
        <v>78.199999999999989</v>
      </c>
      <c r="Y3217" s="8"/>
      <c r="Z3217" s="8"/>
    </row>
    <row r="3218" spans="1:26" ht="12.75" customHeight="1" x14ac:dyDescent="0.2">
      <c r="A3218" s="15">
        <v>83</v>
      </c>
      <c r="B3218" s="15">
        <v>1992</v>
      </c>
      <c r="C3218" s="15">
        <v>8</v>
      </c>
      <c r="D3218" s="15">
        <v>8</v>
      </c>
      <c r="E3218" s="40">
        <v>0.5</v>
      </c>
      <c r="F3218" s="23" t="s">
        <v>18</v>
      </c>
      <c r="G3218" s="15">
        <v>128</v>
      </c>
      <c r="H3218" s="15" t="s">
        <v>29</v>
      </c>
      <c r="I3218" s="41">
        <v>10.4</v>
      </c>
      <c r="J3218" s="11" t="s">
        <v>19</v>
      </c>
      <c r="K3218" s="23" t="s">
        <v>20</v>
      </c>
      <c r="L3218" s="23" t="s">
        <v>30</v>
      </c>
      <c r="M3218" s="11" t="s">
        <v>29</v>
      </c>
      <c r="N3218" s="11" t="s">
        <v>29</v>
      </c>
      <c r="O3218" s="42" t="s">
        <v>29</v>
      </c>
      <c r="P3218" s="15">
        <v>221</v>
      </c>
      <c r="Q3218" s="8"/>
      <c r="R3218">
        <v>11.94</v>
      </c>
      <c r="S3218">
        <v>1703.24</v>
      </c>
      <c r="T3218">
        <v>6.11</v>
      </c>
      <c r="U3218">
        <v>8.58</v>
      </c>
      <c r="V3218">
        <v>119</v>
      </c>
      <c r="W3218" s="317">
        <v>4.5999999999999996</v>
      </c>
      <c r="X3218" s="190">
        <f t="shared" si="147"/>
        <v>47.839999999999996</v>
      </c>
      <c r="Y3218" s="8"/>
      <c r="Z3218" s="8"/>
    </row>
    <row r="3219" spans="1:26" ht="12.75" customHeight="1" x14ac:dyDescent="0.2">
      <c r="A3219" s="15">
        <v>84</v>
      </c>
      <c r="B3219" s="15">
        <v>1992</v>
      </c>
      <c r="C3219" s="15">
        <v>8</v>
      </c>
      <c r="D3219" s="15">
        <v>8</v>
      </c>
      <c r="E3219" s="40">
        <v>0.5</v>
      </c>
      <c r="F3219" s="23" t="s">
        <v>18</v>
      </c>
      <c r="G3219" s="15">
        <v>117</v>
      </c>
      <c r="H3219" s="15" t="s">
        <v>29</v>
      </c>
      <c r="I3219" s="41">
        <v>7.8</v>
      </c>
      <c r="J3219" s="11" t="s">
        <v>19</v>
      </c>
      <c r="K3219" s="23" t="s">
        <v>20</v>
      </c>
      <c r="L3219" s="23" t="s">
        <v>30</v>
      </c>
      <c r="M3219" s="11" t="s">
        <v>29</v>
      </c>
      <c r="N3219" s="11" t="s">
        <v>29</v>
      </c>
      <c r="O3219" s="42" t="s">
        <v>29</v>
      </c>
      <c r="P3219" s="15">
        <v>221</v>
      </c>
      <c r="Q3219" s="8"/>
      <c r="R3219">
        <v>10.92</v>
      </c>
      <c r="S3219">
        <v>1300.78</v>
      </c>
      <c r="T3219">
        <v>6</v>
      </c>
      <c r="U3219">
        <v>7.84</v>
      </c>
      <c r="V3219">
        <v>109</v>
      </c>
      <c r="W3219" s="317">
        <v>4.5999999999999996</v>
      </c>
      <c r="X3219" s="190">
        <f t="shared" si="147"/>
        <v>35.879999999999995</v>
      </c>
      <c r="Y3219" s="8"/>
      <c r="Z3219" s="8"/>
    </row>
    <row r="3220" spans="1:26" ht="12.75" customHeight="1" x14ac:dyDescent="0.2">
      <c r="A3220" s="15">
        <v>85</v>
      </c>
      <c r="B3220" s="15">
        <v>1992</v>
      </c>
      <c r="C3220" s="15">
        <v>8</v>
      </c>
      <c r="D3220" s="15">
        <v>8</v>
      </c>
      <c r="E3220" s="40">
        <v>0.5</v>
      </c>
      <c r="F3220" s="11" t="s">
        <v>28</v>
      </c>
      <c r="G3220" s="11" t="s">
        <v>29</v>
      </c>
      <c r="H3220" s="15" t="s">
        <v>29</v>
      </c>
      <c r="I3220" s="25" t="s">
        <v>29</v>
      </c>
      <c r="J3220" s="11" t="s">
        <v>209</v>
      </c>
      <c r="K3220" s="11" t="s">
        <v>29</v>
      </c>
      <c r="L3220" s="11" t="s">
        <v>29</v>
      </c>
      <c r="M3220" s="11" t="s">
        <v>29</v>
      </c>
      <c r="N3220" s="11" t="s">
        <v>29</v>
      </c>
      <c r="O3220" s="42" t="s">
        <v>29</v>
      </c>
      <c r="P3220" s="15">
        <v>221</v>
      </c>
      <c r="Q3220" s="8"/>
      <c r="W3220" s="8"/>
      <c r="X3220" s="8"/>
      <c r="Y3220" s="8"/>
      <c r="Z3220" s="8"/>
    </row>
    <row r="3221" spans="1:26" ht="12.75" customHeight="1" x14ac:dyDescent="0.2">
      <c r="A3221" s="15">
        <v>86</v>
      </c>
      <c r="B3221" s="15">
        <v>1992</v>
      </c>
      <c r="C3221" s="15">
        <v>7</v>
      </c>
      <c r="D3221" s="15">
        <v>8</v>
      </c>
      <c r="E3221" s="43" t="s">
        <v>17</v>
      </c>
      <c r="F3221" s="23" t="s">
        <v>18</v>
      </c>
      <c r="G3221" s="15">
        <v>133</v>
      </c>
      <c r="H3221" s="15" t="s">
        <v>29</v>
      </c>
      <c r="I3221" s="41">
        <v>11</v>
      </c>
      <c r="J3221" s="11" t="s">
        <v>19</v>
      </c>
      <c r="K3221" s="23" t="s">
        <v>20</v>
      </c>
      <c r="L3221" s="23" t="s">
        <v>30</v>
      </c>
      <c r="M3221" s="11" t="s">
        <v>29</v>
      </c>
      <c r="N3221" s="11" t="s">
        <v>29</v>
      </c>
      <c r="O3221" s="42" t="s">
        <v>29</v>
      </c>
      <c r="P3221" s="15">
        <v>220</v>
      </c>
      <c r="Q3221" s="8"/>
      <c r="R3221">
        <v>12.41</v>
      </c>
      <c r="S3221">
        <v>1910.73</v>
      </c>
      <c r="T3221">
        <v>5.76</v>
      </c>
      <c r="U3221">
        <v>8.91</v>
      </c>
      <c r="V3221">
        <v>124</v>
      </c>
      <c r="W3221" s="317">
        <v>4.5999999999999996</v>
      </c>
      <c r="X3221" s="190">
        <f>I3221*W3221</f>
        <v>50.599999999999994</v>
      </c>
      <c r="Y3221" s="8"/>
      <c r="Z3221" s="8"/>
    </row>
    <row r="3222" spans="1:26" ht="12.75" customHeight="1" x14ac:dyDescent="0.2">
      <c r="A3222" s="15">
        <v>87</v>
      </c>
      <c r="B3222" s="15">
        <v>1992</v>
      </c>
      <c r="C3222" s="15">
        <v>7</v>
      </c>
      <c r="D3222" s="15">
        <v>8</v>
      </c>
      <c r="E3222" s="43" t="s">
        <v>17</v>
      </c>
      <c r="F3222" s="23" t="s">
        <v>18</v>
      </c>
      <c r="G3222" s="15">
        <v>140</v>
      </c>
      <c r="H3222" s="15" t="s">
        <v>29</v>
      </c>
      <c r="I3222" s="41">
        <v>15.3</v>
      </c>
      <c r="J3222" s="11" t="s">
        <v>19</v>
      </c>
      <c r="K3222" s="23" t="s">
        <v>20</v>
      </c>
      <c r="L3222" s="23" t="s">
        <v>30</v>
      </c>
      <c r="M3222" s="11" t="s">
        <v>29</v>
      </c>
      <c r="N3222" s="11" t="s">
        <v>29</v>
      </c>
      <c r="O3222" s="42" t="s">
        <v>29</v>
      </c>
      <c r="P3222" s="15">
        <v>220</v>
      </c>
      <c r="Q3222" s="8"/>
      <c r="R3222">
        <v>13.06</v>
      </c>
      <c r="S3222">
        <v>2228.58</v>
      </c>
      <c r="T3222">
        <v>6.87</v>
      </c>
      <c r="U3222">
        <v>9.3800000000000008</v>
      </c>
      <c r="V3222">
        <v>131</v>
      </c>
      <c r="W3222" s="317">
        <v>4.5999999999999996</v>
      </c>
      <c r="X3222" s="190">
        <f>I3222*W3222</f>
        <v>70.38</v>
      </c>
      <c r="Y3222" s="8"/>
      <c r="Z3222" s="8"/>
    </row>
    <row r="3223" spans="1:26" ht="12.75" customHeight="1" x14ac:dyDescent="0.2">
      <c r="A3223" s="15">
        <v>88</v>
      </c>
      <c r="B3223" s="15">
        <v>1992</v>
      </c>
      <c r="C3223" s="15">
        <v>7</v>
      </c>
      <c r="D3223" s="15">
        <v>8</v>
      </c>
      <c r="E3223" s="43" t="s">
        <v>17</v>
      </c>
      <c r="F3223" s="23" t="s">
        <v>18</v>
      </c>
      <c r="G3223" s="15">
        <v>139</v>
      </c>
      <c r="H3223" s="15" t="s">
        <v>29</v>
      </c>
      <c r="I3223" s="41">
        <v>14.3</v>
      </c>
      <c r="J3223" s="11" t="s">
        <v>19</v>
      </c>
      <c r="K3223" s="23" t="s">
        <v>20</v>
      </c>
      <c r="L3223" s="23" t="s">
        <v>30</v>
      </c>
      <c r="M3223" s="11" t="s">
        <v>29</v>
      </c>
      <c r="N3223" s="11" t="s">
        <v>29</v>
      </c>
      <c r="O3223" s="42" t="s">
        <v>29</v>
      </c>
      <c r="P3223" s="15">
        <v>220</v>
      </c>
      <c r="Q3223" s="8"/>
      <c r="R3223">
        <v>12.97</v>
      </c>
      <c r="S3223">
        <v>2181.17</v>
      </c>
      <c r="T3223">
        <v>6.56</v>
      </c>
      <c r="U3223">
        <v>9.31</v>
      </c>
      <c r="V3223">
        <v>130</v>
      </c>
      <c r="W3223" s="317">
        <v>4.5999999999999996</v>
      </c>
      <c r="X3223" s="190">
        <f>I3223*W3223</f>
        <v>65.78</v>
      </c>
      <c r="Y3223" s="8"/>
      <c r="Z3223" s="8"/>
    </row>
    <row r="3224" spans="1:26" ht="12.75" customHeight="1" x14ac:dyDescent="0.2">
      <c r="A3224" s="15">
        <v>89</v>
      </c>
      <c r="B3224" s="15">
        <v>1992</v>
      </c>
      <c r="C3224" s="15">
        <v>7</v>
      </c>
      <c r="D3224" s="15">
        <v>8</v>
      </c>
      <c r="E3224" s="43" t="s">
        <v>17</v>
      </c>
      <c r="F3224" s="23" t="s">
        <v>18</v>
      </c>
      <c r="G3224" s="15">
        <v>135</v>
      </c>
      <c r="H3224" s="15" t="s">
        <v>29</v>
      </c>
      <c r="I3224" s="41">
        <v>12.1</v>
      </c>
      <c r="J3224" s="11" t="s">
        <v>237</v>
      </c>
      <c r="K3224" s="11" t="s">
        <v>29</v>
      </c>
      <c r="L3224" s="11" t="s">
        <v>29</v>
      </c>
      <c r="M3224" s="11" t="s">
        <v>29</v>
      </c>
      <c r="N3224" s="11" t="s">
        <v>29</v>
      </c>
      <c r="O3224" s="42" t="s">
        <v>29</v>
      </c>
      <c r="P3224" s="15">
        <v>220</v>
      </c>
      <c r="Q3224" s="8"/>
      <c r="R3224">
        <v>12.6</v>
      </c>
      <c r="S3224">
        <v>1998.23</v>
      </c>
      <c r="T3224">
        <v>6.06</v>
      </c>
      <c r="U3224">
        <v>9.0500000000000007</v>
      </c>
      <c r="V3224">
        <v>126</v>
      </c>
      <c r="W3224" s="8"/>
      <c r="X3224" s="8"/>
      <c r="Y3224" s="8"/>
      <c r="Z3224" s="8"/>
    </row>
    <row r="3225" spans="1:26" ht="12.75" customHeight="1" x14ac:dyDescent="0.2">
      <c r="A3225" s="15">
        <v>90</v>
      </c>
      <c r="B3225" s="15">
        <v>1992</v>
      </c>
      <c r="C3225" s="15">
        <v>7</v>
      </c>
      <c r="D3225" s="15">
        <v>8</v>
      </c>
      <c r="E3225" s="43" t="s">
        <v>17</v>
      </c>
      <c r="F3225" s="23" t="s">
        <v>18</v>
      </c>
      <c r="G3225" s="15">
        <v>110</v>
      </c>
      <c r="H3225" s="15" t="s">
        <v>29</v>
      </c>
      <c r="I3225" s="41">
        <v>6</v>
      </c>
      <c r="J3225" s="11" t="s">
        <v>19</v>
      </c>
      <c r="K3225" s="23" t="s">
        <v>20</v>
      </c>
      <c r="L3225" s="23" t="s">
        <v>30</v>
      </c>
      <c r="M3225" s="11" t="s">
        <v>29</v>
      </c>
      <c r="N3225" s="11" t="s">
        <v>29</v>
      </c>
      <c r="O3225" s="42" t="s">
        <v>29</v>
      </c>
      <c r="P3225" s="15">
        <v>220</v>
      </c>
      <c r="Q3225" s="8"/>
      <c r="R3225">
        <v>10.26</v>
      </c>
      <c r="S3225">
        <v>1080.99</v>
      </c>
      <c r="T3225">
        <v>5.55</v>
      </c>
      <c r="U3225">
        <v>7.37</v>
      </c>
      <c r="V3225">
        <v>103</v>
      </c>
      <c r="W3225" s="317">
        <v>4.5999999999999996</v>
      </c>
      <c r="X3225" s="190">
        <f t="shared" ref="X3225:X3243" si="148">I3225*W3225</f>
        <v>27.599999999999998</v>
      </c>
      <c r="Y3225" s="8"/>
      <c r="Z3225" s="8"/>
    </row>
    <row r="3226" spans="1:26" ht="12.75" customHeight="1" x14ac:dyDescent="0.2">
      <c r="A3226" s="15">
        <v>91</v>
      </c>
      <c r="B3226" s="15">
        <v>1992</v>
      </c>
      <c r="C3226" s="15">
        <v>7</v>
      </c>
      <c r="D3226" s="15">
        <v>8</v>
      </c>
      <c r="E3226" s="43" t="s">
        <v>17</v>
      </c>
      <c r="F3226" s="23" t="s">
        <v>18</v>
      </c>
      <c r="G3226" s="15">
        <v>135</v>
      </c>
      <c r="H3226" s="15" t="s">
        <v>29</v>
      </c>
      <c r="I3226" s="41">
        <v>14</v>
      </c>
      <c r="J3226" s="11" t="s">
        <v>19</v>
      </c>
      <c r="K3226" s="23" t="s">
        <v>20</v>
      </c>
      <c r="L3226" s="23" t="s">
        <v>30</v>
      </c>
      <c r="M3226" s="11" t="s">
        <v>29</v>
      </c>
      <c r="N3226" s="11" t="s">
        <v>29</v>
      </c>
      <c r="O3226" s="42" t="s">
        <v>29</v>
      </c>
      <c r="P3226" s="15">
        <v>220</v>
      </c>
      <c r="Q3226" s="8"/>
      <c r="R3226">
        <v>12.6</v>
      </c>
      <c r="S3226">
        <v>1998.23</v>
      </c>
      <c r="T3226">
        <v>7.01</v>
      </c>
      <c r="U3226">
        <v>9.0500000000000007</v>
      </c>
      <c r="V3226">
        <v>126</v>
      </c>
      <c r="W3226" s="317">
        <v>4.5999999999999996</v>
      </c>
      <c r="X3226" s="190">
        <f t="shared" si="148"/>
        <v>64.399999999999991</v>
      </c>
      <c r="Y3226" s="8"/>
      <c r="Z3226" s="8"/>
    </row>
    <row r="3227" spans="1:26" ht="12.75" customHeight="1" x14ac:dyDescent="0.2">
      <c r="A3227" s="15">
        <v>92</v>
      </c>
      <c r="B3227" s="15">
        <v>1992</v>
      </c>
      <c r="C3227" s="15">
        <v>7</v>
      </c>
      <c r="D3227" s="15">
        <v>8</v>
      </c>
      <c r="E3227" s="43" t="s">
        <v>17</v>
      </c>
      <c r="F3227" s="23" t="s">
        <v>18</v>
      </c>
      <c r="G3227" s="15">
        <v>144</v>
      </c>
      <c r="H3227" s="15" t="s">
        <v>29</v>
      </c>
      <c r="I3227" s="41">
        <v>15.7</v>
      </c>
      <c r="J3227" s="11" t="s">
        <v>19</v>
      </c>
      <c r="K3227" s="23" t="s">
        <v>20</v>
      </c>
      <c r="L3227" s="11" t="s">
        <v>30</v>
      </c>
      <c r="M3227" s="11" t="s">
        <v>29</v>
      </c>
      <c r="N3227" s="11" t="s">
        <v>29</v>
      </c>
      <c r="O3227" s="42" t="s">
        <v>29</v>
      </c>
      <c r="P3227" s="15">
        <v>220</v>
      </c>
      <c r="Q3227" s="8"/>
      <c r="R3227">
        <v>13.44</v>
      </c>
      <c r="S3227">
        <v>2425.12</v>
      </c>
      <c r="T3227">
        <v>6.47</v>
      </c>
      <c r="U3227">
        <v>9.65</v>
      </c>
      <c r="V3227">
        <v>134</v>
      </c>
      <c r="W3227" s="317">
        <v>4.5999999999999996</v>
      </c>
      <c r="X3227" s="190">
        <f t="shared" si="148"/>
        <v>72.219999999999985</v>
      </c>
      <c r="Y3227" s="8"/>
      <c r="Z3227" s="8"/>
    </row>
    <row r="3228" spans="1:26" ht="12.75" customHeight="1" x14ac:dyDescent="0.2">
      <c r="A3228" s="15">
        <v>93</v>
      </c>
      <c r="B3228" s="15">
        <v>1992</v>
      </c>
      <c r="C3228" s="15">
        <v>7</v>
      </c>
      <c r="D3228" s="15">
        <v>8</v>
      </c>
      <c r="E3228" s="43" t="s">
        <v>17</v>
      </c>
      <c r="F3228" s="23" t="s">
        <v>18</v>
      </c>
      <c r="G3228" s="15">
        <v>150</v>
      </c>
      <c r="H3228" s="15" t="s">
        <v>29</v>
      </c>
      <c r="I3228" s="41">
        <v>18.2</v>
      </c>
      <c r="J3228" s="11" t="s">
        <v>19</v>
      </c>
      <c r="K3228" s="23" t="s">
        <v>20</v>
      </c>
      <c r="L3228" s="23" t="s">
        <v>30</v>
      </c>
      <c r="M3228" s="11" t="s">
        <v>29</v>
      </c>
      <c r="N3228" s="11" t="s">
        <v>29</v>
      </c>
      <c r="O3228" s="42" t="s">
        <v>29</v>
      </c>
      <c r="P3228" s="15">
        <v>220</v>
      </c>
      <c r="Q3228" s="8"/>
      <c r="R3228">
        <v>14</v>
      </c>
      <c r="S3228">
        <v>2741.06</v>
      </c>
      <c r="T3228">
        <v>6.64</v>
      </c>
      <c r="U3228">
        <v>10.050000000000001</v>
      </c>
      <c r="V3228">
        <v>140</v>
      </c>
      <c r="W3228" s="317">
        <v>4.5999999999999996</v>
      </c>
      <c r="X3228" s="190">
        <f t="shared" si="148"/>
        <v>83.719999999999985</v>
      </c>
      <c r="Y3228" s="8"/>
      <c r="Z3228" s="8"/>
    </row>
    <row r="3229" spans="1:26" ht="12.75" customHeight="1" x14ac:dyDescent="0.2">
      <c r="A3229" s="15">
        <v>94</v>
      </c>
      <c r="B3229" s="15">
        <v>1992</v>
      </c>
      <c r="C3229" s="15">
        <v>7</v>
      </c>
      <c r="D3229" s="15">
        <v>8</v>
      </c>
      <c r="E3229" s="43" t="s">
        <v>17</v>
      </c>
      <c r="F3229" s="23" t="s">
        <v>18</v>
      </c>
      <c r="G3229" s="15">
        <v>122</v>
      </c>
      <c r="H3229" s="15" t="s">
        <v>29</v>
      </c>
      <c r="I3229" s="41">
        <v>9</v>
      </c>
      <c r="J3229" s="11" t="s">
        <v>19</v>
      </c>
      <c r="K3229" s="23" t="s">
        <v>20</v>
      </c>
      <c r="L3229" s="23" t="s">
        <v>30</v>
      </c>
      <c r="M3229" s="11" t="s">
        <v>29</v>
      </c>
      <c r="N3229" s="11" t="s">
        <v>29</v>
      </c>
      <c r="O3229" s="42" t="s">
        <v>29</v>
      </c>
      <c r="P3229" s="15">
        <v>220</v>
      </c>
      <c r="Q3229" s="8"/>
      <c r="R3229">
        <v>11.38</v>
      </c>
      <c r="S3229">
        <v>1474.77</v>
      </c>
      <c r="T3229">
        <v>6.1</v>
      </c>
      <c r="U3229">
        <v>8.17</v>
      </c>
      <c r="V3229">
        <v>114</v>
      </c>
      <c r="W3229" s="317">
        <v>4.5999999999999996</v>
      </c>
      <c r="X3229" s="190">
        <f t="shared" si="148"/>
        <v>41.4</v>
      </c>
      <c r="Y3229" s="8"/>
      <c r="Z3229" s="8"/>
    </row>
    <row r="3230" spans="1:26" ht="12.75" customHeight="1" x14ac:dyDescent="0.2">
      <c r="A3230" s="15">
        <v>95</v>
      </c>
      <c r="B3230" s="15">
        <v>1992</v>
      </c>
      <c r="C3230" s="15">
        <v>7</v>
      </c>
      <c r="D3230" s="15">
        <v>8</v>
      </c>
      <c r="E3230" s="43" t="s">
        <v>17</v>
      </c>
      <c r="F3230" s="23" t="s">
        <v>18</v>
      </c>
      <c r="G3230" s="15">
        <v>126</v>
      </c>
      <c r="H3230" s="15" t="s">
        <v>29</v>
      </c>
      <c r="I3230" s="41">
        <v>8</v>
      </c>
      <c r="J3230" s="11" t="s">
        <v>19</v>
      </c>
      <c r="K3230" s="23" t="s">
        <v>20</v>
      </c>
      <c r="L3230" s="23" t="s">
        <v>30</v>
      </c>
      <c r="M3230" s="11" t="s">
        <v>29</v>
      </c>
      <c r="N3230" s="11" t="s">
        <v>29</v>
      </c>
      <c r="O3230" s="42" t="s">
        <v>29</v>
      </c>
      <c r="P3230" s="15">
        <v>220</v>
      </c>
      <c r="Q3230" s="8"/>
      <c r="R3230">
        <v>11.76</v>
      </c>
      <c r="S3230">
        <v>1624.64</v>
      </c>
      <c r="T3230">
        <v>4.92</v>
      </c>
      <c r="U3230">
        <v>8.44</v>
      </c>
      <c r="V3230">
        <v>118</v>
      </c>
      <c r="W3230" s="317">
        <v>4.5999999999999996</v>
      </c>
      <c r="X3230" s="190">
        <f t="shared" si="148"/>
        <v>36.799999999999997</v>
      </c>
      <c r="Y3230" s="8"/>
      <c r="Z3230" s="8"/>
    </row>
    <row r="3231" spans="1:26" ht="12.75" customHeight="1" x14ac:dyDescent="0.2">
      <c r="A3231" s="15">
        <v>96</v>
      </c>
      <c r="B3231" s="15">
        <v>1992</v>
      </c>
      <c r="C3231" s="15">
        <v>7</v>
      </c>
      <c r="D3231" s="15">
        <v>8</v>
      </c>
      <c r="E3231" s="43" t="s">
        <v>17</v>
      </c>
      <c r="F3231" s="23" t="s">
        <v>18</v>
      </c>
      <c r="G3231" s="15">
        <v>135</v>
      </c>
      <c r="H3231" s="15" t="s">
        <v>29</v>
      </c>
      <c r="I3231" s="41">
        <v>14.3</v>
      </c>
      <c r="J3231" s="11" t="s">
        <v>19</v>
      </c>
      <c r="K3231" s="23" t="s">
        <v>20</v>
      </c>
      <c r="L3231" s="23" t="s">
        <v>30</v>
      </c>
      <c r="M3231" s="11" t="s">
        <v>29</v>
      </c>
      <c r="N3231" s="11" t="s">
        <v>29</v>
      </c>
      <c r="O3231" s="42" t="s">
        <v>29</v>
      </c>
      <c r="P3231" s="15">
        <v>220</v>
      </c>
      <c r="Q3231" s="8"/>
      <c r="R3231">
        <v>12.6</v>
      </c>
      <c r="S3231">
        <v>1998.23</v>
      </c>
      <c r="T3231">
        <v>7.16</v>
      </c>
      <c r="U3231">
        <v>9.0500000000000007</v>
      </c>
      <c r="V3231">
        <v>126</v>
      </c>
      <c r="W3231" s="317">
        <v>4.5999999999999996</v>
      </c>
      <c r="X3231" s="190">
        <f t="shared" si="148"/>
        <v>65.78</v>
      </c>
      <c r="Y3231" s="8"/>
      <c r="Z3231" s="8"/>
    </row>
    <row r="3232" spans="1:26" ht="12.75" customHeight="1" x14ac:dyDescent="0.2">
      <c r="A3232" s="15">
        <v>97</v>
      </c>
      <c r="B3232" s="15">
        <v>1992</v>
      </c>
      <c r="C3232" s="15">
        <v>7</v>
      </c>
      <c r="D3232" s="15">
        <v>8</v>
      </c>
      <c r="E3232" s="43" t="s">
        <v>17</v>
      </c>
      <c r="F3232" s="23" t="s">
        <v>18</v>
      </c>
      <c r="G3232" s="15">
        <v>148</v>
      </c>
      <c r="H3232" s="15" t="s">
        <v>29</v>
      </c>
      <c r="I3232" s="41">
        <v>11</v>
      </c>
      <c r="J3232" s="11" t="s">
        <v>19</v>
      </c>
      <c r="K3232" s="23" t="s">
        <v>20</v>
      </c>
      <c r="L3232" s="11" t="s">
        <v>21</v>
      </c>
      <c r="M3232" s="11" t="s">
        <v>29</v>
      </c>
      <c r="N3232" s="11" t="s">
        <v>29</v>
      </c>
      <c r="O3232" s="42" t="s">
        <v>29</v>
      </c>
      <c r="P3232" s="15">
        <v>220</v>
      </c>
      <c r="Q3232" s="8"/>
      <c r="R3232">
        <v>13.81</v>
      </c>
      <c r="S3232">
        <v>2632.87</v>
      </c>
      <c r="T3232">
        <v>4.18</v>
      </c>
      <c r="U3232">
        <v>9.92</v>
      </c>
      <c r="V3232">
        <v>138</v>
      </c>
      <c r="W3232" s="317">
        <v>3.9</v>
      </c>
      <c r="X3232" s="190">
        <f t="shared" si="148"/>
        <v>42.9</v>
      </c>
      <c r="Y3232" s="8"/>
      <c r="Z3232" s="8"/>
    </row>
    <row r="3233" spans="1:26" ht="12.75" customHeight="1" x14ac:dyDescent="0.2">
      <c r="A3233" s="15">
        <v>98</v>
      </c>
      <c r="B3233" s="15">
        <v>1992</v>
      </c>
      <c r="C3233" s="15">
        <v>7</v>
      </c>
      <c r="D3233" s="15">
        <v>8</v>
      </c>
      <c r="E3233" s="43" t="s">
        <v>240</v>
      </c>
      <c r="F3233" s="23" t="s">
        <v>18</v>
      </c>
      <c r="G3233" s="15">
        <v>140</v>
      </c>
      <c r="H3233" s="15" t="s">
        <v>29</v>
      </c>
      <c r="I3233" s="41">
        <v>14.5</v>
      </c>
      <c r="J3233" s="11" t="s">
        <v>19</v>
      </c>
      <c r="K3233" s="23" t="s">
        <v>20</v>
      </c>
      <c r="L3233" s="23" t="s">
        <v>30</v>
      </c>
      <c r="M3233" s="11" t="s">
        <v>29</v>
      </c>
      <c r="N3233" s="11" t="s">
        <v>29</v>
      </c>
      <c r="O3233" s="42" t="s">
        <v>29</v>
      </c>
      <c r="P3233" s="15">
        <v>220</v>
      </c>
      <c r="Q3233" s="8"/>
      <c r="R3233">
        <v>13.06</v>
      </c>
      <c r="S3233">
        <v>2228.58</v>
      </c>
      <c r="T3233">
        <v>6.51</v>
      </c>
      <c r="U3233">
        <v>9.3800000000000008</v>
      </c>
      <c r="V3233">
        <v>131</v>
      </c>
      <c r="W3233" s="317">
        <v>4.5999999999999996</v>
      </c>
      <c r="X3233" s="190">
        <f t="shared" si="148"/>
        <v>66.699999999999989</v>
      </c>
      <c r="Y3233" s="8"/>
      <c r="Z3233" s="8"/>
    </row>
    <row r="3234" spans="1:26" ht="12.75" customHeight="1" x14ac:dyDescent="0.2">
      <c r="A3234" s="15">
        <v>99</v>
      </c>
      <c r="B3234" s="15">
        <v>1992</v>
      </c>
      <c r="C3234" s="15">
        <v>7</v>
      </c>
      <c r="D3234" s="15">
        <v>8</v>
      </c>
      <c r="E3234" s="43" t="s">
        <v>240</v>
      </c>
      <c r="F3234" s="23" t="s">
        <v>18</v>
      </c>
      <c r="G3234" s="15">
        <v>119</v>
      </c>
      <c r="H3234" s="15" t="s">
        <v>29</v>
      </c>
      <c r="I3234" s="41">
        <v>10</v>
      </c>
      <c r="J3234" s="11" t="s">
        <v>19</v>
      </c>
      <c r="K3234" s="23" t="s">
        <v>20</v>
      </c>
      <c r="L3234" s="23" t="s">
        <v>30</v>
      </c>
      <c r="M3234" s="11" t="s">
        <v>29</v>
      </c>
      <c r="N3234" s="11" t="s">
        <v>29</v>
      </c>
      <c r="O3234" s="42" t="s">
        <v>29</v>
      </c>
      <c r="P3234" s="15">
        <v>220</v>
      </c>
      <c r="Q3234" s="8"/>
      <c r="R3234">
        <v>11.1</v>
      </c>
      <c r="S3234">
        <v>1368.63</v>
      </c>
      <c r="T3234">
        <v>7.31</v>
      </c>
      <c r="U3234">
        <v>7.97</v>
      </c>
      <c r="V3234">
        <v>111</v>
      </c>
      <c r="W3234" s="317">
        <v>4.5999999999999996</v>
      </c>
      <c r="X3234" s="190">
        <f t="shared" si="148"/>
        <v>46</v>
      </c>
      <c r="Y3234" s="8"/>
      <c r="Z3234" s="8"/>
    </row>
    <row r="3235" spans="1:26" ht="12.75" customHeight="1" x14ac:dyDescent="0.2">
      <c r="A3235" s="15">
        <v>100</v>
      </c>
      <c r="B3235" s="15">
        <v>1992</v>
      </c>
      <c r="C3235" s="15">
        <v>7</v>
      </c>
      <c r="D3235" s="15">
        <v>8</v>
      </c>
      <c r="E3235" s="43" t="s">
        <v>240</v>
      </c>
      <c r="F3235" s="23" t="s">
        <v>18</v>
      </c>
      <c r="G3235" s="15">
        <v>126</v>
      </c>
      <c r="H3235" s="15" t="s">
        <v>29</v>
      </c>
      <c r="I3235" s="41">
        <v>12.5</v>
      </c>
      <c r="J3235" s="11" t="s">
        <v>19</v>
      </c>
      <c r="K3235" s="23" t="s">
        <v>20</v>
      </c>
      <c r="L3235" s="23" t="s">
        <v>30</v>
      </c>
      <c r="M3235" s="11" t="s">
        <v>29</v>
      </c>
      <c r="N3235" s="11" t="s">
        <v>29</v>
      </c>
      <c r="O3235" s="42" t="s">
        <v>29</v>
      </c>
      <c r="P3235" s="15">
        <v>220</v>
      </c>
      <c r="Q3235" s="8"/>
      <c r="R3235">
        <v>11.76</v>
      </c>
      <c r="S3235">
        <v>1624.64</v>
      </c>
      <c r="T3235">
        <v>7.69</v>
      </c>
      <c r="U3235">
        <v>8.44</v>
      </c>
      <c r="V3235">
        <v>118</v>
      </c>
      <c r="W3235" s="317">
        <v>4.5999999999999996</v>
      </c>
      <c r="X3235" s="190">
        <f t="shared" si="148"/>
        <v>57.499999999999993</v>
      </c>
      <c r="Y3235" s="8"/>
      <c r="Z3235" s="8"/>
    </row>
    <row r="3236" spans="1:26" ht="12.75" customHeight="1" x14ac:dyDescent="0.2">
      <c r="A3236" s="15">
        <v>101</v>
      </c>
      <c r="B3236" s="15">
        <v>1992</v>
      </c>
      <c r="C3236" s="15">
        <v>7</v>
      </c>
      <c r="D3236" s="15">
        <v>8</v>
      </c>
      <c r="E3236" s="43" t="s">
        <v>240</v>
      </c>
      <c r="F3236" s="23" t="s">
        <v>18</v>
      </c>
      <c r="G3236" s="15">
        <v>158</v>
      </c>
      <c r="H3236" s="15" t="s">
        <v>29</v>
      </c>
      <c r="I3236" s="41">
        <v>22.5</v>
      </c>
      <c r="J3236" s="11" t="s">
        <v>19</v>
      </c>
      <c r="K3236" s="23" t="s">
        <v>20</v>
      </c>
      <c r="L3236" s="23" t="s">
        <v>30</v>
      </c>
      <c r="M3236" s="11" t="s">
        <v>29</v>
      </c>
      <c r="N3236" s="11" t="s">
        <v>29</v>
      </c>
      <c r="O3236" s="42" t="s">
        <v>29</v>
      </c>
      <c r="P3236" s="15">
        <v>220</v>
      </c>
      <c r="Q3236" s="8"/>
      <c r="R3236">
        <v>14.74</v>
      </c>
      <c r="S3236">
        <v>3203.44</v>
      </c>
      <c r="T3236">
        <v>7.02</v>
      </c>
      <c r="U3236">
        <v>10.59</v>
      </c>
      <c r="V3236">
        <v>147</v>
      </c>
      <c r="W3236" s="317">
        <v>4.5999999999999996</v>
      </c>
      <c r="X3236" s="190">
        <f t="shared" si="148"/>
        <v>103.49999999999999</v>
      </c>
      <c r="Y3236" s="8"/>
      <c r="Z3236" s="8"/>
    </row>
    <row r="3237" spans="1:26" ht="12.75" customHeight="1" x14ac:dyDescent="0.2">
      <c r="A3237" s="15">
        <v>102</v>
      </c>
      <c r="B3237" s="15">
        <v>1992</v>
      </c>
      <c r="C3237" s="15">
        <v>7</v>
      </c>
      <c r="D3237" s="15">
        <v>8</v>
      </c>
      <c r="E3237" s="43" t="s">
        <v>240</v>
      </c>
      <c r="F3237" s="23" t="s">
        <v>18</v>
      </c>
      <c r="G3237" s="15">
        <v>122</v>
      </c>
      <c r="H3237" s="15" t="s">
        <v>29</v>
      </c>
      <c r="I3237" s="41">
        <v>11.3</v>
      </c>
      <c r="J3237" s="11" t="s">
        <v>19</v>
      </c>
      <c r="K3237" s="23" t="s">
        <v>20</v>
      </c>
      <c r="L3237" s="23" t="s">
        <v>30</v>
      </c>
      <c r="M3237" s="11" t="s">
        <v>29</v>
      </c>
      <c r="N3237" s="11" t="s">
        <v>29</v>
      </c>
      <c r="O3237" s="42" t="s">
        <v>29</v>
      </c>
      <c r="P3237" s="15">
        <v>220</v>
      </c>
      <c r="Q3237" s="8"/>
      <c r="R3237">
        <v>11.38</v>
      </c>
      <c r="S3237">
        <v>1474.77</v>
      </c>
      <c r="T3237">
        <v>7.66</v>
      </c>
      <c r="U3237">
        <v>8.17</v>
      </c>
      <c r="V3237">
        <v>114</v>
      </c>
      <c r="W3237" s="317">
        <v>4.5999999999999996</v>
      </c>
      <c r="X3237" s="190">
        <f t="shared" si="148"/>
        <v>51.98</v>
      </c>
      <c r="Y3237" s="8"/>
      <c r="Z3237" s="8"/>
    </row>
    <row r="3238" spans="1:26" ht="12.75" customHeight="1" x14ac:dyDescent="0.2">
      <c r="A3238" s="15">
        <v>103</v>
      </c>
      <c r="B3238" s="15">
        <v>1992</v>
      </c>
      <c r="C3238" s="15">
        <v>7</v>
      </c>
      <c r="D3238" s="15">
        <v>8</v>
      </c>
      <c r="E3238" s="43" t="s">
        <v>240</v>
      </c>
      <c r="F3238" s="23" t="s">
        <v>18</v>
      </c>
      <c r="G3238" s="15">
        <v>145</v>
      </c>
      <c r="H3238" s="15" t="s">
        <v>29</v>
      </c>
      <c r="I3238" s="41">
        <v>16.5</v>
      </c>
      <c r="J3238" s="11" t="s">
        <v>19</v>
      </c>
      <c r="K3238" s="23" t="s">
        <v>20</v>
      </c>
      <c r="L3238" s="23" t="s">
        <v>30</v>
      </c>
      <c r="M3238" s="11" t="s">
        <v>29</v>
      </c>
      <c r="N3238" s="11" t="s">
        <v>29</v>
      </c>
      <c r="O3238" s="42" t="s">
        <v>29</v>
      </c>
      <c r="P3238" s="15">
        <v>220</v>
      </c>
      <c r="Q3238" s="8"/>
      <c r="R3238">
        <v>13.53</v>
      </c>
      <c r="S3238">
        <v>2475.9899999999998</v>
      </c>
      <c r="T3238">
        <v>6.66</v>
      </c>
      <c r="U3238">
        <v>9.7200000000000006</v>
      </c>
      <c r="V3238">
        <v>135</v>
      </c>
      <c r="W3238" s="317">
        <v>4.5999999999999996</v>
      </c>
      <c r="X3238" s="190">
        <f t="shared" si="148"/>
        <v>75.899999999999991</v>
      </c>
      <c r="Y3238" s="8"/>
      <c r="Z3238" s="8"/>
    </row>
    <row r="3239" spans="1:26" ht="12.75" customHeight="1" x14ac:dyDescent="0.2">
      <c r="A3239" s="15">
        <v>104</v>
      </c>
      <c r="B3239" s="15">
        <v>1992</v>
      </c>
      <c r="C3239" s="15">
        <v>7</v>
      </c>
      <c r="D3239" s="15">
        <v>8</v>
      </c>
      <c r="E3239" s="43" t="s">
        <v>240</v>
      </c>
      <c r="F3239" s="23" t="s">
        <v>18</v>
      </c>
      <c r="G3239" s="15">
        <v>155</v>
      </c>
      <c r="H3239" s="15" t="s">
        <v>29</v>
      </c>
      <c r="I3239" s="41">
        <v>18.5</v>
      </c>
      <c r="J3239" s="11" t="s">
        <v>19</v>
      </c>
      <c r="K3239" s="23" t="s">
        <v>20</v>
      </c>
      <c r="L3239" s="23" t="s">
        <v>30</v>
      </c>
      <c r="M3239" s="11" t="s">
        <v>29</v>
      </c>
      <c r="N3239" s="11" t="s">
        <v>29</v>
      </c>
      <c r="O3239" s="42" t="s">
        <v>29</v>
      </c>
      <c r="P3239" s="15">
        <v>220</v>
      </c>
      <c r="Q3239" s="8"/>
      <c r="R3239">
        <v>14.46</v>
      </c>
      <c r="S3239">
        <v>3024.41</v>
      </c>
      <c r="T3239">
        <v>6.12</v>
      </c>
      <c r="U3239">
        <v>10.39</v>
      </c>
      <c r="V3239">
        <v>145</v>
      </c>
      <c r="W3239" s="317">
        <v>4.5999999999999996</v>
      </c>
      <c r="X3239" s="190">
        <f t="shared" si="148"/>
        <v>85.1</v>
      </c>
      <c r="Y3239" s="8"/>
      <c r="Z3239" s="8"/>
    </row>
    <row r="3240" spans="1:26" ht="12.75" customHeight="1" x14ac:dyDescent="0.2">
      <c r="A3240" s="15">
        <v>105</v>
      </c>
      <c r="B3240" s="15">
        <v>1992</v>
      </c>
      <c r="C3240" s="15">
        <v>7</v>
      </c>
      <c r="D3240" s="15">
        <v>8</v>
      </c>
      <c r="E3240" s="43" t="s">
        <v>240</v>
      </c>
      <c r="F3240" s="23" t="s">
        <v>18</v>
      </c>
      <c r="G3240" s="15">
        <v>148</v>
      </c>
      <c r="H3240" s="15" t="s">
        <v>29</v>
      </c>
      <c r="I3240" s="41">
        <v>19.5</v>
      </c>
      <c r="J3240" s="11" t="s">
        <v>19</v>
      </c>
      <c r="K3240" s="23" t="s">
        <v>20</v>
      </c>
      <c r="L3240" s="23" t="s">
        <v>30</v>
      </c>
      <c r="M3240" s="11" t="s">
        <v>29</v>
      </c>
      <c r="N3240" s="11" t="s">
        <v>29</v>
      </c>
      <c r="O3240" s="42" t="s">
        <v>29</v>
      </c>
      <c r="P3240" s="15">
        <v>220</v>
      </c>
      <c r="Q3240" s="8"/>
      <c r="R3240">
        <v>13.81</v>
      </c>
      <c r="S3240">
        <v>2632.87</v>
      </c>
      <c r="T3240">
        <v>7.41</v>
      </c>
      <c r="U3240">
        <v>9.92</v>
      </c>
      <c r="V3240">
        <v>138</v>
      </c>
      <c r="W3240" s="317">
        <v>4.5999999999999996</v>
      </c>
      <c r="X3240" s="190">
        <f t="shared" si="148"/>
        <v>89.699999999999989</v>
      </c>
      <c r="Y3240" s="8"/>
      <c r="Z3240" s="8"/>
    </row>
    <row r="3241" spans="1:26" ht="12.75" customHeight="1" x14ac:dyDescent="0.2">
      <c r="A3241" s="15">
        <v>106</v>
      </c>
      <c r="B3241" s="15">
        <v>1992</v>
      </c>
      <c r="C3241" s="15">
        <v>7</v>
      </c>
      <c r="D3241" s="15">
        <v>8</v>
      </c>
      <c r="E3241" s="43" t="s">
        <v>240</v>
      </c>
      <c r="F3241" s="23" t="s">
        <v>18</v>
      </c>
      <c r="G3241" s="15">
        <v>155</v>
      </c>
      <c r="H3241" s="15" t="s">
        <v>29</v>
      </c>
      <c r="I3241" s="41">
        <v>15.1</v>
      </c>
      <c r="J3241" s="11" t="s">
        <v>19</v>
      </c>
      <c r="K3241" s="23" t="s">
        <v>20</v>
      </c>
      <c r="L3241" s="23" t="s">
        <v>30</v>
      </c>
      <c r="M3241" s="11" t="s">
        <v>29</v>
      </c>
      <c r="N3241" s="11" t="s">
        <v>29</v>
      </c>
      <c r="O3241" s="42" t="s">
        <v>29</v>
      </c>
      <c r="P3241" s="15">
        <v>220</v>
      </c>
      <c r="Q3241" s="8"/>
      <c r="R3241">
        <v>14.46</v>
      </c>
      <c r="S3241">
        <v>3024.41</v>
      </c>
      <c r="T3241">
        <v>4.99</v>
      </c>
      <c r="U3241">
        <v>10.39</v>
      </c>
      <c r="V3241">
        <v>145</v>
      </c>
      <c r="W3241" s="317">
        <v>4.5999999999999996</v>
      </c>
      <c r="X3241" s="190">
        <f t="shared" si="148"/>
        <v>69.459999999999994</v>
      </c>
      <c r="Y3241" s="8"/>
      <c r="Z3241" s="8"/>
    </row>
    <row r="3242" spans="1:26" ht="12.75" customHeight="1" x14ac:dyDescent="0.2">
      <c r="A3242" s="15">
        <v>107</v>
      </c>
      <c r="B3242" s="15">
        <v>1992</v>
      </c>
      <c r="C3242" s="15">
        <v>7</v>
      </c>
      <c r="D3242" s="15">
        <v>8</v>
      </c>
      <c r="E3242" s="43" t="s">
        <v>240</v>
      </c>
      <c r="F3242" s="23" t="s">
        <v>18</v>
      </c>
      <c r="G3242" s="15">
        <v>142</v>
      </c>
      <c r="H3242" s="15" t="s">
        <v>29</v>
      </c>
      <c r="I3242" s="41">
        <v>12.5</v>
      </c>
      <c r="J3242" s="11" t="s">
        <v>19</v>
      </c>
      <c r="K3242" s="23" t="s">
        <v>20</v>
      </c>
      <c r="L3242" s="23" t="s">
        <v>30</v>
      </c>
      <c r="M3242" s="11" t="s">
        <v>29</v>
      </c>
      <c r="N3242" s="11" t="s">
        <v>29</v>
      </c>
      <c r="O3242" s="42" t="s">
        <v>29</v>
      </c>
      <c r="P3242" s="15">
        <v>220</v>
      </c>
      <c r="Q3242" s="8"/>
      <c r="R3242">
        <v>13.25</v>
      </c>
      <c r="S3242">
        <v>2325.4699999999998</v>
      </c>
      <c r="T3242">
        <v>5.38</v>
      </c>
      <c r="U3242">
        <v>9.51</v>
      </c>
      <c r="V3242">
        <v>132</v>
      </c>
      <c r="W3242" s="317">
        <v>4.5999999999999996</v>
      </c>
      <c r="X3242" s="190">
        <f t="shared" si="148"/>
        <v>57.499999999999993</v>
      </c>
      <c r="Y3242" s="8"/>
      <c r="Z3242" s="8"/>
    </row>
    <row r="3243" spans="1:26" ht="12.75" customHeight="1" x14ac:dyDescent="0.2">
      <c r="A3243" s="15">
        <v>108</v>
      </c>
      <c r="B3243" s="15">
        <v>1992</v>
      </c>
      <c r="C3243" s="15">
        <v>7</v>
      </c>
      <c r="D3243" s="15">
        <v>8</v>
      </c>
      <c r="E3243" s="43" t="s">
        <v>240</v>
      </c>
      <c r="F3243" s="23" t="s">
        <v>18</v>
      </c>
      <c r="G3243" s="15">
        <v>141</v>
      </c>
      <c r="H3243" s="15" t="s">
        <v>29</v>
      </c>
      <c r="I3243" s="41">
        <v>19.5</v>
      </c>
      <c r="J3243" s="11" t="s">
        <v>19</v>
      </c>
      <c r="K3243" s="23" t="s">
        <v>34</v>
      </c>
      <c r="L3243" s="11" t="s">
        <v>41</v>
      </c>
      <c r="M3243" s="11" t="s">
        <v>29</v>
      </c>
      <c r="N3243" s="11" t="s">
        <v>29</v>
      </c>
      <c r="O3243" s="42" t="s">
        <v>29</v>
      </c>
      <c r="P3243" s="15">
        <v>220</v>
      </c>
      <c r="Q3243" s="8"/>
      <c r="R3243">
        <v>13.16</v>
      </c>
      <c r="S3243">
        <v>2276.6799999999998</v>
      </c>
      <c r="T3243">
        <v>8.57</v>
      </c>
      <c r="U3243">
        <v>9.4499999999999993</v>
      </c>
      <c r="V3243">
        <v>132</v>
      </c>
      <c r="W3243" s="317">
        <v>3.8</v>
      </c>
      <c r="X3243" s="190">
        <f t="shared" si="148"/>
        <v>74.099999999999994</v>
      </c>
      <c r="Y3243" s="8"/>
      <c r="Z3243" s="8"/>
    </row>
    <row r="3244" spans="1:26" ht="12.75" customHeight="1" x14ac:dyDescent="0.2">
      <c r="A3244" s="15">
        <v>109</v>
      </c>
      <c r="B3244" s="15">
        <v>1992</v>
      </c>
      <c r="C3244" s="15">
        <v>7</v>
      </c>
      <c r="D3244" s="15">
        <v>8</v>
      </c>
      <c r="E3244" s="43" t="s">
        <v>240</v>
      </c>
      <c r="F3244" s="23" t="s">
        <v>18</v>
      </c>
      <c r="G3244" s="15">
        <v>144</v>
      </c>
      <c r="H3244" s="15" t="s">
        <v>29</v>
      </c>
      <c r="I3244" s="41">
        <v>17.5</v>
      </c>
      <c r="J3244" s="11" t="s">
        <v>19</v>
      </c>
      <c r="K3244" s="23" t="s">
        <v>20</v>
      </c>
      <c r="L3244" s="23" t="s">
        <v>30</v>
      </c>
      <c r="M3244" s="11" t="s">
        <v>29</v>
      </c>
      <c r="N3244" s="11" t="s">
        <v>29</v>
      </c>
      <c r="O3244" s="42" t="s">
        <v>29</v>
      </c>
      <c r="P3244" s="15">
        <v>220</v>
      </c>
      <c r="Q3244" s="8"/>
      <c r="R3244">
        <v>13.44</v>
      </c>
      <c r="S3244">
        <v>2425.12</v>
      </c>
      <c r="T3244">
        <v>7.22</v>
      </c>
      <c r="U3244">
        <v>9.65</v>
      </c>
      <c r="V3244">
        <v>134</v>
      </c>
      <c r="W3244" s="317">
        <v>4.5999999999999996</v>
      </c>
      <c r="X3244" s="190">
        <f t="shared" ref="X3244:X3251" si="149">I3244*W3244</f>
        <v>80.5</v>
      </c>
      <c r="Y3244" s="8"/>
      <c r="Z3244" s="8"/>
    </row>
    <row r="3245" spans="1:26" ht="12.75" customHeight="1" x14ac:dyDescent="0.2">
      <c r="A3245" s="15">
        <v>110</v>
      </c>
      <c r="B3245" s="15">
        <v>1992</v>
      </c>
      <c r="C3245" s="15">
        <v>7</v>
      </c>
      <c r="D3245" s="15">
        <v>8</v>
      </c>
      <c r="E3245" s="43" t="s">
        <v>240</v>
      </c>
      <c r="F3245" s="23" t="s">
        <v>18</v>
      </c>
      <c r="G3245" s="15">
        <v>130</v>
      </c>
      <c r="H3245" s="15" t="s">
        <v>29</v>
      </c>
      <c r="I3245" s="41">
        <v>11.5</v>
      </c>
      <c r="J3245" s="11" t="s">
        <v>19</v>
      </c>
      <c r="K3245" s="23" t="s">
        <v>20</v>
      </c>
      <c r="L3245" s="23" t="s">
        <v>30</v>
      </c>
      <c r="M3245" s="11" t="s">
        <v>29</v>
      </c>
      <c r="N3245" s="11" t="s">
        <v>29</v>
      </c>
      <c r="O3245" s="42" t="s">
        <v>29</v>
      </c>
      <c r="P3245" s="15">
        <v>220</v>
      </c>
      <c r="Q3245" s="8"/>
      <c r="R3245">
        <v>12.13</v>
      </c>
      <c r="S3245">
        <v>1784.33</v>
      </c>
      <c r="T3245">
        <v>6.44</v>
      </c>
      <c r="U3245">
        <v>8.7100000000000009</v>
      </c>
      <c r="V3245">
        <v>121</v>
      </c>
      <c r="W3245" s="317">
        <v>4.5999999999999996</v>
      </c>
      <c r="X3245" s="190">
        <f t="shared" si="149"/>
        <v>52.9</v>
      </c>
      <c r="Y3245" s="8"/>
      <c r="Z3245" s="8"/>
    </row>
    <row r="3246" spans="1:26" ht="12.75" customHeight="1" x14ac:dyDescent="0.2">
      <c r="A3246" s="15">
        <v>111</v>
      </c>
      <c r="B3246" s="15">
        <v>1992</v>
      </c>
      <c r="C3246" s="15">
        <v>7</v>
      </c>
      <c r="D3246" s="15">
        <v>8</v>
      </c>
      <c r="E3246" s="43" t="s">
        <v>240</v>
      </c>
      <c r="F3246" s="23" t="s">
        <v>18</v>
      </c>
      <c r="G3246" s="15">
        <v>155</v>
      </c>
      <c r="H3246" s="15" t="s">
        <v>29</v>
      </c>
      <c r="I3246" s="41">
        <v>23.5</v>
      </c>
      <c r="J3246" s="11" t="s">
        <v>19</v>
      </c>
      <c r="K3246" s="23" t="s">
        <v>34</v>
      </c>
      <c r="L3246" s="11" t="s">
        <v>41</v>
      </c>
      <c r="M3246" s="11" t="s">
        <v>29</v>
      </c>
      <c r="N3246" s="11" t="s">
        <v>29</v>
      </c>
      <c r="O3246" s="42" t="s">
        <v>29</v>
      </c>
      <c r="P3246" s="15">
        <v>220</v>
      </c>
      <c r="Q3246" s="8"/>
      <c r="R3246">
        <v>14.46</v>
      </c>
      <c r="S3246">
        <v>3024.41</v>
      </c>
      <c r="T3246">
        <v>7.77</v>
      </c>
      <c r="U3246">
        <v>10.39</v>
      </c>
      <c r="V3246">
        <v>145</v>
      </c>
      <c r="W3246" s="317">
        <v>3.8</v>
      </c>
      <c r="X3246" s="190">
        <f t="shared" si="149"/>
        <v>89.3</v>
      </c>
      <c r="Y3246" s="8"/>
      <c r="Z3246" s="8"/>
    </row>
    <row r="3247" spans="1:26" ht="12.75" customHeight="1" x14ac:dyDescent="0.2">
      <c r="A3247" s="15">
        <v>112</v>
      </c>
      <c r="B3247" s="15">
        <v>1992</v>
      </c>
      <c r="C3247" s="15">
        <v>7</v>
      </c>
      <c r="D3247" s="15">
        <v>8</v>
      </c>
      <c r="E3247" s="43" t="s">
        <v>240</v>
      </c>
      <c r="F3247" s="23" t="s">
        <v>18</v>
      </c>
      <c r="G3247" s="15">
        <v>135</v>
      </c>
      <c r="H3247" s="15" t="s">
        <v>29</v>
      </c>
      <c r="I3247" s="41">
        <v>12.5</v>
      </c>
      <c r="J3247" s="11" t="s">
        <v>19</v>
      </c>
      <c r="K3247" s="23" t="s">
        <v>20</v>
      </c>
      <c r="L3247" s="23" t="s">
        <v>30</v>
      </c>
      <c r="M3247" s="11" t="s">
        <v>29</v>
      </c>
      <c r="N3247" s="11" t="s">
        <v>29</v>
      </c>
      <c r="O3247" s="42" t="s">
        <v>29</v>
      </c>
      <c r="P3247" s="15">
        <v>220</v>
      </c>
      <c r="Q3247" s="8"/>
      <c r="R3247">
        <v>12.6</v>
      </c>
      <c r="S3247">
        <v>1998.23</v>
      </c>
      <c r="T3247">
        <v>6.26</v>
      </c>
      <c r="U3247">
        <v>9.0500000000000007</v>
      </c>
      <c r="V3247">
        <v>126</v>
      </c>
      <c r="W3247" s="317">
        <v>4.5999999999999996</v>
      </c>
      <c r="X3247" s="190">
        <f t="shared" si="149"/>
        <v>57.499999999999993</v>
      </c>
      <c r="Y3247" s="8"/>
      <c r="Z3247" s="8"/>
    </row>
    <row r="3248" spans="1:26" ht="12.75" customHeight="1" x14ac:dyDescent="0.2">
      <c r="A3248" s="15">
        <v>113</v>
      </c>
      <c r="B3248" s="15">
        <v>1992</v>
      </c>
      <c r="C3248" s="15">
        <v>7</v>
      </c>
      <c r="D3248" s="15">
        <v>8</v>
      </c>
      <c r="E3248" s="43" t="s">
        <v>240</v>
      </c>
      <c r="F3248" s="23" t="s">
        <v>18</v>
      </c>
      <c r="G3248" s="15">
        <v>144</v>
      </c>
      <c r="H3248" s="15" t="s">
        <v>29</v>
      </c>
      <c r="I3248" s="41">
        <v>17.5</v>
      </c>
      <c r="J3248" s="11" t="s">
        <v>19</v>
      </c>
      <c r="K3248" s="23" t="s">
        <v>20</v>
      </c>
      <c r="L3248" s="23" t="s">
        <v>30</v>
      </c>
      <c r="M3248" s="11" t="s">
        <v>29</v>
      </c>
      <c r="N3248" s="11" t="s">
        <v>29</v>
      </c>
      <c r="O3248" s="42" t="s">
        <v>29</v>
      </c>
      <c r="P3248" s="15">
        <v>220</v>
      </c>
      <c r="Q3248" s="8"/>
      <c r="R3248">
        <v>13.44</v>
      </c>
      <c r="S3248">
        <v>2425.12</v>
      </c>
      <c r="T3248">
        <v>7.22</v>
      </c>
      <c r="U3248">
        <v>9.65</v>
      </c>
      <c r="V3248">
        <v>134</v>
      </c>
      <c r="W3248" s="317">
        <v>4.5999999999999996</v>
      </c>
      <c r="X3248" s="190">
        <f t="shared" si="149"/>
        <v>80.5</v>
      </c>
      <c r="Y3248" s="8"/>
      <c r="Z3248" s="8"/>
    </row>
    <row r="3249" spans="1:26" ht="12.75" customHeight="1" x14ac:dyDescent="0.2">
      <c r="A3249" s="15">
        <v>114</v>
      </c>
      <c r="B3249" s="15">
        <v>1992</v>
      </c>
      <c r="C3249" s="15">
        <v>5</v>
      </c>
      <c r="D3249" s="15">
        <v>8</v>
      </c>
      <c r="E3249" s="43" t="s">
        <v>17</v>
      </c>
      <c r="F3249" s="11" t="s">
        <v>18</v>
      </c>
      <c r="G3249" s="15">
        <v>140</v>
      </c>
      <c r="H3249" s="15" t="s">
        <v>29</v>
      </c>
      <c r="I3249" s="41">
        <v>13.6</v>
      </c>
      <c r="J3249" s="11" t="s">
        <v>19</v>
      </c>
      <c r="K3249" s="23" t="s">
        <v>20</v>
      </c>
      <c r="L3249" s="23" t="s">
        <v>30</v>
      </c>
      <c r="M3249" s="11" t="s">
        <v>29</v>
      </c>
      <c r="N3249" s="11" t="s">
        <v>29</v>
      </c>
      <c r="O3249" s="42" t="s">
        <v>29</v>
      </c>
      <c r="P3249" s="15">
        <v>218</v>
      </c>
      <c r="Q3249" s="8"/>
      <c r="R3249">
        <v>13.06</v>
      </c>
      <c r="S3249">
        <v>2228.58</v>
      </c>
      <c r="T3249">
        <v>6.1</v>
      </c>
      <c r="U3249">
        <v>9.3800000000000008</v>
      </c>
      <c r="V3249">
        <v>131</v>
      </c>
      <c r="W3249" s="317">
        <v>4.5999999999999996</v>
      </c>
      <c r="X3249" s="190">
        <f t="shared" si="149"/>
        <v>62.559999999999995</v>
      </c>
      <c r="Y3249" s="8"/>
      <c r="Z3249" s="8"/>
    </row>
    <row r="3250" spans="1:26" ht="12.75" customHeight="1" x14ac:dyDescent="0.2">
      <c r="A3250" s="15">
        <v>115</v>
      </c>
      <c r="B3250" s="15">
        <v>1992</v>
      </c>
      <c r="C3250" s="15">
        <v>5</v>
      </c>
      <c r="D3250" s="15">
        <v>8</v>
      </c>
      <c r="E3250" s="43" t="s">
        <v>17</v>
      </c>
      <c r="F3250" s="11" t="s">
        <v>18</v>
      </c>
      <c r="G3250" s="15">
        <v>148</v>
      </c>
      <c r="H3250" s="15" t="s">
        <v>29</v>
      </c>
      <c r="I3250" s="41">
        <v>16</v>
      </c>
      <c r="J3250" s="11" t="s">
        <v>19</v>
      </c>
      <c r="K3250" s="23" t="s">
        <v>20</v>
      </c>
      <c r="L3250" s="23" t="s">
        <v>30</v>
      </c>
      <c r="M3250" s="11" t="s">
        <v>29</v>
      </c>
      <c r="N3250" s="11" t="s">
        <v>29</v>
      </c>
      <c r="O3250" s="42" t="s">
        <v>29</v>
      </c>
      <c r="P3250" s="15">
        <v>218</v>
      </c>
      <c r="Q3250" s="8"/>
      <c r="R3250">
        <v>13.81</v>
      </c>
      <c r="S3250">
        <v>2632.87</v>
      </c>
      <c r="T3250">
        <v>6.08</v>
      </c>
      <c r="U3250">
        <v>9.92</v>
      </c>
      <c r="V3250">
        <v>138</v>
      </c>
      <c r="W3250" s="317">
        <v>4.5999999999999996</v>
      </c>
      <c r="X3250" s="190">
        <f t="shared" si="149"/>
        <v>73.599999999999994</v>
      </c>
      <c r="Y3250" s="8"/>
      <c r="Z3250" s="8"/>
    </row>
    <row r="3251" spans="1:26" ht="12.75" customHeight="1" x14ac:dyDescent="0.2">
      <c r="A3251" s="15">
        <v>116</v>
      </c>
      <c r="B3251" s="15">
        <v>1992</v>
      </c>
      <c r="C3251" s="15">
        <v>5</v>
      </c>
      <c r="D3251" s="15">
        <v>8</v>
      </c>
      <c r="E3251" s="43" t="s">
        <v>17</v>
      </c>
      <c r="F3251" s="11" t="s">
        <v>18</v>
      </c>
      <c r="G3251" s="15">
        <v>157</v>
      </c>
      <c r="H3251" s="15" t="s">
        <v>29</v>
      </c>
      <c r="I3251" s="41">
        <v>20.5</v>
      </c>
      <c r="J3251" s="11" t="s">
        <v>19</v>
      </c>
      <c r="K3251" s="23" t="s">
        <v>34</v>
      </c>
      <c r="L3251" s="11" t="s">
        <v>41</v>
      </c>
      <c r="M3251" s="11" t="s">
        <v>29</v>
      </c>
      <c r="N3251" s="11" t="s">
        <v>29</v>
      </c>
      <c r="O3251" s="42" t="s">
        <v>29</v>
      </c>
      <c r="P3251" s="15">
        <v>218</v>
      </c>
      <c r="Q3251" s="8"/>
      <c r="R3251">
        <v>14.65</v>
      </c>
      <c r="S3251">
        <v>3143</v>
      </c>
      <c r="T3251">
        <v>6.52</v>
      </c>
      <c r="U3251">
        <v>10.52</v>
      </c>
      <c r="V3251">
        <v>146</v>
      </c>
      <c r="W3251" s="317">
        <v>3.8</v>
      </c>
      <c r="X3251" s="190">
        <f t="shared" si="149"/>
        <v>77.899999999999991</v>
      </c>
      <c r="Y3251" s="8"/>
      <c r="Z3251" s="8"/>
    </row>
    <row r="3252" spans="1:26" ht="12.75" customHeight="1" x14ac:dyDescent="0.2">
      <c r="A3252" s="15">
        <v>117</v>
      </c>
      <c r="B3252" s="15">
        <v>1992</v>
      </c>
      <c r="C3252" s="15">
        <v>5</v>
      </c>
      <c r="D3252" s="15">
        <v>8</v>
      </c>
      <c r="E3252" s="43" t="s">
        <v>17</v>
      </c>
      <c r="F3252" s="11" t="s">
        <v>18</v>
      </c>
      <c r="G3252" s="15">
        <v>156</v>
      </c>
      <c r="H3252" s="15" t="s">
        <v>29</v>
      </c>
      <c r="I3252" s="41">
        <v>22</v>
      </c>
      <c r="J3252" s="11" t="s">
        <v>19</v>
      </c>
      <c r="K3252" s="23" t="s">
        <v>20</v>
      </c>
      <c r="L3252" s="23" t="s">
        <v>30</v>
      </c>
      <c r="M3252" s="11" t="s">
        <v>29</v>
      </c>
      <c r="N3252" s="11" t="s">
        <v>29</v>
      </c>
      <c r="O3252" s="42" t="s">
        <v>29</v>
      </c>
      <c r="P3252" s="15">
        <v>218</v>
      </c>
      <c r="Q3252" s="8"/>
      <c r="R3252">
        <v>14.55</v>
      </c>
      <c r="S3252">
        <v>3083.32</v>
      </c>
      <c r="T3252">
        <v>7.14</v>
      </c>
      <c r="U3252">
        <v>10.45</v>
      </c>
      <c r="V3252">
        <v>146</v>
      </c>
      <c r="W3252" s="317">
        <v>4.5999999999999996</v>
      </c>
      <c r="X3252" s="190">
        <f t="shared" ref="X3252:X3263" si="150">I3252*W3252</f>
        <v>101.19999999999999</v>
      </c>
      <c r="Y3252" s="8"/>
      <c r="Z3252" s="8"/>
    </row>
    <row r="3253" spans="1:26" ht="12.75" customHeight="1" x14ac:dyDescent="0.2">
      <c r="A3253" s="15">
        <v>118</v>
      </c>
      <c r="B3253" s="15">
        <v>1992</v>
      </c>
      <c r="C3253" s="15">
        <v>5</v>
      </c>
      <c r="D3253" s="15">
        <v>8</v>
      </c>
      <c r="E3253" s="43" t="s">
        <v>17</v>
      </c>
      <c r="F3253" s="23" t="s">
        <v>18</v>
      </c>
      <c r="G3253" s="15">
        <v>144</v>
      </c>
      <c r="H3253" s="15" t="s">
        <v>29</v>
      </c>
      <c r="I3253" s="25" t="s">
        <v>29</v>
      </c>
      <c r="J3253" s="11" t="s">
        <v>19</v>
      </c>
      <c r="K3253" s="23" t="s">
        <v>20</v>
      </c>
      <c r="L3253" s="23" t="s">
        <v>30</v>
      </c>
      <c r="M3253" s="11" t="s">
        <v>29</v>
      </c>
      <c r="N3253" s="23" t="s">
        <v>25</v>
      </c>
      <c r="O3253" s="42" t="s">
        <v>29</v>
      </c>
      <c r="P3253" s="15">
        <v>218</v>
      </c>
      <c r="Q3253" s="8"/>
      <c r="U3253">
        <v>9.65</v>
      </c>
      <c r="V3253">
        <v>134</v>
      </c>
      <c r="W3253" s="317">
        <v>4.5999999999999996</v>
      </c>
      <c r="X3253" s="190"/>
      <c r="Y3253" s="8"/>
      <c r="Z3253" s="8"/>
    </row>
    <row r="3254" spans="1:26" ht="12.75" customHeight="1" x14ac:dyDescent="0.2">
      <c r="A3254" s="15">
        <v>119</v>
      </c>
      <c r="B3254" s="15">
        <v>1992</v>
      </c>
      <c r="C3254" s="15">
        <v>5</v>
      </c>
      <c r="D3254" s="15">
        <v>8</v>
      </c>
      <c r="E3254" s="43" t="s">
        <v>17</v>
      </c>
      <c r="F3254" s="23" t="s">
        <v>18</v>
      </c>
      <c r="G3254" s="15">
        <v>154</v>
      </c>
      <c r="H3254" s="15" t="s">
        <v>29</v>
      </c>
      <c r="I3254" s="41">
        <v>20.5</v>
      </c>
      <c r="J3254" s="11" t="s">
        <v>19</v>
      </c>
      <c r="K3254" s="23" t="s">
        <v>20</v>
      </c>
      <c r="L3254" s="23" t="s">
        <v>30</v>
      </c>
      <c r="M3254" s="11" t="s">
        <v>29</v>
      </c>
      <c r="N3254" s="11" t="s">
        <v>29</v>
      </c>
      <c r="O3254" s="42" t="s">
        <v>29</v>
      </c>
      <c r="P3254" s="15">
        <v>218</v>
      </c>
      <c r="Q3254" s="8"/>
      <c r="R3254">
        <v>14.37</v>
      </c>
      <c r="S3254">
        <v>2966.25</v>
      </c>
      <c r="T3254">
        <v>6.91</v>
      </c>
      <c r="U3254">
        <v>10.32</v>
      </c>
      <c r="V3254">
        <v>144</v>
      </c>
      <c r="W3254" s="317">
        <v>4.5999999999999996</v>
      </c>
      <c r="X3254" s="190">
        <f t="shared" si="150"/>
        <v>94.3</v>
      </c>
      <c r="Y3254" s="8"/>
      <c r="Z3254" s="8"/>
    </row>
    <row r="3255" spans="1:26" ht="12.75" customHeight="1" x14ac:dyDescent="0.2">
      <c r="A3255" s="15">
        <v>120</v>
      </c>
      <c r="B3255" s="15">
        <v>1992</v>
      </c>
      <c r="C3255" s="15">
        <v>5</v>
      </c>
      <c r="D3255" s="15">
        <v>8</v>
      </c>
      <c r="E3255" s="43" t="s">
        <v>17</v>
      </c>
      <c r="F3255" s="23" t="s">
        <v>18</v>
      </c>
      <c r="G3255" s="15">
        <v>145</v>
      </c>
      <c r="H3255" s="15" t="s">
        <v>29</v>
      </c>
      <c r="I3255" s="41">
        <v>17.399999999999999</v>
      </c>
      <c r="J3255" s="11" t="s">
        <v>19</v>
      </c>
      <c r="K3255" s="23" t="s">
        <v>20</v>
      </c>
      <c r="L3255" s="23" t="s">
        <v>30</v>
      </c>
      <c r="M3255" s="11" t="s">
        <v>29</v>
      </c>
      <c r="N3255" s="11" t="s">
        <v>29</v>
      </c>
      <c r="O3255" s="42" t="s">
        <v>29</v>
      </c>
      <c r="P3255" s="15">
        <v>218</v>
      </c>
      <c r="Q3255" s="8"/>
      <c r="R3255">
        <v>13.53</v>
      </c>
      <c r="S3255">
        <v>2475.9899999999998</v>
      </c>
      <c r="T3255">
        <v>7.03</v>
      </c>
      <c r="U3255">
        <v>9.7200000000000006</v>
      </c>
      <c r="V3255">
        <v>135</v>
      </c>
      <c r="W3255" s="317">
        <v>4.5999999999999996</v>
      </c>
      <c r="X3255" s="190">
        <f t="shared" si="150"/>
        <v>80.039999999999992</v>
      </c>
      <c r="Y3255" s="8"/>
      <c r="Z3255" s="8"/>
    </row>
    <row r="3256" spans="1:26" ht="12.75" customHeight="1" x14ac:dyDescent="0.2">
      <c r="A3256" s="15">
        <v>121</v>
      </c>
      <c r="B3256" s="15">
        <v>1992</v>
      </c>
      <c r="C3256" s="15">
        <v>5</v>
      </c>
      <c r="D3256" s="15">
        <v>8</v>
      </c>
      <c r="E3256" s="43" t="s">
        <v>17</v>
      </c>
      <c r="F3256" s="11" t="s">
        <v>28</v>
      </c>
      <c r="G3256" s="11" t="s">
        <v>29</v>
      </c>
      <c r="H3256" s="15" t="s">
        <v>29</v>
      </c>
      <c r="I3256" s="25" t="s">
        <v>29</v>
      </c>
      <c r="J3256" s="11" t="s">
        <v>19</v>
      </c>
      <c r="K3256" s="23" t="s">
        <v>20</v>
      </c>
      <c r="L3256" s="23" t="s">
        <v>30</v>
      </c>
      <c r="M3256" s="11" t="s">
        <v>29</v>
      </c>
      <c r="N3256" s="11" t="s">
        <v>29</v>
      </c>
      <c r="O3256" s="42" t="s">
        <v>29</v>
      </c>
      <c r="P3256" s="15">
        <v>218</v>
      </c>
      <c r="Q3256" s="8"/>
      <c r="W3256" s="317">
        <v>4.5999999999999996</v>
      </c>
      <c r="X3256" s="190"/>
      <c r="Y3256" s="8"/>
      <c r="Z3256" s="8"/>
    </row>
    <row r="3257" spans="1:26" ht="12.75" customHeight="1" x14ac:dyDescent="0.2">
      <c r="A3257" s="15">
        <v>122</v>
      </c>
      <c r="B3257" s="15">
        <v>1992</v>
      </c>
      <c r="C3257" s="15">
        <v>5</v>
      </c>
      <c r="D3257" s="15">
        <v>8</v>
      </c>
      <c r="E3257" s="43" t="s">
        <v>17</v>
      </c>
      <c r="F3257" s="23" t="s">
        <v>18</v>
      </c>
      <c r="G3257" s="15">
        <v>146</v>
      </c>
      <c r="H3257" s="15" t="s">
        <v>29</v>
      </c>
      <c r="I3257" s="41">
        <v>18.2</v>
      </c>
      <c r="J3257" s="11" t="s">
        <v>19</v>
      </c>
      <c r="K3257" s="23" t="s">
        <v>20</v>
      </c>
      <c r="L3257" s="23" t="s">
        <v>30</v>
      </c>
      <c r="M3257" s="11" t="s">
        <v>29</v>
      </c>
      <c r="N3257" s="11" t="s">
        <v>29</v>
      </c>
      <c r="O3257" s="42" t="s">
        <v>29</v>
      </c>
      <c r="P3257" s="15">
        <v>218</v>
      </c>
      <c r="Q3257" s="8"/>
      <c r="R3257">
        <v>13.62</v>
      </c>
      <c r="S3257">
        <v>2527.5700000000002</v>
      </c>
      <c r="T3257">
        <v>7.2</v>
      </c>
      <c r="U3257">
        <v>9.7799999999999994</v>
      </c>
      <c r="V3257">
        <v>136</v>
      </c>
      <c r="W3257" s="317">
        <v>4.5999999999999996</v>
      </c>
      <c r="X3257" s="190">
        <f t="shared" si="150"/>
        <v>83.719999999999985</v>
      </c>
      <c r="Y3257" s="8"/>
      <c r="Z3257" s="8"/>
    </row>
    <row r="3258" spans="1:26" ht="12.75" customHeight="1" x14ac:dyDescent="0.2">
      <c r="A3258" s="15">
        <v>123</v>
      </c>
      <c r="B3258" s="15">
        <v>1992</v>
      </c>
      <c r="C3258" s="15">
        <v>5</v>
      </c>
      <c r="D3258" s="15">
        <v>8</v>
      </c>
      <c r="E3258" s="43" t="s">
        <v>17</v>
      </c>
      <c r="F3258" s="23" t="s">
        <v>18</v>
      </c>
      <c r="G3258" s="15">
        <v>140</v>
      </c>
      <c r="H3258" s="15" t="s">
        <v>29</v>
      </c>
      <c r="I3258" s="41">
        <v>15.7</v>
      </c>
      <c r="J3258" s="11" t="s">
        <v>19</v>
      </c>
      <c r="K3258" s="23" t="s">
        <v>20</v>
      </c>
      <c r="L3258" s="23" t="s">
        <v>30</v>
      </c>
      <c r="M3258" s="11" t="s">
        <v>29</v>
      </c>
      <c r="N3258" s="11" t="s">
        <v>29</v>
      </c>
      <c r="O3258" s="42" t="s">
        <v>29</v>
      </c>
      <c r="P3258" s="15">
        <v>218</v>
      </c>
      <c r="Q3258" s="8"/>
      <c r="R3258">
        <v>13.06</v>
      </c>
      <c r="S3258">
        <v>2228.58</v>
      </c>
      <c r="T3258">
        <v>7.04</v>
      </c>
      <c r="U3258">
        <v>9.3800000000000008</v>
      </c>
      <c r="V3258">
        <v>131</v>
      </c>
      <c r="W3258" s="317">
        <v>4.5999999999999996</v>
      </c>
      <c r="X3258" s="190">
        <f t="shared" si="150"/>
        <v>72.219999999999985</v>
      </c>
      <c r="Y3258" s="8"/>
      <c r="Z3258" s="8"/>
    </row>
    <row r="3259" spans="1:26" ht="12.75" customHeight="1" x14ac:dyDescent="0.2">
      <c r="A3259" s="15">
        <v>124</v>
      </c>
      <c r="B3259" s="15">
        <v>1992</v>
      </c>
      <c r="C3259" s="15">
        <v>5</v>
      </c>
      <c r="D3259" s="15">
        <v>8</v>
      </c>
      <c r="E3259" s="43" t="s">
        <v>17</v>
      </c>
      <c r="F3259" s="23" t="s">
        <v>18</v>
      </c>
      <c r="G3259" s="15">
        <v>141</v>
      </c>
      <c r="H3259" s="15" t="s">
        <v>29</v>
      </c>
      <c r="I3259" s="41">
        <v>16.100000000000001</v>
      </c>
      <c r="J3259" s="11" t="s">
        <v>19</v>
      </c>
      <c r="K3259" s="23" t="s">
        <v>20</v>
      </c>
      <c r="L3259" s="23" t="s">
        <v>30</v>
      </c>
      <c r="M3259" s="11" t="s">
        <v>29</v>
      </c>
      <c r="N3259" s="11" t="s">
        <v>29</v>
      </c>
      <c r="O3259" s="42" t="s">
        <v>29</v>
      </c>
      <c r="P3259" s="15">
        <v>218</v>
      </c>
      <c r="Q3259" s="8"/>
      <c r="R3259">
        <v>13.16</v>
      </c>
      <c r="S3259">
        <v>2276.6799999999998</v>
      </c>
      <c r="T3259">
        <v>7.07</v>
      </c>
      <c r="U3259">
        <v>9.4499999999999993</v>
      </c>
      <c r="V3259">
        <v>132</v>
      </c>
      <c r="W3259" s="317">
        <v>4.5999999999999996</v>
      </c>
      <c r="X3259" s="190">
        <f t="shared" si="150"/>
        <v>74.06</v>
      </c>
      <c r="Y3259" s="8"/>
      <c r="Z3259" s="8"/>
    </row>
    <row r="3260" spans="1:26" ht="12.75" customHeight="1" x14ac:dyDescent="0.2">
      <c r="A3260" s="15">
        <v>125</v>
      </c>
      <c r="B3260" s="15">
        <v>1992</v>
      </c>
      <c r="C3260" s="15">
        <v>5</v>
      </c>
      <c r="D3260" s="15">
        <v>8</v>
      </c>
      <c r="E3260" s="43" t="s">
        <v>17</v>
      </c>
      <c r="F3260" s="11" t="s">
        <v>28</v>
      </c>
      <c r="G3260" s="11" t="s">
        <v>29</v>
      </c>
      <c r="H3260" s="15" t="s">
        <v>29</v>
      </c>
      <c r="I3260" s="25" t="s">
        <v>29</v>
      </c>
      <c r="J3260" s="11" t="s">
        <v>19</v>
      </c>
      <c r="K3260" s="23" t="s">
        <v>20</v>
      </c>
      <c r="L3260" s="23" t="s">
        <v>30</v>
      </c>
      <c r="M3260" s="11" t="s">
        <v>29</v>
      </c>
      <c r="N3260" s="11" t="s">
        <v>29</v>
      </c>
      <c r="O3260" s="42" t="s">
        <v>29</v>
      </c>
      <c r="P3260" s="15">
        <v>218</v>
      </c>
      <c r="Q3260" s="8"/>
      <c r="W3260" s="317">
        <v>4.5999999999999996</v>
      </c>
      <c r="X3260" s="190"/>
      <c r="Y3260" s="8"/>
      <c r="Z3260" s="8"/>
    </row>
    <row r="3261" spans="1:26" ht="12.75" customHeight="1" x14ac:dyDescent="0.2">
      <c r="A3261" s="15">
        <v>126</v>
      </c>
      <c r="B3261" s="15">
        <v>1992</v>
      </c>
      <c r="C3261" s="15">
        <v>5</v>
      </c>
      <c r="D3261" s="15">
        <v>8</v>
      </c>
      <c r="E3261" s="43" t="s">
        <v>17</v>
      </c>
      <c r="F3261" s="23" t="s">
        <v>18</v>
      </c>
      <c r="G3261" s="15">
        <v>134</v>
      </c>
      <c r="H3261" s="15" t="s">
        <v>29</v>
      </c>
      <c r="I3261" s="41">
        <v>12</v>
      </c>
      <c r="J3261" s="11" t="s">
        <v>19</v>
      </c>
      <c r="K3261" s="23" t="s">
        <v>20</v>
      </c>
      <c r="L3261" s="23" t="s">
        <v>30</v>
      </c>
      <c r="M3261" s="11" t="s">
        <v>29</v>
      </c>
      <c r="N3261" s="11" t="s">
        <v>29</v>
      </c>
      <c r="O3261" s="42" t="s">
        <v>29</v>
      </c>
      <c r="P3261" s="15">
        <v>218</v>
      </c>
      <c r="Q3261" s="8"/>
      <c r="R3261">
        <v>12.5</v>
      </c>
      <c r="S3261">
        <v>1954.16</v>
      </c>
      <c r="T3261">
        <v>6.14</v>
      </c>
      <c r="U3261">
        <v>8.98</v>
      </c>
      <c r="V3261">
        <v>125</v>
      </c>
      <c r="W3261" s="317">
        <v>4.5999999999999996</v>
      </c>
      <c r="X3261" s="190">
        <f t="shared" si="150"/>
        <v>55.199999999999996</v>
      </c>
      <c r="Y3261" s="8"/>
      <c r="Z3261" s="8"/>
    </row>
    <row r="3262" spans="1:26" ht="12.75" customHeight="1" x14ac:dyDescent="0.2">
      <c r="A3262" s="15">
        <v>127</v>
      </c>
      <c r="B3262" s="15">
        <v>1992</v>
      </c>
      <c r="C3262" s="15">
        <v>5</v>
      </c>
      <c r="D3262" s="15">
        <v>8</v>
      </c>
      <c r="E3262" s="43" t="s">
        <v>17</v>
      </c>
      <c r="F3262" s="23" t="s">
        <v>18</v>
      </c>
      <c r="G3262" s="15">
        <v>140</v>
      </c>
      <c r="H3262" s="15" t="s">
        <v>29</v>
      </c>
      <c r="I3262" s="41">
        <v>18</v>
      </c>
      <c r="J3262" s="11" t="s">
        <v>19</v>
      </c>
      <c r="K3262" s="23" t="s">
        <v>20</v>
      </c>
      <c r="L3262" s="23" t="s">
        <v>30</v>
      </c>
      <c r="M3262" s="11" t="s">
        <v>29</v>
      </c>
      <c r="N3262" s="11" t="s">
        <v>29</v>
      </c>
      <c r="O3262" s="42" t="s">
        <v>29</v>
      </c>
      <c r="P3262" s="15">
        <v>218</v>
      </c>
      <c r="Q3262" s="8"/>
      <c r="R3262">
        <v>13.06</v>
      </c>
      <c r="S3262">
        <v>2228.58</v>
      </c>
      <c r="T3262">
        <v>8.08</v>
      </c>
      <c r="U3262">
        <v>9.3800000000000008</v>
      </c>
      <c r="V3262">
        <v>131</v>
      </c>
      <c r="W3262" s="317">
        <v>4.5999999999999996</v>
      </c>
      <c r="X3262" s="190">
        <f t="shared" si="150"/>
        <v>82.8</v>
      </c>
      <c r="Y3262" s="8"/>
      <c r="Z3262" s="8"/>
    </row>
    <row r="3263" spans="1:26" ht="12.75" customHeight="1" x14ac:dyDescent="0.2">
      <c r="A3263" s="15">
        <v>128</v>
      </c>
      <c r="B3263" s="15">
        <v>1992</v>
      </c>
      <c r="C3263" s="15">
        <v>5</v>
      </c>
      <c r="D3263" s="15">
        <v>8</v>
      </c>
      <c r="E3263" s="43" t="s">
        <v>17</v>
      </c>
      <c r="F3263" s="23" t="s">
        <v>18</v>
      </c>
      <c r="G3263" s="15">
        <v>148</v>
      </c>
      <c r="H3263" s="15" t="s">
        <v>29</v>
      </c>
      <c r="I3263" s="41">
        <v>24.5</v>
      </c>
      <c r="J3263" s="11" t="s">
        <v>19</v>
      </c>
      <c r="K3263" s="23" t="s">
        <v>34</v>
      </c>
      <c r="L3263" s="11" t="s">
        <v>41</v>
      </c>
      <c r="M3263" s="11" t="s">
        <v>29</v>
      </c>
      <c r="N3263" s="11" t="s">
        <v>29</v>
      </c>
      <c r="O3263" s="42" t="s">
        <v>29</v>
      </c>
      <c r="P3263" s="15">
        <v>218</v>
      </c>
      <c r="Q3263" s="8"/>
      <c r="R3263">
        <v>13.81</v>
      </c>
      <c r="S3263">
        <v>2632.87</v>
      </c>
      <c r="T3263">
        <v>9.31</v>
      </c>
      <c r="U3263">
        <v>9.92</v>
      </c>
      <c r="V3263">
        <v>138</v>
      </c>
      <c r="W3263" s="317">
        <v>3.8</v>
      </c>
      <c r="X3263" s="190">
        <f t="shared" si="150"/>
        <v>93.1</v>
      </c>
      <c r="Y3263" s="8"/>
      <c r="Z3263" s="8"/>
    </row>
    <row r="3264" spans="1:26" ht="12.75" customHeight="1" x14ac:dyDescent="0.2">
      <c r="A3264" s="15">
        <v>129</v>
      </c>
      <c r="B3264" s="15">
        <v>1992</v>
      </c>
      <c r="C3264" s="15">
        <v>5</v>
      </c>
      <c r="D3264" s="15">
        <v>8</v>
      </c>
      <c r="E3264" s="43" t="s">
        <v>17</v>
      </c>
      <c r="F3264" s="23" t="s">
        <v>18</v>
      </c>
      <c r="G3264" s="15">
        <v>122</v>
      </c>
      <c r="H3264" s="15" t="s">
        <v>29</v>
      </c>
      <c r="I3264" s="41">
        <v>10.3</v>
      </c>
      <c r="J3264" s="11" t="s">
        <v>19</v>
      </c>
      <c r="K3264" s="23" t="s">
        <v>20</v>
      </c>
      <c r="L3264" s="23" t="s">
        <v>30</v>
      </c>
      <c r="M3264" s="11" t="s">
        <v>29</v>
      </c>
      <c r="N3264" s="11" t="s">
        <v>29</v>
      </c>
      <c r="O3264" s="42" t="s">
        <v>29</v>
      </c>
      <c r="P3264" s="15">
        <v>218</v>
      </c>
      <c r="Q3264" s="8"/>
      <c r="R3264">
        <v>11.38</v>
      </c>
      <c r="S3264">
        <v>1474.77</v>
      </c>
      <c r="T3264">
        <v>6.98</v>
      </c>
      <c r="U3264">
        <v>8.17</v>
      </c>
      <c r="V3264">
        <v>114</v>
      </c>
      <c r="W3264" s="317">
        <v>4.5999999999999996</v>
      </c>
      <c r="X3264" s="190">
        <f t="shared" ref="X3264:X3271" si="151">I3264*W3264</f>
        <v>47.38</v>
      </c>
      <c r="Y3264" s="8"/>
      <c r="Z3264" s="8"/>
    </row>
    <row r="3265" spans="1:26" ht="12.75" customHeight="1" x14ac:dyDescent="0.2">
      <c r="A3265" s="15">
        <v>130</v>
      </c>
      <c r="B3265" s="15">
        <v>1992</v>
      </c>
      <c r="C3265" s="15">
        <v>5</v>
      </c>
      <c r="D3265" s="15">
        <v>8</v>
      </c>
      <c r="E3265" s="43" t="s">
        <v>17</v>
      </c>
      <c r="F3265" s="23" t="s">
        <v>18</v>
      </c>
      <c r="G3265" s="15">
        <v>147</v>
      </c>
      <c r="H3265" s="15" t="s">
        <v>29</v>
      </c>
      <c r="I3265" s="41">
        <v>20.8</v>
      </c>
      <c r="J3265" s="11" t="s">
        <v>19</v>
      </c>
      <c r="K3265" s="23" t="s">
        <v>20</v>
      </c>
      <c r="L3265" s="23" t="s">
        <v>30</v>
      </c>
      <c r="M3265" s="11" t="s">
        <v>29</v>
      </c>
      <c r="N3265" s="11" t="s">
        <v>29</v>
      </c>
      <c r="O3265" s="42" t="s">
        <v>29</v>
      </c>
      <c r="P3265" s="15">
        <v>218</v>
      </c>
      <c r="Q3265" s="8"/>
      <c r="R3265">
        <v>13.72</v>
      </c>
      <c r="S3265">
        <v>2579.86</v>
      </c>
      <c r="T3265">
        <v>8.06</v>
      </c>
      <c r="U3265">
        <v>9.85</v>
      </c>
      <c r="V3265">
        <v>137</v>
      </c>
      <c r="W3265" s="317">
        <v>4.5999999999999996</v>
      </c>
      <c r="X3265" s="190">
        <f t="shared" si="151"/>
        <v>95.679999999999993</v>
      </c>
      <c r="Y3265" s="8"/>
      <c r="Z3265" s="8"/>
    </row>
    <row r="3266" spans="1:26" ht="12.75" customHeight="1" x14ac:dyDescent="0.2">
      <c r="A3266" s="15">
        <v>131</v>
      </c>
      <c r="B3266" s="15">
        <v>1992</v>
      </c>
      <c r="C3266" s="15">
        <v>5</v>
      </c>
      <c r="D3266" s="15">
        <v>8</v>
      </c>
      <c r="E3266" s="43" t="s">
        <v>17</v>
      </c>
      <c r="F3266" s="23" t="s">
        <v>18</v>
      </c>
      <c r="G3266" s="15">
        <v>128</v>
      </c>
      <c r="H3266" s="15" t="s">
        <v>29</v>
      </c>
      <c r="I3266" s="25" t="s">
        <v>29</v>
      </c>
      <c r="J3266" s="11" t="s">
        <v>19</v>
      </c>
      <c r="K3266" s="23" t="s">
        <v>20</v>
      </c>
      <c r="L3266" s="23" t="s">
        <v>30</v>
      </c>
      <c r="M3266" s="11" t="s">
        <v>29</v>
      </c>
      <c r="N3266" s="11" t="s">
        <v>29</v>
      </c>
      <c r="O3266" s="42" t="s">
        <v>29</v>
      </c>
      <c r="P3266" s="15">
        <v>218</v>
      </c>
      <c r="Q3266" s="8"/>
      <c r="U3266">
        <v>8.58</v>
      </c>
      <c r="V3266">
        <v>119</v>
      </c>
      <c r="W3266" s="317">
        <v>4.5999999999999996</v>
      </c>
      <c r="X3266" s="190"/>
      <c r="Y3266" s="8"/>
      <c r="Z3266" s="8"/>
    </row>
    <row r="3267" spans="1:26" ht="12.75" customHeight="1" x14ac:dyDescent="0.2">
      <c r="A3267" s="15">
        <v>132</v>
      </c>
      <c r="B3267" s="15">
        <v>1992</v>
      </c>
      <c r="C3267" s="15">
        <v>5</v>
      </c>
      <c r="D3267" s="15">
        <v>8</v>
      </c>
      <c r="E3267" s="43" t="s">
        <v>17</v>
      </c>
      <c r="F3267" s="23" t="s">
        <v>18</v>
      </c>
      <c r="G3267" s="15">
        <v>143</v>
      </c>
      <c r="H3267" s="15" t="s">
        <v>29</v>
      </c>
      <c r="I3267" s="41">
        <v>15</v>
      </c>
      <c r="J3267" s="11" t="s">
        <v>19</v>
      </c>
      <c r="K3267" s="23" t="s">
        <v>20</v>
      </c>
      <c r="L3267" s="23" t="s">
        <v>30</v>
      </c>
      <c r="M3267" s="11" t="s">
        <v>29</v>
      </c>
      <c r="N3267" s="11" t="s">
        <v>29</v>
      </c>
      <c r="O3267" s="42" t="s">
        <v>29</v>
      </c>
      <c r="P3267" s="15">
        <v>218</v>
      </c>
      <c r="Q3267" s="8"/>
      <c r="R3267">
        <v>13.34</v>
      </c>
      <c r="S3267">
        <v>2374.94</v>
      </c>
      <c r="T3267">
        <v>6.32</v>
      </c>
      <c r="U3267">
        <v>9.58</v>
      </c>
      <c r="V3267">
        <v>133</v>
      </c>
      <c r="W3267" s="317">
        <v>4.5999999999999996</v>
      </c>
      <c r="X3267" s="190">
        <f t="shared" si="151"/>
        <v>69</v>
      </c>
      <c r="Y3267" s="8"/>
      <c r="Z3267" s="8"/>
    </row>
    <row r="3268" spans="1:26" ht="12.75" customHeight="1" x14ac:dyDescent="0.2">
      <c r="A3268" s="15">
        <v>133</v>
      </c>
      <c r="B3268" s="15">
        <v>1992</v>
      </c>
      <c r="C3268" s="15">
        <v>5</v>
      </c>
      <c r="D3268" s="15">
        <v>8</v>
      </c>
      <c r="E3268" s="43" t="s">
        <v>17</v>
      </c>
      <c r="F3268" s="23" t="s">
        <v>18</v>
      </c>
      <c r="G3268" s="15">
        <v>139</v>
      </c>
      <c r="H3268" s="15" t="s">
        <v>29</v>
      </c>
      <c r="I3268" s="41">
        <v>15.3</v>
      </c>
      <c r="J3268" s="11" t="s">
        <v>19</v>
      </c>
      <c r="K3268" s="23" t="s">
        <v>20</v>
      </c>
      <c r="L3268" s="23" t="s">
        <v>30</v>
      </c>
      <c r="M3268" s="11" t="s">
        <v>29</v>
      </c>
      <c r="N3268" s="11" t="s">
        <v>29</v>
      </c>
      <c r="O3268" s="42" t="s">
        <v>29</v>
      </c>
      <c r="P3268" s="15">
        <v>218</v>
      </c>
      <c r="Q3268" s="8"/>
      <c r="R3268">
        <v>12.97</v>
      </c>
      <c r="S3268">
        <v>2181.17</v>
      </c>
      <c r="T3268">
        <v>7.01</v>
      </c>
      <c r="U3268">
        <v>9.31</v>
      </c>
      <c r="V3268">
        <v>130</v>
      </c>
      <c r="W3268" s="317">
        <v>4.5999999999999996</v>
      </c>
      <c r="X3268" s="190">
        <f t="shared" si="151"/>
        <v>70.38</v>
      </c>
      <c r="Y3268" s="8"/>
      <c r="Z3268" s="8"/>
    </row>
    <row r="3269" spans="1:26" ht="12.75" customHeight="1" x14ac:dyDescent="0.2">
      <c r="A3269" s="15">
        <v>134</v>
      </c>
      <c r="B3269" s="15">
        <v>1992</v>
      </c>
      <c r="C3269" s="15">
        <v>5</v>
      </c>
      <c r="D3269" s="15">
        <v>8</v>
      </c>
      <c r="E3269" s="43" t="s">
        <v>17</v>
      </c>
      <c r="F3269" s="23" t="s">
        <v>18</v>
      </c>
      <c r="G3269" s="15">
        <v>140</v>
      </c>
      <c r="H3269" s="15" t="s">
        <v>29</v>
      </c>
      <c r="I3269" s="41">
        <v>13.5</v>
      </c>
      <c r="J3269" s="11" t="s">
        <v>19</v>
      </c>
      <c r="K3269" s="23" t="s">
        <v>20</v>
      </c>
      <c r="L3269" s="23" t="s">
        <v>30</v>
      </c>
      <c r="M3269" s="11" t="s">
        <v>29</v>
      </c>
      <c r="N3269" s="11" t="s">
        <v>29</v>
      </c>
      <c r="O3269" s="42" t="s">
        <v>29</v>
      </c>
      <c r="P3269" s="15">
        <v>218</v>
      </c>
      <c r="Q3269" s="8"/>
      <c r="R3269">
        <v>13.06</v>
      </c>
      <c r="S3269">
        <v>2228.58</v>
      </c>
      <c r="T3269">
        <v>6.06</v>
      </c>
      <c r="U3269">
        <v>9.3800000000000008</v>
      </c>
      <c r="V3269">
        <v>131</v>
      </c>
      <c r="W3269" s="317">
        <v>4.5999999999999996</v>
      </c>
      <c r="X3269" s="190">
        <f t="shared" si="151"/>
        <v>62.099999999999994</v>
      </c>
      <c r="Y3269" s="8"/>
      <c r="Z3269" s="8"/>
    </row>
    <row r="3270" spans="1:26" ht="12.75" customHeight="1" x14ac:dyDescent="0.2">
      <c r="A3270" s="15">
        <v>135</v>
      </c>
      <c r="B3270" s="15">
        <v>1992</v>
      </c>
      <c r="C3270" s="15">
        <v>5</v>
      </c>
      <c r="D3270" s="15">
        <v>8</v>
      </c>
      <c r="E3270" s="43" t="s">
        <v>17</v>
      </c>
      <c r="F3270" s="11" t="s">
        <v>28</v>
      </c>
      <c r="G3270" s="11" t="s">
        <v>29</v>
      </c>
      <c r="H3270" s="15" t="s">
        <v>29</v>
      </c>
      <c r="I3270" s="25" t="s">
        <v>29</v>
      </c>
      <c r="J3270" s="11" t="s">
        <v>19</v>
      </c>
      <c r="K3270" s="23" t="s">
        <v>20</v>
      </c>
      <c r="L3270" s="23" t="s">
        <v>30</v>
      </c>
      <c r="M3270" s="11" t="s">
        <v>29</v>
      </c>
      <c r="N3270" s="11" t="s">
        <v>29</v>
      </c>
      <c r="O3270" s="42" t="s">
        <v>29</v>
      </c>
      <c r="P3270" s="15">
        <v>218</v>
      </c>
      <c r="Q3270" s="8"/>
      <c r="W3270" s="317">
        <v>4.5999999999999996</v>
      </c>
      <c r="X3270" s="190"/>
      <c r="Y3270" s="8"/>
      <c r="Z3270" s="8"/>
    </row>
    <row r="3271" spans="1:26" ht="12.75" customHeight="1" x14ac:dyDescent="0.2">
      <c r="A3271" s="15">
        <v>136</v>
      </c>
      <c r="B3271" s="15">
        <v>1992</v>
      </c>
      <c r="C3271" s="15">
        <v>5</v>
      </c>
      <c r="D3271" s="15">
        <v>8</v>
      </c>
      <c r="E3271" s="43" t="s">
        <v>17</v>
      </c>
      <c r="F3271" s="23" t="s">
        <v>18</v>
      </c>
      <c r="G3271" s="15">
        <v>143</v>
      </c>
      <c r="H3271" s="15" t="s">
        <v>29</v>
      </c>
      <c r="I3271" s="41">
        <v>16.399999999999999</v>
      </c>
      <c r="J3271" s="11" t="s">
        <v>19</v>
      </c>
      <c r="K3271" s="23" t="s">
        <v>20</v>
      </c>
      <c r="L3271" s="23" t="s">
        <v>30</v>
      </c>
      <c r="M3271" s="11" t="s">
        <v>29</v>
      </c>
      <c r="N3271" s="11" t="s">
        <v>29</v>
      </c>
      <c r="O3271" s="42" t="s">
        <v>29</v>
      </c>
      <c r="P3271" s="15">
        <v>218</v>
      </c>
      <c r="Q3271" s="8"/>
      <c r="R3271">
        <v>13.34</v>
      </c>
      <c r="S3271">
        <v>2374.94</v>
      </c>
      <c r="T3271">
        <v>6.91</v>
      </c>
      <c r="U3271">
        <v>9.58</v>
      </c>
      <c r="V3271">
        <v>133</v>
      </c>
      <c r="W3271" s="317">
        <v>4.5999999999999996</v>
      </c>
      <c r="X3271" s="190">
        <f t="shared" si="151"/>
        <v>75.439999999999984</v>
      </c>
      <c r="Y3271" s="8"/>
      <c r="Z3271" s="8"/>
    </row>
    <row r="3272" spans="1:26" ht="12.75" customHeight="1" x14ac:dyDescent="0.2">
      <c r="A3272" s="15">
        <v>137</v>
      </c>
      <c r="B3272" s="15">
        <v>1992</v>
      </c>
      <c r="C3272" s="15">
        <v>5</v>
      </c>
      <c r="D3272" s="15">
        <v>8</v>
      </c>
      <c r="E3272" s="43" t="s">
        <v>17</v>
      </c>
      <c r="F3272" s="23" t="s">
        <v>18</v>
      </c>
      <c r="G3272" s="15">
        <v>138</v>
      </c>
      <c r="H3272" s="15" t="s">
        <v>29</v>
      </c>
      <c r="I3272" s="41">
        <v>20</v>
      </c>
      <c r="J3272" s="11" t="s">
        <v>237</v>
      </c>
      <c r="K3272" s="11" t="s">
        <v>29</v>
      </c>
      <c r="L3272" s="11" t="s">
        <v>29</v>
      </c>
      <c r="M3272" s="11" t="s">
        <v>29</v>
      </c>
      <c r="N3272" s="11" t="s">
        <v>29</v>
      </c>
      <c r="O3272" s="42" t="s">
        <v>29</v>
      </c>
      <c r="P3272" s="15">
        <v>218</v>
      </c>
      <c r="Q3272" s="8"/>
      <c r="R3272">
        <v>12.88</v>
      </c>
      <c r="S3272">
        <v>2134.4299999999998</v>
      </c>
      <c r="T3272">
        <v>9.3699999999999992</v>
      </c>
      <c r="U3272">
        <v>9.25</v>
      </c>
      <c r="V3272">
        <v>129</v>
      </c>
      <c r="W3272" s="8"/>
      <c r="X3272" s="8"/>
      <c r="Y3272" s="8"/>
      <c r="Z3272" s="8"/>
    </row>
    <row r="3273" spans="1:26" ht="12.75" customHeight="1" x14ac:dyDescent="0.2">
      <c r="A3273" s="15">
        <v>138</v>
      </c>
      <c r="B3273" s="15">
        <v>1992</v>
      </c>
      <c r="C3273" s="15">
        <v>5</v>
      </c>
      <c r="D3273" s="15">
        <v>8</v>
      </c>
      <c r="E3273" s="43" t="s">
        <v>17</v>
      </c>
      <c r="F3273" s="23" t="s">
        <v>18</v>
      </c>
      <c r="G3273" s="15">
        <v>146</v>
      </c>
      <c r="H3273" s="15" t="s">
        <v>29</v>
      </c>
      <c r="I3273" s="41">
        <v>16.5</v>
      </c>
      <c r="J3273" s="11" t="s">
        <v>19</v>
      </c>
      <c r="K3273" s="23" t="s">
        <v>20</v>
      </c>
      <c r="L3273" s="23" t="s">
        <v>30</v>
      </c>
      <c r="M3273" s="11" t="s">
        <v>29</v>
      </c>
      <c r="N3273" s="11" t="s">
        <v>29</v>
      </c>
      <c r="O3273" s="42" t="s">
        <v>29</v>
      </c>
      <c r="P3273" s="15">
        <v>218</v>
      </c>
      <c r="Q3273" s="8"/>
      <c r="R3273">
        <v>13.62</v>
      </c>
      <c r="S3273">
        <v>2527.5700000000002</v>
      </c>
      <c r="T3273">
        <v>6.53</v>
      </c>
      <c r="U3273">
        <v>9.7799999999999994</v>
      </c>
      <c r="V3273">
        <v>136</v>
      </c>
      <c r="W3273" s="317">
        <v>4.5999999999999996</v>
      </c>
      <c r="X3273" s="190">
        <f t="shared" ref="X3273:X3285" si="152">I3273*W3273</f>
        <v>75.899999999999991</v>
      </c>
      <c r="Y3273" s="8"/>
      <c r="Z3273" s="8"/>
    </row>
    <row r="3274" spans="1:26" ht="12.75" customHeight="1" x14ac:dyDescent="0.2">
      <c r="A3274" s="15">
        <v>139</v>
      </c>
      <c r="B3274" s="15">
        <v>1992</v>
      </c>
      <c r="C3274" s="15">
        <v>5</v>
      </c>
      <c r="D3274" s="15">
        <v>8</v>
      </c>
      <c r="E3274" s="43" t="s">
        <v>17</v>
      </c>
      <c r="F3274" s="23" t="s">
        <v>18</v>
      </c>
      <c r="G3274" s="15">
        <v>110</v>
      </c>
      <c r="H3274" s="15" t="s">
        <v>29</v>
      </c>
      <c r="I3274" s="41">
        <v>6.1</v>
      </c>
      <c r="J3274" s="11" t="s">
        <v>19</v>
      </c>
      <c r="K3274" s="23" t="s">
        <v>20</v>
      </c>
      <c r="L3274" s="23" t="s">
        <v>30</v>
      </c>
      <c r="M3274" s="11" t="s">
        <v>29</v>
      </c>
      <c r="N3274" s="11" t="s">
        <v>29</v>
      </c>
      <c r="O3274" s="42" t="s">
        <v>29</v>
      </c>
      <c r="P3274" s="15">
        <v>218</v>
      </c>
      <c r="Q3274" s="8"/>
      <c r="R3274">
        <v>10.26</v>
      </c>
      <c r="S3274">
        <v>1080.99</v>
      </c>
      <c r="T3274">
        <v>5.64</v>
      </c>
      <c r="U3274">
        <v>7.37</v>
      </c>
      <c r="V3274">
        <v>103</v>
      </c>
      <c r="W3274" s="317">
        <v>4.5999999999999996</v>
      </c>
      <c r="X3274" s="190">
        <f t="shared" si="152"/>
        <v>28.059999999999995</v>
      </c>
      <c r="Y3274" s="8"/>
      <c r="Z3274" s="8"/>
    </row>
    <row r="3275" spans="1:26" ht="12.75" customHeight="1" x14ac:dyDescent="0.2">
      <c r="A3275" s="15">
        <v>140</v>
      </c>
      <c r="B3275" s="15">
        <v>1992</v>
      </c>
      <c r="C3275" s="15">
        <v>5</v>
      </c>
      <c r="D3275" s="15">
        <v>8</v>
      </c>
      <c r="E3275" s="43" t="s">
        <v>17</v>
      </c>
      <c r="F3275" s="23" t="s">
        <v>18</v>
      </c>
      <c r="G3275" s="15">
        <v>139</v>
      </c>
      <c r="H3275" s="15" t="s">
        <v>29</v>
      </c>
      <c r="I3275" s="41">
        <v>14.9</v>
      </c>
      <c r="J3275" s="11" t="s">
        <v>19</v>
      </c>
      <c r="K3275" s="23" t="s">
        <v>20</v>
      </c>
      <c r="L3275" s="23" t="s">
        <v>30</v>
      </c>
      <c r="M3275" s="11" t="s">
        <v>29</v>
      </c>
      <c r="N3275" s="11" t="s">
        <v>29</v>
      </c>
      <c r="O3275" s="42" t="s">
        <v>29</v>
      </c>
      <c r="P3275" s="15">
        <v>218</v>
      </c>
      <c r="Q3275" s="8"/>
      <c r="R3275">
        <v>12.97</v>
      </c>
      <c r="S3275">
        <v>2181.17</v>
      </c>
      <c r="T3275">
        <v>6.83</v>
      </c>
      <c r="U3275">
        <v>9.31</v>
      </c>
      <c r="V3275">
        <v>130</v>
      </c>
      <c r="W3275" s="317">
        <v>4.5999999999999996</v>
      </c>
      <c r="X3275" s="190">
        <f t="shared" si="152"/>
        <v>68.539999999999992</v>
      </c>
      <c r="Y3275" s="8"/>
      <c r="Z3275" s="8"/>
    </row>
    <row r="3276" spans="1:26" ht="12.75" customHeight="1" x14ac:dyDescent="0.2">
      <c r="A3276" s="15">
        <v>141</v>
      </c>
      <c r="B3276" s="15">
        <v>1992</v>
      </c>
      <c r="C3276" s="15">
        <v>5</v>
      </c>
      <c r="D3276" s="15">
        <v>8</v>
      </c>
      <c r="E3276" s="43" t="s">
        <v>17</v>
      </c>
      <c r="F3276" s="23" t="s">
        <v>18</v>
      </c>
      <c r="G3276" s="15">
        <v>136</v>
      </c>
      <c r="H3276" s="15" t="s">
        <v>29</v>
      </c>
      <c r="I3276" s="41">
        <v>14.7</v>
      </c>
      <c r="J3276" s="11" t="s">
        <v>19</v>
      </c>
      <c r="K3276" s="23" t="s">
        <v>20</v>
      </c>
      <c r="L3276" s="23" t="s">
        <v>30</v>
      </c>
      <c r="M3276" s="11" t="s">
        <v>29</v>
      </c>
      <c r="N3276" s="11" t="s">
        <v>29</v>
      </c>
      <c r="O3276" s="42" t="s">
        <v>29</v>
      </c>
      <c r="P3276" s="15">
        <v>218</v>
      </c>
      <c r="Q3276" s="8"/>
      <c r="R3276">
        <v>12.69</v>
      </c>
      <c r="S3276">
        <v>2042.97</v>
      </c>
      <c r="T3276">
        <v>7.2</v>
      </c>
      <c r="U3276">
        <v>9.11</v>
      </c>
      <c r="V3276">
        <v>127</v>
      </c>
      <c r="W3276" s="317">
        <v>4.5999999999999996</v>
      </c>
      <c r="X3276" s="190">
        <f t="shared" si="152"/>
        <v>67.61999999999999</v>
      </c>
      <c r="Y3276" s="8"/>
      <c r="Z3276" s="8"/>
    </row>
    <row r="3277" spans="1:26" ht="12.75" customHeight="1" x14ac:dyDescent="0.2">
      <c r="A3277" s="15">
        <v>142</v>
      </c>
      <c r="B3277" s="15">
        <v>1992</v>
      </c>
      <c r="C3277" s="15">
        <v>5</v>
      </c>
      <c r="D3277" s="15">
        <v>8</v>
      </c>
      <c r="E3277" s="43" t="s">
        <v>17</v>
      </c>
      <c r="F3277" s="23" t="s">
        <v>18</v>
      </c>
      <c r="G3277" s="15">
        <v>123</v>
      </c>
      <c r="H3277" s="15" t="s">
        <v>29</v>
      </c>
      <c r="I3277" s="41">
        <v>10.8</v>
      </c>
      <c r="J3277" s="11" t="s">
        <v>19</v>
      </c>
      <c r="K3277" s="23" t="s">
        <v>20</v>
      </c>
      <c r="L3277" s="23" t="s">
        <v>30</v>
      </c>
      <c r="M3277" s="11" t="s">
        <v>29</v>
      </c>
      <c r="N3277" s="11" t="s">
        <v>29</v>
      </c>
      <c r="O3277" s="42" t="s">
        <v>29</v>
      </c>
      <c r="P3277" s="15">
        <v>218</v>
      </c>
      <c r="Q3277" s="8"/>
      <c r="R3277">
        <v>11.48</v>
      </c>
      <c r="S3277">
        <v>1511.33</v>
      </c>
      <c r="T3277">
        <v>7.15</v>
      </c>
      <c r="U3277">
        <v>8.24</v>
      </c>
      <c r="V3277">
        <v>115</v>
      </c>
      <c r="W3277" s="317">
        <v>4.5999999999999996</v>
      </c>
      <c r="X3277" s="190">
        <f t="shared" si="152"/>
        <v>49.68</v>
      </c>
      <c r="Y3277" s="8"/>
      <c r="Z3277" s="8"/>
    </row>
    <row r="3278" spans="1:26" ht="12.75" customHeight="1" x14ac:dyDescent="0.2">
      <c r="A3278" s="15">
        <v>143</v>
      </c>
      <c r="B3278" s="15">
        <v>1992</v>
      </c>
      <c r="C3278" s="15">
        <v>5</v>
      </c>
      <c r="D3278" s="15">
        <v>8</v>
      </c>
      <c r="E3278" s="43" t="s">
        <v>17</v>
      </c>
      <c r="F3278" s="23" t="s">
        <v>18</v>
      </c>
      <c r="G3278" s="15">
        <v>161</v>
      </c>
      <c r="H3278" s="15" t="s">
        <v>29</v>
      </c>
      <c r="I3278" s="41">
        <v>20.7</v>
      </c>
      <c r="J3278" s="11" t="s">
        <v>19</v>
      </c>
      <c r="K3278" s="23" t="s">
        <v>20</v>
      </c>
      <c r="L3278" s="23" t="s">
        <v>30</v>
      </c>
      <c r="M3278" s="11" t="s">
        <v>29</v>
      </c>
      <c r="N3278" s="11" t="s">
        <v>29</v>
      </c>
      <c r="O3278" s="42" t="s">
        <v>29</v>
      </c>
      <c r="P3278" s="15">
        <v>218</v>
      </c>
      <c r="Q3278" s="8"/>
      <c r="R3278">
        <v>15.02</v>
      </c>
      <c r="S3278">
        <v>3389.4</v>
      </c>
      <c r="T3278">
        <v>6.11</v>
      </c>
      <c r="U3278">
        <v>10.79</v>
      </c>
      <c r="V3278">
        <v>150</v>
      </c>
      <c r="W3278" s="317">
        <v>4.5999999999999996</v>
      </c>
      <c r="X3278" s="190">
        <f t="shared" si="152"/>
        <v>95.219999999999985</v>
      </c>
      <c r="Y3278" s="8"/>
      <c r="Z3278" s="8"/>
    </row>
    <row r="3279" spans="1:26" ht="12.75" customHeight="1" x14ac:dyDescent="0.2">
      <c r="A3279" s="15">
        <v>144</v>
      </c>
      <c r="B3279" s="15">
        <v>1992</v>
      </c>
      <c r="C3279" s="15">
        <v>5</v>
      </c>
      <c r="D3279" s="15">
        <v>8</v>
      </c>
      <c r="E3279" s="43" t="s">
        <v>17</v>
      </c>
      <c r="F3279" s="23" t="s">
        <v>18</v>
      </c>
      <c r="G3279" s="15">
        <v>130</v>
      </c>
      <c r="H3279" s="15" t="s">
        <v>29</v>
      </c>
      <c r="I3279" s="41">
        <v>10.5</v>
      </c>
      <c r="J3279" s="11" t="s">
        <v>19</v>
      </c>
      <c r="K3279" s="23" t="s">
        <v>20</v>
      </c>
      <c r="L3279" s="23" t="s">
        <v>30</v>
      </c>
      <c r="M3279" s="11" t="s">
        <v>29</v>
      </c>
      <c r="N3279" s="11" t="s">
        <v>29</v>
      </c>
      <c r="O3279" s="42" t="s">
        <v>29</v>
      </c>
      <c r="P3279" s="15">
        <v>218</v>
      </c>
      <c r="Q3279" s="8"/>
      <c r="R3279">
        <v>12.13</v>
      </c>
      <c r="S3279">
        <v>1784.33</v>
      </c>
      <c r="T3279">
        <v>5.88</v>
      </c>
      <c r="U3279">
        <v>8.7100000000000009</v>
      </c>
      <c r="V3279">
        <v>121</v>
      </c>
      <c r="W3279" s="317">
        <v>4.5999999999999996</v>
      </c>
      <c r="X3279" s="190">
        <f t="shared" si="152"/>
        <v>48.3</v>
      </c>
      <c r="Y3279" s="8"/>
      <c r="Z3279" s="8"/>
    </row>
    <row r="3280" spans="1:26" ht="12.75" customHeight="1" x14ac:dyDescent="0.2">
      <c r="A3280" s="15">
        <v>145</v>
      </c>
      <c r="B3280" s="15">
        <v>1992</v>
      </c>
      <c r="C3280" s="15">
        <v>5</v>
      </c>
      <c r="D3280" s="15">
        <v>8</v>
      </c>
      <c r="E3280" s="43" t="s">
        <v>17</v>
      </c>
      <c r="F3280" s="23" t="s">
        <v>18</v>
      </c>
      <c r="G3280" s="15">
        <v>127</v>
      </c>
      <c r="H3280" s="15" t="s">
        <v>29</v>
      </c>
      <c r="I3280" s="41">
        <v>12.5</v>
      </c>
      <c r="J3280" s="11" t="s">
        <v>19</v>
      </c>
      <c r="K3280" s="23" t="s">
        <v>20</v>
      </c>
      <c r="L3280" s="23" t="s">
        <v>30</v>
      </c>
      <c r="M3280" s="11" t="s">
        <v>29</v>
      </c>
      <c r="N3280" s="11" t="s">
        <v>29</v>
      </c>
      <c r="O3280" s="42" t="s">
        <v>29</v>
      </c>
      <c r="P3280" s="15">
        <v>218</v>
      </c>
      <c r="Q3280" s="8"/>
      <c r="R3280">
        <v>11.85</v>
      </c>
      <c r="S3280">
        <v>1663.63</v>
      </c>
      <c r="T3280">
        <v>7.51</v>
      </c>
      <c r="U3280">
        <v>8.51</v>
      </c>
      <c r="V3280">
        <v>118</v>
      </c>
      <c r="W3280" s="317">
        <v>4.5999999999999996</v>
      </c>
      <c r="X3280" s="190">
        <f t="shared" si="152"/>
        <v>57.499999999999993</v>
      </c>
      <c r="Y3280" s="8"/>
      <c r="Z3280" s="8"/>
    </row>
    <row r="3281" spans="1:26" ht="12.75" customHeight="1" x14ac:dyDescent="0.2">
      <c r="A3281" s="15">
        <v>146</v>
      </c>
      <c r="B3281" s="15">
        <v>1992</v>
      </c>
      <c r="C3281" s="15">
        <v>5</v>
      </c>
      <c r="D3281" s="15">
        <v>8</v>
      </c>
      <c r="E3281" s="43" t="s">
        <v>17</v>
      </c>
      <c r="F3281" s="23" t="s">
        <v>18</v>
      </c>
      <c r="G3281" s="15">
        <v>144</v>
      </c>
      <c r="H3281" s="15" t="s">
        <v>29</v>
      </c>
      <c r="I3281" s="41">
        <v>14</v>
      </c>
      <c r="J3281" s="11" t="s">
        <v>19</v>
      </c>
      <c r="K3281" s="23" t="s">
        <v>20</v>
      </c>
      <c r="L3281" s="23" t="s">
        <v>30</v>
      </c>
      <c r="M3281" s="11" t="s">
        <v>29</v>
      </c>
      <c r="N3281" s="11" t="s">
        <v>29</v>
      </c>
      <c r="O3281" s="42" t="s">
        <v>29</v>
      </c>
      <c r="P3281" s="15">
        <v>218</v>
      </c>
      <c r="Q3281" s="8"/>
      <c r="R3281">
        <v>13.44</v>
      </c>
      <c r="S3281">
        <v>2425.12</v>
      </c>
      <c r="T3281">
        <v>5.77</v>
      </c>
      <c r="U3281">
        <v>9.65</v>
      </c>
      <c r="V3281">
        <v>134</v>
      </c>
      <c r="W3281" s="317">
        <v>4.5999999999999996</v>
      </c>
      <c r="X3281" s="190">
        <f t="shared" si="152"/>
        <v>64.399999999999991</v>
      </c>
      <c r="Y3281" s="8"/>
      <c r="Z3281" s="8"/>
    </row>
    <row r="3282" spans="1:26" ht="12.75" customHeight="1" x14ac:dyDescent="0.2">
      <c r="A3282" s="15">
        <v>147</v>
      </c>
      <c r="B3282" s="15">
        <v>1992</v>
      </c>
      <c r="C3282" s="15">
        <v>5</v>
      </c>
      <c r="D3282" s="15">
        <v>8</v>
      </c>
      <c r="E3282" s="43" t="s">
        <v>17</v>
      </c>
      <c r="F3282" s="23" t="s">
        <v>18</v>
      </c>
      <c r="G3282" s="15">
        <v>128</v>
      </c>
      <c r="H3282" s="15" t="s">
        <v>29</v>
      </c>
      <c r="I3282" s="41">
        <v>12</v>
      </c>
      <c r="J3282" s="11" t="s">
        <v>19</v>
      </c>
      <c r="K3282" s="23" t="s">
        <v>20</v>
      </c>
      <c r="L3282" s="23" t="s">
        <v>30</v>
      </c>
      <c r="M3282" s="11" t="s">
        <v>29</v>
      </c>
      <c r="N3282" s="11" t="s">
        <v>29</v>
      </c>
      <c r="O3282" s="42" t="s">
        <v>29</v>
      </c>
      <c r="P3282" s="15">
        <v>218</v>
      </c>
      <c r="Q3282" s="8"/>
      <c r="R3282">
        <v>11.94</v>
      </c>
      <c r="S3282">
        <v>1703.24</v>
      </c>
      <c r="T3282">
        <v>7.05</v>
      </c>
      <c r="U3282">
        <v>8.58</v>
      </c>
      <c r="V3282">
        <v>119</v>
      </c>
      <c r="W3282" s="317">
        <v>4.5999999999999996</v>
      </c>
      <c r="X3282" s="190">
        <f t="shared" si="152"/>
        <v>55.199999999999996</v>
      </c>
      <c r="Y3282" s="8"/>
      <c r="Z3282" s="8"/>
    </row>
    <row r="3283" spans="1:26" ht="12.75" customHeight="1" x14ac:dyDescent="0.2">
      <c r="A3283" s="15">
        <v>148</v>
      </c>
      <c r="B3283" s="15">
        <v>1992</v>
      </c>
      <c r="C3283" s="15">
        <v>5</v>
      </c>
      <c r="D3283" s="15">
        <v>8</v>
      </c>
      <c r="E3283" s="43" t="s">
        <v>17</v>
      </c>
      <c r="F3283" s="23" t="s">
        <v>18</v>
      </c>
      <c r="G3283" s="15">
        <v>146</v>
      </c>
      <c r="H3283" s="15" t="s">
        <v>29</v>
      </c>
      <c r="I3283" s="41">
        <v>17.5</v>
      </c>
      <c r="J3283" s="11" t="s">
        <v>19</v>
      </c>
      <c r="K3283" s="23" t="s">
        <v>20</v>
      </c>
      <c r="L3283" s="23" t="s">
        <v>30</v>
      </c>
      <c r="M3283" s="11" t="s">
        <v>29</v>
      </c>
      <c r="N3283" s="11" t="s">
        <v>29</v>
      </c>
      <c r="O3283" s="42" t="s">
        <v>29</v>
      </c>
      <c r="P3283" s="15">
        <v>218</v>
      </c>
      <c r="Q3283" s="8"/>
      <c r="R3283">
        <v>13.62</v>
      </c>
      <c r="S3283">
        <v>2527.5700000000002</v>
      </c>
      <c r="T3283">
        <v>6.92</v>
      </c>
      <c r="U3283">
        <v>9.7799999999999994</v>
      </c>
      <c r="V3283">
        <v>136</v>
      </c>
      <c r="W3283" s="317">
        <v>4.5999999999999996</v>
      </c>
      <c r="X3283" s="190">
        <f t="shared" si="152"/>
        <v>80.5</v>
      </c>
      <c r="Y3283" s="8"/>
      <c r="Z3283" s="8"/>
    </row>
    <row r="3284" spans="1:26" ht="12.75" customHeight="1" x14ac:dyDescent="0.2">
      <c r="A3284" s="15">
        <v>149</v>
      </c>
      <c r="B3284" s="15">
        <v>1992</v>
      </c>
      <c r="C3284" s="15">
        <v>5</v>
      </c>
      <c r="D3284" s="15">
        <v>8</v>
      </c>
      <c r="E3284" s="43" t="s">
        <v>17</v>
      </c>
      <c r="F3284" s="23" t="s">
        <v>18</v>
      </c>
      <c r="G3284" s="15">
        <v>142</v>
      </c>
      <c r="H3284" s="15" t="s">
        <v>29</v>
      </c>
      <c r="I3284" s="41">
        <v>16.7</v>
      </c>
      <c r="J3284" s="11" t="s">
        <v>19</v>
      </c>
      <c r="K3284" s="23" t="s">
        <v>20</v>
      </c>
      <c r="L3284" s="23" t="s">
        <v>30</v>
      </c>
      <c r="M3284" s="11" t="s">
        <v>29</v>
      </c>
      <c r="N3284" s="11" t="s">
        <v>29</v>
      </c>
      <c r="O3284" s="42" t="s">
        <v>29</v>
      </c>
      <c r="P3284" s="15">
        <v>218</v>
      </c>
      <c r="Q3284" s="8"/>
      <c r="R3284">
        <v>13.25</v>
      </c>
      <c r="S3284">
        <v>2325.4699999999998</v>
      </c>
      <c r="T3284">
        <v>7.18</v>
      </c>
      <c r="U3284">
        <v>9.51</v>
      </c>
      <c r="V3284">
        <v>132</v>
      </c>
      <c r="W3284" s="317">
        <v>4.5999999999999996</v>
      </c>
      <c r="X3284" s="190">
        <f t="shared" si="152"/>
        <v>76.819999999999993</v>
      </c>
      <c r="Y3284" s="8"/>
      <c r="Z3284" s="8"/>
    </row>
    <row r="3285" spans="1:26" ht="12.75" customHeight="1" x14ac:dyDescent="0.2">
      <c r="A3285" s="15">
        <v>150</v>
      </c>
      <c r="B3285" s="15">
        <v>1992</v>
      </c>
      <c r="C3285" s="15">
        <v>5</v>
      </c>
      <c r="D3285" s="15">
        <v>8</v>
      </c>
      <c r="E3285" s="43" t="s">
        <v>17</v>
      </c>
      <c r="F3285" s="23" t="s">
        <v>18</v>
      </c>
      <c r="G3285" s="15">
        <v>139</v>
      </c>
      <c r="H3285" s="15" t="s">
        <v>29</v>
      </c>
      <c r="I3285" s="41">
        <v>16.3</v>
      </c>
      <c r="J3285" s="11" t="s">
        <v>19</v>
      </c>
      <c r="K3285" s="23" t="s">
        <v>20</v>
      </c>
      <c r="L3285" s="23" t="s">
        <v>30</v>
      </c>
      <c r="M3285" s="11" t="s">
        <v>29</v>
      </c>
      <c r="N3285" s="11" t="s">
        <v>29</v>
      </c>
      <c r="O3285" s="42" t="s">
        <v>29</v>
      </c>
      <c r="P3285" s="15">
        <v>218</v>
      </c>
      <c r="Q3285" s="8"/>
      <c r="R3285">
        <v>12.97</v>
      </c>
      <c r="S3285">
        <v>2181.17</v>
      </c>
      <c r="T3285">
        <v>7.47</v>
      </c>
      <c r="U3285">
        <v>9.31</v>
      </c>
      <c r="V3285">
        <v>130</v>
      </c>
      <c r="W3285" s="317">
        <v>4.5999999999999996</v>
      </c>
      <c r="X3285" s="190">
        <f t="shared" si="152"/>
        <v>74.98</v>
      </c>
      <c r="Y3285" s="8"/>
      <c r="Z3285" s="8"/>
    </row>
    <row r="3286" spans="1:26" ht="12.75" customHeight="1" x14ac:dyDescent="0.2">
      <c r="A3286" s="15">
        <v>151</v>
      </c>
      <c r="B3286" s="15">
        <v>1992</v>
      </c>
      <c r="C3286" s="15">
        <v>5</v>
      </c>
      <c r="D3286" s="15">
        <v>8</v>
      </c>
      <c r="E3286" s="43" t="s">
        <v>17</v>
      </c>
      <c r="F3286" s="11" t="s">
        <v>28</v>
      </c>
      <c r="G3286" s="11" t="s">
        <v>29</v>
      </c>
      <c r="H3286" s="15" t="s">
        <v>29</v>
      </c>
      <c r="I3286" s="25" t="s">
        <v>29</v>
      </c>
      <c r="J3286" s="11" t="s">
        <v>19</v>
      </c>
      <c r="K3286" s="23" t="s">
        <v>20</v>
      </c>
      <c r="L3286" s="23" t="s">
        <v>30</v>
      </c>
      <c r="M3286" s="11" t="s">
        <v>29</v>
      </c>
      <c r="N3286" s="11" t="s">
        <v>29</v>
      </c>
      <c r="O3286" s="42" t="s">
        <v>29</v>
      </c>
      <c r="P3286" s="15">
        <v>218</v>
      </c>
      <c r="Q3286" s="8"/>
      <c r="W3286" s="317">
        <v>4.5999999999999996</v>
      </c>
      <c r="X3286" s="190"/>
      <c r="Y3286" s="8"/>
      <c r="Z3286" s="8"/>
    </row>
    <row r="3287" spans="1:26" ht="12.75" customHeight="1" x14ac:dyDescent="0.2">
      <c r="A3287" s="15">
        <v>152</v>
      </c>
      <c r="B3287" s="15">
        <v>1992</v>
      </c>
      <c r="C3287" s="15">
        <v>5</v>
      </c>
      <c r="D3287" s="15">
        <v>8</v>
      </c>
      <c r="E3287" s="43" t="s">
        <v>17</v>
      </c>
      <c r="F3287" s="23" t="s">
        <v>18</v>
      </c>
      <c r="G3287" s="15">
        <v>157</v>
      </c>
      <c r="H3287" s="15" t="s">
        <v>29</v>
      </c>
      <c r="I3287" s="41">
        <v>25.3</v>
      </c>
      <c r="J3287" s="11" t="s">
        <v>19</v>
      </c>
      <c r="K3287" s="23" t="s">
        <v>34</v>
      </c>
      <c r="L3287" s="11" t="s">
        <v>41</v>
      </c>
      <c r="M3287" s="11" t="s">
        <v>29</v>
      </c>
      <c r="N3287" s="11" t="s">
        <v>29</v>
      </c>
      <c r="O3287" s="42" t="s">
        <v>29</v>
      </c>
      <c r="P3287" s="15">
        <v>218</v>
      </c>
      <c r="Q3287" s="8"/>
      <c r="R3287">
        <v>14.65</v>
      </c>
      <c r="S3287">
        <v>3143</v>
      </c>
      <c r="T3287">
        <v>8.0500000000000007</v>
      </c>
      <c r="U3287">
        <v>10.52</v>
      </c>
      <c r="V3287">
        <v>146</v>
      </c>
      <c r="W3287" s="317">
        <v>3.8</v>
      </c>
      <c r="X3287" s="190">
        <f t="shared" ref="X3287:X3292" si="153">I3287*W3287</f>
        <v>96.14</v>
      </c>
      <c r="Y3287" s="8"/>
      <c r="Z3287" s="8"/>
    </row>
    <row r="3288" spans="1:26" ht="12.75" customHeight="1" x14ac:dyDescent="0.2">
      <c r="A3288" s="15">
        <v>153</v>
      </c>
      <c r="B3288" s="15">
        <v>1992</v>
      </c>
      <c r="C3288" s="15">
        <v>5</v>
      </c>
      <c r="D3288" s="15">
        <v>8</v>
      </c>
      <c r="E3288" s="43" t="s">
        <v>17</v>
      </c>
      <c r="F3288" s="23" t="s">
        <v>18</v>
      </c>
      <c r="G3288" s="15">
        <v>139</v>
      </c>
      <c r="H3288" s="15" t="s">
        <v>29</v>
      </c>
      <c r="I3288" s="41">
        <v>14</v>
      </c>
      <c r="J3288" s="11" t="s">
        <v>19</v>
      </c>
      <c r="K3288" s="23" t="s">
        <v>20</v>
      </c>
      <c r="L3288" s="23" t="s">
        <v>30</v>
      </c>
      <c r="M3288" s="11" t="s">
        <v>29</v>
      </c>
      <c r="N3288" s="11" t="s">
        <v>29</v>
      </c>
      <c r="O3288" s="42" t="s">
        <v>29</v>
      </c>
      <c r="P3288" s="15">
        <v>218</v>
      </c>
      <c r="Q3288" s="8"/>
      <c r="R3288">
        <v>12.97</v>
      </c>
      <c r="S3288">
        <v>2181.17</v>
      </c>
      <c r="T3288">
        <v>6.42</v>
      </c>
      <c r="U3288">
        <v>9.31</v>
      </c>
      <c r="V3288">
        <v>130</v>
      </c>
      <c r="W3288" s="317">
        <v>4.5999999999999996</v>
      </c>
      <c r="X3288" s="190">
        <f t="shared" si="153"/>
        <v>64.399999999999991</v>
      </c>
      <c r="Y3288" s="8"/>
      <c r="Z3288" s="8"/>
    </row>
    <row r="3289" spans="1:26" ht="12.75" customHeight="1" x14ac:dyDescent="0.2">
      <c r="A3289" s="15">
        <v>154</v>
      </c>
      <c r="B3289" s="15">
        <v>1992</v>
      </c>
      <c r="C3289" s="15">
        <v>5</v>
      </c>
      <c r="D3289" s="15">
        <v>8</v>
      </c>
      <c r="E3289" s="43" t="s">
        <v>17</v>
      </c>
      <c r="F3289" s="23" t="s">
        <v>18</v>
      </c>
      <c r="G3289" s="15">
        <v>150</v>
      </c>
      <c r="H3289" s="15" t="s">
        <v>29</v>
      </c>
      <c r="I3289" s="41">
        <v>22.2</v>
      </c>
      <c r="J3289" s="11" t="s">
        <v>19</v>
      </c>
      <c r="K3289" s="23" t="s">
        <v>34</v>
      </c>
      <c r="L3289" s="11" t="s">
        <v>41</v>
      </c>
      <c r="M3289" s="11" t="s">
        <v>29</v>
      </c>
      <c r="N3289" s="11" t="s">
        <v>29</v>
      </c>
      <c r="O3289" s="42" t="s">
        <v>29</v>
      </c>
      <c r="P3289" s="15">
        <v>218</v>
      </c>
      <c r="Q3289" s="8"/>
      <c r="R3289">
        <v>14</v>
      </c>
      <c r="S3289">
        <v>2741.06</v>
      </c>
      <c r="T3289">
        <v>8.1</v>
      </c>
      <c r="U3289">
        <v>10.050000000000001</v>
      </c>
      <c r="V3289">
        <v>140</v>
      </c>
      <c r="W3289" s="317">
        <v>3.8</v>
      </c>
      <c r="X3289" s="190">
        <f t="shared" si="153"/>
        <v>84.36</v>
      </c>
      <c r="Y3289" s="8"/>
      <c r="Z3289" s="8"/>
    </row>
    <row r="3290" spans="1:26" ht="12.75" customHeight="1" x14ac:dyDescent="0.2">
      <c r="A3290" s="15">
        <v>155</v>
      </c>
      <c r="B3290" s="15">
        <v>1992</v>
      </c>
      <c r="C3290" s="15">
        <v>5</v>
      </c>
      <c r="D3290" s="15">
        <v>8</v>
      </c>
      <c r="E3290" s="43" t="s">
        <v>17</v>
      </c>
      <c r="F3290" s="23" t="s">
        <v>18</v>
      </c>
      <c r="G3290" s="15">
        <v>143</v>
      </c>
      <c r="H3290" s="15" t="s">
        <v>29</v>
      </c>
      <c r="I3290" s="41">
        <v>17</v>
      </c>
      <c r="J3290" s="11" t="s">
        <v>19</v>
      </c>
      <c r="K3290" s="23" t="s">
        <v>20</v>
      </c>
      <c r="L3290" s="23" t="s">
        <v>30</v>
      </c>
      <c r="M3290" s="11" t="s">
        <v>29</v>
      </c>
      <c r="N3290" s="11" t="s">
        <v>29</v>
      </c>
      <c r="O3290" s="42" t="s">
        <v>29</v>
      </c>
      <c r="P3290" s="15">
        <v>218</v>
      </c>
      <c r="Q3290" s="8"/>
      <c r="R3290">
        <v>13.34</v>
      </c>
      <c r="S3290">
        <v>2374.94</v>
      </c>
      <c r="T3290">
        <v>7.16</v>
      </c>
      <c r="U3290">
        <v>9.58</v>
      </c>
      <c r="V3290">
        <v>133</v>
      </c>
      <c r="W3290" s="317">
        <v>4.5999999999999996</v>
      </c>
      <c r="X3290" s="190">
        <f t="shared" si="153"/>
        <v>78.199999999999989</v>
      </c>
      <c r="Y3290" s="8"/>
      <c r="Z3290" s="8"/>
    </row>
    <row r="3291" spans="1:26" ht="12.75" customHeight="1" x14ac:dyDescent="0.2">
      <c r="A3291" s="15">
        <v>156</v>
      </c>
      <c r="B3291" s="15">
        <v>1992</v>
      </c>
      <c r="C3291" s="15">
        <v>5</v>
      </c>
      <c r="D3291" s="15">
        <v>8</v>
      </c>
      <c r="E3291" s="43" t="s">
        <v>17</v>
      </c>
      <c r="F3291" s="23" t="s">
        <v>18</v>
      </c>
      <c r="G3291" s="15">
        <v>144</v>
      </c>
      <c r="H3291" s="15" t="s">
        <v>29</v>
      </c>
      <c r="I3291" s="41">
        <v>15.6</v>
      </c>
      <c r="J3291" s="11" t="s">
        <v>19</v>
      </c>
      <c r="K3291" s="23" t="s">
        <v>34</v>
      </c>
      <c r="L3291" s="11" t="s">
        <v>41</v>
      </c>
      <c r="M3291" s="11" t="s">
        <v>29</v>
      </c>
      <c r="N3291" s="11" t="s">
        <v>29</v>
      </c>
      <c r="O3291" s="42" t="s">
        <v>29</v>
      </c>
      <c r="P3291" s="15">
        <v>218</v>
      </c>
      <c r="Q3291" s="8"/>
      <c r="R3291">
        <v>13.44</v>
      </c>
      <c r="S3291">
        <v>2425.12</v>
      </c>
      <c r="T3291">
        <v>6.43</v>
      </c>
      <c r="U3291">
        <v>9.65</v>
      </c>
      <c r="V3291">
        <v>134</v>
      </c>
      <c r="W3291" s="317">
        <v>3.8</v>
      </c>
      <c r="X3291" s="190">
        <f t="shared" si="153"/>
        <v>59.279999999999994</v>
      </c>
      <c r="Y3291" s="8"/>
      <c r="Z3291" s="8"/>
    </row>
    <row r="3292" spans="1:26" ht="12.75" customHeight="1" x14ac:dyDescent="0.2">
      <c r="A3292" s="15">
        <v>157</v>
      </c>
      <c r="B3292" s="15">
        <v>1992</v>
      </c>
      <c r="C3292" s="15">
        <v>4</v>
      </c>
      <c r="D3292" s="15">
        <v>8</v>
      </c>
      <c r="E3292" s="43" t="s">
        <v>17</v>
      </c>
      <c r="F3292" s="11" t="s">
        <v>18</v>
      </c>
      <c r="G3292" s="15">
        <v>118</v>
      </c>
      <c r="H3292" s="15" t="s">
        <v>29</v>
      </c>
      <c r="I3292" s="41">
        <v>10.199999999999999</v>
      </c>
      <c r="J3292" s="11" t="s">
        <v>19</v>
      </c>
      <c r="K3292" s="23" t="s">
        <v>20</v>
      </c>
      <c r="L3292" s="23" t="s">
        <v>30</v>
      </c>
      <c r="M3292" s="11" t="s">
        <v>29</v>
      </c>
      <c r="N3292" s="11" t="s">
        <v>29</v>
      </c>
      <c r="O3292" s="42" t="s">
        <v>29</v>
      </c>
      <c r="P3292" s="15">
        <v>217</v>
      </c>
      <c r="Q3292" s="8"/>
      <c r="R3292">
        <v>11.01</v>
      </c>
      <c r="S3292">
        <v>1334.42</v>
      </c>
      <c r="T3292">
        <v>7.64</v>
      </c>
      <c r="U3292">
        <v>7.91</v>
      </c>
      <c r="V3292">
        <v>110</v>
      </c>
      <c r="W3292" s="317">
        <v>4.5999999999999996</v>
      </c>
      <c r="X3292" s="190">
        <f t="shared" si="153"/>
        <v>46.919999999999995</v>
      </c>
      <c r="Y3292" s="8"/>
      <c r="Z3292" s="8"/>
    </row>
    <row r="3293" spans="1:26" ht="12.75" customHeight="1" x14ac:dyDescent="0.2">
      <c r="A3293" s="15">
        <v>158</v>
      </c>
      <c r="B3293" s="15">
        <v>1992</v>
      </c>
      <c r="C3293" s="15">
        <v>4</v>
      </c>
      <c r="D3293" s="15">
        <v>8</v>
      </c>
      <c r="E3293" s="43" t="s">
        <v>17</v>
      </c>
      <c r="F3293" s="11" t="s">
        <v>18</v>
      </c>
      <c r="G3293" s="15">
        <v>155</v>
      </c>
      <c r="H3293" s="15" t="s">
        <v>29</v>
      </c>
      <c r="I3293" s="41">
        <v>19</v>
      </c>
      <c r="J3293" s="11" t="s">
        <v>19</v>
      </c>
      <c r="K3293" s="11" t="s">
        <v>41</v>
      </c>
      <c r="L3293" s="11" t="s">
        <v>41</v>
      </c>
      <c r="M3293" s="11" t="s">
        <v>29</v>
      </c>
      <c r="N3293" s="11" t="s">
        <v>29</v>
      </c>
      <c r="O3293" s="42" t="s">
        <v>29</v>
      </c>
      <c r="P3293" s="15">
        <v>217</v>
      </c>
      <c r="Q3293" s="8"/>
      <c r="R3293">
        <v>14.46</v>
      </c>
      <c r="S3293">
        <v>3024.41</v>
      </c>
      <c r="T3293">
        <v>6.28</v>
      </c>
      <c r="U3293">
        <v>10.39</v>
      </c>
      <c r="V3293">
        <v>145</v>
      </c>
      <c r="W3293" s="8"/>
      <c r="X3293" s="8"/>
      <c r="Y3293" s="8"/>
      <c r="Z3293" s="8"/>
    </row>
    <row r="3294" spans="1:26" ht="12.75" customHeight="1" x14ac:dyDescent="0.2">
      <c r="A3294" s="15">
        <v>159</v>
      </c>
      <c r="B3294" s="15">
        <v>1992</v>
      </c>
      <c r="C3294" s="15">
        <v>4</v>
      </c>
      <c r="D3294" s="15">
        <v>8</v>
      </c>
      <c r="E3294" s="43" t="s">
        <v>17</v>
      </c>
      <c r="F3294" s="11" t="s">
        <v>18</v>
      </c>
      <c r="G3294" s="15">
        <v>145</v>
      </c>
      <c r="H3294" s="15" t="s">
        <v>29</v>
      </c>
      <c r="I3294" s="41">
        <v>17</v>
      </c>
      <c r="J3294" s="11" t="s">
        <v>19</v>
      </c>
      <c r="K3294" s="23" t="s">
        <v>20</v>
      </c>
      <c r="L3294" s="23" t="s">
        <v>30</v>
      </c>
      <c r="M3294" s="11" t="s">
        <v>29</v>
      </c>
      <c r="N3294" s="11" t="s">
        <v>29</v>
      </c>
      <c r="O3294" s="42" t="s">
        <v>29</v>
      </c>
      <c r="P3294" s="15">
        <v>217</v>
      </c>
      <c r="Q3294" s="8"/>
      <c r="R3294">
        <v>13.53</v>
      </c>
      <c r="S3294">
        <v>2475.9899999999998</v>
      </c>
      <c r="T3294">
        <v>6.87</v>
      </c>
      <c r="U3294">
        <v>9.7200000000000006</v>
      </c>
      <c r="V3294">
        <v>135</v>
      </c>
      <c r="W3294" s="317">
        <v>4.5999999999999996</v>
      </c>
      <c r="X3294" s="190">
        <f>I3294*W3294</f>
        <v>78.199999999999989</v>
      </c>
      <c r="Y3294" s="8"/>
      <c r="Z3294" s="8"/>
    </row>
    <row r="3295" spans="1:26" ht="12.75" customHeight="1" x14ac:dyDescent="0.2">
      <c r="A3295" s="15">
        <v>160</v>
      </c>
      <c r="B3295" s="15">
        <v>1992</v>
      </c>
      <c r="C3295" s="15">
        <v>4</v>
      </c>
      <c r="D3295" s="15">
        <v>8</v>
      </c>
      <c r="E3295" s="43" t="s">
        <v>17</v>
      </c>
      <c r="F3295" s="11" t="s">
        <v>18</v>
      </c>
      <c r="G3295" s="15">
        <v>135</v>
      </c>
      <c r="H3295" s="15" t="s">
        <v>29</v>
      </c>
      <c r="I3295" s="41">
        <v>15.4</v>
      </c>
      <c r="J3295" s="11" t="s">
        <v>19</v>
      </c>
      <c r="K3295" s="23" t="s">
        <v>20</v>
      </c>
      <c r="L3295" s="23" t="s">
        <v>30</v>
      </c>
      <c r="M3295" s="11" t="s">
        <v>29</v>
      </c>
      <c r="N3295" s="11" t="s">
        <v>29</v>
      </c>
      <c r="O3295" s="42" t="s">
        <v>29</v>
      </c>
      <c r="P3295" s="15">
        <v>217</v>
      </c>
      <c r="Q3295" s="8"/>
      <c r="R3295">
        <v>12.6</v>
      </c>
      <c r="S3295">
        <v>1998.23</v>
      </c>
      <c r="T3295">
        <v>7.71</v>
      </c>
      <c r="U3295">
        <v>9.0500000000000007</v>
      </c>
      <c r="V3295">
        <v>126</v>
      </c>
      <c r="W3295" s="317">
        <v>4.5999999999999996</v>
      </c>
      <c r="X3295" s="190">
        <f>I3295*W3295</f>
        <v>70.839999999999989</v>
      </c>
      <c r="Y3295" s="8"/>
      <c r="Z3295" s="8"/>
    </row>
    <row r="3296" spans="1:26" ht="12.75" customHeight="1" x14ac:dyDescent="0.2">
      <c r="A3296" s="15">
        <v>161</v>
      </c>
      <c r="B3296" s="15">
        <v>1992</v>
      </c>
      <c r="C3296" s="15">
        <v>4</v>
      </c>
      <c r="D3296" s="15">
        <v>8</v>
      </c>
      <c r="E3296" s="43" t="s">
        <v>17</v>
      </c>
      <c r="F3296" s="11" t="s">
        <v>18</v>
      </c>
      <c r="G3296" s="15">
        <v>145</v>
      </c>
      <c r="H3296" s="15" t="s">
        <v>29</v>
      </c>
      <c r="I3296" s="41">
        <v>19</v>
      </c>
      <c r="J3296" s="11" t="s">
        <v>19</v>
      </c>
      <c r="K3296" s="23" t="s">
        <v>20</v>
      </c>
      <c r="L3296" s="23" t="s">
        <v>30</v>
      </c>
      <c r="M3296" s="11" t="s">
        <v>29</v>
      </c>
      <c r="N3296" s="11" t="s">
        <v>29</v>
      </c>
      <c r="O3296" s="42" t="s">
        <v>29</v>
      </c>
      <c r="P3296" s="15">
        <v>217</v>
      </c>
      <c r="Q3296" s="8"/>
      <c r="R3296">
        <v>13.53</v>
      </c>
      <c r="S3296">
        <v>2475.9899999999998</v>
      </c>
      <c r="T3296">
        <v>7.67</v>
      </c>
      <c r="U3296">
        <v>9.7200000000000006</v>
      </c>
      <c r="V3296">
        <v>135</v>
      </c>
      <c r="W3296" s="317">
        <v>4.5999999999999996</v>
      </c>
      <c r="X3296" s="190">
        <f>I3296*W3296</f>
        <v>87.399999999999991</v>
      </c>
      <c r="Y3296" s="8"/>
      <c r="Z3296" s="8"/>
    </row>
    <row r="3297" spans="1:26" ht="12.75" customHeight="1" x14ac:dyDescent="0.2">
      <c r="A3297" s="15">
        <v>162</v>
      </c>
      <c r="B3297" s="15">
        <v>1992</v>
      </c>
      <c r="C3297" s="15">
        <v>4</v>
      </c>
      <c r="D3297" s="15">
        <v>8</v>
      </c>
      <c r="E3297" s="43" t="s">
        <v>17</v>
      </c>
      <c r="F3297" s="11" t="s">
        <v>18</v>
      </c>
      <c r="G3297" s="15">
        <v>129</v>
      </c>
      <c r="H3297" s="15" t="s">
        <v>29</v>
      </c>
      <c r="I3297" s="41">
        <v>8.5</v>
      </c>
      <c r="J3297" s="11" t="s">
        <v>19</v>
      </c>
      <c r="K3297" s="23" t="s">
        <v>20</v>
      </c>
      <c r="L3297" s="23" t="s">
        <v>30</v>
      </c>
      <c r="M3297" s="11" t="s">
        <v>29</v>
      </c>
      <c r="N3297" s="11" t="s">
        <v>29</v>
      </c>
      <c r="O3297" s="42" t="s">
        <v>29</v>
      </c>
      <c r="P3297" s="15">
        <v>217</v>
      </c>
      <c r="Q3297" s="8"/>
      <c r="R3297">
        <v>12.04</v>
      </c>
      <c r="S3297">
        <v>1743.47</v>
      </c>
      <c r="T3297">
        <v>4.88</v>
      </c>
      <c r="U3297">
        <v>8.64</v>
      </c>
      <c r="V3297">
        <v>120</v>
      </c>
      <c r="W3297" s="317">
        <v>4.5999999999999996</v>
      </c>
      <c r="X3297" s="190">
        <f>I3297*W3297</f>
        <v>39.099999999999994</v>
      </c>
      <c r="Y3297" s="8"/>
      <c r="Z3297" s="8"/>
    </row>
    <row r="3298" spans="1:26" ht="12.75" customHeight="1" x14ac:dyDescent="0.2">
      <c r="A3298" s="15">
        <v>163</v>
      </c>
      <c r="B3298" s="15">
        <v>1992</v>
      </c>
      <c r="C3298" s="15">
        <v>4</v>
      </c>
      <c r="D3298" s="15">
        <v>8</v>
      </c>
      <c r="E3298" s="43" t="s">
        <v>17</v>
      </c>
      <c r="F3298" s="11" t="s">
        <v>18</v>
      </c>
      <c r="G3298" s="15">
        <v>141</v>
      </c>
      <c r="H3298" s="15" t="s">
        <v>29</v>
      </c>
      <c r="I3298" s="41">
        <v>16.5</v>
      </c>
      <c r="J3298" s="11" t="s">
        <v>19</v>
      </c>
      <c r="K3298" s="23" t="s">
        <v>20</v>
      </c>
      <c r="L3298" s="23" t="s">
        <v>30</v>
      </c>
      <c r="M3298" s="11" t="s">
        <v>29</v>
      </c>
      <c r="N3298" s="11" t="s">
        <v>29</v>
      </c>
      <c r="O3298" s="42" t="s">
        <v>29</v>
      </c>
      <c r="P3298" s="15">
        <v>217</v>
      </c>
      <c r="Q3298" s="8"/>
      <c r="R3298">
        <v>13.16</v>
      </c>
      <c r="S3298">
        <v>2276.6799999999998</v>
      </c>
      <c r="T3298">
        <v>7.25</v>
      </c>
      <c r="U3298">
        <v>9.4499999999999993</v>
      </c>
      <c r="V3298">
        <v>132</v>
      </c>
      <c r="W3298" s="317">
        <v>4.5999999999999996</v>
      </c>
      <c r="X3298" s="190">
        <f>I3298*W3298</f>
        <v>75.899999999999991</v>
      </c>
      <c r="Y3298" s="8"/>
      <c r="Z3298" s="8"/>
    </row>
    <row r="3299" spans="1:26" ht="12.75" customHeight="1" x14ac:dyDescent="0.2">
      <c r="A3299" s="15">
        <v>164</v>
      </c>
      <c r="B3299" s="15">
        <v>1992</v>
      </c>
      <c r="C3299" s="15">
        <v>4</v>
      </c>
      <c r="D3299" s="15">
        <v>8</v>
      </c>
      <c r="E3299" s="43" t="s">
        <v>17</v>
      </c>
      <c r="F3299" s="11" t="s">
        <v>18</v>
      </c>
      <c r="G3299" s="15">
        <v>146</v>
      </c>
      <c r="H3299" s="15" t="s">
        <v>29</v>
      </c>
      <c r="I3299" s="41">
        <v>16</v>
      </c>
      <c r="J3299" s="11" t="s">
        <v>19</v>
      </c>
      <c r="K3299" s="11" t="s">
        <v>41</v>
      </c>
      <c r="L3299" s="11" t="s">
        <v>41</v>
      </c>
      <c r="M3299" s="11" t="s">
        <v>29</v>
      </c>
      <c r="N3299" s="11" t="s">
        <v>29</v>
      </c>
      <c r="O3299" s="42" t="s">
        <v>29</v>
      </c>
      <c r="P3299" s="15">
        <v>217</v>
      </c>
      <c r="Q3299" s="8"/>
      <c r="R3299">
        <v>13.62</v>
      </c>
      <c r="S3299">
        <v>2527.5700000000002</v>
      </c>
      <c r="T3299">
        <v>6.33</v>
      </c>
      <c r="U3299">
        <v>9.7799999999999994</v>
      </c>
      <c r="V3299">
        <v>136</v>
      </c>
      <c r="W3299" s="8"/>
      <c r="X3299" s="8"/>
      <c r="Y3299" s="8"/>
      <c r="Z3299" s="8"/>
    </row>
    <row r="3300" spans="1:26" ht="12.75" customHeight="1" x14ac:dyDescent="0.2">
      <c r="A3300" s="15">
        <v>165</v>
      </c>
      <c r="B3300" s="15">
        <v>1992</v>
      </c>
      <c r="C3300" s="15">
        <v>4</v>
      </c>
      <c r="D3300" s="15">
        <v>8</v>
      </c>
      <c r="E3300" s="43" t="s">
        <v>17</v>
      </c>
      <c r="F3300" s="11" t="s">
        <v>18</v>
      </c>
      <c r="G3300" s="15">
        <v>120</v>
      </c>
      <c r="H3300" s="15" t="s">
        <v>29</v>
      </c>
      <c r="I3300" s="41">
        <v>9.5</v>
      </c>
      <c r="J3300" s="11" t="s">
        <v>19</v>
      </c>
      <c r="K3300" s="23" t="s">
        <v>20</v>
      </c>
      <c r="L3300" s="23" t="s">
        <v>30</v>
      </c>
      <c r="M3300" s="11" t="s">
        <v>29</v>
      </c>
      <c r="N3300" s="11" t="s">
        <v>29</v>
      </c>
      <c r="O3300" s="42" t="s">
        <v>29</v>
      </c>
      <c r="P3300" s="15">
        <v>217</v>
      </c>
      <c r="Q3300" s="8"/>
      <c r="R3300">
        <v>11.2</v>
      </c>
      <c r="S3300">
        <v>1403.42</v>
      </c>
      <c r="T3300">
        <v>6.77</v>
      </c>
      <c r="U3300">
        <v>8.0399999999999991</v>
      </c>
      <c r="V3300">
        <v>112</v>
      </c>
      <c r="W3300" s="317">
        <v>4.5999999999999996</v>
      </c>
      <c r="X3300" s="190">
        <f>I3300*W3300</f>
        <v>43.699999999999996</v>
      </c>
      <c r="Y3300" s="8"/>
      <c r="Z3300" s="8"/>
    </row>
    <row r="3301" spans="1:26" ht="12.75" customHeight="1" x14ac:dyDescent="0.2">
      <c r="A3301" s="15">
        <v>166</v>
      </c>
      <c r="B3301" s="15">
        <v>1992</v>
      </c>
      <c r="C3301" s="15">
        <v>4</v>
      </c>
      <c r="D3301" s="15">
        <v>8</v>
      </c>
      <c r="E3301" s="43" t="s">
        <v>17</v>
      </c>
      <c r="F3301" s="11" t="s">
        <v>18</v>
      </c>
      <c r="G3301" s="15">
        <v>112</v>
      </c>
      <c r="H3301" s="15" t="s">
        <v>29</v>
      </c>
      <c r="I3301" s="41">
        <v>5.2</v>
      </c>
      <c r="J3301" s="11" t="s">
        <v>19</v>
      </c>
      <c r="K3301" s="23" t="s">
        <v>20</v>
      </c>
      <c r="L3301" s="23" t="s">
        <v>30</v>
      </c>
      <c r="M3301" s="11" t="s">
        <v>29</v>
      </c>
      <c r="N3301" s="11" t="s">
        <v>29</v>
      </c>
      <c r="O3301" s="42" t="s">
        <v>29</v>
      </c>
      <c r="P3301" s="15">
        <v>217</v>
      </c>
      <c r="Q3301" s="8"/>
      <c r="R3301">
        <v>10.45</v>
      </c>
      <c r="S3301">
        <v>1141.04</v>
      </c>
      <c r="T3301">
        <v>4.5599999999999996</v>
      </c>
      <c r="U3301">
        <v>7.5</v>
      </c>
      <c r="V3301">
        <v>104</v>
      </c>
      <c r="W3301" s="317">
        <v>4.5999999999999996</v>
      </c>
      <c r="X3301" s="190">
        <f>I3301*W3301</f>
        <v>23.919999999999998</v>
      </c>
      <c r="Y3301" s="8"/>
      <c r="Z3301" s="8"/>
    </row>
    <row r="3302" spans="1:26" ht="12.75" customHeight="1" x14ac:dyDescent="0.2">
      <c r="A3302" s="15">
        <v>1</v>
      </c>
      <c r="B3302" s="15">
        <v>1991</v>
      </c>
      <c r="C3302" s="15">
        <v>15</v>
      </c>
      <c r="D3302" s="15">
        <v>8</v>
      </c>
      <c r="E3302" s="22" t="s">
        <v>241</v>
      </c>
      <c r="F3302" s="11" t="s">
        <v>18</v>
      </c>
      <c r="G3302" s="15">
        <v>100</v>
      </c>
      <c r="H3302" s="15" t="s">
        <v>29</v>
      </c>
      <c r="I3302" s="25">
        <v>6.3</v>
      </c>
      <c r="J3302" s="11" t="s">
        <v>237</v>
      </c>
      <c r="K3302" s="11" t="s">
        <v>29</v>
      </c>
      <c r="L3302" s="11" t="s">
        <v>29</v>
      </c>
      <c r="M3302" s="11" t="s">
        <v>29</v>
      </c>
      <c r="N3302" s="11" t="s">
        <v>29</v>
      </c>
      <c r="O3302" s="16" t="s">
        <v>29</v>
      </c>
      <c r="P3302" s="15">
        <v>227</v>
      </c>
      <c r="Q3302" s="8"/>
      <c r="R3302">
        <v>9.33</v>
      </c>
      <c r="S3302">
        <v>812.17</v>
      </c>
      <c r="T3302">
        <v>7.76</v>
      </c>
      <c r="U3302">
        <v>6.7</v>
      </c>
      <c r="V3302">
        <v>93</v>
      </c>
      <c r="W3302" s="8"/>
      <c r="X3302" s="8"/>
      <c r="Y3302" s="8"/>
      <c r="Z3302" s="8"/>
    </row>
    <row r="3303" spans="1:26" ht="12.75" customHeight="1" x14ac:dyDescent="0.2">
      <c r="A3303" s="15">
        <v>2</v>
      </c>
      <c r="B3303" s="15">
        <v>1991</v>
      </c>
      <c r="C3303" s="15">
        <v>15</v>
      </c>
      <c r="D3303" s="15">
        <v>8</v>
      </c>
      <c r="E3303" s="22" t="s">
        <v>241</v>
      </c>
      <c r="F3303" s="11" t="s">
        <v>18</v>
      </c>
      <c r="G3303" s="15">
        <v>156</v>
      </c>
      <c r="H3303" s="15" t="s">
        <v>29</v>
      </c>
      <c r="I3303" s="25">
        <v>17.5</v>
      </c>
      <c r="J3303" s="11" t="s">
        <v>19</v>
      </c>
      <c r="K3303" s="11" t="s">
        <v>20</v>
      </c>
      <c r="L3303" s="11" t="s">
        <v>21</v>
      </c>
      <c r="M3303" s="11" t="s">
        <v>29</v>
      </c>
      <c r="N3303" s="11" t="s">
        <v>29</v>
      </c>
      <c r="O3303" s="16" t="s">
        <v>29</v>
      </c>
      <c r="P3303" s="15">
        <v>227</v>
      </c>
      <c r="Q3303" s="8"/>
      <c r="R3303">
        <v>14.55</v>
      </c>
      <c r="S3303">
        <v>3083.32</v>
      </c>
      <c r="T3303">
        <v>5.68</v>
      </c>
      <c r="U3303">
        <v>10.45</v>
      </c>
      <c r="V3303">
        <v>146</v>
      </c>
      <c r="W3303" s="317">
        <v>3.9</v>
      </c>
      <c r="X3303" s="190">
        <f t="shared" ref="X3303:X3328" si="154">I3303*W3303</f>
        <v>68.25</v>
      </c>
      <c r="Y3303" s="8"/>
      <c r="Z3303" s="8"/>
    </row>
    <row r="3304" spans="1:26" ht="12.75" customHeight="1" x14ac:dyDescent="0.2">
      <c r="A3304" s="15">
        <v>3</v>
      </c>
      <c r="B3304" s="15">
        <v>1991</v>
      </c>
      <c r="C3304" s="15">
        <v>15</v>
      </c>
      <c r="D3304" s="15">
        <v>8</v>
      </c>
      <c r="E3304" s="22" t="s">
        <v>241</v>
      </c>
      <c r="F3304" s="11" t="s">
        <v>18</v>
      </c>
      <c r="G3304" s="15">
        <v>130</v>
      </c>
      <c r="H3304" s="15" t="s">
        <v>29</v>
      </c>
      <c r="I3304" s="25">
        <v>13</v>
      </c>
      <c r="J3304" s="11" t="s">
        <v>19</v>
      </c>
      <c r="K3304" s="11" t="s">
        <v>20</v>
      </c>
      <c r="L3304" s="11" t="s">
        <v>21</v>
      </c>
      <c r="M3304" s="11" t="s">
        <v>29</v>
      </c>
      <c r="N3304" s="11" t="s">
        <v>29</v>
      </c>
      <c r="O3304" s="16" t="s">
        <v>29</v>
      </c>
      <c r="P3304" s="15">
        <v>227</v>
      </c>
      <c r="Q3304" s="8"/>
      <c r="R3304">
        <v>12.13</v>
      </c>
      <c r="S3304">
        <v>1784.33</v>
      </c>
      <c r="T3304">
        <v>7.29</v>
      </c>
      <c r="U3304">
        <v>8.7100000000000009</v>
      </c>
      <c r="V3304">
        <v>121</v>
      </c>
      <c r="W3304" s="317">
        <v>3.9</v>
      </c>
      <c r="X3304" s="190">
        <f t="shared" si="154"/>
        <v>50.699999999999996</v>
      </c>
      <c r="Y3304" s="8"/>
      <c r="Z3304" s="8"/>
    </row>
    <row r="3305" spans="1:26" ht="12.75" customHeight="1" x14ac:dyDescent="0.2">
      <c r="A3305" s="15">
        <v>4</v>
      </c>
      <c r="B3305" s="15">
        <v>1991</v>
      </c>
      <c r="C3305" s="15">
        <v>15</v>
      </c>
      <c r="D3305" s="15">
        <v>8</v>
      </c>
      <c r="E3305" s="22" t="s">
        <v>241</v>
      </c>
      <c r="F3305" s="11" t="s">
        <v>18</v>
      </c>
      <c r="G3305" s="15">
        <v>160</v>
      </c>
      <c r="H3305" s="15" t="s">
        <v>29</v>
      </c>
      <c r="I3305" s="25">
        <v>23.5</v>
      </c>
      <c r="J3305" s="11" t="s">
        <v>19</v>
      </c>
      <c r="K3305" s="11" t="s">
        <v>20</v>
      </c>
      <c r="L3305" s="11" t="s">
        <v>30</v>
      </c>
      <c r="M3305" s="11" t="s">
        <v>29</v>
      </c>
      <c r="N3305" s="11" t="s">
        <v>24</v>
      </c>
      <c r="O3305" s="16" t="s">
        <v>29</v>
      </c>
      <c r="P3305" s="15">
        <v>227</v>
      </c>
      <c r="Q3305" s="8"/>
      <c r="R3305">
        <v>14.93</v>
      </c>
      <c r="S3305">
        <v>3326.63</v>
      </c>
      <c r="T3305">
        <v>7.06</v>
      </c>
      <c r="U3305">
        <v>10.72</v>
      </c>
      <c r="V3305">
        <v>149</v>
      </c>
      <c r="W3305" s="317">
        <v>4.5999999999999996</v>
      </c>
      <c r="X3305" s="190">
        <f t="shared" si="154"/>
        <v>108.1</v>
      </c>
      <c r="Y3305" s="8"/>
      <c r="Z3305" s="8"/>
    </row>
    <row r="3306" spans="1:26" ht="12.75" customHeight="1" x14ac:dyDescent="0.2">
      <c r="A3306" s="15">
        <v>5</v>
      </c>
      <c r="B3306" s="15">
        <v>1991</v>
      </c>
      <c r="C3306" s="15">
        <v>15</v>
      </c>
      <c r="D3306" s="15">
        <v>8</v>
      </c>
      <c r="E3306" s="22" t="s">
        <v>241</v>
      </c>
      <c r="F3306" s="11" t="s">
        <v>18</v>
      </c>
      <c r="G3306" s="15">
        <v>149</v>
      </c>
      <c r="H3306" s="15" t="s">
        <v>29</v>
      </c>
      <c r="I3306" s="25">
        <v>21.5</v>
      </c>
      <c r="J3306" s="11" t="s">
        <v>19</v>
      </c>
      <c r="K3306" s="11" t="s">
        <v>20</v>
      </c>
      <c r="L3306" s="11" t="s">
        <v>30</v>
      </c>
      <c r="M3306" s="11" t="s">
        <v>29</v>
      </c>
      <c r="N3306" s="11" t="s">
        <v>29</v>
      </c>
      <c r="O3306" s="16" t="s">
        <v>29</v>
      </c>
      <c r="P3306" s="15">
        <v>227</v>
      </c>
      <c r="Q3306" s="8"/>
      <c r="R3306">
        <v>13.9</v>
      </c>
      <c r="S3306">
        <v>2686.6</v>
      </c>
      <c r="T3306">
        <v>8</v>
      </c>
      <c r="U3306">
        <v>9.98</v>
      </c>
      <c r="V3306">
        <v>139</v>
      </c>
      <c r="W3306" s="317">
        <v>4.5999999999999996</v>
      </c>
      <c r="X3306" s="190">
        <f t="shared" si="154"/>
        <v>98.899999999999991</v>
      </c>
      <c r="Y3306" s="8"/>
      <c r="Z3306" s="8"/>
    </row>
    <row r="3307" spans="1:26" ht="12.75" customHeight="1" x14ac:dyDescent="0.2">
      <c r="A3307" s="15">
        <v>6</v>
      </c>
      <c r="B3307" s="15">
        <v>1991</v>
      </c>
      <c r="C3307" s="15">
        <v>15</v>
      </c>
      <c r="D3307" s="15">
        <v>8</v>
      </c>
      <c r="E3307" s="22" t="s">
        <v>241</v>
      </c>
      <c r="F3307" s="11" t="s">
        <v>18</v>
      </c>
      <c r="G3307" s="15">
        <v>158</v>
      </c>
      <c r="H3307" s="15" t="s">
        <v>29</v>
      </c>
      <c r="I3307" s="25">
        <v>23</v>
      </c>
      <c r="J3307" s="11" t="s">
        <v>19</v>
      </c>
      <c r="K3307" s="11" t="s">
        <v>20</v>
      </c>
      <c r="L3307" s="11" t="s">
        <v>30</v>
      </c>
      <c r="M3307" s="11" t="s">
        <v>29</v>
      </c>
      <c r="N3307" s="11" t="s">
        <v>29</v>
      </c>
      <c r="O3307" s="16" t="s">
        <v>29</v>
      </c>
      <c r="P3307" s="15">
        <v>227</v>
      </c>
      <c r="Q3307" s="8"/>
      <c r="R3307">
        <v>14.74</v>
      </c>
      <c r="S3307">
        <v>3203.44</v>
      </c>
      <c r="T3307">
        <v>7.18</v>
      </c>
      <c r="U3307">
        <v>10.59</v>
      </c>
      <c r="V3307">
        <v>147</v>
      </c>
      <c r="W3307" s="317">
        <v>4.5999999999999996</v>
      </c>
      <c r="X3307" s="190">
        <f t="shared" si="154"/>
        <v>105.8</v>
      </c>
      <c r="Y3307" s="8"/>
      <c r="Z3307" s="8"/>
    </row>
    <row r="3308" spans="1:26" ht="12.75" customHeight="1" x14ac:dyDescent="0.2">
      <c r="A3308" s="15">
        <v>7</v>
      </c>
      <c r="B3308" s="15">
        <v>1991</v>
      </c>
      <c r="C3308" s="15">
        <v>15</v>
      </c>
      <c r="D3308" s="15">
        <v>8</v>
      </c>
      <c r="E3308" s="22" t="s">
        <v>241</v>
      </c>
      <c r="F3308" s="11" t="s">
        <v>18</v>
      </c>
      <c r="G3308" s="15">
        <v>148</v>
      </c>
      <c r="H3308" s="15" t="s">
        <v>29</v>
      </c>
      <c r="I3308" s="25">
        <v>14</v>
      </c>
      <c r="J3308" s="11" t="s">
        <v>19</v>
      </c>
      <c r="K3308" s="11" t="s">
        <v>20</v>
      </c>
      <c r="L3308" s="11" t="s">
        <v>21</v>
      </c>
      <c r="M3308" s="11" t="s">
        <v>29</v>
      </c>
      <c r="N3308" s="11" t="s">
        <v>29</v>
      </c>
      <c r="O3308" s="16" t="s">
        <v>29</v>
      </c>
      <c r="P3308" s="15">
        <v>227</v>
      </c>
      <c r="Q3308" s="8"/>
      <c r="R3308">
        <v>13.81</v>
      </c>
      <c r="S3308">
        <v>2632.87</v>
      </c>
      <c r="T3308">
        <v>5.32</v>
      </c>
      <c r="U3308">
        <v>9.92</v>
      </c>
      <c r="V3308">
        <v>138</v>
      </c>
      <c r="W3308" s="317">
        <v>3.9</v>
      </c>
      <c r="X3308" s="190">
        <f t="shared" si="154"/>
        <v>54.6</v>
      </c>
      <c r="Y3308" s="8"/>
      <c r="Z3308" s="8"/>
    </row>
    <row r="3309" spans="1:26" ht="12.75" customHeight="1" x14ac:dyDescent="0.2">
      <c r="A3309" s="15">
        <v>8</v>
      </c>
      <c r="B3309" s="15">
        <v>1991</v>
      </c>
      <c r="C3309" s="15">
        <v>15</v>
      </c>
      <c r="D3309" s="15">
        <v>8</v>
      </c>
      <c r="E3309" s="22" t="s">
        <v>241</v>
      </c>
      <c r="F3309" s="11" t="s">
        <v>18</v>
      </c>
      <c r="G3309" s="15">
        <v>149</v>
      </c>
      <c r="H3309" s="15" t="s">
        <v>29</v>
      </c>
      <c r="I3309" s="25">
        <v>16</v>
      </c>
      <c r="J3309" s="11" t="s">
        <v>19</v>
      </c>
      <c r="K3309" s="11" t="s">
        <v>20</v>
      </c>
      <c r="L3309" s="11" t="s">
        <v>21</v>
      </c>
      <c r="M3309" s="11" t="s">
        <v>29</v>
      </c>
      <c r="N3309" s="11" t="s">
        <v>29</v>
      </c>
      <c r="O3309" s="16" t="s">
        <v>29</v>
      </c>
      <c r="P3309" s="15">
        <v>227</v>
      </c>
      <c r="Q3309" s="8"/>
      <c r="R3309">
        <v>13.9</v>
      </c>
      <c r="S3309">
        <v>2686.6</v>
      </c>
      <c r="T3309">
        <v>5.96</v>
      </c>
      <c r="U3309">
        <v>9.98</v>
      </c>
      <c r="V3309">
        <v>139</v>
      </c>
      <c r="W3309" s="317">
        <v>3.9</v>
      </c>
      <c r="X3309" s="190">
        <f t="shared" si="154"/>
        <v>62.4</v>
      </c>
      <c r="Y3309" s="8"/>
      <c r="Z3309" s="8"/>
    </row>
    <row r="3310" spans="1:26" ht="12.75" customHeight="1" x14ac:dyDescent="0.2">
      <c r="A3310" s="15">
        <v>9</v>
      </c>
      <c r="B3310" s="15">
        <v>1991</v>
      </c>
      <c r="C3310" s="15">
        <v>15</v>
      </c>
      <c r="D3310" s="15">
        <v>8</v>
      </c>
      <c r="E3310" s="22" t="s">
        <v>241</v>
      </c>
      <c r="F3310" s="11" t="s">
        <v>18</v>
      </c>
      <c r="G3310" s="15">
        <v>148</v>
      </c>
      <c r="H3310" s="15" t="s">
        <v>29</v>
      </c>
      <c r="I3310" s="25">
        <v>22.5</v>
      </c>
      <c r="J3310" s="11" t="s">
        <v>19</v>
      </c>
      <c r="K3310" s="11" t="s">
        <v>20</v>
      </c>
      <c r="L3310" s="11" t="s">
        <v>30</v>
      </c>
      <c r="M3310" s="11" t="s">
        <v>29</v>
      </c>
      <c r="N3310" s="11" t="s">
        <v>29</v>
      </c>
      <c r="O3310" s="16" t="s">
        <v>29</v>
      </c>
      <c r="P3310" s="15">
        <v>227</v>
      </c>
      <c r="Q3310" s="8"/>
      <c r="R3310">
        <v>13.81</v>
      </c>
      <c r="S3310">
        <v>2632.87</v>
      </c>
      <c r="T3310">
        <v>8.5500000000000007</v>
      </c>
      <c r="U3310">
        <v>9.92</v>
      </c>
      <c r="V3310">
        <v>138</v>
      </c>
      <c r="W3310" s="317">
        <v>4.5999999999999996</v>
      </c>
      <c r="X3310" s="190">
        <f t="shared" si="154"/>
        <v>103.49999999999999</v>
      </c>
      <c r="Y3310" s="8"/>
      <c r="Z3310" s="8"/>
    </row>
    <row r="3311" spans="1:26" ht="12.75" customHeight="1" x14ac:dyDescent="0.2">
      <c r="A3311" s="15">
        <v>10</v>
      </c>
      <c r="B3311" s="15">
        <v>1991</v>
      </c>
      <c r="C3311" s="15">
        <v>15</v>
      </c>
      <c r="D3311" s="15">
        <v>8</v>
      </c>
      <c r="E3311" s="22" t="s">
        <v>241</v>
      </c>
      <c r="F3311" s="11" t="s">
        <v>18</v>
      </c>
      <c r="G3311" s="15">
        <v>178</v>
      </c>
      <c r="H3311" s="15" t="s">
        <v>29</v>
      </c>
      <c r="I3311" s="25">
        <v>17.2</v>
      </c>
      <c r="J3311" s="11" t="s">
        <v>19</v>
      </c>
      <c r="K3311" s="11" t="s">
        <v>20</v>
      </c>
      <c r="L3311" s="11" t="s">
        <v>21</v>
      </c>
      <c r="M3311" s="11" t="s">
        <v>29</v>
      </c>
      <c r="N3311" s="11" t="s">
        <v>29</v>
      </c>
      <c r="O3311" s="16" t="s">
        <v>29</v>
      </c>
      <c r="P3311" s="15">
        <v>227</v>
      </c>
      <c r="Q3311" s="8"/>
      <c r="R3311">
        <v>16.61</v>
      </c>
      <c r="S3311">
        <v>4580.42</v>
      </c>
      <c r="T3311">
        <v>3.76</v>
      </c>
      <c r="U3311">
        <v>11.93</v>
      </c>
      <c r="V3311">
        <v>166</v>
      </c>
      <c r="W3311" s="317">
        <v>3.9</v>
      </c>
      <c r="X3311" s="190">
        <f t="shared" si="154"/>
        <v>67.08</v>
      </c>
      <c r="Y3311" s="8"/>
      <c r="Z3311" s="8"/>
    </row>
    <row r="3312" spans="1:26" ht="12.75" customHeight="1" x14ac:dyDescent="0.2">
      <c r="A3312" s="15">
        <v>11</v>
      </c>
      <c r="B3312" s="15">
        <v>1991</v>
      </c>
      <c r="C3312" s="15">
        <v>15</v>
      </c>
      <c r="D3312" s="15">
        <v>8</v>
      </c>
      <c r="E3312" s="22" t="s">
        <v>241</v>
      </c>
      <c r="F3312" s="11" t="s">
        <v>18</v>
      </c>
      <c r="G3312" s="15">
        <v>148</v>
      </c>
      <c r="H3312" s="15" t="s">
        <v>29</v>
      </c>
      <c r="I3312" s="25">
        <v>17</v>
      </c>
      <c r="J3312" s="11" t="s">
        <v>19</v>
      </c>
      <c r="K3312" s="11" t="s">
        <v>20</v>
      </c>
      <c r="L3312" s="11" t="s">
        <v>30</v>
      </c>
      <c r="M3312" s="11" t="s">
        <v>29</v>
      </c>
      <c r="N3312" s="11" t="s">
        <v>29</v>
      </c>
      <c r="O3312" s="16" t="s">
        <v>29</v>
      </c>
      <c r="P3312" s="15">
        <v>227</v>
      </c>
      <c r="Q3312" s="8"/>
      <c r="R3312">
        <v>13.81</v>
      </c>
      <c r="S3312">
        <v>2632.87</v>
      </c>
      <c r="T3312">
        <v>6.46</v>
      </c>
      <c r="U3312">
        <v>9.92</v>
      </c>
      <c r="V3312">
        <v>138</v>
      </c>
      <c r="W3312" s="317">
        <v>4.5999999999999996</v>
      </c>
      <c r="X3312" s="190">
        <f t="shared" si="154"/>
        <v>78.199999999999989</v>
      </c>
      <c r="Y3312" s="8"/>
      <c r="Z3312" s="8"/>
    </row>
    <row r="3313" spans="1:26" ht="12.75" customHeight="1" x14ac:dyDescent="0.2">
      <c r="A3313" s="15">
        <v>12</v>
      </c>
      <c r="B3313" s="15">
        <v>1991</v>
      </c>
      <c r="C3313" s="15">
        <v>15</v>
      </c>
      <c r="D3313" s="15">
        <v>8</v>
      </c>
      <c r="E3313" s="22" t="s">
        <v>241</v>
      </c>
      <c r="F3313" s="11" t="s">
        <v>18</v>
      </c>
      <c r="G3313" s="15">
        <v>155</v>
      </c>
      <c r="H3313" s="15" t="s">
        <v>29</v>
      </c>
      <c r="I3313" s="25">
        <v>22.8</v>
      </c>
      <c r="J3313" s="11" t="s">
        <v>19</v>
      </c>
      <c r="K3313" s="11" t="s">
        <v>20</v>
      </c>
      <c r="L3313" s="11" t="s">
        <v>30</v>
      </c>
      <c r="M3313" s="11" t="s">
        <v>29</v>
      </c>
      <c r="N3313" s="11" t="s">
        <v>29</v>
      </c>
      <c r="O3313" s="16" t="s">
        <v>29</v>
      </c>
      <c r="P3313" s="15">
        <v>227</v>
      </c>
      <c r="Q3313" s="8"/>
      <c r="R3313">
        <v>14.46</v>
      </c>
      <c r="S3313">
        <v>3024.41</v>
      </c>
      <c r="T3313">
        <v>7.54</v>
      </c>
      <c r="U3313">
        <v>10.39</v>
      </c>
      <c r="V3313">
        <v>145</v>
      </c>
      <c r="W3313" s="317">
        <v>4.5999999999999996</v>
      </c>
      <c r="X3313" s="190">
        <f t="shared" si="154"/>
        <v>104.88</v>
      </c>
      <c r="Y3313" s="8"/>
      <c r="Z3313" s="8"/>
    </row>
    <row r="3314" spans="1:26" ht="12.75" customHeight="1" x14ac:dyDescent="0.2">
      <c r="A3314" s="15">
        <v>13</v>
      </c>
      <c r="B3314" s="15">
        <v>1991</v>
      </c>
      <c r="C3314" s="15">
        <v>15</v>
      </c>
      <c r="D3314" s="15">
        <v>8</v>
      </c>
      <c r="E3314" s="22" t="s">
        <v>241</v>
      </c>
      <c r="F3314" s="11" t="s">
        <v>18</v>
      </c>
      <c r="G3314" s="15">
        <v>156</v>
      </c>
      <c r="H3314" s="15" t="s">
        <v>29</v>
      </c>
      <c r="I3314" s="25">
        <v>21.1</v>
      </c>
      <c r="J3314" s="11" t="s">
        <v>19</v>
      </c>
      <c r="K3314" s="11" t="s">
        <v>20</v>
      </c>
      <c r="L3314" s="11" t="s">
        <v>30</v>
      </c>
      <c r="M3314" s="11" t="s">
        <v>29</v>
      </c>
      <c r="N3314" s="11" t="s">
        <v>29</v>
      </c>
      <c r="O3314" s="16" t="s">
        <v>29</v>
      </c>
      <c r="P3314" s="15">
        <v>227</v>
      </c>
      <c r="Q3314" s="8"/>
      <c r="R3314">
        <v>14.55</v>
      </c>
      <c r="S3314">
        <v>3083.32</v>
      </c>
      <c r="T3314">
        <v>6.84</v>
      </c>
      <c r="U3314">
        <v>10.45</v>
      </c>
      <c r="V3314">
        <v>146</v>
      </c>
      <c r="W3314" s="317">
        <v>4.5999999999999996</v>
      </c>
      <c r="X3314" s="190">
        <f t="shared" si="154"/>
        <v>97.06</v>
      </c>
      <c r="Y3314" s="8"/>
      <c r="Z3314" s="8"/>
    </row>
    <row r="3315" spans="1:26" ht="12.75" customHeight="1" x14ac:dyDescent="0.2">
      <c r="A3315" s="15">
        <v>14</v>
      </c>
      <c r="B3315" s="15">
        <v>1991</v>
      </c>
      <c r="C3315" s="15">
        <v>15</v>
      </c>
      <c r="D3315" s="15">
        <v>8</v>
      </c>
      <c r="E3315" s="22" t="s">
        <v>241</v>
      </c>
      <c r="F3315" s="11" t="s">
        <v>18</v>
      </c>
      <c r="G3315" s="15">
        <v>80.5</v>
      </c>
      <c r="H3315" s="15" t="s">
        <v>29</v>
      </c>
      <c r="I3315" s="25" t="s">
        <v>29</v>
      </c>
      <c r="J3315" s="11" t="s">
        <v>19</v>
      </c>
      <c r="K3315" s="11" t="s">
        <v>20</v>
      </c>
      <c r="L3315" s="11" t="s">
        <v>21</v>
      </c>
      <c r="M3315" s="11" t="s">
        <v>29</v>
      </c>
      <c r="N3315" s="11" t="s">
        <v>29</v>
      </c>
      <c r="O3315" s="16" t="s">
        <v>29</v>
      </c>
      <c r="P3315" s="15">
        <v>227</v>
      </c>
      <c r="Q3315" s="8"/>
      <c r="U3315">
        <v>5.39</v>
      </c>
      <c r="V3315">
        <v>75</v>
      </c>
      <c r="W3315" s="317">
        <v>3.9</v>
      </c>
      <c r="X3315" s="190"/>
      <c r="Y3315" s="8"/>
      <c r="Z3315" s="8"/>
    </row>
    <row r="3316" spans="1:26" ht="12.75" customHeight="1" x14ac:dyDescent="0.2">
      <c r="A3316" s="15">
        <v>15</v>
      </c>
      <c r="B3316" s="15">
        <v>1991</v>
      </c>
      <c r="C3316" s="15">
        <v>15</v>
      </c>
      <c r="D3316" s="15">
        <v>8</v>
      </c>
      <c r="E3316" s="22" t="s">
        <v>241</v>
      </c>
      <c r="F3316" s="11" t="s">
        <v>18</v>
      </c>
      <c r="G3316" s="15">
        <v>110.5</v>
      </c>
      <c r="H3316" s="15" t="s">
        <v>29</v>
      </c>
      <c r="I3316" s="25" t="s">
        <v>29</v>
      </c>
      <c r="J3316" s="11" t="s">
        <v>19</v>
      </c>
      <c r="K3316" s="11" t="s">
        <v>20</v>
      </c>
      <c r="L3316" s="11" t="s">
        <v>21</v>
      </c>
      <c r="M3316" s="11" t="s">
        <v>29</v>
      </c>
      <c r="N3316" s="11" t="s">
        <v>29</v>
      </c>
      <c r="O3316" s="16" t="s">
        <v>29</v>
      </c>
      <c r="P3316" s="15">
        <v>227</v>
      </c>
      <c r="Q3316" s="8"/>
      <c r="U3316">
        <v>7.4</v>
      </c>
      <c r="V3316">
        <v>103</v>
      </c>
      <c r="W3316" s="317">
        <v>3.9</v>
      </c>
      <c r="X3316" s="190"/>
      <c r="Y3316" s="8"/>
      <c r="Z3316" s="8"/>
    </row>
    <row r="3317" spans="1:26" ht="12.75" customHeight="1" x14ac:dyDescent="0.2">
      <c r="A3317" s="15">
        <v>16</v>
      </c>
      <c r="B3317" s="15">
        <v>1991</v>
      </c>
      <c r="C3317" s="15">
        <v>15</v>
      </c>
      <c r="D3317" s="15">
        <v>8</v>
      </c>
      <c r="E3317" s="22" t="s">
        <v>241</v>
      </c>
      <c r="F3317" s="11" t="s">
        <v>28</v>
      </c>
      <c r="G3317" s="11" t="s">
        <v>29</v>
      </c>
      <c r="H3317" s="15" t="s">
        <v>29</v>
      </c>
      <c r="I3317" s="25" t="s">
        <v>29</v>
      </c>
      <c r="J3317" s="11" t="s">
        <v>19</v>
      </c>
      <c r="K3317" s="11" t="s">
        <v>20</v>
      </c>
      <c r="L3317" s="11" t="s">
        <v>30</v>
      </c>
      <c r="M3317" s="11" t="s">
        <v>29</v>
      </c>
      <c r="N3317" s="11" t="s">
        <v>29</v>
      </c>
      <c r="O3317" s="16" t="s">
        <v>29</v>
      </c>
      <c r="P3317" s="15">
        <v>227</v>
      </c>
      <c r="Q3317" s="8"/>
      <c r="W3317" s="317">
        <v>4.5999999999999996</v>
      </c>
      <c r="X3317" s="190"/>
      <c r="Y3317" s="8"/>
      <c r="Z3317" s="8"/>
    </row>
    <row r="3318" spans="1:26" ht="12.75" customHeight="1" x14ac:dyDescent="0.2">
      <c r="A3318" s="15">
        <v>17</v>
      </c>
      <c r="B3318" s="15">
        <v>1991</v>
      </c>
      <c r="C3318" s="15">
        <v>15</v>
      </c>
      <c r="D3318" s="15">
        <v>8</v>
      </c>
      <c r="E3318" s="22" t="s">
        <v>241</v>
      </c>
      <c r="F3318" s="11" t="s">
        <v>18</v>
      </c>
      <c r="G3318" s="15">
        <v>120</v>
      </c>
      <c r="H3318" s="15" t="s">
        <v>29</v>
      </c>
      <c r="I3318" s="25">
        <v>9.6</v>
      </c>
      <c r="J3318" s="11" t="s">
        <v>19</v>
      </c>
      <c r="K3318" s="11" t="s">
        <v>20</v>
      </c>
      <c r="L3318" s="11" t="s">
        <v>21</v>
      </c>
      <c r="M3318" s="11" t="s">
        <v>29</v>
      </c>
      <c r="N3318" s="11" t="s">
        <v>29</v>
      </c>
      <c r="O3318" s="16" t="s">
        <v>29</v>
      </c>
      <c r="P3318" s="15">
        <v>227</v>
      </c>
      <c r="Q3318" s="8"/>
      <c r="R3318">
        <v>11.2</v>
      </c>
      <c r="S3318">
        <v>1403.42</v>
      </c>
      <c r="T3318">
        <v>6.84</v>
      </c>
      <c r="U3318">
        <v>8.0399999999999991</v>
      </c>
      <c r="V3318">
        <v>112</v>
      </c>
      <c r="W3318" s="317">
        <v>3.9</v>
      </c>
      <c r="X3318" s="190">
        <f t="shared" si="154"/>
        <v>37.44</v>
      </c>
      <c r="Y3318" s="8"/>
      <c r="Z3318" s="8"/>
    </row>
    <row r="3319" spans="1:26" ht="12.75" customHeight="1" x14ac:dyDescent="0.2">
      <c r="A3319" s="15">
        <v>18</v>
      </c>
      <c r="B3319" s="15">
        <v>1991</v>
      </c>
      <c r="C3319" s="15">
        <v>15</v>
      </c>
      <c r="D3319" s="15">
        <v>8</v>
      </c>
      <c r="E3319" s="22" t="s">
        <v>241</v>
      </c>
      <c r="F3319" s="11" t="s">
        <v>18</v>
      </c>
      <c r="G3319" s="15">
        <v>155</v>
      </c>
      <c r="H3319" s="15" t="s">
        <v>29</v>
      </c>
      <c r="I3319" s="25">
        <v>15.5</v>
      </c>
      <c r="J3319" s="11" t="s">
        <v>19</v>
      </c>
      <c r="K3319" s="11" t="s">
        <v>20</v>
      </c>
      <c r="L3319" s="11" t="s">
        <v>21</v>
      </c>
      <c r="M3319" s="11" t="s">
        <v>29</v>
      </c>
      <c r="N3319" s="11" t="s">
        <v>29</v>
      </c>
      <c r="O3319" s="16" t="s">
        <v>29</v>
      </c>
      <c r="P3319" s="15">
        <v>227</v>
      </c>
      <c r="Q3319" s="8"/>
      <c r="R3319">
        <v>14.46</v>
      </c>
      <c r="S3319">
        <v>3024.41</v>
      </c>
      <c r="T3319">
        <v>5.12</v>
      </c>
      <c r="U3319">
        <v>10.39</v>
      </c>
      <c r="V3319">
        <v>145</v>
      </c>
      <c r="W3319" s="317">
        <v>3.9</v>
      </c>
      <c r="X3319" s="190">
        <f t="shared" si="154"/>
        <v>60.449999999999996</v>
      </c>
      <c r="Y3319" s="8"/>
      <c r="Z3319" s="8"/>
    </row>
    <row r="3320" spans="1:26" ht="12.75" customHeight="1" x14ac:dyDescent="0.2">
      <c r="A3320" s="15">
        <v>19</v>
      </c>
      <c r="B3320" s="15">
        <v>1991</v>
      </c>
      <c r="C3320" s="15">
        <v>15</v>
      </c>
      <c r="D3320" s="15">
        <v>8</v>
      </c>
      <c r="E3320" s="22" t="s">
        <v>241</v>
      </c>
      <c r="F3320" s="11" t="s">
        <v>18</v>
      </c>
      <c r="G3320" s="15">
        <v>162</v>
      </c>
      <c r="H3320" s="15" t="s">
        <v>29</v>
      </c>
      <c r="I3320" s="25">
        <v>14.5</v>
      </c>
      <c r="J3320" s="11" t="s">
        <v>19</v>
      </c>
      <c r="K3320" s="11" t="s">
        <v>20</v>
      </c>
      <c r="L3320" s="11" t="s">
        <v>21</v>
      </c>
      <c r="M3320" s="11" t="s">
        <v>29</v>
      </c>
      <c r="N3320" s="11" t="s">
        <v>29</v>
      </c>
      <c r="O3320" s="16" t="s">
        <v>29</v>
      </c>
      <c r="P3320" s="15">
        <v>227</v>
      </c>
      <c r="Q3320" s="8"/>
      <c r="R3320">
        <v>15.11</v>
      </c>
      <c r="S3320">
        <v>3452.95</v>
      </c>
      <c r="T3320">
        <v>4.2</v>
      </c>
      <c r="U3320">
        <v>10.85</v>
      </c>
      <c r="V3320">
        <v>151</v>
      </c>
      <c r="W3320" s="317">
        <v>3.9</v>
      </c>
      <c r="X3320" s="190">
        <f t="shared" si="154"/>
        <v>56.55</v>
      </c>
      <c r="Y3320" s="8"/>
      <c r="Z3320" s="8"/>
    </row>
    <row r="3321" spans="1:26" ht="12.75" customHeight="1" x14ac:dyDescent="0.2">
      <c r="A3321" s="15">
        <v>20</v>
      </c>
      <c r="B3321" s="15">
        <v>1991</v>
      </c>
      <c r="C3321" s="15">
        <v>15</v>
      </c>
      <c r="D3321" s="15">
        <v>8</v>
      </c>
      <c r="E3321" s="22" t="s">
        <v>241</v>
      </c>
      <c r="F3321" s="11" t="s">
        <v>18</v>
      </c>
      <c r="G3321" s="15">
        <v>160</v>
      </c>
      <c r="H3321" s="15" t="s">
        <v>29</v>
      </c>
      <c r="I3321" s="25">
        <v>25.5</v>
      </c>
      <c r="J3321" s="11" t="s">
        <v>19</v>
      </c>
      <c r="K3321" s="11" t="s">
        <v>20</v>
      </c>
      <c r="L3321" s="11" t="s">
        <v>30</v>
      </c>
      <c r="M3321" s="11" t="s">
        <v>29</v>
      </c>
      <c r="N3321" s="11" t="s">
        <v>29</v>
      </c>
      <c r="O3321" s="16" t="s">
        <v>29</v>
      </c>
      <c r="P3321" s="15">
        <v>227</v>
      </c>
      <c r="Q3321" s="8"/>
      <c r="R3321">
        <v>14.93</v>
      </c>
      <c r="S3321">
        <v>3326.63</v>
      </c>
      <c r="T3321">
        <v>7.67</v>
      </c>
      <c r="U3321">
        <v>10.72</v>
      </c>
      <c r="V3321">
        <v>149</v>
      </c>
      <c r="W3321" s="317">
        <v>4.5999999999999996</v>
      </c>
      <c r="X3321" s="190">
        <f t="shared" si="154"/>
        <v>117.3</v>
      </c>
      <c r="Y3321" s="8"/>
      <c r="Z3321" s="8"/>
    </row>
    <row r="3322" spans="1:26" ht="12.75" customHeight="1" x14ac:dyDescent="0.2">
      <c r="A3322" s="15">
        <v>21</v>
      </c>
      <c r="B3322" s="15">
        <v>1991</v>
      </c>
      <c r="C3322" s="15">
        <v>15</v>
      </c>
      <c r="D3322" s="15">
        <v>8</v>
      </c>
      <c r="E3322" s="22" t="s">
        <v>241</v>
      </c>
      <c r="F3322" s="11" t="s">
        <v>18</v>
      </c>
      <c r="G3322" s="15">
        <v>154</v>
      </c>
      <c r="H3322" s="15" t="s">
        <v>29</v>
      </c>
      <c r="I3322" s="25">
        <v>23.5</v>
      </c>
      <c r="J3322" s="11" t="s">
        <v>19</v>
      </c>
      <c r="K3322" s="11" t="s">
        <v>20</v>
      </c>
      <c r="L3322" s="11" t="s">
        <v>30</v>
      </c>
      <c r="M3322" s="11" t="s">
        <v>29</v>
      </c>
      <c r="N3322" s="11" t="s">
        <v>29</v>
      </c>
      <c r="O3322" s="16" t="s">
        <v>29</v>
      </c>
      <c r="P3322" s="15">
        <v>227</v>
      </c>
      <c r="Q3322" s="8"/>
      <c r="R3322">
        <v>14.37</v>
      </c>
      <c r="S3322">
        <v>2966.25</v>
      </c>
      <c r="T3322">
        <v>7.92</v>
      </c>
      <c r="U3322">
        <v>10.32</v>
      </c>
      <c r="V3322">
        <v>144</v>
      </c>
      <c r="W3322" s="317">
        <v>4.5999999999999996</v>
      </c>
      <c r="X3322" s="190">
        <f t="shared" si="154"/>
        <v>108.1</v>
      </c>
      <c r="Y3322" s="8"/>
      <c r="Z3322" s="8"/>
    </row>
    <row r="3323" spans="1:26" ht="12.75" customHeight="1" x14ac:dyDescent="0.2">
      <c r="A3323" s="15">
        <v>22</v>
      </c>
      <c r="B3323" s="15">
        <v>1991</v>
      </c>
      <c r="C3323" s="15">
        <v>15</v>
      </c>
      <c r="D3323" s="15">
        <v>8</v>
      </c>
      <c r="E3323" s="22" t="s">
        <v>241</v>
      </c>
      <c r="F3323" s="11" t="s">
        <v>18</v>
      </c>
      <c r="G3323" s="15">
        <v>175</v>
      </c>
      <c r="H3323" s="15" t="s">
        <v>29</v>
      </c>
      <c r="I3323" s="25">
        <v>21.5</v>
      </c>
      <c r="J3323" s="11" t="s">
        <v>19</v>
      </c>
      <c r="K3323" s="11" t="s">
        <v>20</v>
      </c>
      <c r="L3323" s="11" t="s">
        <v>30</v>
      </c>
      <c r="M3323" s="11" t="s">
        <v>29</v>
      </c>
      <c r="N3323" s="11" t="s">
        <v>29</v>
      </c>
      <c r="O3323" s="16" t="s">
        <v>29</v>
      </c>
      <c r="P3323" s="15">
        <v>227</v>
      </c>
      <c r="Q3323" s="8"/>
      <c r="R3323">
        <v>16.329999999999998</v>
      </c>
      <c r="S3323">
        <v>4352.7</v>
      </c>
      <c r="T3323">
        <v>4.9400000000000004</v>
      </c>
      <c r="U3323">
        <v>11.73</v>
      </c>
      <c r="V3323">
        <v>163</v>
      </c>
      <c r="W3323" s="317">
        <v>4.5999999999999996</v>
      </c>
      <c r="X3323" s="190">
        <f t="shared" si="154"/>
        <v>98.899999999999991</v>
      </c>
      <c r="Y3323" s="8"/>
      <c r="Z3323" s="8"/>
    </row>
    <row r="3324" spans="1:26" ht="12.75" customHeight="1" x14ac:dyDescent="0.2">
      <c r="A3324" s="15">
        <v>23</v>
      </c>
      <c r="B3324" s="15">
        <v>1991</v>
      </c>
      <c r="C3324" s="15">
        <v>15</v>
      </c>
      <c r="D3324" s="15">
        <v>8</v>
      </c>
      <c r="E3324" s="22" t="s">
        <v>241</v>
      </c>
      <c r="F3324" s="11" t="s">
        <v>28</v>
      </c>
      <c r="G3324" s="11" t="s">
        <v>29</v>
      </c>
      <c r="H3324" s="15" t="s">
        <v>29</v>
      </c>
      <c r="I3324" s="25" t="s">
        <v>29</v>
      </c>
      <c r="J3324" s="11" t="s">
        <v>19</v>
      </c>
      <c r="K3324" s="11" t="s">
        <v>20</v>
      </c>
      <c r="L3324" s="11" t="s">
        <v>21</v>
      </c>
      <c r="M3324" s="11" t="s">
        <v>29</v>
      </c>
      <c r="N3324" s="11" t="s">
        <v>29</v>
      </c>
      <c r="O3324" s="16" t="s">
        <v>29</v>
      </c>
      <c r="P3324" s="15">
        <v>227</v>
      </c>
      <c r="Q3324" s="8"/>
      <c r="W3324" s="317">
        <v>3.9</v>
      </c>
      <c r="X3324" s="190"/>
      <c r="Y3324" s="8"/>
      <c r="Z3324" s="8"/>
    </row>
    <row r="3325" spans="1:26" ht="12.75" customHeight="1" x14ac:dyDescent="0.2">
      <c r="A3325" s="15">
        <v>24</v>
      </c>
      <c r="B3325" s="15">
        <v>1991</v>
      </c>
      <c r="C3325" s="15">
        <v>15</v>
      </c>
      <c r="D3325" s="15">
        <v>8</v>
      </c>
      <c r="E3325" s="22" t="s">
        <v>241</v>
      </c>
      <c r="F3325" s="11" t="s">
        <v>28</v>
      </c>
      <c r="G3325" s="11" t="s">
        <v>29</v>
      </c>
      <c r="H3325" s="15" t="s">
        <v>29</v>
      </c>
      <c r="I3325" s="25" t="s">
        <v>29</v>
      </c>
      <c r="J3325" s="11" t="s">
        <v>19</v>
      </c>
      <c r="K3325" s="11" t="s">
        <v>20</v>
      </c>
      <c r="L3325" s="11" t="s">
        <v>21</v>
      </c>
      <c r="M3325" s="11" t="s">
        <v>29</v>
      </c>
      <c r="N3325" s="11" t="s">
        <v>29</v>
      </c>
      <c r="O3325" s="16" t="s">
        <v>29</v>
      </c>
      <c r="P3325" s="15">
        <v>227</v>
      </c>
      <c r="Q3325" s="8"/>
      <c r="W3325" s="317">
        <v>3.9</v>
      </c>
      <c r="X3325" s="190"/>
      <c r="Y3325" s="8"/>
      <c r="Z3325" s="8"/>
    </row>
    <row r="3326" spans="1:26" ht="12.75" customHeight="1" x14ac:dyDescent="0.2">
      <c r="A3326" s="15">
        <v>25</v>
      </c>
      <c r="B3326" s="15">
        <v>1991</v>
      </c>
      <c r="C3326" s="15">
        <v>15</v>
      </c>
      <c r="D3326" s="15">
        <v>8</v>
      </c>
      <c r="E3326" s="22" t="s">
        <v>241</v>
      </c>
      <c r="F3326" s="11" t="s">
        <v>18</v>
      </c>
      <c r="G3326" s="15">
        <v>148</v>
      </c>
      <c r="H3326" s="15" t="s">
        <v>29</v>
      </c>
      <c r="I3326" s="25">
        <v>11.5</v>
      </c>
      <c r="J3326" s="11" t="s">
        <v>19</v>
      </c>
      <c r="K3326" s="11" t="s">
        <v>20</v>
      </c>
      <c r="L3326" s="11" t="s">
        <v>21</v>
      </c>
      <c r="M3326" s="11" t="s">
        <v>29</v>
      </c>
      <c r="N3326" s="11" t="s">
        <v>29</v>
      </c>
      <c r="O3326" s="16" t="s">
        <v>29</v>
      </c>
      <c r="P3326" s="15">
        <v>227</v>
      </c>
      <c r="Q3326" s="8"/>
      <c r="R3326">
        <v>13.81</v>
      </c>
      <c r="S3326">
        <v>2632.87</v>
      </c>
      <c r="T3326">
        <v>4.37</v>
      </c>
      <c r="U3326">
        <v>9.92</v>
      </c>
      <c r="V3326">
        <v>138</v>
      </c>
      <c r="W3326" s="317">
        <v>3.9</v>
      </c>
      <c r="X3326" s="190">
        <f t="shared" si="154"/>
        <v>44.85</v>
      </c>
      <c r="Y3326" s="8"/>
      <c r="Z3326" s="8"/>
    </row>
    <row r="3327" spans="1:26" ht="12.75" customHeight="1" x14ac:dyDescent="0.2">
      <c r="A3327" s="15">
        <v>26</v>
      </c>
      <c r="B3327" s="15">
        <v>1991</v>
      </c>
      <c r="C3327" s="15">
        <v>15</v>
      </c>
      <c r="D3327" s="15">
        <v>8</v>
      </c>
      <c r="E3327" s="22" t="s">
        <v>241</v>
      </c>
      <c r="F3327" s="11" t="s">
        <v>18</v>
      </c>
      <c r="G3327" s="15">
        <v>160</v>
      </c>
      <c r="H3327" s="15" t="s">
        <v>29</v>
      </c>
      <c r="I3327" s="25">
        <v>22.5</v>
      </c>
      <c r="J3327" s="11" t="s">
        <v>19</v>
      </c>
      <c r="K3327" s="11" t="s">
        <v>20</v>
      </c>
      <c r="L3327" s="11" t="s">
        <v>21</v>
      </c>
      <c r="M3327" s="11" t="s">
        <v>29</v>
      </c>
      <c r="N3327" s="11" t="s">
        <v>29</v>
      </c>
      <c r="O3327" s="16" t="s">
        <v>29</v>
      </c>
      <c r="P3327" s="15">
        <v>227</v>
      </c>
      <c r="Q3327" s="8"/>
      <c r="R3327">
        <v>14.93</v>
      </c>
      <c r="S3327">
        <v>3326.63</v>
      </c>
      <c r="T3327">
        <v>6.76</v>
      </c>
      <c r="U3327">
        <v>10.72</v>
      </c>
      <c r="V3327">
        <v>149</v>
      </c>
      <c r="W3327" s="317">
        <v>3.9</v>
      </c>
      <c r="X3327" s="190">
        <f t="shared" si="154"/>
        <v>87.75</v>
      </c>
      <c r="Y3327" s="8"/>
      <c r="Z3327" s="8"/>
    </row>
    <row r="3328" spans="1:26" ht="12.75" customHeight="1" x14ac:dyDescent="0.2">
      <c r="A3328" s="15">
        <v>27</v>
      </c>
      <c r="B3328" s="15">
        <v>1991</v>
      </c>
      <c r="C3328" s="15">
        <v>15</v>
      </c>
      <c r="D3328" s="15">
        <v>8</v>
      </c>
      <c r="E3328" s="22" t="s">
        <v>241</v>
      </c>
      <c r="F3328" s="11" t="s">
        <v>18</v>
      </c>
      <c r="G3328" s="15">
        <v>155</v>
      </c>
      <c r="H3328" s="15" t="s">
        <v>29</v>
      </c>
      <c r="I3328" s="25">
        <v>21.5</v>
      </c>
      <c r="J3328" s="11" t="s">
        <v>19</v>
      </c>
      <c r="K3328" s="11" t="s">
        <v>34</v>
      </c>
      <c r="L3328" s="11" t="s">
        <v>41</v>
      </c>
      <c r="M3328" s="11" t="s">
        <v>29</v>
      </c>
      <c r="N3328" s="11" t="s">
        <v>25</v>
      </c>
      <c r="O3328" s="16" t="s">
        <v>29</v>
      </c>
      <c r="P3328" s="15">
        <v>227</v>
      </c>
      <c r="Q3328" s="8"/>
      <c r="R3328">
        <v>14.46</v>
      </c>
      <c r="S3328">
        <v>3024.41</v>
      </c>
      <c r="T3328">
        <v>7.11</v>
      </c>
      <c r="U3328">
        <v>10.39</v>
      </c>
      <c r="V3328">
        <v>145</v>
      </c>
      <c r="W3328" s="317">
        <v>3.8</v>
      </c>
      <c r="X3328" s="190">
        <f t="shared" si="154"/>
        <v>81.7</v>
      </c>
      <c r="Y3328" s="8"/>
      <c r="Z3328" s="8"/>
    </row>
    <row r="3329" spans="1:26" ht="12.75" customHeight="1" x14ac:dyDescent="0.2">
      <c r="A3329" s="15">
        <v>28</v>
      </c>
      <c r="B3329" s="15">
        <v>1991</v>
      </c>
      <c r="C3329" s="15">
        <v>15</v>
      </c>
      <c r="D3329" s="15">
        <v>8</v>
      </c>
      <c r="E3329" s="22" t="s">
        <v>241</v>
      </c>
      <c r="F3329" s="11" t="s">
        <v>18</v>
      </c>
      <c r="G3329" s="15">
        <v>149</v>
      </c>
      <c r="H3329" s="15" t="s">
        <v>29</v>
      </c>
      <c r="I3329" s="25">
        <v>17.3</v>
      </c>
      <c r="J3329" s="11" t="s">
        <v>19</v>
      </c>
      <c r="K3329" s="11" t="s">
        <v>20</v>
      </c>
      <c r="L3329" s="11" t="s">
        <v>21</v>
      </c>
      <c r="M3329" s="11" t="s">
        <v>29</v>
      </c>
      <c r="N3329" s="11" t="s">
        <v>29</v>
      </c>
      <c r="O3329" s="16" t="s">
        <v>29</v>
      </c>
      <c r="P3329" s="15">
        <v>227</v>
      </c>
      <c r="Q3329" s="8"/>
      <c r="R3329">
        <v>13.9</v>
      </c>
      <c r="S3329">
        <v>2686.6</v>
      </c>
      <c r="T3329">
        <v>6.44</v>
      </c>
      <c r="U3329">
        <v>9.98</v>
      </c>
      <c r="V3329">
        <v>139</v>
      </c>
      <c r="W3329" s="317">
        <v>3.9</v>
      </c>
      <c r="X3329" s="190">
        <f>I3329*W3329</f>
        <v>67.47</v>
      </c>
      <c r="Y3329" s="8"/>
      <c r="Z3329" s="8"/>
    </row>
    <row r="3330" spans="1:26" ht="12.75" customHeight="1" x14ac:dyDescent="0.2">
      <c r="A3330" s="15">
        <v>29</v>
      </c>
      <c r="B3330" s="15">
        <v>1991</v>
      </c>
      <c r="C3330" s="15">
        <v>15</v>
      </c>
      <c r="D3330" s="15">
        <v>8</v>
      </c>
      <c r="E3330" s="22" t="s">
        <v>241</v>
      </c>
      <c r="F3330" s="11" t="s">
        <v>18</v>
      </c>
      <c r="G3330" s="15">
        <v>134</v>
      </c>
      <c r="H3330" s="15" t="s">
        <v>29</v>
      </c>
      <c r="I3330" s="25">
        <v>16.600000000000001</v>
      </c>
      <c r="J3330" s="11" t="s">
        <v>19</v>
      </c>
      <c r="K3330" s="11" t="s">
        <v>20</v>
      </c>
      <c r="L3330" s="11" t="s">
        <v>30</v>
      </c>
      <c r="M3330" s="11" t="s">
        <v>29</v>
      </c>
      <c r="N3330" s="11" t="s">
        <v>25</v>
      </c>
      <c r="O3330" s="16" t="s">
        <v>29</v>
      </c>
      <c r="P3330" s="15">
        <v>227</v>
      </c>
      <c r="Q3330" s="8"/>
      <c r="R3330">
        <v>12.5</v>
      </c>
      <c r="S3330">
        <v>1954.16</v>
      </c>
      <c r="T3330">
        <v>8.49</v>
      </c>
      <c r="U3330">
        <v>8.98</v>
      </c>
      <c r="V3330">
        <v>125</v>
      </c>
      <c r="W3330" s="317">
        <v>4.5999999999999996</v>
      </c>
      <c r="X3330" s="190">
        <f>I3330*W3330</f>
        <v>76.36</v>
      </c>
      <c r="Y3330" s="8"/>
      <c r="Z3330" s="8"/>
    </row>
    <row r="3331" spans="1:26" ht="12.75" customHeight="1" x14ac:dyDescent="0.2">
      <c r="A3331" s="15">
        <v>30</v>
      </c>
      <c r="B3331" s="15">
        <v>1991</v>
      </c>
      <c r="C3331" s="15">
        <v>15</v>
      </c>
      <c r="D3331" s="15">
        <v>8</v>
      </c>
      <c r="E3331" s="22" t="s">
        <v>241</v>
      </c>
      <c r="F3331" s="11" t="s">
        <v>18</v>
      </c>
      <c r="G3331" s="15">
        <v>144</v>
      </c>
      <c r="H3331" s="15" t="s">
        <v>29</v>
      </c>
      <c r="I3331" s="25">
        <v>14</v>
      </c>
      <c r="J3331" s="11" t="s">
        <v>19</v>
      </c>
      <c r="K3331" s="11" t="s">
        <v>20</v>
      </c>
      <c r="L3331" s="11" t="s">
        <v>21</v>
      </c>
      <c r="M3331" s="11" t="s">
        <v>29</v>
      </c>
      <c r="N3331" s="11" t="s">
        <v>29</v>
      </c>
      <c r="O3331" s="16" t="s">
        <v>29</v>
      </c>
      <c r="P3331" s="15">
        <v>227</v>
      </c>
      <c r="Q3331" s="8"/>
      <c r="R3331">
        <v>13.44</v>
      </c>
      <c r="S3331">
        <v>2425.12</v>
      </c>
      <c r="T3331">
        <v>5.77</v>
      </c>
      <c r="U3331">
        <v>9.65</v>
      </c>
      <c r="V3331">
        <v>134</v>
      </c>
      <c r="W3331" s="317">
        <v>3.9</v>
      </c>
      <c r="X3331" s="190">
        <f>I3331*W3331</f>
        <v>54.6</v>
      </c>
      <c r="Y3331" s="8"/>
      <c r="Z3331" s="8"/>
    </row>
    <row r="3332" spans="1:26" ht="12.75" customHeight="1" x14ac:dyDescent="0.2">
      <c r="A3332" s="15">
        <v>31</v>
      </c>
      <c r="B3332" s="15">
        <v>1991</v>
      </c>
      <c r="C3332" s="15">
        <v>14</v>
      </c>
      <c r="D3332" s="15">
        <v>8</v>
      </c>
      <c r="E3332" s="14">
        <v>0.625</v>
      </c>
      <c r="F3332" s="11" t="s">
        <v>28</v>
      </c>
      <c r="G3332" s="11" t="s">
        <v>29</v>
      </c>
      <c r="H3332" s="15" t="s">
        <v>29</v>
      </c>
      <c r="I3332" s="25" t="s">
        <v>29</v>
      </c>
      <c r="J3332" s="11" t="s">
        <v>19</v>
      </c>
      <c r="K3332" s="11" t="s">
        <v>20</v>
      </c>
      <c r="L3332" s="11" t="s">
        <v>30</v>
      </c>
      <c r="M3332" s="11" t="s">
        <v>29</v>
      </c>
      <c r="N3332" s="11" t="s">
        <v>25</v>
      </c>
      <c r="O3332" s="16" t="s">
        <v>29</v>
      </c>
      <c r="P3332" s="15">
        <v>226</v>
      </c>
      <c r="Q3332" s="8"/>
      <c r="W3332" s="317">
        <v>4.5999999999999996</v>
      </c>
      <c r="X3332" s="190"/>
      <c r="Y3332" s="8"/>
      <c r="Z3332" s="8"/>
    </row>
    <row r="3333" spans="1:26" ht="12.75" customHeight="1" x14ac:dyDescent="0.2">
      <c r="A3333" s="15">
        <v>32</v>
      </c>
      <c r="B3333" s="15">
        <v>1991</v>
      </c>
      <c r="C3333" s="15">
        <v>14</v>
      </c>
      <c r="D3333" s="15">
        <v>8</v>
      </c>
      <c r="E3333" s="14">
        <v>0.625</v>
      </c>
      <c r="F3333" s="11" t="s">
        <v>28</v>
      </c>
      <c r="G3333" s="11" t="s">
        <v>29</v>
      </c>
      <c r="H3333" s="15" t="s">
        <v>29</v>
      </c>
      <c r="I3333" s="25" t="s">
        <v>29</v>
      </c>
      <c r="J3333" s="11" t="s">
        <v>19</v>
      </c>
      <c r="K3333" s="11" t="s">
        <v>20</v>
      </c>
      <c r="L3333" s="11" t="s">
        <v>21</v>
      </c>
      <c r="M3333" s="11" t="s">
        <v>29</v>
      </c>
      <c r="N3333" s="11" t="s">
        <v>25</v>
      </c>
      <c r="O3333" s="16" t="s">
        <v>29</v>
      </c>
      <c r="P3333" s="15">
        <v>226</v>
      </c>
      <c r="Q3333" s="8"/>
      <c r="W3333" s="317">
        <v>3.9</v>
      </c>
      <c r="X3333" s="190"/>
      <c r="Y3333" s="8"/>
      <c r="Z3333" s="8"/>
    </row>
    <row r="3334" spans="1:26" ht="12.75" customHeight="1" x14ac:dyDescent="0.2">
      <c r="A3334" s="15">
        <v>33</v>
      </c>
      <c r="B3334" s="15">
        <v>1991</v>
      </c>
      <c r="C3334" s="15">
        <v>14</v>
      </c>
      <c r="D3334" s="15">
        <v>8</v>
      </c>
      <c r="E3334" s="14">
        <v>0.625</v>
      </c>
      <c r="F3334" s="11" t="s">
        <v>28</v>
      </c>
      <c r="G3334" s="11" t="s">
        <v>29</v>
      </c>
      <c r="H3334" s="15" t="s">
        <v>29</v>
      </c>
      <c r="I3334" s="25" t="s">
        <v>29</v>
      </c>
      <c r="J3334" s="11" t="s">
        <v>19</v>
      </c>
      <c r="K3334" s="11" t="s">
        <v>20</v>
      </c>
      <c r="L3334" s="11" t="s">
        <v>30</v>
      </c>
      <c r="M3334" s="11" t="s">
        <v>29</v>
      </c>
      <c r="N3334" s="11" t="s">
        <v>25</v>
      </c>
      <c r="O3334" s="16" t="s">
        <v>29</v>
      </c>
      <c r="P3334" s="15">
        <v>226</v>
      </c>
      <c r="Q3334" s="8"/>
      <c r="W3334" s="317">
        <v>4.5999999999999996</v>
      </c>
      <c r="X3334" s="190"/>
      <c r="Y3334" s="8"/>
      <c r="Z3334" s="8"/>
    </row>
    <row r="3335" spans="1:26" ht="12.75" customHeight="1" x14ac:dyDescent="0.2">
      <c r="A3335" s="15">
        <v>34</v>
      </c>
      <c r="B3335" s="15">
        <v>1991</v>
      </c>
      <c r="C3335" s="15">
        <v>14</v>
      </c>
      <c r="D3335" s="15">
        <v>8</v>
      </c>
      <c r="E3335" s="14">
        <v>0.625</v>
      </c>
      <c r="F3335" s="11" t="s">
        <v>28</v>
      </c>
      <c r="G3335" s="11" t="s">
        <v>29</v>
      </c>
      <c r="H3335" s="15" t="s">
        <v>29</v>
      </c>
      <c r="I3335" s="25" t="s">
        <v>29</v>
      </c>
      <c r="J3335" s="11" t="s">
        <v>19</v>
      </c>
      <c r="K3335" s="11" t="s">
        <v>20</v>
      </c>
      <c r="L3335" s="11" t="s">
        <v>30</v>
      </c>
      <c r="M3335" s="11" t="s">
        <v>29</v>
      </c>
      <c r="N3335" s="11" t="s">
        <v>25</v>
      </c>
      <c r="O3335" s="16" t="s">
        <v>29</v>
      </c>
      <c r="P3335" s="15">
        <v>226</v>
      </c>
      <c r="Q3335" s="8"/>
      <c r="W3335" s="317">
        <v>4.5999999999999996</v>
      </c>
      <c r="X3335" s="190"/>
      <c r="Y3335" s="8"/>
      <c r="Z3335" s="8"/>
    </row>
    <row r="3336" spans="1:26" ht="12.75" customHeight="1" x14ac:dyDescent="0.2">
      <c r="A3336" s="15">
        <v>35</v>
      </c>
      <c r="B3336" s="15">
        <v>1991</v>
      </c>
      <c r="C3336" s="15">
        <v>14</v>
      </c>
      <c r="D3336" s="15">
        <v>8</v>
      </c>
      <c r="E3336" s="14">
        <v>0.625</v>
      </c>
      <c r="F3336" s="11" t="s">
        <v>18</v>
      </c>
      <c r="G3336" s="15">
        <v>147</v>
      </c>
      <c r="H3336" s="15" t="s">
        <v>29</v>
      </c>
      <c r="I3336" s="25">
        <v>11</v>
      </c>
      <c r="J3336" s="11" t="s">
        <v>19</v>
      </c>
      <c r="K3336" s="11" t="s">
        <v>20</v>
      </c>
      <c r="L3336" s="11" t="s">
        <v>21</v>
      </c>
      <c r="M3336" s="11" t="s">
        <v>29</v>
      </c>
      <c r="N3336" s="11" t="s">
        <v>29</v>
      </c>
      <c r="O3336" s="16" t="s">
        <v>29</v>
      </c>
      <c r="P3336" s="15">
        <v>226</v>
      </c>
      <c r="Q3336" s="8"/>
      <c r="R3336">
        <v>13.72</v>
      </c>
      <c r="S3336">
        <v>2579.86</v>
      </c>
      <c r="T3336">
        <v>4.26</v>
      </c>
      <c r="U3336">
        <v>9.85</v>
      </c>
      <c r="V3336">
        <v>137</v>
      </c>
      <c r="W3336" s="317">
        <v>3.9</v>
      </c>
      <c r="X3336" s="190">
        <f>I3336*W3336</f>
        <v>42.9</v>
      </c>
      <c r="Y3336" s="8"/>
      <c r="Z3336" s="8"/>
    </row>
    <row r="3337" spans="1:26" ht="12.75" customHeight="1" x14ac:dyDescent="0.2">
      <c r="A3337" s="15">
        <v>36</v>
      </c>
      <c r="B3337" s="15">
        <v>1991</v>
      </c>
      <c r="C3337" s="15">
        <v>14</v>
      </c>
      <c r="D3337" s="15">
        <v>8</v>
      </c>
      <c r="E3337" s="14">
        <v>0.625</v>
      </c>
      <c r="F3337" s="11" t="s">
        <v>18</v>
      </c>
      <c r="G3337" s="15">
        <v>145</v>
      </c>
      <c r="H3337" s="15" t="s">
        <v>29</v>
      </c>
      <c r="I3337" s="25" t="s">
        <v>29</v>
      </c>
      <c r="J3337" s="11" t="s">
        <v>19</v>
      </c>
      <c r="K3337" s="11" t="s">
        <v>20</v>
      </c>
      <c r="L3337" s="11" t="s">
        <v>21</v>
      </c>
      <c r="M3337" s="11" t="s">
        <v>29</v>
      </c>
      <c r="N3337" s="11" t="s">
        <v>29</v>
      </c>
      <c r="O3337" s="16" t="s">
        <v>29</v>
      </c>
      <c r="P3337" s="15">
        <v>226</v>
      </c>
      <c r="Q3337" s="8"/>
      <c r="U3337">
        <v>9.7200000000000006</v>
      </c>
      <c r="V3337">
        <v>135</v>
      </c>
      <c r="W3337" s="317">
        <v>3.9</v>
      </c>
      <c r="X3337" s="190"/>
      <c r="Y3337" s="8"/>
      <c r="Z3337" s="8"/>
    </row>
    <row r="3338" spans="1:26" ht="12.75" customHeight="1" x14ac:dyDescent="0.2">
      <c r="A3338" s="15">
        <v>37</v>
      </c>
      <c r="B3338" s="15">
        <v>1991</v>
      </c>
      <c r="C3338" s="15">
        <v>14</v>
      </c>
      <c r="D3338" s="15">
        <v>8</v>
      </c>
      <c r="E3338" s="14">
        <v>0.625</v>
      </c>
      <c r="F3338" s="11" t="s">
        <v>28</v>
      </c>
      <c r="G3338" s="11" t="s">
        <v>29</v>
      </c>
      <c r="H3338" s="15" t="s">
        <v>29</v>
      </c>
      <c r="I3338" s="25" t="s">
        <v>29</v>
      </c>
      <c r="J3338" s="11" t="s">
        <v>19</v>
      </c>
      <c r="K3338" s="11" t="s">
        <v>20</v>
      </c>
      <c r="L3338" s="11" t="s">
        <v>30</v>
      </c>
      <c r="M3338" s="11" t="s">
        <v>29</v>
      </c>
      <c r="N3338" s="11" t="s">
        <v>29</v>
      </c>
      <c r="O3338" s="16" t="s">
        <v>29</v>
      </c>
      <c r="P3338" s="15">
        <v>226</v>
      </c>
      <c r="Q3338" s="8"/>
      <c r="W3338" s="317">
        <v>4.5999999999999996</v>
      </c>
      <c r="X3338" s="190"/>
      <c r="Y3338" s="8"/>
      <c r="Z3338" s="8"/>
    </row>
    <row r="3339" spans="1:26" ht="12.75" customHeight="1" x14ac:dyDescent="0.2">
      <c r="A3339" s="15">
        <v>38</v>
      </c>
      <c r="B3339" s="15">
        <v>1991</v>
      </c>
      <c r="C3339" s="15">
        <v>14</v>
      </c>
      <c r="D3339" s="15">
        <v>8</v>
      </c>
      <c r="E3339" s="14">
        <v>0.625</v>
      </c>
      <c r="F3339" s="11" t="s">
        <v>18</v>
      </c>
      <c r="G3339" s="15">
        <v>150</v>
      </c>
      <c r="H3339" s="15" t="s">
        <v>29</v>
      </c>
      <c r="I3339" s="25" t="s">
        <v>29</v>
      </c>
      <c r="J3339" s="11" t="s">
        <v>19</v>
      </c>
      <c r="K3339" s="11" t="s">
        <v>20</v>
      </c>
      <c r="L3339" s="11" t="s">
        <v>30</v>
      </c>
      <c r="M3339" s="11" t="s">
        <v>29</v>
      </c>
      <c r="N3339" s="11" t="s">
        <v>29</v>
      </c>
      <c r="O3339" s="16" t="s">
        <v>29</v>
      </c>
      <c r="P3339" s="15">
        <v>226</v>
      </c>
      <c r="Q3339" s="8"/>
      <c r="U3339">
        <v>10.050000000000001</v>
      </c>
      <c r="V3339">
        <v>140</v>
      </c>
      <c r="W3339" s="317">
        <v>4.5999999999999996</v>
      </c>
      <c r="X3339" s="190"/>
      <c r="Y3339" s="8"/>
      <c r="Z3339" s="8"/>
    </row>
    <row r="3340" spans="1:26" ht="12.75" customHeight="1" x14ac:dyDescent="0.2">
      <c r="A3340" s="15">
        <v>39</v>
      </c>
      <c r="B3340" s="15">
        <v>1991</v>
      </c>
      <c r="C3340" s="15">
        <v>14</v>
      </c>
      <c r="D3340" s="15">
        <v>8</v>
      </c>
      <c r="E3340" s="14">
        <v>0.625</v>
      </c>
      <c r="F3340" s="11" t="s">
        <v>18</v>
      </c>
      <c r="G3340" s="15">
        <v>160</v>
      </c>
      <c r="H3340" s="15" t="s">
        <v>29</v>
      </c>
      <c r="I3340" s="25" t="s">
        <v>29</v>
      </c>
      <c r="J3340" s="11" t="s">
        <v>19</v>
      </c>
      <c r="K3340" s="11" t="s">
        <v>20</v>
      </c>
      <c r="L3340" s="11" t="s">
        <v>30</v>
      </c>
      <c r="M3340" s="11" t="s">
        <v>29</v>
      </c>
      <c r="N3340" s="11" t="s">
        <v>29</v>
      </c>
      <c r="O3340" s="16" t="s">
        <v>29</v>
      </c>
      <c r="P3340" s="15">
        <v>226</v>
      </c>
      <c r="Q3340" s="8"/>
      <c r="U3340">
        <v>10.72</v>
      </c>
      <c r="V3340">
        <v>149</v>
      </c>
      <c r="W3340" s="317">
        <v>4.5999999999999996</v>
      </c>
      <c r="X3340" s="190"/>
      <c r="Y3340" s="8"/>
      <c r="Z3340" s="8"/>
    </row>
    <row r="3341" spans="1:26" ht="12.75" customHeight="1" x14ac:dyDescent="0.2">
      <c r="A3341" s="15">
        <v>40</v>
      </c>
      <c r="B3341" s="15">
        <v>1991</v>
      </c>
      <c r="C3341" s="15">
        <v>14</v>
      </c>
      <c r="D3341" s="15">
        <v>8</v>
      </c>
      <c r="E3341" s="14">
        <v>0.625</v>
      </c>
      <c r="F3341" s="11" t="s">
        <v>18</v>
      </c>
      <c r="G3341" s="15">
        <v>155</v>
      </c>
      <c r="H3341" s="15" t="s">
        <v>29</v>
      </c>
      <c r="I3341" s="25">
        <v>22</v>
      </c>
      <c r="J3341" s="11" t="s">
        <v>19</v>
      </c>
      <c r="K3341" s="11" t="s">
        <v>20</v>
      </c>
      <c r="L3341" s="11" t="s">
        <v>30</v>
      </c>
      <c r="M3341" s="11" t="s">
        <v>29</v>
      </c>
      <c r="N3341" s="11" t="s">
        <v>29</v>
      </c>
      <c r="O3341" s="16" t="s">
        <v>29</v>
      </c>
      <c r="P3341" s="15">
        <v>226</v>
      </c>
      <c r="Q3341" s="8"/>
      <c r="R3341">
        <v>14.46</v>
      </c>
      <c r="S3341">
        <v>3024.41</v>
      </c>
      <c r="T3341">
        <v>7.27</v>
      </c>
      <c r="U3341">
        <v>10.39</v>
      </c>
      <c r="V3341">
        <v>145</v>
      </c>
      <c r="W3341" s="317">
        <v>4.5999999999999996</v>
      </c>
      <c r="X3341" s="190">
        <f>I3341*W3341</f>
        <v>101.19999999999999</v>
      </c>
      <c r="Y3341" s="8"/>
      <c r="Z3341" s="8"/>
    </row>
    <row r="3342" spans="1:26" ht="12.75" customHeight="1" x14ac:dyDescent="0.2">
      <c r="A3342" s="15">
        <v>41</v>
      </c>
      <c r="B3342" s="15">
        <v>1991</v>
      </c>
      <c r="C3342" s="15">
        <v>14</v>
      </c>
      <c r="D3342" s="15">
        <v>8</v>
      </c>
      <c r="E3342" s="14">
        <v>0.625</v>
      </c>
      <c r="F3342" s="11" t="s">
        <v>18</v>
      </c>
      <c r="G3342" s="15">
        <v>135</v>
      </c>
      <c r="H3342" s="15" t="s">
        <v>29</v>
      </c>
      <c r="I3342" s="25">
        <v>12.5</v>
      </c>
      <c r="J3342" s="11" t="s">
        <v>19</v>
      </c>
      <c r="K3342" s="11" t="s">
        <v>20</v>
      </c>
      <c r="L3342" s="11" t="s">
        <v>30</v>
      </c>
      <c r="M3342" s="11" t="s">
        <v>29</v>
      </c>
      <c r="N3342" s="11" t="s">
        <v>29</v>
      </c>
      <c r="O3342" s="16" t="s">
        <v>29</v>
      </c>
      <c r="P3342" s="15">
        <v>226</v>
      </c>
      <c r="Q3342" s="8"/>
      <c r="R3342">
        <v>12.6</v>
      </c>
      <c r="S3342">
        <v>1998.23</v>
      </c>
      <c r="T3342">
        <v>6.26</v>
      </c>
      <c r="U3342">
        <v>9.0500000000000007</v>
      </c>
      <c r="V3342">
        <v>126</v>
      </c>
      <c r="W3342" s="317">
        <v>4.5999999999999996</v>
      </c>
      <c r="X3342" s="190">
        <f>I3342*W3342</f>
        <v>57.499999999999993</v>
      </c>
      <c r="Y3342" s="8"/>
      <c r="Z3342" s="8"/>
    </row>
    <row r="3343" spans="1:26" ht="12.75" customHeight="1" x14ac:dyDescent="0.2">
      <c r="A3343" s="15">
        <v>42</v>
      </c>
      <c r="B3343" s="15">
        <v>1991</v>
      </c>
      <c r="C3343" s="15">
        <v>13</v>
      </c>
      <c r="D3343" s="15">
        <v>8</v>
      </c>
      <c r="E3343" s="14">
        <v>0.79166666666666663</v>
      </c>
      <c r="F3343" s="11" t="s">
        <v>18</v>
      </c>
      <c r="G3343" s="15">
        <v>155</v>
      </c>
      <c r="H3343" s="15" t="s">
        <v>29</v>
      </c>
      <c r="I3343" s="25">
        <v>17.5</v>
      </c>
      <c r="J3343" s="11" t="s">
        <v>19</v>
      </c>
      <c r="K3343" s="11" t="s">
        <v>20</v>
      </c>
      <c r="L3343" s="11" t="s">
        <v>21</v>
      </c>
      <c r="M3343" s="11" t="s">
        <v>29</v>
      </c>
      <c r="N3343" s="11" t="s">
        <v>29</v>
      </c>
      <c r="O3343" s="16" t="s">
        <v>29</v>
      </c>
      <c r="P3343" s="15">
        <v>225</v>
      </c>
      <c r="Q3343" s="8"/>
      <c r="R3343">
        <v>14.46</v>
      </c>
      <c r="S3343">
        <v>3024.41</v>
      </c>
      <c r="T3343">
        <v>5.79</v>
      </c>
      <c r="U3343">
        <v>10.39</v>
      </c>
      <c r="V3343">
        <v>145</v>
      </c>
      <c r="W3343" s="317">
        <v>3.9</v>
      </c>
      <c r="X3343" s="190">
        <f>I3343*W3343</f>
        <v>68.25</v>
      </c>
      <c r="Y3343" s="8"/>
      <c r="Z3343" s="8"/>
    </row>
    <row r="3344" spans="1:26" ht="12.75" customHeight="1" x14ac:dyDescent="0.2">
      <c r="A3344" s="15">
        <v>43</v>
      </c>
      <c r="B3344" s="15">
        <v>1991</v>
      </c>
      <c r="C3344" s="15">
        <v>13</v>
      </c>
      <c r="D3344" s="15">
        <v>8</v>
      </c>
      <c r="E3344" s="14">
        <v>0.79166666666666663</v>
      </c>
      <c r="F3344" s="11" t="s">
        <v>28</v>
      </c>
      <c r="G3344" s="11" t="s">
        <v>29</v>
      </c>
      <c r="H3344" s="15" t="s">
        <v>29</v>
      </c>
      <c r="I3344" s="25" t="s">
        <v>29</v>
      </c>
      <c r="J3344" s="11" t="s">
        <v>19</v>
      </c>
      <c r="K3344" s="11" t="s">
        <v>20</v>
      </c>
      <c r="L3344" s="11" t="s">
        <v>21</v>
      </c>
      <c r="M3344" s="11" t="s">
        <v>29</v>
      </c>
      <c r="N3344" s="11" t="s">
        <v>29</v>
      </c>
      <c r="O3344" s="16" t="s">
        <v>29</v>
      </c>
      <c r="P3344" s="15">
        <v>225</v>
      </c>
      <c r="Q3344" s="8"/>
      <c r="W3344" s="317">
        <v>3.9</v>
      </c>
      <c r="X3344" s="190"/>
      <c r="Y3344" s="8"/>
      <c r="Z3344" s="8"/>
    </row>
    <row r="3345" spans="1:26" ht="12.75" customHeight="1" x14ac:dyDescent="0.2">
      <c r="A3345" s="15">
        <v>44</v>
      </c>
      <c r="B3345" s="15">
        <v>1991</v>
      </c>
      <c r="C3345" s="15">
        <v>13</v>
      </c>
      <c r="D3345" s="15">
        <v>8</v>
      </c>
      <c r="E3345" s="14">
        <v>0.79166666666666663</v>
      </c>
      <c r="F3345" s="11" t="s">
        <v>18</v>
      </c>
      <c r="G3345" s="15">
        <v>157</v>
      </c>
      <c r="H3345" s="15" t="s">
        <v>29</v>
      </c>
      <c r="I3345" s="6" t="s">
        <v>29</v>
      </c>
      <c r="J3345" s="11" t="s">
        <v>19</v>
      </c>
      <c r="K3345" s="11" t="s">
        <v>34</v>
      </c>
      <c r="L3345" s="11" t="s">
        <v>41</v>
      </c>
      <c r="M3345" s="11" t="s">
        <v>29</v>
      </c>
      <c r="N3345" s="11" t="s">
        <v>29</v>
      </c>
      <c r="O3345" s="16" t="s">
        <v>29</v>
      </c>
      <c r="P3345" s="15">
        <v>225</v>
      </c>
      <c r="Q3345" s="8"/>
      <c r="U3345">
        <v>10.52</v>
      </c>
      <c r="V3345">
        <v>146</v>
      </c>
      <c r="W3345" s="317">
        <v>3.8</v>
      </c>
      <c r="X3345" s="190"/>
      <c r="Y3345" s="8"/>
      <c r="Z3345" s="8"/>
    </row>
    <row r="3346" spans="1:26" ht="12.75" customHeight="1" x14ac:dyDescent="0.2">
      <c r="A3346" s="15">
        <v>45</v>
      </c>
      <c r="B3346" s="15">
        <v>1991</v>
      </c>
      <c r="C3346" s="15">
        <v>13</v>
      </c>
      <c r="D3346" s="15">
        <v>8</v>
      </c>
      <c r="E3346" s="14">
        <v>0.79166666666666663</v>
      </c>
      <c r="F3346" s="11" t="s">
        <v>18</v>
      </c>
      <c r="G3346" s="15">
        <v>144</v>
      </c>
      <c r="H3346" s="15" t="s">
        <v>29</v>
      </c>
      <c r="I3346" s="25" t="s">
        <v>29</v>
      </c>
      <c r="J3346" s="11" t="s">
        <v>19</v>
      </c>
      <c r="K3346" s="11" t="s">
        <v>20</v>
      </c>
      <c r="L3346" s="11" t="s">
        <v>21</v>
      </c>
      <c r="M3346" s="11" t="s">
        <v>29</v>
      </c>
      <c r="N3346" s="11" t="s">
        <v>29</v>
      </c>
      <c r="O3346" s="16" t="s">
        <v>29</v>
      </c>
      <c r="P3346" s="15">
        <v>225</v>
      </c>
      <c r="Q3346" s="8"/>
      <c r="U3346">
        <v>9.65</v>
      </c>
      <c r="V3346">
        <v>134</v>
      </c>
      <c r="W3346" s="317">
        <v>3.9</v>
      </c>
      <c r="X3346" s="190"/>
      <c r="Y3346" s="8"/>
      <c r="Z3346" s="8"/>
    </row>
    <row r="3347" spans="1:26" ht="12.75" customHeight="1" x14ac:dyDescent="0.2">
      <c r="A3347" s="15">
        <v>46</v>
      </c>
      <c r="B3347" s="15">
        <v>1991</v>
      </c>
      <c r="C3347" s="15">
        <v>13</v>
      </c>
      <c r="D3347" s="15">
        <v>8</v>
      </c>
      <c r="E3347" s="14">
        <v>0.79166666666666663</v>
      </c>
      <c r="F3347" s="11" t="s">
        <v>18</v>
      </c>
      <c r="G3347" s="15">
        <v>157</v>
      </c>
      <c r="H3347" s="15" t="s">
        <v>29</v>
      </c>
      <c r="I3347" s="25">
        <v>25.5</v>
      </c>
      <c r="J3347" s="11" t="s">
        <v>19</v>
      </c>
      <c r="K3347" s="11" t="s">
        <v>20</v>
      </c>
      <c r="L3347" s="11" t="s">
        <v>30</v>
      </c>
      <c r="M3347" s="11" t="s">
        <v>29</v>
      </c>
      <c r="N3347" s="11" t="s">
        <v>29</v>
      </c>
      <c r="O3347" s="16" t="s">
        <v>29</v>
      </c>
      <c r="P3347" s="15">
        <v>225</v>
      </c>
      <c r="Q3347" s="8"/>
      <c r="R3347">
        <v>14.65</v>
      </c>
      <c r="S3347">
        <v>3143</v>
      </c>
      <c r="T3347">
        <v>8.11</v>
      </c>
      <c r="U3347">
        <v>10.52</v>
      </c>
      <c r="V3347">
        <v>146</v>
      </c>
      <c r="W3347" s="317">
        <v>4.5999999999999996</v>
      </c>
      <c r="X3347" s="190">
        <f>I3347*W3347</f>
        <v>117.3</v>
      </c>
      <c r="Y3347" s="8"/>
      <c r="Z3347" s="8"/>
    </row>
    <row r="3348" spans="1:26" ht="12.75" customHeight="1" x14ac:dyDescent="0.2">
      <c r="A3348" s="15">
        <v>47</v>
      </c>
      <c r="B3348" s="15">
        <v>1991</v>
      </c>
      <c r="C3348" s="15">
        <v>13</v>
      </c>
      <c r="D3348" s="15">
        <v>8</v>
      </c>
      <c r="E3348" s="14">
        <v>0.79166666666666663</v>
      </c>
      <c r="F3348" s="11" t="s">
        <v>18</v>
      </c>
      <c r="G3348" s="15">
        <v>144</v>
      </c>
      <c r="H3348" s="15" t="s">
        <v>29</v>
      </c>
      <c r="I3348" s="25" t="s">
        <v>29</v>
      </c>
      <c r="J3348" s="11" t="s">
        <v>19</v>
      </c>
      <c r="K3348" s="11" t="s">
        <v>20</v>
      </c>
      <c r="L3348" s="11" t="s">
        <v>21</v>
      </c>
      <c r="M3348" s="11" t="s">
        <v>29</v>
      </c>
      <c r="N3348" s="11" t="s">
        <v>29</v>
      </c>
      <c r="O3348" s="16" t="s">
        <v>29</v>
      </c>
      <c r="P3348" s="15">
        <v>225</v>
      </c>
      <c r="Q3348" s="8"/>
      <c r="U3348">
        <v>9.65</v>
      </c>
      <c r="V3348">
        <v>134</v>
      </c>
      <c r="W3348" s="317">
        <v>3.9</v>
      </c>
      <c r="X3348" s="190"/>
      <c r="Y3348" s="8"/>
      <c r="Z3348" s="8"/>
    </row>
    <row r="3349" spans="1:26" ht="12.75" customHeight="1" x14ac:dyDescent="0.2">
      <c r="A3349" s="15">
        <v>48</v>
      </c>
      <c r="B3349" s="15">
        <v>1991</v>
      </c>
      <c r="C3349" s="15">
        <v>13</v>
      </c>
      <c r="D3349" s="15">
        <v>8</v>
      </c>
      <c r="E3349" s="14">
        <v>0.79166666666666663</v>
      </c>
      <c r="F3349" s="11" t="s">
        <v>28</v>
      </c>
      <c r="G3349" s="11" t="s">
        <v>29</v>
      </c>
      <c r="H3349" s="15" t="s">
        <v>29</v>
      </c>
      <c r="I3349" s="25" t="s">
        <v>29</v>
      </c>
      <c r="J3349" s="11" t="s">
        <v>19</v>
      </c>
      <c r="K3349" s="11" t="s">
        <v>20</v>
      </c>
      <c r="L3349" s="11" t="s">
        <v>21</v>
      </c>
      <c r="M3349" s="11" t="s">
        <v>29</v>
      </c>
      <c r="N3349" s="11" t="s">
        <v>29</v>
      </c>
      <c r="O3349" s="16" t="s">
        <v>29</v>
      </c>
      <c r="P3349" s="15">
        <v>225</v>
      </c>
      <c r="Q3349" s="8"/>
      <c r="W3349" s="8">
        <v>3.9</v>
      </c>
      <c r="X3349" s="190"/>
      <c r="Y3349" s="8"/>
      <c r="Z3349" s="8"/>
    </row>
    <row r="3350" spans="1:26" ht="12.75" customHeight="1" x14ac:dyDescent="0.2">
      <c r="A3350" s="15">
        <v>1</v>
      </c>
      <c r="B3350" s="15">
        <v>1990</v>
      </c>
      <c r="C3350" s="15">
        <v>12</v>
      </c>
      <c r="D3350" s="15">
        <v>8</v>
      </c>
      <c r="E3350" s="22" t="s">
        <v>17</v>
      </c>
      <c r="F3350" s="11" t="s">
        <v>18</v>
      </c>
      <c r="G3350" s="15">
        <v>146</v>
      </c>
      <c r="H3350" s="15" t="s">
        <v>29</v>
      </c>
      <c r="I3350" s="25">
        <v>10.5</v>
      </c>
      <c r="J3350" s="11" t="s">
        <v>19</v>
      </c>
      <c r="K3350" s="11" t="s">
        <v>20</v>
      </c>
      <c r="L3350" s="11" t="s">
        <v>41</v>
      </c>
      <c r="M3350" s="11" t="s">
        <v>29</v>
      </c>
      <c r="N3350" s="11" t="s">
        <v>29</v>
      </c>
      <c r="O3350" s="16" t="s">
        <v>29</v>
      </c>
      <c r="P3350" s="15">
        <v>224</v>
      </c>
      <c r="Q3350" s="8"/>
      <c r="R3350">
        <v>13.62</v>
      </c>
      <c r="S3350">
        <v>2527.5700000000002</v>
      </c>
      <c r="T3350">
        <v>4.1500000000000004</v>
      </c>
      <c r="U3350">
        <v>9.7799999999999994</v>
      </c>
      <c r="V3350">
        <v>136</v>
      </c>
      <c r="W3350" s="8"/>
      <c r="X3350" s="8"/>
      <c r="Y3350" s="8"/>
      <c r="Z3350" s="8"/>
    </row>
    <row r="3351" spans="1:26" ht="12.75" customHeight="1" x14ac:dyDescent="0.2">
      <c r="A3351" s="15">
        <v>2</v>
      </c>
      <c r="B3351" s="15">
        <v>1990</v>
      </c>
      <c r="C3351" s="15">
        <v>12</v>
      </c>
      <c r="D3351" s="15">
        <v>8</v>
      </c>
      <c r="E3351" s="22" t="s">
        <v>17</v>
      </c>
      <c r="F3351" s="11" t="s">
        <v>18</v>
      </c>
      <c r="G3351" s="15">
        <v>158</v>
      </c>
      <c r="H3351" s="15" t="s">
        <v>29</v>
      </c>
      <c r="I3351" s="25">
        <v>17.3</v>
      </c>
      <c r="J3351" s="11" t="s">
        <v>19</v>
      </c>
      <c r="K3351" s="11" t="s">
        <v>20</v>
      </c>
      <c r="L3351" s="11" t="s">
        <v>41</v>
      </c>
      <c r="M3351" s="11" t="s">
        <v>29</v>
      </c>
      <c r="N3351" s="11" t="s">
        <v>29</v>
      </c>
      <c r="O3351" s="16" t="s">
        <v>29</v>
      </c>
      <c r="P3351" s="15">
        <v>224</v>
      </c>
      <c r="Q3351" s="8"/>
      <c r="R3351">
        <v>14.74</v>
      </c>
      <c r="S3351">
        <v>3203.44</v>
      </c>
      <c r="T3351">
        <v>5.4</v>
      </c>
      <c r="U3351">
        <v>10.59</v>
      </c>
      <c r="V3351">
        <v>147</v>
      </c>
      <c r="W3351" s="8"/>
      <c r="X3351" s="8"/>
      <c r="Y3351" s="8"/>
      <c r="Z3351" s="8"/>
    </row>
    <row r="3352" spans="1:26" ht="12.75" customHeight="1" x14ac:dyDescent="0.2">
      <c r="A3352" s="15">
        <v>3</v>
      </c>
      <c r="B3352" s="15">
        <v>1990</v>
      </c>
      <c r="C3352" s="15">
        <v>12</v>
      </c>
      <c r="D3352" s="15">
        <v>8</v>
      </c>
      <c r="E3352" s="22" t="s">
        <v>17</v>
      </c>
      <c r="F3352" s="11" t="s">
        <v>18</v>
      </c>
      <c r="G3352" s="15">
        <v>159</v>
      </c>
      <c r="H3352" s="15" t="s">
        <v>29</v>
      </c>
      <c r="I3352" s="25">
        <v>13.5</v>
      </c>
      <c r="J3352" s="11" t="s">
        <v>19</v>
      </c>
      <c r="K3352" s="11" t="s">
        <v>20</v>
      </c>
      <c r="L3352" s="11" t="s">
        <v>41</v>
      </c>
      <c r="M3352" s="11" t="s">
        <v>29</v>
      </c>
      <c r="N3352" s="11" t="s">
        <v>29</v>
      </c>
      <c r="O3352" s="16" t="s">
        <v>29</v>
      </c>
      <c r="P3352" s="15">
        <v>224</v>
      </c>
      <c r="Q3352" s="8"/>
      <c r="R3352">
        <v>14.83</v>
      </c>
      <c r="S3352">
        <v>3264.65</v>
      </c>
      <c r="T3352">
        <v>4.1399999999999997</v>
      </c>
      <c r="U3352">
        <v>10.65</v>
      </c>
      <c r="V3352">
        <v>148</v>
      </c>
      <c r="W3352" s="8"/>
      <c r="X3352" s="8"/>
      <c r="Y3352" s="8"/>
      <c r="Z3352" s="8"/>
    </row>
    <row r="3353" spans="1:26" ht="12.75" customHeight="1" x14ac:dyDescent="0.2">
      <c r="A3353" s="15">
        <v>4</v>
      </c>
      <c r="B3353" s="15">
        <v>1990</v>
      </c>
      <c r="C3353" s="15">
        <v>11</v>
      </c>
      <c r="D3353" s="15">
        <v>8</v>
      </c>
      <c r="E3353" s="22" t="s">
        <v>17</v>
      </c>
      <c r="F3353" s="11" t="s">
        <v>18</v>
      </c>
      <c r="G3353" s="15">
        <v>154</v>
      </c>
      <c r="H3353" s="15" t="s">
        <v>29</v>
      </c>
      <c r="I3353" s="25">
        <v>14.3</v>
      </c>
      <c r="J3353" s="11" t="s">
        <v>19</v>
      </c>
      <c r="K3353" s="11" t="s">
        <v>20</v>
      </c>
      <c r="L3353" s="11" t="s">
        <v>41</v>
      </c>
      <c r="M3353" s="11" t="s">
        <v>29</v>
      </c>
      <c r="N3353" s="11" t="s">
        <v>29</v>
      </c>
      <c r="O3353" s="16" t="s">
        <v>29</v>
      </c>
      <c r="P3353" s="15">
        <v>223</v>
      </c>
      <c r="Q3353" s="8"/>
      <c r="R3353">
        <v>14.37</v>
      </c>
      <c r="S3353">
        <v>2966.25</v>
      </c>
      <c r="T3353">
        <v>4.82</v>
      </c>
      <c r="U3353">
        <v>10.32</v>
      </c>
      <c r="V3353">
        <v>144</v>
      </c>
      <c r="W3353" s="8"/>
      <c r="X3353" s="8"/>
      <c r="Y3353" s="8"/>
      <c r="Z3353" s="8"/>
    </row>
    <row r="3354" spans="1:26" ht="12.75" customHeight="1" x14ac:dyDescent="0.2">
      <c r="A3354" s="15">
        <v>5</v>
      </c>
      <c r="B3354" s="15">
        <v>1990</v>
      </c>
      <c r="C3354" s="15">
        <v>11</v>
      </c>
      <c r="D3354" s="15">
        <v>8</v>
      </c>
      <c r="E3354" s="22" t="s">
        <v>17</v>
      </c>
      <c r="F3354" s="11" t="s">
        <v>18</v>
      </c>
      <c r="G3354" s="15">
        <v>135</v>
      </c>
      <c r="H3354" s="15" t="s">
        <v>29</v>
      </c>
      <c r="I3354" s="25">
        <v>10</v>
      </c>
      <c r="J3354" s="11" t="s">
        <v>19</v>
      </c>
      <c r="K3354" s="11" t="s">
        <v>34</v>
      </c>
      <c r="L3354" s="11" t="s">
        <v>41</v>
      </c>
      <c r="M3354" s="11" t="s">
        <v>29</v>
      </c>
      <c r="N3354" s="11" t="s">
        <v>29</v>
      </c>
      <c r="O3354" s="16" t="s">
        <v>29</v>
      </c>
      <c r="P3354" s="15">
        <v>223</v>
      </c>
      <c r="Q3354" s="8"/>
      <c r="R3354">
        <v>12.6</v>
      </c>
      <c r="S3354">
        <v>1998.23</v>
      </c>
      <c r="T3354">
        <v>5</v>
      </c>
      <c r="U3354">
        <v>9.0500000000000007</v>
      </c>
      <c r="V3354">
        <v>126</v>
      </c>
      <c r="W3354" s="317">
        <v>3.8</v>
      </c>
      <c r="X3354" s="190">
        <f>I3354*W3354</f>
        <v>38</v>
      </c>
      <c r="Y3354" s="8"/>
      <c r="Z3354" s="8"/>
    </row>
    <row r="3355" spans="1:26" ht="12.75" customHeight="1" x14ac:dyDescent="0.2">
      <c r="A3355" s="15">
        <v>6</v>
      </c>
      <c r="B3355" s="15">
        <v>1990</v>
      </c>
      <c r="C3355" s="15">
        <v>11</v>
      </c>
      <c r="D3355" s="15">
        <v>8</v>
      </c>
      <c r="E3355" s="22" t="s">
        <v>17</v>
      </c>
      <c r="F3355" s="11" t="s">
        <v>18</v>
      </c>
      <c r="G3355" s="15">
        <v>135</v>
      </c>
      <c r="H3355" s="15" t="s">
        <v>29</v>
      </c>
      <c r="I3355" s="25">
        <v>11</v>
      </c>
      <c r="J3355" s="11" t="s">
        <v>19</v>
      </c>
      <c r="K3355" s="11" t="s">
        <v>20</v>
      </c>
      <c r="L3355" s="11" t="s">
        <v>41</v>
      </c>
      <c r="M3355" s="11" t="s">
        <v>29</v>
      </c>
      <c r="N3355" s="11" t="s">
        <v>29</v>
      </c>
      <c r="O3355" s="16" t="s">
        <v>29</v>
      </c>
      <c r="P3355" s="15">
        <v>223</v>
      </c>
      <c r="Q3355" s="8"/>
      <c r="R3355">
        <v>12.6</v>
      </c>
      <c r="S3355">
        <v>1998.23</v>
      </c>
      <c r="T3355">
        <v>5.5</v>
      </c>
      <c r="U3355">
        <v>9.0500000000000007</v>
      </c>
      <c r="V3355">
        <v>126</v>
      </c>
      <c r="W3355" s="8"/>
      <c r="X3355" s="8"/>
      <c r="Y3355" s="8"/>
      <c r="Z3355" s="8"/>
    </row>
    <row r="3356" spans="1:26" ht="12.75" customHeight="1" x14ac:dyDescent="0.2">
      <c r="A3356" s="15">
        <v>7</v>
      </c>
      <c r="B3356" s="15">
        <v>1990</v>
      </c>
      <c r="C3356" s="15">
        <v>11</v>
      </c>
      <c r="D3356" s="15">
        <v>8</v>
      </c>
      <c r="E3356" s="22" t="s">
        <v>17</v>
      </c>
      <c r="F3356" s="11" t="s">
        <v>18</v>
      </c>
      <c r="G3356" s="15">
        <v>140</v>
      </c>
      <c r="H3356" s="15" t="s">
        <v>29</v>
      </c>
      <c r="I3356" s="25">
        <v>12.8</v>
      </c>
      <c r="J3356" s="11" t="s">
        <v>19</v>
      </c>
      <c r="K3356" s="11" t="s">
        <v>41</v>
      </c>
      <c r="L3356" s="11" t="s">
        <v>41</v>
      </c>
      <c r="M3356" s="11" t="s">
        <v>29</v>
      </c>
      <c r="N3356" s="11" t="s">
        <v>29</v>
      </c>
      <c r="O3356" s="16" t="s">
        <v>29</v>
      </c>
      <c r="P3356" s="15">
        <v>223</v>
      </c>
      <c r="Q3356" s="8"/>
      <c r="R3356">
        <v>13.06</v>
      </c>
      <c r="S3356">
        <v>2228.58</v>
      </c>
      <c r="T3356">
        <v>5.74</v>
      </c>
      <c r="U3356">
        <v>9.3800000000000008</v>
      </c>
      <c r="V3356">
        <v>131</v>
      </c>
      <c r="W3356" s="8"/>
      <c r="X3356" s="8"/>
      <c r="Y3356" s="8"/>
      <c r="Z3356" s="8"/>
    </row>
    <row r="3357" spans="1:26" ht="12.75" customHeight="1" x14ac:dyDescent="0.2">
      <c r="A3357" s="15">
        <v>8</v>
      </c>
      <c r="B3357" s="15">
        <v>1990</v>
      </c>
      <c r="C3357" s="15">
        <v>11</v>
      </c>
      <c r="D3357" s="15">
        <v>8</v>
      </c>
      <c r="E3357" s="22" t="s">
        <v>17</v>
      </c>
      <c r="F3357" s="11" t="s">
        <v>18</v>
      </c>
      <c r="G3357" s="15">
        <v>139</v>
      </c>
      <c r="H3357" s="15" t="s">
        <v>29</v>
      </c>
      <c r="I3357" s="25">
        <v>9.8000000000000007</v>
      </c>
      <c r="J3357" s="11" t="s">
        <v>19</v>
      </c>
      <c r="K3357" s="11" t="s">
        <v>20</v>
      </c>
      <c r="L3357" s="11" t="s">
        <v>41</v>
      </c>
      <c r="M3357" s="11" t="s">
        <v>29</v>
      </c>
      <c r="N3357" s="11" t="s">
        <v>25</v>
      </c>
      <c r="O3357" s="16" t="s">
        <v>29</v>
      </c>
      <c r="P3357" s="15">
        <v>223</v>
      </c>
      <c r="Q3357" s="8"/>
      <c r="R3357">
        <v>12.97</v>
      </c>
      <c r="S3357">
        <v>2181.17</v>
      </c>
      <c r="T3357">
        <v>4.49</v>
      </c>
      <c r="U3357">
        <v>9.31</v>
      </c>
      <c r="V3357">
        <v>130</v>
      </c>
      <c r="W3357" s="8"/>
      <c r="X3357" s="8"/>
      <c r="Y3357" s="8"/>
      <c r="Z3357" s="8"/>
    </row>
    <row r="3358" spans="1:26" ht="12.75" customHeight="1" x14ac:dyDescent="0.2">
      <c r="A3358" s="15">
        <v>9</v>
      </c>
      <c r="B3358" s="15">
        <v>1990</v>
      </c>
      <c r="C3358" s="15">
        <v>11</v>
      </c>
      <c r="D3358" s="15">
        <v>8</v>
      </c>
      <c r="E3358" s="22" t="s">
        <v>17</v>
      </c>
      <c r="F3358" s="11" t="s">
        <v>18</v>
      </c>
      <c r="G3358" s="15">
        <v>145</v>
      </c>
      <c r="H3358" s="15" t="s">
        <v>29</v>
      </c>
      <c r="I3358" s="25">
        <v>10</v>
      </c>
      <c r="J3358" s="11" t="s">
        <v>19</v>
      </c>
      <c r="K3358" s="11" t="s">
        <v>20</v>
      </c>
      <c r="L3358" s="11" t="s">
        <v>41</v>
      </c>
      <c r="M3358" s="11" t="s">
        <v>29</v>
      </c>
      <c r="N3358" s="11" t="s">
        <v>33</v>
      </c>
      <c r="O3358" s="16" t="s">
        <v>29</v>
      </c>
      <c r="P3358" s="15">
        <v>223</v>
      </c>
      <c r="Q3358" s="8"/>
      <c r="R3358">
        <v>13.53</v>
      </c>
      <c r="S3358">
        <v>2475.9899999999998</v>
      </c>
      <c r="T3358">
        <v>4.04</v>
      </c>
      <c r="U3358">
        <v>9.7200000000000006</v>
      </c>
      <c r="V3358">
        <v>135</v>
      </c>
      <c r="W3358" s="8"/>
      <c r="X3358" s="8"/>
      <c r="Y3358" s="8"/>
      <c r="Z3358" s="8"/>
    </row>
    <row r="3359" spans="1:26" ht="12.75" customHeight="1" x14ac:dyDescent="0.2">
      <c r="A3359" s="15">
        <v>10</v>
      </c>
      <c r="B3359" s="15">
        <v>1990</v>
      </c>
      <c r="C3359" s="15">
        <v>11</v>
      </c>
      <c r="D3359" s="15">
        <v>8</v>
      </c>
      <c r="E3359" s="22" t="s">
        <v>17</v>
      </c>
      <c r="F3359" s="11" t="s">
        <v>18</v>
      </c>
      <c r="G3359" s="15">
        <v>135</v>
      </c>
      <c r="H3359" s="15" t="s">
        <v>29</v>
      </c>
      <c r="I3359" s="25">
        <v>8.3000000000000007</v>
      </c>
      <c r="J3359" s="11" t="s">
        <v>19</v>
      </c>
      <c r="K3359" s="11" t="s">
        <v>20</v>
      </c>
      <c r="L3359" s="11" t="s">
        <v>41</v>
      </c>
      <c r="M3359" s="11" t="s">
        <v>29</v>
      </c>
      <c r="N3359" s="11" t="s">
        <v>25</v>
      </c>
      <c r="O3359" s="16" t="s">
        <v>29</v>
      </c>
      <c r="P3359" s="15">
        <v>223</v>
      </c>
      <c r="Q3359" s="8"/>
      <c r="R3359">
        <v>12.6</v>
      </c>
      <c r="S3359">
        <v>1998.23</v>
      </c>
      <c r="T3359">
        <v>4.1500000000000004</v>
      </c>
      <c r="U3359">
        <v>9.0500000000000007</v>
      </c>
      <c r="V3359">
        <v>126</v>
      </c>
      <c r="W3359" s="8"/>
      <c r="X3359" s="8"/>
      <c r="Y3359" s="8"/>
      <c r="Z3359" s="8"/>
    </row>
    <row r="3360" spans="1:26" ht="12.75" customHeight="1" x14ac:dyDescent="0.2">
      <c r="A3360" s="15">
        <v>11</v>
      </c>
      <c r="B3360" s="15">
        <v>1990</v>
      </c>
      <c r="C3360" s="15">
        <v>11</v>
      </c>
      <c r="D3360" s="15">
        <v>8</v>
      </c>
      <c r="E3360" s="22" t="s">
        <v>17</v>
      </c>
      <c r="F3360" s="11" t="s">
        <v>18</v>
      </c>
      <c r="G3360" s="15">
        <v>136</v>
      </c>
      <c r="H3360" s="15" t="s">
        <v>29</v>
      </c>
      <c r="I3360" s="25">
        <v>8.8000000000000007</v>
      </c>
      <c r="J3360" s="11" t="s">
        <v>19</v>
      </c>
      <c r="K3360" s="11" t="s">
        <v>20</v>
      </c>
      <c r="L3360" s="11" t="s">
        <v>41</v>
      </c>
      <c r="M3360" s="11" t="s">
        <v>29</v>
      </c>
      <c r="N3360" s="11" t="s">
        <v>29</v>
      </c>
      <c r="O3360" s="16" t="s">
        <v>29</v>
      </c>
      <c r="P3360" s="15">
        <v>223</v>
      </c>
      <c r="Q3360" s="8"/>
      <c r="R3360">
        <v>12.69</v>
      </c>
      <c r="S3360">
        <v>2042.97</v>
      </c>
      <c r="T3360">
        <v>4.3099999999999996</v>
      </c>
      <c r="U3360">
        <v>9.11</v>
      </c>
      <c r="V3360">
        <v>127</v>
      </c>
      <c r="W3360" s="8"/>
      <c r="X3360" s="8"/>
      <c r="Y3360" s="8"/>
      <c r="Z3360" s="8"/>
    </row>
    <row r="3361" spans="1:26" ht="12.75" customHeight="1" x14ac:dyDescent="0.2">
      <c r="A3361" s="15">
        <v>12</v>
      </c>
      <c r="B3361" s="15">
        <v>1990</v>
      </c>
      <c r="C3361" s="15">
        <v>11</v>
      </c>
      <c r="D3361" s="15">
        <v>8</v>
      </c>
      <c r="E3361" s="22" t="s">
        <v>17</v>
      </c>
      <c r="F3361" s="11" t="s">
        <v>18</v>
      </c>
      <c r="G3361" s="15">
        <v>116</v>
      </c>
      <c r="H3361" s="15" t="s">
        <v>29</v>
      </c>
      <c r="I3361" s="25">
        <v>6.8</v>
      </c>
      <c r="J3361" s="11" t="s">
        <v>19</v>
      </c>
      <c r="K3361" s="11" t="s">
        <v>41</v>
      </c>
      <c r="L3361" s="11" t="s">
        <v>41</v>
      </c>
      <c r="M3361" s="11" t="s">
        <v>29</v>
      </c>
      <c r="N3361" s="11" t="s">
        <v>29</v>
      </c>
      <c r="O3361" s="16" t="s">
        <v>29</v>
      </c>
      <c r="P3361" s="15">
        <v>223</v>
      </c>
      <c r="Q3361" s="8"/>
      <c r="R3361">
        <v>10.82</v>
      </c>
      <c r="S3361">
        <v>1267.71</v>
      </c>
      <c r="T3361">
        <v>5.36</v>
      </c>
      <c r="U3361">
        <v>7.77</v>
      </c>
      <c r="V3361">
        <v>108</v>
      </c>
      <c r="W3361" s="8"/>
      <c r="X3361" s="8"/>
      <c r="Y3361" s="8"/>
      <c r="Z3361" s="8"/>
    </row>
    <row r="3362" spans="1:26" ht="12.75" customHeight="1" x14ac:dyDescent="0.2">
      <c r="A3362" s="15">
        <v>13</v>
      </c>
      <c r="B3362" s="15">
        <v>1990</v>
      </c>
      <c r="C3362" s="15">
        <v>11</v>
      </c>
      <c r="D3362" s="15">
        <v>8</v>
      </c>
      <c r="E3362" s="22" t="s">
        <v>17</v>
      </c>
      <c r="F3362" s="11" t="s">
        <v>18</v>
      </c>
      <c r="G3362" s="15">
        <v>140</v>
      </c>
      <c r="H3362" s="15" t="s">
        <v>29</v>
      </c>
      <c r="I3362" s="25">
        <v>12.5</v>
      </c>
      <c r="J3362" s="11" t="s">
        <v>19</v>
      </c>
      <c r="K3362" s="11" t="s">
        <v>41</v>
      </c>
      <c r="L3362" s="11" t="s">
        <v>41</v>
      </c>
      <c r="M3362" s="11" t="s">
        <v>29</v>
      </c>
      <c r="N3362" s="11" t="s">
        <v>29</v>
      </c>
      <c r="O3362" s="16" t="s">
        <v>29</v>
      </c>
      <c r="P3362" s="15">
        <v>223</v>
      </c>
      <c r="Q3362" s="8"/>
      <c r="R3362">
        <v>13.06</v>
      </c>
      <c r="S3362">
        <v>2228.58</v>
      </c>
      <c r="T3362">
        <v>5.61</v>
      </c>
      <c r="U3362">
        <v>9.3800000000000008</v>
      </c>
      <c r="V3362">
        <v>131</v>
      </c>
      <c r="W3362" s="8"/>
      <c r="X3362" s="8"/>
      <c r="Y3362" s="8"/>
      <c r="Z3362" s="8"/>
    </row>
    <row r="3363" spans="1:26" ht="12.75" customHeight="1" x14ac:dyDescent="0.2">
      <c r="A3363" s="15">
        <v>14</v>
      </c>
      <c r="B3363" s="15">
        <v>1990</v>
      </c>
      <c r="C3363" s="15">
        <v>11</v>
      </c>
      <c r="D3363" s="15">
        <v>8</v>
      </c>
      <c r="E3363" s="22" t="s">
        <v>17</v>
      </c>
      <c r="F3363" s="11" t="s">
        <v>18</v>
      </c>
      <c r="G3363" s="15">
        <v>140</v>
      </c>
      <c r="H3363" s="15" t="s">
        <v>29</v>
      </c>
      <c r="I3363" s="25">
        <v>10.5</v>
      </c>
      <c r="J3363" s="11" t="s">
        <v>19</v>
      </c>
      <c r="K3363" s="11" t="s">
        <v>20</v>
      </c>
      <c r="L3363" s="11" t="s">
        <v>41</v>
      </c>
      <c r="M3363" s="11" t="s">
        <v>29</v>
      </c>
      <c r="N3363" s="11" t="s">
        <v>29</v>
      </c>
      <c r="O3363" s="16" t="s">
        <v>29</v>
      </c>
      <c r="P3363" s="15">
        <v>223</v>
      </c>
      <c r="Q3363" s="8"/>
      <c r="R3363">
        <v>13.06</v>
      </c>
      <c r="S3363">
        <v>2228.58</v>
      </c>
      <c r="T3363">
        <v>4.71</v>
      </c>
      <c r="U3363">
        <v>9.3800000000000008</v>
      </c>
      <c r="V3363">
        <v>131</v>
      </c>
      <c r="W3363" s="8"/>
      <c r="X3363" s="8"/>
      <c r="Y3363" s="8"/>
      <c r="Z3363" s="8"/>
    </row>
    <row r="3364" spans="1:26" ht="12.75" customHeight="1" x14ac:dyDescent="0.2">
      <c r="A3364" s="15">
        <v>15</v>
      </c>
      <c r="B3364" s="15">
        <v>1990</v>
      </c>
      <c r="C3364" s="15">
        <v>11</v>
      </c>
      <c r="D3364" s="15">
        <v>8</v>
      </c>
      <c r="E3364" s="22" t="s">
        <v>17</v>
      </c>
      <c r="F3364" s="11" t="s">
        <v>18</v>
      </c>
      <c r="G3364" s="15">
        <v>135</v>
      </c>
      <c r="H3364" s="15" t="s">
        <v>29</v>
      </c>
      <c r="I3364" s="25">
        <v>10.5</v>
      </c>
      <c r="J3364" s="11" t="s">
        <v>19</v>
      </c>
      <c r="K3364" s="11" t="s">
        <v>20</v>
      </c>
      <c r="L3364" s="11" t="s">
        <v>41</v>
      </c>
      <c r="M3364" s="11" t="s">
        <v>29</v>
      </c>
      <c r="N3364" s="11" t="s">
        <v>29</v>
      </c>
      <c r="O3364" s="16" t="s">
        <v>29</v>
      </c>
      <c r="P3364" s="15">
        <v>223</v>
      </c>
      <c r="Q3364" s="8"/>
      <c r="R3364">
        <v>12.6</v>
      </c>
      <c r="S3364">
        <v>1998.23</v>
      </c>
      <c r="T3364">
        <v>5.25</v>
      </c>
      <c r="U3364">
        <v>9.0500000000000007</v>
      </c>
      <c r="V3364">
        <v>126</v>
      </c>
      <c r="W3364" s="8"/>
      <c r="X3364" s="8"/>
      <c r="Y3364" s="8"/>
      <c r="Z3364" s="8"/>
    </row>
    <row r="3365" spans="1:26" ht="12.75" customHeight="1" x14ac:dyDescent="0.2">
      <c r="A3365" s="15">
        <v>16</v>
      </c>
      <c r="B3365" s="15">
        <v>1990</v>
      </c>
      <c r="C3365" s="15">
        <v>11</v>
      </c>
      <c r="D3365" s="15">
        <v>8</v>
      </c>
      <c r="E3365" s="22" t="s">
        <v>17</v>
      </c>
      <c r="F3365" s="11" t="s">
        <v>18</v>
      </c>
      <c r="G3365" s="15">
        <v>135</v>
      </c>
      <c r="H3365" s="15" t="s">
        <v>29</v>
      </c>
      <c r="I3365" s="25">
        <v>9</v>
      </c>
      <c r="J3365" s="11" t="s">
        <v>19</v>
      </c>
      <c r="K3365" s="11" t="s">
        <v>20</v>
      </c>
      <c r="L3365" s="11" t="s">
        <v>30</v>
      </c>
      <c r="M3365" s="11" t="s">
        <v>29</v>
      </c>
      <c r="N3365" s="11" t="s">
        <v>29</v>
      </c>
      <c r="O3365" s="16" t="s">
        <v>29</v>
      </c>
      <c r="P3365" s="15">
        <v>223</v>
      </c>
      <c r="Q3365" s="8"/>
      <c r="R3365">
        <v>12.6</v>
      </c>
      <c r="S3365">
        <v>1998.23</v>
      </c>
      <c r="T3365">
        <v>4.5</v>
      </c>
      <c r="U3365">
        <v>9.0500000000000007</v>
      </c>
      <c r="V3365">
        <v>126</v>
      </c>
      <c r="W3365" s="317">
        <v>4.5999999999999996</v>
      </c>
      <c r="X3365" s="190">
        <f>I3365*W3365</f>
        <v>41.4</v>
      </c>
      <c r="Y3365" s="8"/>
      <c r="Z3365" s="8"/>
    </row>
    <row r="3366" spans="1:26" ht="12.75" customHeight="1" x14ac:dyDescent="0.2">
      <c r="A3366" s="15">
        <v>17</v>
      </c>
      <c r="B3366" s="15">
        <v>1990</v>
      </c>
      <c r="C3366" s="15">
        <v>10</v>
      </c>
      <c r="D3366" s="15">
        <v>8</v>
      </c>
      <c r="E3366" s="22" t="s">
        <v>17</v>
      </c>
      <c r="F3366" s="11" t="s">
        <v>18</v>
      </c>
      <c r="G3366" s="15">
        <v>169</v>
      </c>
      <c r="H3366" s="15" t="s">
        <v>29</v>
      </c>
      <c r="I3366" s="25">
        <v>19</v>
      </c>
      <c r="J3366" s="11" t="s">
        <v>19</v>
      </c>
      <c r="K3366" s="11" t="s">
        <v>20</v>
      </c>
      <c r="L3366" s="11" t="s">
        <v>41</v>
      </c>
      <c r="M3366" s="11" t="s">
        <v>29</v>
      </c>
      <c r="N3366" s="11" t="s">
        <v>29</v>
      </c>
      <c r="O3366" s="16" t="s">
        <v>29</v>
      </c>
      <c r="P3366" s="15">
        <v>222</v>
      </c>
      <c r="Q3366" s="8"/>
      <c r="R3366">
        <v>15.77</v>
      </c>
      <c r="S3366">
        <v>3920.17</v>
      </c>
      <c r="T3366">
        <v>4.8499999999999996</v>
      </c>
      <c r="U3366">
        <v>11.32</v>
      </c>
      <c r="V3366">
        <v>158</v>
      </c>
      <c r="W3366" s="8"/>
      <c r="X3366" s="8"/>
      <c r="Y3366" s="8"/>
      <c r="Z3366" s="8"/>
    </row>
    <row r="3367" spans="1:26" ht="12.75" customHeight="1" x14ac:dyDescent="0.2">
      <c r="A3367" s="15">
        <v>18</v>
      </c>
      <c r="B3367" s="15">
        <v>1990</v>
      </c>
      <c r="C3367" s="15">
        <v>10</v>
      </c>
      <c r="D3367" s="15">
        <v>8</v>
      </c>
      <c r="E3367" s="22" t="s">
        <v>17</v>
      </c>
      <c r="F3367" s="11" t="s">
        <v>18</v>
      </c>
      <c r="G3367" s="15">
        <v>158</v>
      </c>
      <c r="H3367" s="15" t="s">
        <v>29</v>
      </c>
      <c r="I3367" s="25">
        <v>12</v>
      </c>
      <c r="J3367" s="11" t="s">
        <v>19</v>
      </c>
      <c r="K3367" s="11" t="s">
        <v>41</v>
      </c>
      <c r="L3367" s="11" t="s">
        <v>41</v>
      </c>
      <c r="M3367" s="11" t="s">
        <v>29</v>
      </c>
      <c r="N3367" s="11" t="s">
        <v>29</v>
      </c>
      <c r="O3367" s="16" t="s">
        <v>29</v>
      </c>
      <c r="P3367" s="15">
        <v>222</v>
      </c>
      <c r="Q3367" s="8"/>
      <c r="R3367">
        <v>14.74</v>
      </c>
      <c r="S3367">
        <v>3203.44</v>
      </c>
      <c r="T3367">
        <v>3.75</v>
      </c>
      <c r="U3367">
        <v>10.59</v>
      </c>
      <c r="V3367">
        <v>147</v>
      </c>
      <c r="W3367" s="8"/>
      <c r="X3367" s="8"/>
      <c r="Y3367" s="8"/>
      <c r="Z3367" s="8"/>
    </row>
    <row r="3368" spans="1:26" ht="12.75" customHeight="1" x14ac:dyDescent="0.2">
      <c r="A3368" s="15">
        <v>19</v>
      </c>
      <c r="B3368" s="15">
        <v>1990</v>
      </c>
      <c r="C3368" s="15">
        <v>10</v>
      </c>
      <c r="D3368" s="15">
        <v>8</v>
      </c>
      <c r="E3368" s="22" t="s">
        <v>17</v>
      </c>
      <c r="F3368" s="11" t="s">
        <v>18</v>
      </c>
      <c r="G3368" s="15">
        <v>147</v>
      </c>
      <c r="H3368" s="15" t="s">
        <v>29</v>
      </c>
      <c r="I3368" s="25" t="s">
        <v>29</v>
      </c>
      <c r="J3368" s="11" t="s">
        <v>19</v>
      </c>
      <c r="K3368" s="11" t="s">
        <v>41</v>
      </c>
      <c r="L3368" s="11" t="s">
        <v>41</v>
      </c>
      <c r="M3368" s="11" t="s">
        <v>29</v>
      </c>
      <c r="N3368" s="11" t="s">
        <v>29</v>
      </c>
      <c r="O3368" s="16" t="s">
        <v>29</v>
      </c>
      <c r="P3368" s="15">
        <v>222</v>
      </c>
      <c r="Q3368" s="8"/>
      <c r="U3368">
        <v>9.85</v>
      </c>
      <c r="V3368">
        <v>137</v>
      </c>
      <c r="W3368" s="8"/>
      <c r="X3368" s="8"/>
      <c r="Y3368" s="8"/>
      <c r="Z3368" s="8"/>
    </row>
    <row r="3369" spans="1:26" ht="12.75" customHeight="1" x14ac:dyDescent="0.2">
      <c r="A3369" s="15">
        <v>20</v>
      </c>
      <c r="B3369" s="15">
        <v>1990</v>
      </c>
      <c r="C3369" s="15">
        <v>10</v>
      </c>
      <c r="D3369" s="15">
        <v>8</v>
      </c>
      <c r="E3369" s="22" t="s">
        <v>17</v>
      </c>
      <c r="F3369" s="11" t="s">
        <v>18</v>
      </c>
      <c r="G3369" s="15">
        <v>159</v>
      </c>
      <c r="H3369" s="15" t="s">
        <v>29</v>
      </c>
      <c r="I3369" s="25" t="s">
        <v>29</v>
      </c>
      <c r="J3369" s="11" t="s">
        <v>19</v>
      </c>
      <c r="K3369" s="11" t="s">
        <v>41</v>
      </c>
      <c r="L3369" s="11" t="s">
        <v>41</v>
      </c>
      <c r="M3369" s="11" t="s">
        <v>29</v>
      </c>
      <c r="N3369" s="11" t="s">
        <v>29</v>
      </c>
      <c r="O3369" s="16" t="s">
        <v>29</v>
      </c>
      <c r="P3369" s="15">
        <v>222</v>
      </c>
      <c r="Q3369" s="8"/>
      <c r="U3369">
        <v>10.65</v>
      </c>
      <c r="V3369">
        <v>148</v>
      </c>
      <c r="W3369" s="8"/>
      <c r="X3369" s="8"/>
      <c r="Y3369" s="8"/>
      <c r="Z3369" s="8"/>
    </row>
    <row r="3370" spans="1:26" ht="12.75" customHeight="1" x14ac:dyDescent="0.2">
      <c r="A3370" s="15">
        <v>21</v>
      </c>
      <c r="B3370" s="15">
        <v>1990</v>
      </c>
      <c r="C3370" s="15">
        <v>10</v>
      </c>
      <c r="D3370" s="15">
        <v>8</v>
      </c>
      <c r="E3370" s="22" t="s">
        <v>17</v>
      </c>
      <c r="F3370" s="11" t="s">
        <v>18</v>
      </c>
      <c r="G3370" s="15">
        <v>155</v>
      </c>
      <c r="H3370" s="15" t="s">
        <v>29</v>
      </c>
      <c r="I3370" s="25">
        <v>13.5</v>
      </c>
      <c r="J3370" s="11" t="s">
        <v>19</v>
      </c>
      <c r="K3370" s="11" t="s">
        <v>41</v>
      </c>
      <c r="L3370" s="11" t="s">
        <v>41</v>
      </c>
      <c r="M3370" s="11" t="s">
        <v>29</v>
      </c>
      <c r="N3370" s="11" t="s">
        <v>29</v>
      </c>
      <c r="O3370" s="16" t="s">
        <v>29</v>
      </c>
      <c r="P3370" s="15">
        <v>222</v>
      </c>
      <c r="Q3370" s="8"/>
      <c r="R3370">
        <v>14.46</v>
      </c>
      <c r="S3370">
        <v>3024.41</v>
      </c>
      <c r="T3370">
        <v>4.46</v>
      </c>
      <c r="U3370">
        <v>10.39</v>
      </c>
      <c r="V3370">
        <v>145</v>
      </c>
      <c r="W3370" s="8"/>
      <c r="X3370" s="8"/>
      <c r="Y3370" s="8"/>
      <c r="Z3370" s="8"/>
    </row>
    <row r="3371" spans="1:26" ht="12.75" customHeight="1" x14ac:dyDescent="0.2">
      <c r="A3371" s="15">
        <v>22</v>
      </c>
      <c r="B3371" s="15">
        <v>1990</v>
      </c>
      <c r="C3371" s="15">
        <v>10</v>
      </c>
      <c r="D3371" s="15">
        <v>8</v>
      </c>
      <c r="E3371" s="22" t="s">
        <v>17</v>
      </c>
      <c r="F3371" s="11" t="s">
        <v>18</v>
      </c>
      <c r="G3371" s="15">
        <v>125</v>
      </c>
      <c r="H3371" s="15" t="s">
        <v>29</v>
      </c>
      <c r="I3371" s="25" t="s">
        <v>29</v>
      </c>
      <c r="J3371" s="11" t="s">
        <v>19</v>
      </c>
      <c r="K3371" s="11" t="s">
        <v>41</v>
      </c>
      <c r="L3371" s="11" t="s">
        <v>41</v>
      </c>
      <c r="M3371" s="11" t="s">
        <v>29</v>
      </c>
      <c r="N3371" s="11" t="s">
        <v>29</v>
      </c>
      <c r="O3371" s="16" t="s">
        <v>29</v>
      </c>
      <c r="P3371" s="15">
        <v>222</v>
      </c>
      <c r="Q3371" s="8"/>
      <c r="U3371">
        <v>8.3800000000000008</v>
      </c>
      <c r="V3371">
        <v>117</v>
      </c>
      <c r="W3371" s="8"/>
      <c r="X3371" s="8"/>
      <c r="Y3371" s="8"/>
      <c r="Z3371" s="8"/>
    </row>
    <row r="3372" spans="1:26" ht="12.75" customHeight="1" x14ac:dyDescent="0.2">
      <c r="A3372" s="15">
        <v>23</v>
      </c>
      <c r="B3372" s="15">
        <v>1990</v>
      </c>
      <c r="C3372" s="15">
        <v>10</v>
      </c>
      <c r="D3372" s="15">
        <v>8</v>
      </c>
      <c r="E3372" s="22" t="s">
        <v>17</v>
      </c>
      <c r="F3372" s="11" t="s">
        <v>18</v>
      </c>
      <c r="G3372" s="15">
        <v>158</v>
      </c>
      <c r="H3372" s="15" t="s">
        <v>29</v>
      </c>
      <c r="I3372" s="25" t="s">
        <v>29</v>
      </c>
      <c r="J3372" s="11" t="s">
        <v>19</v>
      </c>
      <c r="K3372" s="11" t="s">
        <v>41</v>
      </c>
      <c r="L3372" s="11" t="s">
        <v>41</v>
      </c>
      <c r="M3372" s="11" t="s">
        <v>29</v>
      </c>
      <c r="N3372" s="11" t="s">
        <v>29</v>
      </c>
      <c r="O3372" s="16" t="s">
        <v>29</v>
      </c>
      <c r="P3372" s="15">
        <v>222</v>
      </c>
      <c r="Q3372" s="8"/>
      <c r="U3372">
        <v>10.59</v>
      </c>
      <c r="V3372">
        <v>147</v>
      </c>
      <c r="W3372" s="8"/>
      <c r="X3372" s="8"/>
      <c r="Y3372" s="8"/>
      <c r="Z3372" s="8"/>
    </row>
    <row r="3373" spans="1:26" ht="12.75" customHeight="1" x14ac:dyDescent="0.2">
      <c r="A3373" s="15">
        <v>24</v>
      </c>
      <c r="B3373" s="15">
        <v>1990</v>
      </c>
      <c r="C3373" s="15">
        <v>10</v>
      </c>
      <c r="D3373" s="15">
        <v>8</v>
      </c>
      <c r="E3373" s="22" t="s">
        <v>17</v>
      </c>
      <c r="F3373" s="11" t="s">
        <v>18</v>
      </c>
      <c r="G3373" s="15">
        <v>141</v>
      </c>
      <c r="H3373" s="15" t="s">
        <v>29</v>
      </c>
      <c r="I3373" s="25" t="s">
        <v>29</v>
      </c>
      <c r="J3373" s="11" t="s">
        <v>19</v>
      </c>
      <c r="K3373" s="11" t="s">
        <v>41</v>
      </c>
      <c r="L3373" s="11" t="s">
        <v>41</v>
      </c>
      <c r="M3373" s="11" t="s">
        <v>29</v>
      </c>
      <c r="N3373" s="11" t="s">
        <v>29</v>
      </c>
      <c r="O3373" s="16" t="s">
        <v>29</v>
      </c>
      <c r="P3373" s="15">
        <v>222</v>
      </c>
      <c r="Q3373" s="8"/>
      <c r="U3373">
        <v>9.4499999999999993</v>
      </c>
      <c r="V3373">
        <v>132</v>
      </c>
      <c r="W3373" s="8"/>
      <c r="X3373" s="8"/>
      <c r="Y3373" s="8"/>
      <c r="Z3373" s="8"/>
    </row>
    <row r="3374" spans="1:26" ht="12.75" customHeight="1" x14ac:dyDescent="0.2">
      <c r="A3374" s="15">
        <v>25</v>
      </c>
      <c r="B3374" s="15">
        <v>1990</v>
      </c>
      <c r="C3374" s="15">
        <v>10</v>
      </c>
      <c r="D3374" s="15">
        <v>8</v>
      </c>
      <c r="E3374" s="22" t="s">
        <v>17</v>
      </c>
      <c r="F3374" s="11" t="s">
        <v>18</v>
      </c>
      <c r="G3374" s="15">
        <v>158</v>
      </c>
      <c r="H3374" s="15" t="s">
        <v>29</v>
      </c>
      <c r="I3374" s="25" t="s">
        <v>29</v>
      </c>
      <c r="J3374" s="11" t="s">
        <v>19</v>
      </c>
      <c r="K3374" s="11" t="s">
        <v>41</v>
      </c>
      <c r="L3374" s="11" t="s">
        <v>41</v>
      </c>
      <c r="M3374" s="11" t="s">
        <v>29</v>
      </c>
      <c r="N3374" s="11" t="s">
        <v>29</v>
      </c>
      <c r="O3374" s="16" t="s">
        <v>29</v>
      </c>
      <c r="P3374" s="15">
        <v>222</v>
      </c>
      <c r="Q3374" s="8"/>
      <c r="U3374">
        <v>10.59</v>
      </c>
      <c r="V3374">
        <v>147</v>
      </c>
      <c r="W3374" s="8"/>
      <c r="X3374" s="8"/>
      <c r="Y3374" s="8"/>
      <c r="Z3374" s="8"/>
    </row>
    <row r="3375" spans="1:26" ht="12.75" customHeight="1" x14ac:dyDescent="0.2">
      <c r="A3375" s="15">
        <v>26</v>
      </c>
      <c r="B3375" s="15">
        <v>1990</v>
      </c>
      <c r="C3375" s="15">
        <v>10</v>
      </c>
      <c r="D3375" s="15">
        <v>8</v>
      </c>
      <c r="E3375" s="22" t="s">
        <v>17</v>
      </c>
      <c r="F3375" s="11" t="s">
        <v>18</v>
      </c>
      <c r="G3375" s="15">
        <v>153</v>
      </c>
      <c r="H3375" s="15" t="s">
        <v>29</v>
      </c>
      <c r="I3375" s="25" t="s">
        <v>29</v>
      </c>
      <c r="J3375" s="11" t="s">
        <v>19</v>
      </c>
      <c r="K3375" s="11" t="s">
        <v>41</v>
      </c>
      <c r="L3375" s="11" t="s">
        <v>41</v>
      </c>
      <c r="M3375" s="11" t="s">
        <v>29</v>
      </c>
      <c r="N3375" s="11" t="s">
        <v>29</v>
      </c>
      <c r="O3375" s="16" t="s">
        <v>29</v>
      </c>
      <c r="P3375" s="15">
        <v>222</v>
      </c>
      <c r="Q3375" s="8"/>
      <c r="U3375">
        <v>10.25</v>
      </c>
      <c r="V3375">
        <v>143</v>
      </c>
      <c r="W3375" s="8"/>
      <c r="X3375" s="8"/>
      <c r="Y3375" s="8"/>
      <c r="Z3375" s="8"/>
    </row>
    <row r="3376" spans="1:26" ht="12.75" customHeight="1" x14ac:dyDescent="0.2">
      <c r="A3376" s="15">
        <v>27</v>
      </c>
      <c r="B3376" s="15">
        <v>1990</v>
      </c>
      <c r="C3376" s="15">
        <v>10</v>
      </c>
      <c r="D3376" s="15">
        <v>8</v>
      </c>
      <c r="E3376" s="22" t="s">
        <v>17</v>
      </c>
      <c r="F3376" s="11" t="s">
        <v>18</v>
      </c>
      <c r="G3376" s="15">
        <v>120</v>
      </c>
      <c r="H3376" s="15" t="s">
        <v>29</v>
      </c>
      <c r="I3376" s="25" t="s">
        <v>29</v>
      </c>
      <c r="J3376" s="11" t="s">
        <v>19</v>
      </c>
      <c r="K3376" s="11" t="s">
        <v>41</v>
      </c>
      <c r="L3376" s="11" t="s">
        <v>41</v>
      </c>
      <c r="M3376" s="11" t="s">
        <v>29</v>
      </c>
      <c r="N3376" s="11" t="s">
        <v>29</v>
      </c>
      <c r="O3376" s="16" t="s">
        <v>29</v>
      </c>
      <c r="P3376" s="15">
        <v>222</v>
      </c>
      <c r="Q3376" s="8"/>
      <c r="U3376">
        <v>8.0399999999999991</v>
      </c>
      <c r="V3376">
        <v>112</v>
      </c>
      <c r="W3376" s="8"/>
      <c r="X3376" s="8"/>
      <c r="Y3376" s="8"/>
      <c r="Z3376" s="8"/>
    </row>
    <row r="3377" spans="1:26" ht="12.75" customHeight="1" x14ac:dyDescent="0.2">
      <c r="A3377" s="15">
        <v>28</v>
      </c>
      <c r="B3377" s="15">
        <v>1990</v>
      </c>
      <c r="C3377" s="15">
        <v>10</v>
      </c>
      <c r="D3377" s="15">
        <v>8</v>
      </c>
      <c r="E3377" s="22" t="s">
        <v>17</v>
      </c>
      <c r="F3377" s="11" t="s">
        <v>18</v>
      </c>
      <c r="G3377" s="15">
        <v>133</v>
      </c>
      <c r="H3377" s="15" t="s">
        <v>29</v>
      </c>
      <c r="I3377" s="25" t="s">
        <v>29</v>
      </c>
      <c r="J3377" s="11" t="s">
        <v>19</v>
      </c>
      <c r="K3377" s="11" t="s">
        <v>41</v>
      </c>
      <c r="L3377" s="11" t="s">
        <v>41</v>
      </c>
      <c r="M3377" s="11" t="s">
        <v>29</v>
      </c>
      <c r="N3377" s="11" t="s">
        <v>29</v>
      </c>
      <c r="O3377" s="16" t="s">
        <v>29</v>
      </c>
      <c r="P3377" s="15">
        <v>222</v>
      </c>
      <c r="Q3377" s="8"/>
      <c r="U3377">
        <v>8.91</v>
      </c>
      <c r="V3377">
        <v>124</v>
      </c>
      <c r="W3377" s="8"/>
      <c r="X3377" s="8"/>
      <c r="Y3377" s="8"/>
      <c r="Z3377" s="8"/>
    </row>
    <row r="3378" spans="1:26" ht="12.75" customHeight="1" x14ac:dyDescent="0.2">
      <c r="A3378" s="15">
        <v>29</v>
      </c>
      <c r="B3378" s="15">
        <v>1990</v>
      </c>
      <c r="C3378" s="15">
        <v>10</v>
      </c>
      <c r="D3378" s="15">
        <v>8</v>
      </c>
      <c r="E3378" s="22" t="s">
        <v>17</v>
      </c>
      <c r="F3378" s="11" t="s">
        <v>18</v>
      </c>
      <c r="G3378" s="15">
        <v>133</v>
      </c>
      <c r="H3378" s="15" t="s">
        <v>29</v>
      </c>
      <c r="I3378" s="25" t="s">
        <v>29</v>
      </c>
      <c r="J3378" s="11" t="s">
        <v>19</v>
      </c>
      <c r="K3378" s="11" t="s">
        <v>41</v>
      </c>
      <c r="L3378" s="11" t="s">
        <v>35</v>
      </c>
      <c r="M3378" s="11" t="s">
        <v>29</v>
      </c>
      <c r="N3378" s="11" t="s">
        <v>29</v>
      </c>
      <c r="O3378" s="16" t="s">
        <v>29</v>
      </c>
      <c r="P3378" s="15">
        <v>222</v>
      </c>
      <c r="Q3378" s="8"/>
      <c r="U3378">
        <v>8.91</v>
      </c>
      <c r="V3378">
        <v>124</v>
      </c>
      <c r="W3378" s="8"/>
      <c r="X3378" s="8"/>
      <c r="Y3378" s="8"/>
      <c r="Z3378" s="8"/>
    </row>
    <row r="3379" spans="1:26" ht="12.75" customHeight="1" x14ac:dyDescent="0.2">
      <c r="A3379" s="15">
        <v>30</v>
      </c>
      <c r="B3379" s="15">
        <v>1990</v>
      </c>
      <c r="C3379" s="15">
        <v>10</v>
      </c>
      <c r="D3379" s="15">
        <v>8</v>
      </c>
      <c r="E3379" s="22" t="s">
        <v>17</v>
      </c>
      <c r="F3379" s="11" t="s">
        <v>18</v>
      </c>
      <c r="G3379" s="15">
        <v>124</v>
      </c>
      <c r="H3379" s="15" t="s">
        <v>29</v>
      </c>
      <c r="I3379" s="25" t="s">
        <v>29</v>
      </c>
      <c r="J3379" s="11" t="s">
        <v>19</v>
      </c>
      <c r="K3379" s="11" t="s">
        <v>41</v>
      </c>
      <c r="L3379" s="11" t="s">
        <v>41</v>
      </c>
      <c r="M3379" s="11" t="s">
        <v>29</v>
      </c>
      <c r="N3379" s="11" t="s">
        <v>29</v>
      </c>
      <c r="O3379" s="16" t="s">
        <v>29</v>
      </c>
      <c r="P3379" s="15">
        <v>222</v>
      </c>
      <c r="Q3379" s="8"/>
      <c r="U3379">
        <v>8.31</v>
      </c>
      <c r="V3379">
        <v>116</v>
      </c>
      <c r="W3379" s="8"/>
      <c r="X3379" s="8"/>
      <c r="Y3379" s="8"/>
      <c r="Z3379" s="8"/>
    </row>
    <row r="3380" spans="1:26" ht="12.75" customHeight="1" x14ac:dyDescent="0.2">
      <c r="A3380" s="15">
        <v>31</v>
      </c>
      <c r="B3380" s="15">
        <v>1990</v>
      </c>
      <c r="C3380" s="15">
        <v>10</v>
      </c>
      <c r="D3380" s="15">
        <v>8</v>
      </c>
      <c r="E3380" s="22" t="s">
        <v>17</v>
      </c>
      <c r="F3380" s="11" t="s">
        <v>18</v>
      </c>
      <c r="G3380" s="15">
        <v>118</v>
      </c>
      <c r="H3380" s="15" t="s">
        <v>29</v>
      </c>
      <c r="I3380" s="25" t="s">
        <v>29</v>
      </c>
      <c r="J3380" s="11" t="s">
        <v>19</v>
      </c>
      <c r="K3380" s="11" t="s">
        <v>34</v>
      </c>
      <c r="L3380" s="11" t="s">
        <v>41</v>
      </c>
      <c r="M3380" s="11" t="s">
        <v>29</v>
      </c>
      <c r="N3380" s="11" t="s">
        <v>24</v>
      </c>
      <c r="O3380" s="16" t="s">
        <v>29</v>
      </c>
      <c r="P3380" s="15">
        <v>222</v>
      </c>
      <c r="Q3380" s="8"/>
      <c r="U3380">
        <v>7.91</v>
      </c>
      <c r="V3380">
        <v>110</v>
      </c>
      <c r="W3380" s="317">
        <v>3.8</v>
      </c>
      <c r="X3380" s="190"/>
      <c r="Y3380" s="8"/>
      <c r="Z3380" s="8"/>
    </row>
    <row r="3381" spans="1:26" ht="12.75" customHeight="1" x14ac:dyDescent="0.2">
      <c r="A3381" s="15">
        <v>32</v>
      </c>
      <c r="B3381" s="15">
        <v>1990</v>
      </c>
      <c r="C3381" s="15">
        <v>10</v>
      </c>
      <c r="D3381" s="15">
        <v>8</v>
      </c>
      <c r="E3381" s="22" t="s">
        <v>17</v>
      </c>
      <c r="F3381" s="11" t="s">
        <v>18</v>
      </c>
      <c r="G3381" s="15">
        <v>167</v>
      </c>
      <c r="H3381" s="15" t="s">
        <v>29</v>
      </c>
      <c r="I3381" s="25">
        <v>17.8</v>
      </c>
      <c r="J3381" s="11" t="s">
        <v>19</v>
      </c>
      <c r="K3381" s="11" t="s">
        <v>34</v>
      </c>
      <c r="L3381" s="11" t="s">
        <v>41</v>
      </c>
      <c r="M3381" s="11" t="s">
        <v>29</v>
      </c>
      <c r="N3381" s="11" t="s">
        <v>24</v>
      </c>
      <c r="O3381" s="16" t="s">
        <v>29</v>
      </c>
      <c r="P3381" s="15">
        <v>222</v>
      </c>
      <c r="Q3381" s="8"/>
      <c r="R3381">
        <v>15.58</v>
      </c>
      <c r="S3381">
        <v>3782.63</v>
      </c>
      <c r="T3381">
        <v>4.71</v>
      </c>
      <c r="U3381">
        <v>11.19</v>
      </c>
      <c r="V3381">
        <v>156</v>
      </c>
      <c r="W3381" s="317">
        <v>3.8</v>
      </c>
      <c r="X3381" s="190">
        <f>I3381*W3381</f>
        <v>67.64</v>
      </c>
      <c r="Y3381" s="8"/>
      <c r="Z3381" s="8"/>
    </row>
    <row r="3382" spans="1:26" ht="12.75" customHeight="1" x14ac:dyDescent="0.2">
      <c r="A3382" s="15">
        <v>33</v>
      </c>
      <c r="B3382" s="15">
        <v>1990</v>
      </c>
      <c r="C3382" s="15">
        <v>10</v>
      </c>
      <c r="D3382" s="15">
        <v>8</v>
      </c>
      <c r="E3382" s="22" t="s">
        <v>17</v>
      </c>
      <c r="F3382" s="11" t="s">
        <v>18</v>
      </c>
      <c r="G3382" s="15">
        <v>133</v>
      </c>
      <c r="H3382" s="15" t="s">
        <v>29</v>
      </c>
      <c r="I3382" s="25" t="s">
        <v>29</v>
      </c>
      <c r="J3382" s="11" t="s">
        <v>19</v>
      </c>
      <c r="K3382" s="11" t="s">
        <v>20</v>
      </c>
      <c r="L3382" s="11" t="s">
        <v>41</v>
      </c>
      <c r="M3382" s="11" t="s">
        <v>29</v>
      </c>
      <c r="N3382" s="11" t="s">
        <v>29</v>
      </c>
      <c r="O3382" s="16" t="s">
        <v>29</v>
      </c>
      <c r="P3382" s="15">
        <v>222</v>
      </c>
      <c r="Q3382" s="8"/>
      <c r="U3382">
        <v>8.91</v>
      </c>
      <c r="V3382">
        <v>124</v>
      </c>
      <c r="W3382" s="8"/>
      <c r="X3382" s="8"/>
      <c r="Y3382" s="8"/>
      <c r="Z3382" s="8"/>
    </row>
    <row r="3383" spans="1:26" ht="12.75" customHeight="1" x14ac:dyDescent="0.2">
      <c r="A3383" s="15">
        <v>34</v>
      </c>
      <c r="B3383" s="15">
        <v>1990</v>
      </c>
      <c r="C3383" s="15">
        <v>10</v>
      </c>
      <c r="D3383" s="15">
        <v>8</v>
      </c>
      <c r="E3383" s="22" t="s">
        <v>17</v>
      </c>
      <c r="F3383" s="11" t="s">
        <v>18</v>
      </c>
      <c r="G3383" s="15">
        <v>148</v>
      </c>
      <c r="H3383" s="15" t="s">
        <v>29</v>
      </c>
      <c r="I3383" s="25" t="s">
        <v>29</v>
      </c>
      <c r="J3383" s="11" t="s">
        <v>19</v>
      </c>
      <c r="K3383" s="11" t="s">
        <v>41</v>
      </c>
      <c r="L3383" s="11" t="s">
        <v>41</v>
      </c>
      <c r="M3383" s="11" t="s">
        <v>29</v>
      </c>
      <c r="N3383" s="11" t="s">
        <v>29</v>
      </c>
      <c r="O3383" s="16" t="s">
        <v>29</v>
      </c>
      <c r="P3383" s="15">
        <v>222</v>
      </c>
      <c r="Q3383" s="8"/>
      <c r="U3383">
        <v>9.92</v>
      </c>
      <c r="V3383">
        <v>138</v>
      </c>
      <c r="W3383" s="8"/>
      <c r="X3383" s="8"/>
      <c r="Y3383" s="8"/>
      <c r="Z3383" s="8"/>
    </row>
    <row r="3384" spans="1:26" ht="12.75" customHeight="1" x14ac:dyDescent="0.2">
      <c r="A3384" s="15">
        <v>35</v>
      </c>
      <c r="B3384" s="15">
        <v>1990</v>
      </c>
      <c r="C3384" s="15">
        <v>10</v>
      </c>
      <c r="D3384" s="15">
        <v>8</v>
      </c>
      <c r="E3384" s="22" t="s">
        <v>17</v>
      </c>
      <c r="F3384" s="11" t="s">
        <v>18</v>
      </c>
      <c r="G3384" s="15">
        <v>126</v>
      </c>
      <c r="H3384" s="15" t="s">
        <v>29</v>
      </c>
      <c r="I3384" s="25" t="s">
        <v>29</v>
      </c>
      <c r="J3384" s="11" t="s">
        <v>19</v>
      </c>
      <c r="K3384" s="11" t="s">
        <v>41</v>
      </c>
      <c r="L3384" s="11" t="s">
        <v>41</v>
      </c>
      <c r="M3384" s="11" t="s">
        <v>29</v>
      </c>
      <c r="N3384" s="11" t="s">
        <v>29</v>
      </c>
      <c r="O3384" s="16" t="s">
        <v>29</v>
      </c>
      <c r="P3384" s="15">
        <v>222</v>
      </c>
      <c r="Q3384" s="8"/>
      <c r="U3384">
        <v>8.44</v>
      </c>
      <c r="V3384">
        <v>118</v>
      </c>
      <c r="W3384" s="8"/>
      <c r="X3384" s="8"/>
      <c r="Y3384" s="8"/>
      <c r="Z3384" s="8"/>
    </row>
    <row r="3385" spans="1:26" ht="12.75" customHeight="1" x14ac:dyDescent="0.2">
      <c r="A3385" s="15">
        <v>36</v>
      </c>
      <c r="B3385" s="15">
        <v>1990</v>
      </c>
      <c r="C3385" s="15">
        <v>10</v>
      </c>
      <c r="D3385" s="15">
        <v>8</v>
      </c>
      <c r="E3385" s="22" t="s">
        <v>17</v>
      </c>
      <c r="F3385" s="11" t="s">
        <v>18</v>
      </c>
      <c r="G3385" s="15">
        <v>148</v>
      </c>
      <c r="H3385" s="15" t="s">
        <v>29</v>
      </c>
      <c r="I3385" s="25" t="s">
        <v>29</v>
      </c>
      <c r="J3385" s="11" t="s">
        <v>19</v>
      </c>
      <c r="K3385" s="11" t="s">
        <v>41</v>
      </c>
      <c r="L3385" s="11" t="s">
        <v>41</v>
      </c>
      <c r="M3385" s="11" t="s">
        <v>29</v>
      </c>
      <c r="N3385" s="11" t="s">
        <v>29</v>
      </c>
      <c r="O3385" s="16" t="s">
        <v>29</v>
      </c>
      <c r="P3385" s="15">
        <v>222</v>
      </c>
      <c r="Q3385" s="8"/>
      <c r="U3385">
        <v>9.92</v>
      </c>
      <c r="V3385">
        <v>138</v>
      </c>
      <c r="W3385" s="8"/>
      <c r="X3385" s="8"/>
      <c r="Y3385" s="8"/>
      <c r="Z3385" s="8"/>
    </row>
    <row r="3386" spans="1:26" ht="12.75" customHeight="1" x14ac:dyDescent="0.2">
      <c r="A3386" s="15">
        <v>37</v>
      </c>
      <c r="B3386" s="15">
        <v>1990</v>
      </c>
      <c r="C3386" s="15">
        <v>10</v>
      </c>
      <c r="D3386" s="15">
        <v>8</v>
      </c>
      <c r="E3386" s="22" t="s">
        <v>17</v>
      </c>
      <c r="F3386" s="11" t="s">
        <v>18</v>
      </c>
      <c r="G3386" s="15">
        <v>144</v>
      </c>
      <c r="H3386" s="15" t="s">
        <v>29</v>
      </c>
      <c r="I3386" s="25" t="s">
        <v>29</v>
      </c>
      <c r="J3386" s="11" t="s">
        <v>19</v>
      </c>
      <c r="K3386" s="11" t="s">
        <v>20</v>
      </c>
      <c r="L3386" s="11" t="s">
        <v>41</v>
      </c>
      <c r="M3386" s="11" t="s">
        <v>29</v>
      </c>
      <c r="N3386" s="11" t="s">
        <v>29</v>
      </c>
      <c r="O3386" s="16" t="s">
        <v>29</v>
      </c>
      <c r="P3386" s="15">
        <v>222</v>
      </c>
      <c r="Q3386" s="8"/>
      <c r="U3386">
        <v>9.65</v>
      </c>
      <c r="V3386">
        <v>134</v>
      </c>
      <c r="W3386" s="8"/>
      <c r="X3386" s="8"/>
      <c r="Y3386" s="8"/>
      <c r="Z3386" s="8"/>
    </row>
    <row r="3387" spans="1:26" ht="12.75" customHeight="1" x14ac:dyDescent="0.2">
      <c r="A3387" s="15">
        <v>38</v>
      </c>
      <c r="B3387" s="15">
        <v>1990</v>
      </c>
      <c r="C3387" s="15">
        <v>10</v>
      </c>
      <c r="D3387" s="15">
        <v>8</v>
      </c>
      <c r="E3387" s="22" t="s">
        <v>17</v>
      </c>
      <c r="F3387" s="11" t="s">
        <v>18</v>
      </c>
      <c r="G3387" s="15">
        <v>128</v>
      </c>
      <c r="H3387" s="15" t="s">
        <v>29</v>
      </c>
      <c r="I3387" s="25">
        <v>8.5</v>
      </c>
      <c r="J3387" s="11" t="s">
        <v>19</v>
      </c>
      <c r="K3387" s="11" t="s">
        <v>20</v>
      </c>
      <c r="L3387" s="11" t="s">
        <v>41</v>
      </c>
      <c r="M3387" s="11" t="s">
        <v>29</v>
      </c>
      <c r="N3387" s="11" t="s">
        <v>33</v>
      </c>
      <c r="O3387" s="16" t="s">
        <v>29</v>
      </c>
      <c r="P3387" s="15">
        <v>222</v>
      </c>
      <c r="Q3387" s="8"/>
      <c r="R3387">
        <v>11.94</v>
      </c>
      <c r="S3387">
        <v>1703.24</v>
      </c>
      <c r="T3387">
        <v>4.99</v>
      </c>
      <c r="U3387">
        <v>8.58</v>
      </c>
      <c r="V3387">
        <v>119</v>
      </c>
      <c r="W3387" s="8"/>
      <c r="X3387" s="8"/>
      <c r="Y3387" s="8"/>
      <c r="Z3387" s="8"/>
    </row>
    <row r="3388" spans="1:26" ht="12.75" customHeight="1" x14ac:dyDescent="0.2">
      <c r="A3388" s="15">
        <v>39</v>
      </c>
      <c r="B3388" s="15">
        <v>1990</v>
      </c>
      <c r="C3388" s="15">
        <v>10</v>
      </c>
      <c r="D3388" s="15">
        <v>8</v>
      </c>
      <c r="E3388" s="22" t="s">
        <v>17</v>
      </c>
      <c r="F3388" s="11" t="s">
        <v>18</v>
      </c>
      <c r="G3388" s="15">
        <v>164</v>
      </c>
      <c r="H3388" s="15" t="s">
        <v>29</v>
      </c>
      <c r="I3388" s="25">
        <v>14.5</v>
      </c>
      <c r="J3388" s="11" t="s">
        <v>19</v>
      </c>
      <c r="K3388" s="11" t="s">
        <v>20</v>
      </c>
      <c r="L3388" s="11" t="s">
        <v>41</v>
      </c>
      <c r="M3388" s="11" t="s">
        <v>29</v>
      </c>
      <c r="N3388" s="11" t="s">
        <v>33</v>
      </c>
      <c r="O3388" s="16" t="s">
        <v>29</v>
      </c>
      <c r="P3388" s="15">
        <v>222</v>
      </c>
      <c r="Q3388" s="8"/>
      <c r="R3388">
        <v>15.3</v>
      </c>
      <c r="S3388">
        <v>3582.42</v>
      </c>
      <c r="T3388">
        <v>4.05</v>
      </c>
      <c r="U3388">
        <v>10.99</v>
      </c>
      <c r="V3388">
        <v>153</v>
      </c>
      <c r="W3388" s="8"/>
      <c r="X3388" s="8"/>
      <c r="Y3388" s="8"/>
      <c r="Z3388" s="8"/>
    </row>
    <row r="3389" spans="1:26" ht="12.75" customHeight="1" x14ac:dyDescent="0.2">
      <c r="A3389" s="15">
        <v>40</v>
      </c>
      <c r="B3389" s="15">
        <v>1990</v>
      </c>
      <c r="C3389" s="15">
        <v>10</v>
      </c>
      <c r="D3389" s="15">
        <v>8</v>
      </c>
      <c r="E3389" s="22" t="s">
        <v>17</v>
      </c>
      <c r="F3389" s="11" t="s">
        <v>18</v>
      </c>
      <c r="G3389" s="15">
        <v>139</v>
      </c>
      <c r="H3389" s="15" t="s">
        <v>29</v>
      </c>
      <c r="I3389" s="25">
        <v>11.3</v>
      </c>
      <c r="J3389" s="11" t="s">
        <v>19</v>
      </c>
      <c r="K3389" s="11" t="s">
        <v>20</v>
      </c>
      <c r="L3389" s="11" t="s">
        <v>41</v>
      </c>
      <c r="M3389" s="11" t="s">
        <v>29</v>
      </c>
      <c r="N3389" s="11" t="s">
        <v>24</v>
      </c>
      <c r="O3389" s="16" t="s">
        <v>29</v>
      </c>
      <c r="P3389" s="15">
        <v>222</v>
      </c>
      <c r="Q3389" s="8"/>
      <c r="R3389">
        <v>12.97</v>
      </c>
      <c r="S3389">
        <v>2181.17</v>
      </c>
      <c r="T3389">
        <v>5.18</v>
      </c>
      <c r="U3389">
        <v>9.31</v>
      </c>
      <c r="V3389">
        <v>130</v>
      </c>
      <c r="W3389" s="8"/>
      <c r="X3389" s="8"/>
      <c r="Y3389" s="8"/>
      <c r="Z3389" s="8"/>
    </row>
    <row r="3390" spans="1:26" ht="12.75" customHeight="1" x14ac:dyDescent="0.2">
      <c r="A3390" s="15">
        <v>41</v>
      </c>
      <c r="B3390" s="15">
        <v>1990</v>
      </c>
      <c r="C3390" s="15">
        <v>10</v>
      </c>
      <c r="D3390" s="15">
        <v>8</v>
      </c>
      <c r="E3390" s="22" t="s">
        <v>17</v>
      </c>
      <c r="F3390" s="11" t="s">
        <v>18</v>
      </c>
      <c r="G3390" s="15">
        <v>153</v>
      </c>
      <c r="H3390" s="15" t="s">
        <v>29</v>
      </c>
      <c r="I3390" s="25">
        <v>14.3</v>
      </c>
      <c r="J3390" s="11" t="s">
        <v>19</v>
      </c>
      <c r="K3390" s="11" t="s">
        <v>20</v>
      </c>
      <c r="L3390" s="11" t="s">
        <v>41</v>
      </c>
      <c r="M3390" s="11" t="s">
        <v>29</v>
      </c>
      <c r="N3390" s="11" t="s">
        <v>24</v>
      </c>
      <c r="O3390" s="16" t="s">
        <v>29</v>
      </c>
      <c r="P3390" s="15">
        <v>222</v>
      </c>
      <c r="Q3390" s="8"/>
      <c r="R3390">
        <v>14.27</v>
      </c>
      <c r="S3390">
        <v>2908.84</v>
      </c>
      <c r="T3390">
        <v>4.92</v>
      </c>
      <c r="U3390">
        <v>10.25</v>
      </c>
      <c r="V3390">
        <v>143</v>
      </c>
      <c r="W3390" s="8"/>
      <c r="X3390" s="8"/>
      <c r="Y3390" s="8"/>
      <c r="Z3390" s="8"/>
    </row>
    <row r="3391" spans="1:26" ht="12.75" customHeight="1" x14ac:dyDescent="0.2">
      <c r="A3391" s="15">
        <v>42</v>
      </c>
      <c r="B3391" s="15">
        <v>1990</v>
      </c>
      <c r="C3391" s="15">
        <v>10</v>
      </c>
      <c r="D3391" s="15">
        <v>8</v>
      </c>
      <c r="E3391" s="22" t="s">
        <v>17</v>
      </c>
      <c r="F3391" s="11" t="s">
        <v>18</v>
      </c>
      <c r="G3391" s="15">
        <v>120</v>
      </c>
      <c r="H3391" s="15" t="s">
        <v>29</v>
      </c>
      <c r="I3391" s="25" t="s">
        <v>29</v>
      </c>
      <c r="J3391" s="11" t="s">
        <v>19</v>
      </c>
      <c r="K3391" s="11" t="s">
        <v>41</v>
      </c>
      <c r="L3391" s="11" t="s">
        <v>41</v>
      </c>
      <c r="M3391" s="11" t="s">
        <v>29</v>
      </c>
      <c r="N3391" s="11" t="s">
        <v>29</v>
      </c>
      <c r="O3391" s="16" t="s">
        <v>29</v>
      </c>
      <c r="P3391" s="15">
        <v>222</v>
      </c>
      <c r="Q3391" s="8"/>
      <c r="U3391">
        <v>8.0399999999999991</v>
      </c>
      <c r="V3391">
        <v>112</v>
      </c>
      <c r="W3391" s="8"/>
      <c r="X3391" s="8"/>
      <c r="Y3391" s="8"/>
      <c r="Z3391" s="8"/>
    </row>
    <row r="3392" spans="1:26" ht="12.75" customHeight="1" x14ac:dyDescent="0.2">
      <c r="A3392" s="15">
        <v>43</v>
      </c>
      <c r="B3392" s="15">
        <v>1990</v>
      </c>
      <c r="C3392" s="15">
        <v>10</v>
      </c>
      <c r="D3392" s="15">
        <v>8</v>
      </c>
      <c r="E3392" s="22" t="s">
        <v>17</v>
      </c>
      <c r="F3392" s="11" t="s">
        <v>18</v>
      </c>
      <c r="G3392" s="15">
        <v>118</v>
      </c>
      <c r="H3392" s="15" t="s">
        <v>29</v>
      </c>
      <c r="I3392" s="25" t="s">
        <v>29</v>
      </c>
      <c r="J3392" s="11" t="s">
        <v>19</v>
      </c>
      <c r="K3392" s="11" t="s">
        <v>34</v>
      </c>
      <c r="L3392" s="11" t="s">
        <v>35</v>
      </c>
      <c r="M3392" s="11" t="s">
        <v>29</v>
      </c>
      <c r="N3392" s="11" t="s">
        <v>29</v>
      </c>
      <c r="O3392" s="16" t="s">
        <v>29</v>
      </c>
      <c r="P3392" s="15">
        <v>222</v>
      </c>
      <c r="Q3392" s="8"/>
      <c r="U3392">
        <v>7.91</v>
      </c>
      <c r="V3392">
        <v>110</v>
      </c>
      <c r="W3392" s="317">
        <v>3.8</v>
      </c>
      <c r="X3392" s="190"/>
      <c r="Y3392" s="8"/>
      <c r="Z3392" s="8"/>
    </row>
    <row r="3393" spans="1:26" ht="12.75" customHeight="1" x14ac:dyDescent="0.2">
      <c r="A3393" s="15">
        <v>44</v>
      </c>
      <c r="B3393" s="15">
        <v>1990</v>
      </c>
      <c r="C3393" s="15">
        <v>10</v>
      </c>
      <c r="D3393" s="15">
        <v>8</v>
      </c>
      <c r="E3393" s="22" t="s">
        <v>17</v>
      </c>
      <c r="F3393" s="11" t="s">
        <v>18</v>
      </c>
      <c r="G3393" s="15">
        <v>138</v>
      </c>
      <c r="H3393" s="15" t="s">
        <v>29</v>
      </c>
      <c r="I3393" s="25">
        <v>14.3</v>
      </c>
      <c r="J3393" s="11" t="s">
        <v>19</v>
      </c>
      <c r="K3393" s="11" t="s">
        <v>20</v>
      </c>
      <c r="L3393" s="11" t="s">
        <v>41</v>
      </c>
      <c r="M3393" s="11" t="s">
        <v>29</v>
      </c>
      <c r="N3393" s="11" t="s">
        <v>24</v>
      </c>
      <c r="O3393" s="16" t="s">
        <v>29</v>
      </c>
      <c r="P3393" s="15">
        <v>222</v>
      </c>
      <c r="Q3393" s="8"/>
      <c r="R3393">
        <v>12.88</v>
      </c>
      <c r="S3393">
        <v>2134.4299999999998</v>
      </c>
      <c r="T3393">
        <v>6.7</v>
      </c>
      <c r="U3393">
        <v>9.25</v>
      </c>
      <c r="V3393">
        <v>129</v>
      </c>
      <c r="W3393" s="8"/>
      <c r="X3393" s="8"/>
      <c r="Y3393" s="8"/>
      <c r="Z3393" s="8"/>
    </row>
    <row r="3394" spans="1:26" ht="12.75" customHeight="1" x14ac:dyDescent="0.2">
      <c r="A3394" s="15">
        <v>45</v>
      </c>
      <c r="B3394" s="15">
        <v>1990</v>
      </c>
      <c r="C3394" s="15">
        <v>10</v>
      </c>
      <c r="D3394" s="15">
        <v>8</v>
      </c>
      <c r="E3394" s="22" t="s">
        <v>17</v>
      </c>
      <c r="F3394" s="11" t="s">
        <v>18</v>
      </c>
      <c r="G3394" s="15">
        <v>149</v>
      </c>
      <c r="H3394" s="15" t="s">
        <v>29</v>
      </c>
      <c r="I3394" s="25">
        <v>14.3</v>
      </c>
      <c r="J3394" s="11" t="s">
        <v>19</v>
      </c>
      <c r="K3394" s="11" t="s">
        <v>34</v>
      </c>
      <c r="L3394" s="11" t="s">
        <v>41</v>
      </c>
      <c r="M3394" s="11" t="s">
        <v>29</v>
      </c>
      <c r="N3394" s="11" t="s">
        <v>24</v>
      </c>
      <c r="O3394" s="16" t="s">
        <v>29</v>
      </c>
      <c r="P3394" s="15">
        <v>222</v>
      </c>
      <c r="Q3394" s="8"/>
      <c r="R3394">
        <v>13.9</v>
      </c>
      <c r="S3394">
        <v>2686.6</v>
      </c>
      <c r="T3394">
        <v>5.32</v>
      </c>
      <c r="U3394">
        <v>9.98</v>
      </c>
      <c r="V3394">
        <v>139</v>
      </c>
      <c r="W3394" s="317">
        <v>3.8</v>
      </c>
      <c r="X3394" s="190">
        <f>I3394*W3394</f>
        <v>54.34</v>
      </c>
      <c r="Y3394" s="8"/>
      <c r="Z3394" s="8"/>
    </row>
    <row r="3395" spans="1:26" ht="12.75" customHeight="1" x14ac:dyDescent="0.2">
      <c r="A3395" s="15">
        <v>46</v>
      </c>
      <c r="B3395" s="15">
        <v>1990</v>
      </c>
      <c r="C3395" s="15">
        <v>10</v>
      </c>
      <c r="D3395" s="15">
        <v>8</v>
      </c>
      <c r="E3395" s="22" t="s">
        <v>17</v>
      </c>
      <c r="F3395" s="11" t="s">
        <v>18</v>
      </c>
      <c r="G3395" s="15">
        <v>126</v>
      </c>
      <c r="H3395" s="15" t="s">
        <v>29</v>
      </c>
      <c r="I3395" s="25" t="s">
        <v>29</v>
      </c>
      <c r="J3395" s="11" t="s">
        <v>19</v>
      </c>
      <c r="K3395" s="11" t="s">
        <v>20</v>
      </c>
      <c r="L3395" s="11" t="s">
        <v>41</v>
      </c>
      <c r="M3395" s="11" t="s">
        <v>29</v>
      </c>
      <c r="N3395" s="11" t="s">
        <v>29</v>
      </c>
      <c r="O3395" s="16" t="s">
        <v>29</v>
      </c>
      <c r="P3395" s="15">
        <v>222</v>
      </c>
      <c r="Q3395" s="8"/>
      <c r="U3395">
        <v>8.44</v>
      </c>
      <c r="V3395">
        <v>118</v>
      </c>
      <c r="W3395" s="8"/>
      <c r="X3395" s="8"/>
      <c r="Y3395" s="8"/>
      <c r="Z3395" s="8"/>
    </row>
    <row r="3396" spans="1:26" ht="12.75" customHeight="1" x14ac:dyDescent="0.2">
      <c r="A3396" s="15">
        <v>47</v>
      </c>
      <c r="B3396" s="15">
        <v>1990</v>
      </c>
      <c r="C3396" s="15">
        <v>10</v>
      </c>
      <c r="D3396" s="15">
        <v>8</v>
      </c>
      <c r="E3396" s="22" t="s">
        <v>17</v>
      </c>
      <c r="F3396" s="11" t="s">
        <v>18</v>
      </c>
      <c r="G3396" s="15">
        <v>148</v>
      </c>
      <c r="H3396" s="15" t="s">
        <v>29</v>
      </c>
      <c r="I3396" s="25" t="s">
        <v>29</v>
      </c>
      <c r="J3396" s="11" t="s">
        <v>19</v>
      </c>
      <c r="K3396" s="11" t="s">
        <v>20</v>
      </c>
      <c r="L3396" s="11" t="s">
        <v>41</v>
      </c>
      <c r="M3396" s="11" t="s">
        <v>29</v>
      </c>
      <c r="N3396" s="11" t="s">
        <v>29</v>
      </c>
      <c r="O3396" s="16" t="s">
        <v>29</v>
      </c>
      <c r="P3396" s="15">
        <v>222</v>
      </c>
      <c r="Q3396" s="8"/>
      <c r="U3396">
        <v>9.92</v>
      </c>
      <c r="V3396">
        <v>138</v>
      </c>
      <c r="W3396" s="8"/>
      <c r="X3396" s="8"/>
      <c r="Y3396" s="8"/>
      <c r="Z3396" s="8"/>
    </row>
    <row r="3397" spans="1:26" ht="12.75" customHeight="1" x14ac:dyDescent="0.2">
      <c r="A3397" s="15">
        <v>48</v>
      </c>
      <c r="B3397" s="15">
        <v>1990</v>
      </c>
      <c r="C3397" s="15">
        <v>10</v>
      </c>
      <c r="D3397" s="15">
        <v>8</v>
      </c>
      <c r="E3397" s="22" t="s">
        <v>17</v>
      </c>
      <c r="F3397" s="11" t="s">
        <v>18</v>
      </c>
      <c r="G3397" s="15">
        <v>132</v>
      </c>
      <c r="H3397" s="15" t="s">
        <v>29</v>
      </c>
      <c r="I3397" s="25">
        <v>8.5</v>
      </c>
      <c r="J3397" s="11" t="s">
        <v>19</v>
      </c>
      <c r="K3397" s="11" t="s">
        <v>41</v>
      </c>
      <c r="L3397" s="11" t="s">
        <v>41</v>
      </c>
      <c r="M3397" s="11" t="s">
        <v>29</v>
      </c>
      <c r="N3397" s="11" t="s">
        <v>24</v>
      </c>
      <c r="O3397" s="16" t="s">
        <v>29</v>
      </c>
      <c r="P3397" s="15">
        <v>222</v>
      </c>
      <c r="Q3397" s="8"/>
      <c r="R3397">
        <v>12.32</v>
      </c>
      <c r="S3397">
        <v>1867.96</v>
      </c>
      <c r="T3397">
        <v>4.55</v>
      </c>
      <c r="U3397">
        <v>8.84</v>
      </c>
      <c r="V3397">
        <v>123</v>
      </c>
      <c r="W3397" s="8"/>
      <c r="X3397" s="8"/>
      <c r="Y3397" s="8"/>
      <c r="Z3397" s="8"/>
    </row>
    <row r="3398" spans="1:26" ht="12.75" customHeight="1" x14ac:dyDescent="0.2">
      <c r="A3398" s="15">
        <v>49</v>
      </c>
      <c r="B3398" s="15">
        <v>1990</v>
      </c>
      <c r="C3398" s="15">
        <v>10</v>
      </c>
      <c r="D3398" s="15">
        <v>8</v>
      </c>
      <c r="E3398" s="22" t="s">
        <v>17</v>
      </c>
      <c r="F3398" s="11" t="s">
        <v>18</v>
      </c>
      <c r="G3398" s="15">
        <v>130</v>
      </c>
      <c r="H3398" s="15" t="s">
        <v>29</v>
      </c>
      <c r="I3398" s="25" t="s">
        <v>29</v>
      </c>
      <c r="J3398" s="11" t="s">
        <v>19</v>
      </c>
      <c r="K3398" s="11" t="s">
        <v>20</v>
      </c>
      <c r="L3398" s="11" t="s">
        <v>41</v>
      </c>
      <c r="M3398" s="11" t="s">
        <v>29</v>
      </c>
      <c r="N3398" s="11" t="s">
        <v>29</v>
      </c>
      <c r="O3398" s="16" t="s">
        <v>29</v>
      </c>
      <c r="P3398" s="15">
        <v>222</v>
      </c>
      <c r="Q3398" s="8"/>
      <c r="U3398">
        <v>8.7100000000000009</v>
      </c>
      <c r="V3398">
        <v>121</v>
      </c>
      <c r="W3398" s="8"/>
      <c r="X3398" s="8"/>
      <c r="Y3398" s="8"/>
      <c r="Z3398" s="8"/>
    </row>
    <row r="3399" spans="1:26" ht="12.75" customHeight="1" x14ac:dyDescent="0.2">
      <c r="A3399" s="15">
        <v>50</v>
      </c>
      <c r="B3399" s="15">
        <v>1990</v>
      </c>
      <c r="C3399" s="15">
        <v>10</v>
      </c>
      <c r="D3399" s="15">
        <v>8</v>
      </c>
      <c r="E3399" s="22" t="s">
        <v>17</v>
      </c>
      <c r="F3399" s="11" t="s">
        <v>18</v>
      </c>
      <c r="G3399" s="15">
        <v>145</v>
      </c>
      <c r="H3399" s="15" t="s">
        <v>29</v>
      </c>
      <c r="I3399" s="25" t="s">
        <v>29</v>
      </c>
      <c r="J3399" s="11" t="s">
        <v>19</v>
      </c>
      <c r="K3399" s="11" t="s">
        <v>20</v>
      </c>
      <c r="L3399" s="11" t="s">
        <v>41</v>
      </c>
      <c r="M3399" s="11" t="s">
        <v>29</v>
      </c>
      <c r="N3399" s="11" t="s">
        <v>25</v>
      </c>
      <c r="O3399" s="16" t="s">
        <v>29</v>
      </c>
      <c r="P3399" s="15">
        <v>222</v>
      </c>
      <c r="Q3399" s="8"/>
      <c r="U3399">
        <v>9.7200000000000006</v>
      </c>
      <c r="V3399">
        <v>135</v>
      </c>
      <c r="W3399" s="8"/>
      <c r="X3399" s="8"/>
      <c r="Y3399" s="8"/>
      <c r="Z3399" s="8"/>
    </row>
    <row r="3400" spans="1:26" ht="12.75" customHeight="1" x14ac:dyDescent="0.2">
      <c r="A3400" s="15">
        <v>51</v>
      </c>
      <c r="B3400" s="15">
        <v>1990</v>
      </c>
      <c r="C3400" s="15">
        <v>10</v>
      </c>
      <c r="D3400" s="15">
        <v>8</v>
      </c>
      <c r="E3400" s="22" t="s">
        <v>17</v>
      </c>
      <c r="F3400" s="11" t="s">
        <v>18</v>
      </c>
      <c r="G3400" s="15">
        <v>138</v>
      </c>
      <c r="H3400" s="15" t="s">
        <v>29</v>
      </c>
      <c r="I3400" s="25" t="s">
        <v>29</v>
      </c>
      <c r="J3400" s="11" t="s">
        <v>19</v>
      </c>
      <c r="K3400" s="11" t="s">
        <v>20</v>
      </c>
      <c r="L3400" s="11" t="s">
        <v>41</v>
      </c>
      <c r="M3400" s="11" t="s">
        <v>29</v>
      </c>
      <c r="N3400" s="11" t="s">
        <v>24</v>
      </c>
      <c r="O3400" s="16" t="s">
        <v>29</v>
      </c>
      <c r="P3400" s="15">
        <v>222</v>
      </c>
      <c r="Q3400" s="8"/>
      <c r="U3400">
        <v>9.25</v>
      </c>
      <c r="V3400">
        <v>129</v>
      </c>
      <c r="W3400" s="8"/>
      <c r="X3400" s="8"/>
      <c r="Y3400" s="8"/>
      <c r="Z3400" s="8"/>
    </row>
    <row r="3401" spans="1:26" ht="12.75" customHeight="1" x14ac:dyDescent="0.2">
      <c r="A3401" s="15">
        <v>52</v>
      </c>
      <c r="B3401" s="15">
        <v>1990</v>
      </c>
      <c r="C3401" s="15">
        <v>10</v>
      </c>
      <c r="D3401" s="15">
        <v>8</v>
      </c>
      <c r="E3401" s="22" t="s">
        <v>17</v>
      </c>
      <c r="F3401" s="11" t="s">
        <v>18</v>
      </c>
      <c r="G3401" s="15">
        <v>147</v>
      </c>
      <c r="H3401" s="15" t="s">
        <v>29</v>
      </c>
      <c r="I3401" s="25">
        <v>11.5</v>
      </c>
      <c r="J3401" s="11" t="s">
        <v>19</v>
      </c>
      <c r="K3401" s="11" t="s">
        <v>20</v>
      </c>
      <c r="L3401" s="11" t="s">
        <v>41</v>
      </c>
      <c r="M3401" s="11" t="s">
        <v>29</v>
      </c>
      <c r="N3401" s="11" t="s">
        <v>24</v>
      </c>
      <c r="O3401" s="16" t="s">
        <v>29</v>
      </c>
      <c r="P3401" s="15">
        <v>222</v>
      </c>
      <c r="Q3401" s="8"/>
      <c r="R3401">
        <v>13.72</v>
      </c>
      <c r="S3401">
        <v>2579.86</v>
      </c>
      <c r="T3401">
        <v>4.46</v>
      </c>
      <c r="U3401">
        <v>9.85</v>
      </c>
      <c r="V3401">
        <v>137</v>
      </c>
      <c r="W3401" s="8"/>
      <c r="X3401" s="8"/>
      <c r="Y3401" s="8"/>
      <c r="Z3401" s="8"/>
    </row>
    <row r="3402" spans="1:26" ht="12.75" customHeight="1" x14ac:dyDescent="0.2">
      <c r="A3402" s="15">
        <v>53</v>
      </c>
      <c r="B3402" s="15">
        <v>1990</v>
      </c>
      <c r="C3402" s="15">
        <v>10</v>
      </c>
      <c r="D3402" s="15">
        <v>8</v>
      </c>
      <c r="E3402" s="22" t="s">
        <v>17</v>
      </c>
      <c r="F3402" s="11" t="s">
        <v>18</v>
      </c>
      <c r="G3402" s="15">
        <v>118</v>
      </c>
      <c r="H3402" s="15" t="s">
        <v>29</v>
      </c>
      <c r="I3402" s="25">
        <v>6.8</v>
      </c>
      <c r="J3402" s="11" t="s">
        <v>19</v>
      </c>
      <c r="K3402" s="11" t="s">
        <v>41</v>
      </c>
      <c r="L3402" s="11" t="s">
        <v>35</v>
      </c>
      <c r="M3402" s="11" t="s">
        <v>29</v>
      </c>
      <c r="N3402" s="11" t="s">
        <v>24</v>
      </c>
      <c r="O3402" s="16" t="s">
        <v>29</v>
      </c>
      <c r="P3402" s="15">
        <v>222</v>
      </c>
      <c r="Q3402" s="8"/>
      <c r="R3402">
        <v>11.01</v>
      </c>
      <c r="S3402">
        <v>1334.42</v>
      </c>
      <c r="T3402">
        <v>5.0999999999999996</v>
      </c>
      <c r="U3402">
        <v>7.91</v>
      </c>
      <c r="V3402">
        <v>110</v>
      </c>
      <c r="W3402" s="8"/>
      <c r="X3402" s="8"/>
      <c r="Y3402" s="8"/>
      <c r="Z3402" s="8"/>
    </row>
    <row r="3403" spans="1:26" ht="12.75" customHeight="1" x14ac:dyDescent="0.2">
      <c r="A3403" s="15">
        <v>54</v>
      </c>
      <c r="B3403" s="15">
        <v>1990</v>
      </c>
      <c r="C3403" s="15">
        <v>10</v>
      </c>
      <c r="D3403" s="15">
        <v>8</v>
      </c>
      <c r="E3403" s="22" t="s">
        <v>17</v>
      </c>
      <c r="F3403" s="11" t="s">
        <v>18</v>
      </c>
      <c r="G3403" s="15">
        <v>145</v>
      </c>
      <c r="H3403" s="15" t="s">
        <v>29</v>
      </c>
      <c r="I3403" s="25">
        <v>11</v>
      </c>
      <c r="J3403" s="11" t="s">
        <v>19</v>
      </c>
      <c r="K3403" s="11" t="s">
        <v>41</v>
      </c>
      <c r="L3403" s="11" t="s">
        <v>35</v>
      </c>
      <c r="M3403" s="11" t="s">
        <v>29</v>
      </c>
      <c r="N3403" s="11" t="s">
        <v>25</v>
      </c>
      <c r="O3403" s="16" t="s">
        <v>29</v>
      </c>
      <c r="P3403" s="15">
        <v>222</v>
      </c>
      <c r="Q3403" s="8"/>
      <c r="R3403">
        <v>13.53</v>
      </c>
      <c r="S3403">
        <v>2475.9899999999998</v>
      </c>
      <c r="T3403">
        <v>4.4400000000000004</v>
      </c>
      <c r="U3403">
        <v>9.7200000000000006</v>
      </c>
      <c r="V3403">
        <v>135</v>
      </c>
      <c r="W3403" s="8"/>
      <c r="X3403" s="8"/>
      <c r="Y3403" s="8"/>
      <c r="Z3403" s="8"/>
    </row>
    <row r="3404" spans="1:26" ht="12.75" customHeight="1" x14ac:dyDescent="0.2">
      <c r="A3404" s="15">
        <v>55</v>
      </c>
      <c r="B3404" s="15">
        <v>1990</v>
      </c>
      <c r="C3404" s="15">
        <v>10</v>
      </c>
      <c r="D3404" s="15">
        <v>8</v>
      </c>
      <c r="E3404" s="22" t="s">
        <v>17</v>
      </c>
      <c r="F3404" s="11" t="s">
        <v>18</v>
      </c>
      <c r="G3404" s="15">
        <v>144</v>
      </c>
      <c r="H3404" s="15" t="s">
        <v>29</v>
      </c>
      <c r="I3404" s="25">
        <v>12.5</v>
      </c>
      <c r="J3404" s="11" t="s">
        <v>19</v>
      </c>
      <c r="K3404" s="11" t="s">
        <v>41</v>
      </c>
      <c r="L3404" s="11" t="s">
        <v>41</v>
      </c>
      <c r="M3404" s="11" t="s">
        <v>29</v>
      </c>
      <c r="N3404" s="11" t="s">
        <v>25</v>
      </c>
      <c r="O3404" s="16" t="s">
        <v>29</v>
      </c>
      <c r="P3404" s="15">
        <v>222</v>
      </c>
      <c r="Q3404" s="8"/>
      <c r="R3404">
        <v>13.44</v>
      </c>
      <c r="S3404">
        <v>2425.12</v>
      </c>
      <c r="T3404">
        <v>5.15</v>
      </c>
      <c r="U3404">
        <v>9.65</v>
      </c>
      <c r="V3404">
        <v>134</v>
      </c>
      <c r="W3404" s="8"/>
      <c r="X3404" s="8"/>
      <c r="Y3404" s="8"/>
      <c r="Z3404" s="8"/>
    </row>
    <row r="3405" spans="1:26" ht="12.75" customHeight="1" x14ac:dyDescent="0.2">
      <c r="A3405" s="1"/>
      <c r="B3405" s="1"/>
      <c r="C3405" s="1"/>
      <c r="D3405" s="1"/>
      <c r="E3405" s="1"/>
      <c r="F3405" s="2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3"/>
      <c r="W3405" s="3"/>
      <c r="X3405" s="3"/>
      <c r="Y3405" s="3"/>
      <c r="Z3405" s="3"/>
    </row>
    <row r="3406" spans="1:26" ht="12.75" customHeight="1" x14ac:dyDescent="0.2">
      <c r="A3406" s="4"/>
      <c r="B3406" s="4"/>
      <c r="C3406" s="4"/>
      <c r="D3406" s="4"/>
      <c r="E3406" s="5"/>
      <c r="F3406" s="5"/>
      <c r="G3406" s="4"/>
      <c r="H3406" s="4"/>
      <c r="I3406" s="6"/>
      <c r="J3406" s="5"/>
      <c r="K3406" s="5"/>
      <c r="L3406" s="5"/>
      <c r="M3406" s="5"/>
      <c r="N3406" s="5"/>
      <c r="O3406" s="7"/>
      <c r="P3406" s="15"/>
      <c r="Q3406" s="8"/>
      <c r="R3406" s="11"/>
      <c r="S3406" s="8"/>
      <c r="T3406" s="8"/>
      <c r="U3406" s="8"/>
      <c r="V3406" s="8"/>
      <c r="W3406" s="8"/>
      <c r="X3406" s="8"/>
      <c r="Y3406" s="8"/>
      <c r="Z3406" s="8"/>
    </row>
    <row r="3407" spans="1:26" ht="12.75" customHeight="1" x14ac:dyDescent="0.2">
      <c r="A3407" s="4"/>
      <c r="B3407" s="4"/>
      <c r="C3407" s="4"/>
      <c r="D3407" s="4"/>
      <c r="E3407" s="5"/>
      <c r="F3407" s="5"/>
      <c r="G3407" s="4"/>
      <c r="H3407" s="4"/>
      <c r="I3407" s="6"/>
      <c r="J3407" s="5"/>
      <c r="K3407" s="5"/>
      <c r="L3407" s="5"/>
      <c r="M3407" s="5"/>
      <c r="N3407" s="5"/>
      <c r="O3407" s="7"/>
      <c r="P3407" s="15"/>
      <c r="Q3407" s="8"/>
      <c r="R3407" s="11"/>
      <c r="S3407" s="8"/>
      <c r="T3407" s="8"/>
      <c r="U3407" s="8"/>
      <c r="V3407" s="8"/>
      <c r="W3407" s="8"/>
      <c r="X3407" s="8"/>
      <c r="Y3407" s="8"/>
      <c r="Z3407" s="8"/>
    </row>
    <row r="3408" spans="1:26" ht="12.75" customHeight="1" x14ac:dyDescent="0.2">
      <c r="A3408" s="4"/>
      <c r="B3408" s="4"/>
      <c r="C3408" s="4"/>
      <c r="D3408" s="4"/>
      <c r="E3408" s="5"/>
      <c r="F3408" s="5"/>
      <c r="G3408" s="4"/>
      <c r="H3408" s="4"/>
      <c r="I3408" s="6"/>
      <c r="J3408" s="5"/>
      <c r="K3408" s="5"/>
      <c r="L3408" s="5"/>
      <c r="M3408" s="5"/>
      <c r="N3408" s="5"/>
      <c r="O3408" s="7"/>
      <c r="P3408" s="15"/>
      <c r="Q3408" s="8"/>
      <c r="R3408" s="11"/>
      <c r="S3408" s="8"/>
      <c r="T3408" s="8"/>
      <c r="U3408" s="8"/>
      <c r="V3408" s="8"/>
      <c r="W3408" s="8"/>
      <c r="X3408" s="8"/>
      <c r="Y3408" s="8"/>
      <c r="Z3408" s="8"/>
    </row>
    <row r="3409" spans="1:26" ht="12.75" customHeight="1" x14ac:dyDescent="0.2">
      <c r="A3409" s="4"/>
      <c r="B3409" s="4"/>
      <c r="C3409" s="4"/>
      <c r="D3409" s="4"/>
      <c r="E3409" s="5"/>
      <c r="F3409" s="5"/>
      <c r="G3409" s="4"/>
      <c r="H3409" s="4"/>
      <c r="I3409" s="6"/>
      <c r="J3409" s="5"/>
      <c r="K3409" s="5"/>
      <c r="L3409" s="5"/>
      <c r="M3409" s="5"/>
      <c r="N3409" s="5"/>
      <c r="O3409" s="7"/>
      <c r="P3409" s="15"/>
      <c r="Q3409" s="8"/>
      <c r="R3409" s="11"/>
      <c r="S3409" s="8"/>
      <c r="T3409" s="8"/>
      <c r="U3409" s="8"/>
      <c r="V3409" s="8"/>
      <c r="W3409" s="8"/>
      <c r="X3409" s="8"/>
      <c r="Y3409" s="8"/>
      <c r="Z3409" s="8"/>
    </row>
    <row r="3410" spans="1:26" ht="12.75" customHeight="1" x14ac:dyDescent="0.2">
      <c r="A3410" s="4"/>
      <c r="B3410" s="4"/>
      <c r="C3410" s="4"/>
      <c r="D3410" s="4"/>
      <c r="E3410" s="5"/>
      <c r="F3410" s="5"/>
      <c r="G3410" s="4"/>
      <c r="H3410" s="4"/>
      <c r="I3410" s="6"/>
      <c r="J3410" s="5"/>
      <c r="K3410" s="5"/>
      <c r="L3410" s="5"/>
      <c r="M3410" s="5"/>
      <c r="N3410" s="5"/>
      <c r="O3410" s="7"/>
      <c r="P3410" s="15"/>
      <c r="Q3410" s="8"/>
      <c r="R3410" s="11"/>
      <c r="S3410" s="8"/>
      <c r="T3410" s="8"/>
      <c r="U3410" s="8"/>
      <c r="V3410" s="8"/>
      <c r="W3410" s="8"/>
      <c r="X3410" s="8"/>
      <c r="Y3410" s="8"/>
      <c r="Z3410" s="8"/>
    </row>
    <row r="3411" spans="1:26" ht="12.75" customHeight="1" x14ac:dyDescent="0.2">
      <c r="A3411" s="4"/>
      <c r="B3411" s="4"/>
      <c r="C3411" s="4"/>
      <c r="D3411" s="4"/>
      <c r="E3411" s="5"/>
      <c r="F3411" s="5"/>
      <c r="G3411" s="4"/>
      <c r="H3411" s="4"/>
      <c r="I3411" s="6"/>
      <c r="J3411" s="5"/>
      <c r="K3411" s="5"/>
      <c r="L3411" s="5"/>
      <c r="M3411" s="5"/>
      <c r="N3411" s="5"/>
      <c r="O3411" s="7"/>
      <c r="P3411" s="15"/>
      <c r="Q3411" s="8"/>
      <c r="R3411" s="11"/>
      <c r="S3411" s="8"/>
      <c r="T3411" s="8"/>
      <c r="U3411" s="8"/>
      <c r="V3411" s="8"/>
      <c r="W3411" s="8"/>
      <c r="X3411" s="8"/>
      <c r="Y3411" s="8"/>
      <c r="Z3411" s="8"/>
    </row>
    <row r="3412" spans="1:26" ht="12.75" customHeight="1" x14ac:dyDescent="0.2">
      <c r="A3412" s="4"/>
      <c r="B3412" s="4"/>
      <c r="C3412" s="4"/>
      <c r="D3412" s="4"/>
      <c r="E3412" s="5"/>
      <c r="F3412" s="5"/>
      <c r="G3412" s="4"/>
      <c r="H3412" s="4"/>
      <c r="I3412" s="6"/>
      <c r="J3412" s="5"/>
      <c r="K3412" s="5"/>
      <c r="L3412" s="5"/>
      <c r="M3412" s="5"/>
      <c r="N3412" s="5"/>
      <c r="O3412" s="7"/>
      <c r="P3412" s="15"/>
      <c r="Q3412" s="8"/>
      <c r="R3412" s="11"/>
      <c r="S3412" s="8"/>
      <c r="T3412" s="8"/>
      <c r="U3412" s="8"/>
      <c r="V3412" s="8"/>
      <c r="W3412" s="8"/>
      <c r="X3412" s="8"/>
      <c r="Y3412" s="8"/>
      <c r="Z3412" s="8"/>
    </row>
    <row r="3413" spans="1:26" ht="12.75" customHeight="1" x14ac:dyDescent="0.2">
      <c r="A3413" s="4"/>
      <c r="B3413" s="4"/>
      <c r="C3413" s="4"/>
      <c r="D3413" s="4"/>
      <c r="E3413" s="5"/>
      <c r="F3413" s="5"/>
      <c r="G3413" s="4"/>
      <c r="H3413" s="4"/>
      <c r="I3413" s="6"/>
      <c r="J3413" s="5"/>
      <c r="K3413" s="5"/>
      <c r="L3413" s="5"/>
      <c r="M3413" s="5"/>
      <c r="N3413" s="5"/>
      <c r="O3413" s="7"/>
      <c r="P3413" s="15"/>
      <c r="Q3413" s="8"/>
      <c r="R3413" s="11"/>
      <c r="S3413" s="8"/>
      <c r="T3413" s="8"/>
      <c r="U3413" s="8"/>
      <c r="V3413" s="8"/>
      <c r="W3413" s="8"/>
      <c r="X3413" s="8"/>
      <c r="Y3413" s="8"/>
      <c r="Z3413" s="8"/>
    </row>
    <row r="3414" spans="1:26" ht="12.75" customHeight="1" x14ac:dyDescent="0.2">
      <c r="A3414" s="4"/>
      <c r="B3414" s="4"/>
      <c r="C3414" s="4"/>
      <c r="D3414" s="4"/>
      <c r="E3414" s="5"/>
      <c r="F3414" s="5"/>
      <c r="G3414" s="4"/>
      <c r="H3414" s="15"/>
      <c r="I3414" s="25"/>
      <c r="J3414" s="5"/>
      <c r="K3414" s="5"/>
      <c r="L3414" s="5"/>
      <c r="M3414" s="11"/>
      <c r="N3414" s="5"/>
      <c r="O3414" s="7"/>
      <c r="P3414" s="15"/>
      <c r="Q3414" s="8"/>
      <c r="R3414" s="11"/>
      <c r="S3414" s="8"/>
      <c r="T3414" s="8"/>
      <c r="U3414" s="8"/>
      <c r="V3414" s="8"/>
      <c r="W3414" s="8"/>
      <c r="X3414" s="8"/>
      <c r="Y3414" s="8"/>
      <c r="Z3414" s="8"/>
    </row>
    <row r="3415" spans="1:26" ht="12.75" customHeight="1" x14ac:dyDescent="0.2">
      <c r="A3415" s="4"/>
      <c r="B3415" s="4"/>
      <c r="C3415" s="4"/>
      <c r="D3415" s="4"/>
      <c r="E3415" s="5"/>
      <c r="F3415" s="5"/>
      <c r="G3415" s="4"/>
      <c r="H3415" s="4"/>
      <c r="I3415" s="6"/>
      <c r="J3415" s="5"/>
      <c r="K3415" s="5"/>
      <c r="L3415" s="5"/>
      <c r="M3415" s="5"/>
      <c r="N3415" s="5"/>
      <c r="O3415" s="7"/>
      <c r="P3415" s="15"/>
      <c r="Q3415" s="8"/>
      <c r="R3415" s="11"/>
      <c r="S3415" s="8"/>
      <c r="T3415" s="8"/>
      <c r="U3415" s="8"/>
      <c r="V3415" s="8"/>
      <c r="W3415" s="8"/>
      <c r="X3415" s="8"/>
      <c r="Y3415" s="8"/>
      <c r="Z3415" s="8"/>
    </row>
    <row r="3416" spans="1:26" ht="12.75" customHeight="1" x14ac:dyDescent="0.2">
      <c r="A3416" s="4"/>
      <c r="B3416" s="4"/>
      <c r="C3416" s="4"/>
      <c r="D3416" s="4"/>
      <c r="E3416" s="5"/>
      <c r="F3416" s="5"/>
      <c r="G3416" s="4"/>
      <c r="H3416" s="15"/>
      <c r="I3416" s="25"/>
      <c r="J3416" s="5"/>
      <c r="K3416" s="5"/>
      <c r="L3416" s="5"/>
      <c r="M3416" s="11"/>
      <c r="N3416" s="11"/>
      <c r="O3416" s="7"/>
      <c r="P3416" s="15"/>
      <c r="Q3416" s="8"/>
      <c r="R3416" s="11"/>
      <c r="S3416" s="8"/>
      <c r="T3416" s="8"/>
      <c r="U3416" s="8"/>
      <c r="V3416" s="8"/>
      <c r="W3416" s="8"/>
      <c r="X3416" s="8"/>
      <c r="Y3416" s="8"/>
      <c r="Z3416" s="8"/>
    </row>
    <row r="3417" spans="1:26" ht="12.75" customHeight="1" x14ac:dyDescent="0.2">
      <c r="A3417" s="4"/>
      <c r="B3417" s="4"/>
      <c r="C3417" s="4"/>
      <c r="D3417" s="4"/>
      <c r="E3417" s="5"/>
      <c r="F3417" s="5"/>
      <c r="G3417" s="4"/>
      <c r="H3417" s="4"/>
      <c r="I3417" s="6"/>
      <c r="J3417" s="5"/>
      <c r="K3417" s="5"/>
      <c r="L3417" s="5"/>
      <c r="M3417" s="5"/>
      <c r="N3417" s="5"/>
      <c r="O3417" s="7"/>
      <c r="P3417" s="15"/>
      <c r="Q3417" s="8"/>
      <c r="R3417" s="11"/>
      <c r="S3417" s="8"/>
      <c r="T3417" s="8"/>
      <c r="U3417" s="8"/>
      <c r="V3417" s="8"/>
      <c r="W3417" s="8"/>
      <c r="X3417" s="8"/>
      <c r="Y3417" s="8"/>
      <c r="Z3417" s="8"/>
    </row>
    <row r="3418" spans="1:26" ht="12.75" customHeight="1" x14ac:dyDescent="0.2">
      <c r="A3418" s="4"/>
      <c r="B3418" s="4"/>
      <c r="C3418" s="4"/>
      <c r="D3418" s="4"/>
      <c r="E3418" s="5"/>
      <c r="F3418" s="5"/>
      <c r="G3418" s="4"/>
      <c r="H3418" s="4"/>
      <c r="I3418" s="6"/>
      <c r="J3418" s="5"/>
      <c r="K3418" s="5"/>
      <c r="L3418" s="5"/>
      <c r="M3418" s="5"/>
      <c r="N3418" s="5"/>
      <c r="O3418" s="7"/>
      <c r="P3418" s="15"/>
      <c r="Q3418" s="8"/>
      <c r="R3418" s="11"/>
      <c r="S3418" s="8"/>
      <c r="T3418" s="8"/>
      <c r="U3418" s="8"/>
      <c r="V3418" s="8"/>
      <c r="W3418" s="8"/>
      <c r="X3418" s="8"/>
      <c r="Y3418" s="8"/>
      <c r="Z3418" s="8"/>
    </row>
    <row r="3419" spans="1:26" ht="12.75" customHeight="1" x14ac:dyDescent="0.2">
      <c r="A3419" s="4"/>
      <c r="B3419" s="4"/>
      <c r="C3419" s="4"/>
      <c r="D3419" s="4"/>
      <c r="E3419" s="5"/>
      <c r="F3419" s="5"/>
      <c r="G3419" s="4"/>
      <c r="H3419" s="4"/>
      <c r="I3419" s="6"/>
      <c r="J3419" s="5"/>
      <c r="K3419" s="5"/>
      <c r="L3419" s="5"/>
      <c r="M3419" s="5"/>
      <c r="N3419" s="5"/>
      <c r="O3419" s="7"/>
      <c r="P3419" s="15"/>
      <c r="Q3419" s="8"/>
      <c r="R3419" s="11"/>
      <c r="S3419" s="8"/>
      <c r="T3419" s="8"/>
      <c r="U3419" s="8"/>
      <c r="V3419" s="8"/>
      <c r="W3419" s="8"/>
      <c r="X3419" s="8"/>
      <c r="Y3419" s="8"/>
      <c r="Z3419" s="8"/>
    </row>
    <row r="3420" spans="1:26" ht="12.75" customHeight="1" x14ac:dyDescent="0.2">
      <c r="A3420" s="4"/>
      <c r="B3420" s="4"/>
      <c r="C3420" s="4"/>
      <c r="D3420" s="4"/>
      <c r="E3420" s="5"/>
      <c r="F3420" s="5"/>
      <c r="G3420" s="4"/>
      <c r="H3420" s="4"/>
      <c r="I3420" s="6"/>
      <c r="J3420" s="5"/>
      <c r="K3420" s="5"/>
      <c r="L3420" s="5"/>
      <c r="M3420" s="5"/>
      <c r="N3420" s="5"/>
      <c r="O3420" s="7"/>
      <c r="P3420" s="15"/>
      <c r="Q3420" s="8"/>
      <c r="R3420" s="11"/>
      <c r="S3420" s="8"/>
      <c r="T3420" s="8"/>
      <c r="U3420" s="8"/>
      <c r="V3420" s="8"/>
      <c r="W3420" s="8"/>
      <c r="X3420" s="8"/>
      <c r="Y3420" s="8"/>
      <c r="Z3420" s="8"/>
    </row>
    <row r="3421" spans="1:26" ht="12.75" customHeight="1" x14ac:dyDescent="0.2">
      <c r="A3421" s="4"/>
      <c r="B3421" s="4"/>
      <c r="C3421" s="4"/>
      <c r="D3421" s="4"/>
      <c r="E3421" s="5"/>
      <c r="F3421" s="5"/>
      <c r="G3421" s="4"/>
      <c r="H3421" s="4"/>
      <c r="I3421" s="6"/>
      <c r="J3421" s="5"/>
      <c r="K3421" s="5"/>
      <c r="L3421" s="5"/>
      <c r="M3421" s="5"/>
      <c r="N3421" s="5"/>
      <c r="O3421" s="7"/>
      <c r="P3421" s="15"/>
      <c r="Q3421" s="8"/>
      <c r="R3421" s="11"/>
      <c r="S3421" s="8"/>
      <c r="T3421" s="8"/>
      <c r="U3421" s="8"/>
      <c r="V3421" s="8"/>
      <c r="W3421" s="8"/>
      <c r="X3421" s="8"/>
      <c r="Y3421" s="8"/>
      <c r="Z3421" s="8"/>
    </row>
    <row r="3422" spans="1:26" ht="12.75" customHeight="1" x14ac:dyDescent="0.2">
      <c r="A3422" s="4"/>
      <c r="B3422" s="4"/>
      <c r="C3422" s="4"/>
      <c r="D3422" s="4"/>
      <c r="E3422" s="5"/>
      <c r="F3422" s="5"/>
      <c r="G3422" s="4"/>
      <c r="H3422" s="4"/>
      <c r="I3422" s="6"/>
      <c r="J3422" s="5"/>
      <c r="K3422" s="5"/>
      <c r="L3422" s="5"/>
      <c r="M3422" s="5"/>
      <c r="N3422" s="5"/>
      <c r="O3422" s="7"/>
      <c r="P3422" s="15"/>
      <c r="Q3422" s="8"/>
      <c r="R3422" s="11"/>
      <c r="S3422" s="8"/>
      <c r="T3422" s="8"/>
      <c r="U3422" s="8"/>
      <c r="V3422" s="8"/>
      <c r="W3422" s="8"/>
      <c r="X3422" s="8"/>
      <c r="Y3422" s="8"/>
      <c r="Z3422" s="8"/>
    </row>
    <row r="3423" spans="1:26" ht="12.75" customHeight="1" x14ac:dyDescent="0.2">
      <c r="A3423" s="4"/>
      <c r="B3423" s="4"/>
      <c r="C3423" s="4"/>
      <c r="D3423" s="4"/>
      <c r="E3423" s="5"/>
      <c r="F3423" s="5"/>
      <c r="G3423" s="4"/>
      <c r="H3423" s="4"/>
      <c r="I3423" s="6"/>
      <c r="J3423" s="5"/>
      <c r="K3423" s="5"/>
      <c r="L3423" s="5"/>
      <c r="M3423" s="5"/>
      <c r="N3423" s="5"/>
      <c r="O3423" s="7"/>
      <c r="P3423" s="15"/>
      <c r="Q3423" s="8"/>
      <c r="R3423" s="11"/>
      <c r="S3423" s="8"/>
      <c r="T3423" s="8"/>
      <c r="U3423" s="8"/>
      <c r="V3423" s="8"/>
      <c r="W3423" s="8"/>
      <c r="X3423" s="8"/>
      <c r="Y3423" s="8"/>
      <c r="Z3423" s="8"/>
    </row>
    <row r="3424" spans="1:26" ht="12.75" customHeight="1" x14ac:dyDescent="0.2">
      <c r="A3424" s="4"/>
      <c r="B3424" s="4"/>
      <c r="C3424" s="4"/>
      <c r="D3424" s="4"/>
      <c r="E3424" s="5"/>
      <c r="F3424" s="5"/>
      <c r="G3424" s="4"/>
      <c r="H3424" s="4"/>
      <c r="I3424" s="6"/>
      <c r="J3424" s="5"/>
      <c r="K3424" s="5"/>
      <c r="L3424" s="5"/>
      <c r="M3424" s="5"/>
      <c r="N3424" s="5"/>
      <c r="O3424" s="7"/>
      <c r="P3424" s="15"/>
      <c r="Q3424" s="8"/>
      <c r="R3424" s="11"/>
      <c r="S3424" s="8"/>
      <c r="T3424" s="8"/>
      <c r="U3424" s="8"/>
      <c r="V3424" s="8"/>
      <c r="W3424" s="8"/>
      <c r="X3424" s="8"/>
      <c r="Y3424" s="8"/>
      <c r="Z3424" s="8"/>
    </row>
    <row r="3425" spans="1:26" ht="12.75" customHeight="1" x14ac:dyDescent="0.2">
      <c r="A3425" s="4"/>
      <c r="B3425" s="4"/>
      <c r="C3425" s="4"/>
      <c r="D3425" s="4"/>
      <c r="E3425" s="5"/>
      <c r="F3425" s="5"/>
      <c r="G3425" s="4"/>
      <c r="H3425" s="4"/>
      <c r="I3425" s="6"/>
      <c r="J3425" s="5"/>
      <c r="K3425" s="5"/>
      <c r="L3425" s="5"/>
      <c r="M3425" s="5"/>
      <c r="N3425" s="5"/>
      <c r="O3425" s="7"/>
      <c r="P3425" s="15"/>
      <c r="Q3425" s="8"/>
      <c r="R3425" s="11"/>
      <c r="S3425" s="8"/>
      <c r="T3425" s="8"/>
      <c r="U3425" s="8"/>
      <c r="V3425" s="8"/>
      <c r="W3425" s="8"/>
      <c r="X3425" s="8"/>
      <c r="Y3425" s="8"/>
      <c r="Z3425" s="8"/>
    </row>
    <row r="3426" spans="1:26" ht="12.75" customHeight="1" x14ac:dyDescent="0.2">
      <c r="A3426" s="4"/>
      <c r="B3426" s="4"/>
      <c r="C3426" s="4"/>
      <c r="D3426" s="4"/>
      <c r="E3426" s="5"/>
      <c r="F3426" s="5"/>
      <c r="G3426" s="4"/>
      <c r="H3426" s="15"/>
      <c r="I3426" s="25"/>
      <c r="J3426" s="5"/>
      <c r="K3426" s="5"/>
      <c r="L3426" s="5"/>
      <c r="M3426" s="11"/>
      <c r="N3426" s="11"/>
      <c r="O3426" s="7"/>
      <c r="P3426" s="15"/>
      <c r="Q3426" s="8"/>
      <c r="R3426" s="11"/>
      <c r="S3426" s="8"/>
      <c r="T3426" s="8"/>
      <c r="U3426" s="8"/>
      <c r="V3426" s="8"/>
      <c r="W3426" s="8"/>
      <c r="X3426" s="8"/>
      <c r="Y3426" s="8"/>
      <c r="Z3426" s="8"/>
    </row>
    <row r="3427" spans="1:26" ht="12.75" customHeight="1" x14ac:dyDescent="0.2">
      <c r="A3427" s="4"/>
      <c r="B3427" s="4"/>
      <c r="C3427" s="4"/>
      <c r="D3427" s="4"/>
      <c r="E3427" s="5"/>
      <c r="F3427" s="5"/>
      <c r="G3427" s="4"/>
      <c r="H3427" s="4"/>
      <c r="I3427" s="6"/>
      <c r="J3427" s="5"/>
      <c r="K3427" s="11"/>
      <c r="L3427" s="11"/>
      <c r="M3427" s="5"/>
      <c r="N3427" s="5"/>
      <c r="O3427" s="7"/>
      <c r="P3427" s="15"/>
      <c r="Q3427" s="8"/>
      <c r="R3427" s="11"/>
      <c r="S3427" s="8"/>
      <c r="T3427" s="8"/>
      <c r="U3427" s="8"/>
      <c r="V3427" s="8"/>
      <c r="W3427" s="8"/>
      <c r="X3427" s="8"/>
      <c r="Y3427" s="8"/>
      <c r="Z3427" s="8"/>
    </row>
    <row r="3428" spans="1:26" ht="12.75" customHeight="1" x14ac:dyDescent="0.2">
      <c r="A3428" s="4"/>
      <c r="B3428" s="4"/>
      <c r="C3428" s="4"/>
      <c r="D3428" s="4"/>
      <c r="E3428" s="5"/>
      <c r="F3428" s="5"/>
      <c r="G3428" s="4"/>
      <c r="H3428" s="4"/>
      <c r="I3428" s="6"/>
      <c r="J3428" s="5"/>
      <c r="K3428" s="5"/>
      <c r="L3428" s="5"/>
      <c r="M3428" s="5"/>
      <c r="N3428" s="5"/>
      <c r="O3428" s="7"/>
      <c r="P3428" s="15"/>
      <c r="Q3428" s="8"/>
      <c r="R3428" s="11"/>
      <c r="S3428" s="8"/>
      <c r="T3428" s="8"/>
      <c r="U3428" s="8"/>
      <c r="V3428" s="8"/>
      <c r="W3428" s="8"/>
      <c r="X3428" s="8"/>
      <c r="Y3428" s="8"/>
      <c r="Z3428" s="8"/>
    </row>
    <row r="3429" spans="1:26" ht="12.75" customHeight="1" x14ac:dyDescent="0.2">
      <c r="A3429" s="4"/>
      <c r="B3429" s="4"/>
      <c r="C3429" s="4"/>
      <c r="D3429" s="4"/>
      <c r="E3429" s="5"/>
      <c r="F3429" s="5"/>
      <c r="G3429" s="4"/>
      <c r="H3429" s="4"/>
      <c r="I3429" s="6"/>
      <c r="J3429" s="5"/>
      <c r="K3429" s="5"/>
      <c r="L3429" s="5"/>
      <c r="M3429" s="11"/>
      <c r="N3429" s="5"/>
      <c r="O3429" s="7"/>
      <c r="P3429" s="15"/>
      <c r="Q3429" s="8"/>
      <c r="R3429" s="11"/>
      <c r="S3429" s="8"/>
      <c r="T3429" s="8"/>
      <c r="U3429" s="8"/>
      <c r="V3429" s="8"/>
      <c r="W3429" s="8"/>
      <c r="X3429" s="8"/>
      <c r="Y3429" s="8"/>
      <c r="Z3429" s="8"/>
    </row>
    <row r="3430" spans="1:26" ht="12.75" customHeight="1" x14ac:dyDescent="0.2">
      <c r="A3430" s="4"/>
      <c r="B3430" s="4"/>
      <c r="C3430" s="4"/>
      <c r="D3430" s="4"/>
      <c r="E3430" s="5"/>
      <c r="F3430" s="5"/>
      <c r="G3430" s="4"/>
      <c r="H3430" s="4"/>
      <c r="I3430" s="6"/>
      <c r="J3430" s="5"/>
      <c r="K3430" s="5"/>
      <c r="L3430" s="11"/>
      <c r="M3430" s="5"/>
      <c r="N3430" s="5"/>
      <c r="O3430" s="7"/>
      <c r="P3430" s="15"/>
      <c r="Q3430" s="8"/>
      <c r="R3430" s="11"/>
      <c r="S3430" s="8"/>
      <c r="T3430" s="8"/>
      <c r="U3430" s="8"/>
      <c r="V3430" s="8"/>
      <c r="W3430" s="8"/>
      <c r="X3430" s="8"/>
      <c r="Y3430" s="8"/>
      <c r="Z3430" s="8"/>
    </row>
    <row r="3431" spans="1:26" ht="12.75" customHeight="1" x14ac:dyDescent="0.2">
      <c r="A3431" s="4"/>
      <c r="B3431" s="4"/>
      <c r="C3431" s="4"/>
      <c r="D3431" s="4"/>
      <c r="E3431" s="5"/>
      <c r="F3431" s="5"/>
      <c r="G3431" s="4"/>
      <c r="H3431" s="4"/>
      <c r="I3431" s="6"/>
      <c r="J3431" s="5"/>
      <c r="K3431" s="5"/>
      <c r="L3431" s="5"/>
      <c r="M3431" s="5"/>
      <c r="N3431" s="5"/>
      <c r="O3431" s="7"/>
      <c r="P3431" s="15"/>
      <c r="Q3431" s="8"/>
      <c r="R3431" s="11"/>
      <c r="S3431" s="8"/>
      <c r="T3431" s="8"/>
      <c r="U3431" s="8"/>
      <c r="V3431" s="8"/>
      <c r="W3431" s="8"/>
      <c r="X3431" s="8"/>
      <c r="Y3431" s="8"/>
      <c r="Z3431" s="8"/>
    </row>
    <row r="3432" spans="1:26" ht="12.75" customHeight="1" x14ac:dyDescent="0.2">
      <c r="A3432" s="4"/>
      <c r="B3432" s="4"/>
      <c r="C3432" s="4"/>
      <c r="D3432" s="4"/>
      <c r="E3432" s="5"/>
      <c r="F3432" s="5"/>
      <c r="G3432" s="4"/>
      <c r="H3432" s="4"/>
      <c r="I3432" s="6"/>
      <c r="J3432" s="5"/>
      <c r="K3432" s="5"/>
      <c r="L3432" s="5"/>
      <c r="M3432" s="5"/>
      <c r="N3432" s="5"/>
      <c r="O3432" s="7"/>
      <c r="P3432" s="15"/>
      <c r="Q3432" s="8"/>
      <c r="R3432" s="11"/>
      <c r="S3432" s="8"/>
      <c r="T3432" s="8"/>
      <c r="U3432" s="8"/>
      <c r="V3432" s="8"/>
      <c r="W3432" s="8"/>
      <c r="X3432" s="8"/>
      <c r="Y3432" s="8"/>
      <c r="Z3432" s="8"/>
    </row>
    <row r="3433" spans="1:26" ht="12.75" customHeight="1" x14ac:dyDescent="0.2">
      <c r="A3433" s="4"/>
      <c r="B3433" s="4"/>
      <c r="C3433" s="4"/>
      <c r="D3433" s="4"/>
      <c r="E3433" s="5"/>
      <c r="F3433" s="5"/>
      <c r="G3433" s="4"/>
      <c r="H3433" s="4"/>
      <c r="I3433" s="6"/>
      <c r="J3433" s="5"/>
      <c r="K3433" s="5"/>
      <c r="L3433" s="5"/>
      <c r="M3433" s="5"/>
      <c r="N3433" s="5"/>
      <c r="O3433" s="7"/>
      <c r="P3433" s="15"/>
      <c r="Q3433" s="8"/>
      <c r="R3433" s="11"/>
      <c r="S3433" s="8"/>
      <c r="T3433" s="8"/>
      <c r="U3433" s="8"/>
      <c r="V3433" s="8"/>
      <c r="W3433" s="8"/>
      <c r="X3433" s="8"/>
      <c r="Y3433" s="8"/>
      <c r="Z3433" s="8"/>
    </row>
    <row r="3434" spans="1:26" ht="12.75" customHeight="1" x14ac:dyDescent="0.2">
      <c r="A3434" s="4"/>
      <c r="B3434" s="4"/>
      <c r="C3434" s="4"/>
      <c r="D3434" s="4"/>
      <c r="E3434" s="5"/>
      <c r="F3434" s="5"/>
      <c r="G3434" s="4"/>
      <c r="H3434" s="4"/>
      <c r="I3434" s="6"/>
      <c r="J3434" s="5"/>
      <c r="K3434" s="5"/>
      <c r="L3434" s="5"/>
      <c r="M3434" s="5"/>
      <c r="N3434" s="5"/>
      <c r="O3434" s="7"/>
      <c r="P3434" s="15"/>
      <c r="Q3434" s="8"/>
      <c r="R3434" s="11"/>
      <c r="S3434" s="8"/>
      <c r="T3434" s="8"/>
      <c r="U3434" s="8"/>
      <c r="V3434" s="8"/>
      <c r="W3434" s="8"/>
      <c r="X3434" s="8"/>
      <c r="Y3434" s="8"/>
      <c r="Z3434" s="8"/>
    </row>
    <row r="3435" spans="1:26" ht="12.75" customHeight="1" x14ac:dyDescent="0.2">
      <c r="A3435" s="4"/>
      <c r="B3435" s="4"/>
      <c r="C3435" s="4"/>
      <c r="D3435" s="4"/>
      <c r="E3435" s="5"/>
      <c r="F3435" s="5"/>
      <c r="G3435" s="4"/>
      <c r="H3435" s="4"/>
      <c r="I3435" s="6"/>
      <c r="J3435" s="5"/>
      <c r="K3435" s="5"/>
      <c r="L3435" s="5"/>
      <c r="M3435" s="5"/>
      <c r="N3435" s="5"/>
      <c r="O3435" s="7"/>
      <c r="P3435" s="15"/>
      <c r="Q3435" s="8"/>
      <c r="R3435" s="11"/>
      <c r="S3435" s="8"/>
      <c r="T3435" s="8"/>
      <c r="U3435" s="8"/>
      <c r="V3435" s="8"/>
      <c r="W3435" s="8"/>
      <c r="X3435" s="8"/>
      <c r="Y3435" s="8"/>
      <c r="Z3435" s="8"/>
    </row>
    <row r="3436" spans="1:26" ht="12.75" customHeight="1" x14ac:dyDescent="0.2">
      <c r="A3436" s="4"/>
      <c r="B3436" s="4"/>
      <c r="C3436" s="4"/>
      <c r="D3436" s="4"/>
      <c r="E3436" s="5"/>
      <c r="F3436" s="5"/>
      <c r="G3436" s="4"/>
      <c r="H3436" s="4"/>
      <c r="I3436" s="6"/>
      <c r="J3436" s="5"/>
      <c r="K3436" s="5"/>
      <c r="L3436" s="11"/>
      <c r="M3436" s="5"/>
      <c r="N3436" s="5"/>
      <c r="O3436" s="7"/>
      <c r="P3436" s="15"/>
      <c r="Q3436" s="8"/>
      <c r="R3436" s="11"/>
      <c r="S3436" s="8"/>
      <c r="T3436" s="8"/>
      <c r="U3436" s="8"/>
      <c r="V3436" s="8"/>
      <c r="W3436" s="8"/>
      <c r="X3436" s="8"/>
      <c r="Y3436" s="8"/>
      <c r="Z3436" s="8"/>
    </row>
    <row r="3437" spans="1:26" ht="12.75" customHeight="1" x14ac:dyDescent="0.2">
      <c r="A3437" s="4"/>
      <c r="B3437" s="4"/>
      <c r="C3437" s="4"/>
      <c r="D3437" s="4"/>
      <c r="E3437" s="5"/>
      <c r="F3437" s="5"/>
      <c r="G3437" s="4"/>
      <c r="H3437" s="4"/>
      <c r="I3437" s="6"/>
      <c r="J3437" s="5"/>
      <c r="K3437" s="5"/>
      <c r="L3437" s="5"/>
      <c r="M3437" s="5"/>
      <c r="N3437" s="5"/>
      <c r="O3437" s="7"/>
      <c r="P3437" s="15"/>
      <c r="Q3437" s="8"/>
      <c r="R3437" s="11"/>
      <c r="S3437" s="8"/>
      <c r="T3437" s="8"/>
      <c r="U3437" s="8"/>
      <c r="V3437" s="8"/>
      <c r="W3437" s="8"/>
      <c r="X3437" s="8"/>
      <c r="Y3437" s="8"/>
      <c r="Z3437" s="8"/>
    </row>
    <row r="3438" spans="1:26" ht="12.75" customHeight="1" x14ac:dyDescent="0.2">
      <c r="A3438" s="4"/>
      <c r="B3438" s="4"/>
      <c r="C3438" s="4"/>
      <c r="D3438" s="4"/>
      <c r="E3438" s="5"/>
      <c r="F3438" s="5"/>
      <c r="G3438" s="4"/>
      <c r="H3438" s="4"/>
      <c r="I3438" s="6"/>
      <c r="J3438" s="5"/>
      <c r="K3438" s="5"/>
      <c r="L3438" s="5"/>
      <c r="M3438" s="5"/>
      <c r="N3438" s="5"/>
      <c r="O3438" s="7"/>
      <c r="P3438" s="15"/>
      <c r="Q3438" s="8"/>
      <c r="R3438" s="11"/>
      <c r="S3438" s="8"/>
      <c r="T3438" s="8"/>
      <c r="U3438" s="8"/>
      <c r="V3438" s="8"/>
      <c r="W3438" s="8"/>
      <c r="X3438" s="8"/>
      <c r="Y3438" s="8"/>
      <c r="Z3438" s="8"/>
    </row>
    <row r="3439" spans="1:26" ht="12.75" customHeight="1" x14ac:dyDescent="0.2">
      <c r="A3439" s="4"/>
      <c r="B3439" s="4"/>
      <c r="C3439" s="4"/>
      <c r="D3439" s="4"/>
      <c r="E3439" s="5"/>
      <c r="F3439" s="5"/>
      <c r="G3439" s="4"/>
      <c r="H3439" s="4"/>
      <c r="I3439" s="6"/>
      <c r="J3439" s="5"/>
      <c r="K3439" s="11"/>
      <c r="L3439" s="11"/>
      <c r="M3439" s="11"/>
      <c r="N3439" s="11"/>
      <c r="O3439" s="7"/>
      <c r="P3439" s="15"/>
      <c r="Q3439" s="8"/>
      <c r="R3439" s="11"/>
      <c r="S3439" s="8"/>
      <c r="T3439" s="8"/>
      <c r="U3439" s="8"/>
      <c r="V3439" s="8"/>
      <c r="W3439" s="8"/>
      <c r="X3439" s="8"/>
      <c r="Y3439" s="8"/>
      <c r="Z3439" s="8"/>
    </row>
    <row r="3440" spans="1:26" ht="12.75" customHeight="1" x14ac:dyDescent="0.2">
      <c r="A3440" s="4"/>
      <c r="B3440" s="4"/>
      <c r="C3440" s="4"/>
      <c r="D3440" s="4"/>
      <c r="E3440" s="5"/>
      <c r="F3440" s="5"/>
      <c r="G3440" s="4"/>
      <c r="H3440" s="4"/>
      <c r="I3440" s="6"/>
      <c r="J3440" s="5"/>
      <c r="K3440" s="5"/>
      <c r="L3440" s="5"/>
      <c r="M3440" s="5"/>
      <c r="N3440" s="5"/>
      <c r="O3440" s="7"/>
      <c r="P3440" s="15"/>
      <c r="Q3440" s="8"/>
      <c r="R3440" s="11"/>
      <c r="S3440" s="8"/>
      <c r="T3440" s="8"/>
      <c r="U3440" s="8"/>
      <c r="V3440" s="8"/>
      <c r="W3440" s="8"/>
      <c r="X3440" s="8"/>
      <c r="Y3440" s="8"/>
      <c r="Z3440" s="8"/>
    </row>
    <row r="3441" spans="1:26" ht="12.75" customHeight="1" x14ac:dyDescent="0.2">
      <c r="A3441" s="4"/>
      <c r="B3441" s="4"/>
      <c r="C3441" s="4"/>
      <c r="D3441" s="4"/>
      <c r="E3441" s="5"/>
      <c r="F3441" s="5"/>
      <c r="G3441" s="4"/>
      <c r="H3441" s="4"/>
      <c r="I3441" s="6"/>
      <c r="J3441" s="5"/>
      <c r="K3441" s="5"/>
      <c r="L3441" s="5"/>
      <c r="M3441" s="5"/>
      <c r="N3441" s="5"/>
      <c r="O3441" s="7"/>
      <c r="P3441" s="15"/>
      <c r="Q3441" s="8"/>
      <c r="R3441" s="11"/>
      <c r="S3441" s="8"/>
      <c r="T3441" s="8"/>
      <c r="U3441" s="8"/>
      <c r="V3441" s="8"/>
      <c r="W3441" s="8"/>
      <c r="X3441" s="8"/>
      <c r="Y3441" s="8"/>
      <c r="Z3441" s="8"/>
    </row>
    <row r="3442" spans="1:26" ht="12.75" customHeight="1" x14ac:dyDescent="0.2">
      <c r="A3442" s="4"/>
      <c r="B3442" s="4"/>
      <c r="C3442" s="4"/>
      <c r="D3442" s="4"/>
      <c r="E3442" s="5"/>
      <c r="F3442" s="5"/>
      <c r="G3442" s="4"/>
      <c r="H3442" s="4"/>
      <c r="I3442" s="6"/>
      <c r="J3442" s="5"/>
      <c r="K3442" s="11"/>
      <c r="L3442" s="11"/>
      <c r="M3442" s="11"/>
      <c r="N3442" s="11"/>
      <c r="O3442" s="7"/>
      <c r="P3442" s="15"/>
      <c r="Q3442" s="8"/>
      <c r="R3442" s="11"/>
      <c r="S3442" s="8"/>
      <c r="T3442" s="8"/>
      <c r="U3442" s="8"/>
      <c r="V3442" s="8"/>
      <c r="W3442" s="8"/>
      <c r="X3442" s="8"/>
      <c r="Y3442" s="8"/>
      <c r="Z3442" s="8"/>
    </row>
    <row r="3443" spans="1:26" ht="12.75" customHeight="1" x14ac:dyDescent="0.2">
      <c r="A3443" s="4"/>
      <c r="B3443" s="4"/>
      <c r="C3443" s="4"/>
      <c r="D3443" s="4"/>
      <c r="E3443" s="5"/>
      <c r="F3443" s="5"/>
      <c r="G3443" s="4"/>
      <c r="H3443" s="4"/>
      <c r="I3443" s="6"/>
      <c r="J3443" s="5"/>
      <c r="K3443" s="5"/>
      <c r="L3443" s="11"/>
      <c r="M3443" s="11"/>
      <c r="N3443" s="5"/>
      <c r="O3443" s="7"/>
      <c r="P3443" s="15"/>
      <c r="Q3443" s="8"/>
      <c r="R3443" s="11"/>
      <c r="S3443" s="8"/>
      <c r="T3443" s="8"/>
      <c r="U3443" s="8"/>
      <c r="V3443" s="8"/>
      <c r="W3443" s="8"/>
      <c r="X3443" s="8"/>
      <c r="Y3443" s="8"/>
      <c r="Z3443" s="8"/>
    </row>
    <row r="3444" spans="1:26" ht="12.75" customHeight="1" x14ac:dyDescent="0.2">
      <c r="A3444" s="4"/>
      <c r="B3444" s="4"/>
      <c r="C3444" s="4"/>
      <c r="D3444" s="4"/>
      <c r="E3444" s="5"/>
      <c r="F3444" s="5"/>
      <c r="G3444" s="4"/>
      <c r="H3444" s="4"/>
      <c r="I3444" s="6"/>
      <c r="J3444" s="5"/>
      <c r="K3444" s="5"/>
      <c r="L3444" s="5"/>
      <c r="M3444" s="5"/>
      <c r="N3444" s="5"/>
      <c r="O3444" s="7"/>
      <c r="P3444" s="15"/>
      <c r="Q3444" s="8"/>
      <c r="R3444" s="11"/>
      <c r="S3444" s="8"/>
      <c r="T3444" s="8"/>
      <c r="U3444" s="8"/>
      <c r="V3444" s="8"/>
      <c r="W3444" s="8"/>
      <c r="X3444" s="8"/>
      <c r="Y3444" s="8"/>
      <c r="Z3444" s="8"/>
    </row>
    <row r="3445" spans="1:26" ht="12.75" customHeight="1" x14ac:dyDescent="0.2">
      <c r="A3445" s="4"/>
      <c r="B3445" s="4"/>
      <c r="C3445" s="4"/>
      <c r="D3445" s="4"/>
      <c r="E3445" s="5"/>
      <c r="F3445" s="5"/>
      <c r="G3445" s="4"/>
      <c r="H3445" s="4"/>
      <c r="I3445" s="6"/>
      <c r="J3445" s="5"/>
      <c r="K3445" s="5"/>
      <c r="L3445" s="5"/>
      <c r="M3445" s="5"/>
      <c r="N3445" s="5"/>
      <c r="O3445" s="7"/>
      <c r="P3445" s="15"/>
      <c r="Q3445" s="8"/>
      <c r="R3445" s="11"/>
      <c r="S3445" s="8"/>
      <c r="T3445" s="8"/>
      <c r="U3445" s="8"/>
      <c r="V3445" s="8"/>
      <c r="W3445" s="8"/>
      <c r="X3445" s="8"/>
      <c r="Y3445" s="8"/>
      <c r="Z3445" s="8"/>
    </row>
    <row r="3446" spans="1:26" ht="12.75" customHeight="1" x14ac:dyDescent="0.2">
      <c r="A3446" s="4"/>
      <c r="B3446" s="4"/>
      <c r="C3446" s="4"/>
      <c r="D3446" s="4"/>
      <c r="E3446" s="5"/>
      <c r="F3446" s="5"/>
      <c r="G3446" s="4"/>
      <c r="H3446" s="4"/>
      <c r="I3446" s="6"/>
      <c r="J3446" s="5"/>
      <c r="K3446" s="5"/>
      <c r="L3446" s="5"/>
      <c r="M3446" s="5"/>
      <c r="N3446" s="5"/>
      <c r="O3446" s="7"/>
      <c r="P3446" s="15"/>
      <c r="Q3446" s="8"/>
      <c r="R3446" s="11"/>
      <c r="S3446" s="8"/>
      <c r="T3446" s="8"/>
      <c r="U3446" s="8"/>
      <c r="V3446" s="8"/>
      <c r="W3446" s="8"/>
      <c r="X3446" s="8"/>
      <c r="Y3446" s="8"/>
      <c r="Z3446" s="8"/>
    </row>
    <row r="3447" spans="1:26" ht="12.75" customHeight="1" x14ac:dyDescent="0.2">
      <c r="A3447" s="4"/>
      <c r="B3447" s="4"/>
      <c r="C3447" s="4"/>
      <c r="D3447" s="4"/>
      <c r="E3447" s="5"/>
      <c r="F3447" s="5"/>
      <c r="G3447" s="4"/>
      <c r="H3447" s="4"/>
      <c r="I3447" s="6"/>
      <c r="J3447" s="5"/>
      <c r="K3447" s="11"/>
      <c r="L3447" s="11"/>
      <c r="M3447" s="5"/>
      <c r="N3447" s="5"/>
      <c r="O3447" s="7"/>
      <c r="P3447" s="15"/>
      <c r="Q3447" s="8"/>
      <c r="R3447" s="11"/>
      <c r="S3447" s="8"/>
      <c r="T3447" s="8"/>
      <c r="U3447" s="8"/>
      <c r="V3447" s="8"/>
      <c r="W3447" s="8"/>
      <c r="X3447" s="8"/>
      <c r="Y3447" s="8"/>
      <c r="Z3447" s="8"/>
    </row>
    <row r="3448" spans="1:26" ht="12.75" customHeight="1" x14ac:dyDescent="0.2">
      <c r="A3448" s="4"/>
      <c r="B3448" s="4"/>
      <c r="C3448" s="4"/>
      <c r="D3448" s="4"/>
      <c r="E3448" s="5"/>
      <c r="F3448" s="5"/>
      <c r="G3448" s="4"/>
      <c r="H3448" s="4"/>
      <c r="I3448" s="6"/>
      <c r="J3448" s="5"/>
      <c r="K3448" s="5"/>
      <c r="L3448" s="5"/>
      <c r="M3448" s="5"/>
      <c r="N3448" s="5"/>
      <c r="O3448" s="7"/>
      <c r="P3448" s="15"/>
      <c r="Q3448" s="8"/>
      <c r="R3448" s="11"/>
      <c r="S3448" s="8"/>
      <c r="T3448" s="8"/>
      <c r="U3448" s="8"/>
      <c r="V3448" s="8"/>
      <c r="W3448" s="8"/>
      <c r="X3448" s="8"/>
      <c r="Y3448" s="8"/>
      <c r="Z3448" s="8"/>
    </row>
    <row r="3449" spans="1:26" ht="12.75" customHeight="1" x14ac:dyDescent="0.2">
      <c r="A3449" s="4"/>
      <c r="B3449" s="4"/>
      <c r="C3449" s="4"/>
      <c r="D3449" s="4"/>
      <c r="E3449" s="5"/>
      <c r="F3449" s="5"/>
      <c r="G3449" s="4"/>
      <c r="H3449" s="4"/>
      <c r="I3449" s="6"/>
      <c r="J3449" s="5"/>
      <c r="K3449" s="5"/>
      <c r="L3449" s="5"/>
      <c r="M3449" s="5"/>
      <c r="N3449" s="5"/>
      <c r="O3449" s="7"/>
      <c r="P3449" s="15"/>
      <c r="Q3449" s="8"/>
      <c r="R3449" s="11"/>
      <c r="S3449" s="8"/>
      <c r="T3449" s="8"/>
      <c r="U3449" s="8"/>
      <c r="V3449" s="8"/>
      <c r="W3449" s="8"/>
      <c r="X3449" s="8"/>
      <c r="Y3449" s="8"/>
      <c r="Z3449" s="8"/>
    </row>
    <row r="3450" spans="1:26" ht="12.75" customHeight="1" x14ac:dyDescent="0.2">
      <c r="A3450" s="4"/>
      <c r="B3450" s="4"/>
      <c r="C3450" s="4"/>
      <c r="D3450" s="4"/>
      <c r="E3450" s="5"/>
      <c r="F3450" s="5"/>
      <c r="G3450" s="4"/>
      <c r="H3450" s="4"/>
      <c r="I3450" s="6"/>
      <c r="J3450" s="5"/>
      <c r="K3450" s="11"/>
      <c r="L3450" s="11"/>
      <c r="M3450" s="11"/>
      <c r="N3450" s="11"/>
      <c r="O3450" s="7"/>
      <c r="P3450" s="15"/>
      <c r="Q3450" s="8"/>
      <c r="R3450" s="11"/>
      <c r="S3450" s="8"/>
      <c r="T3450" s="8"/>
      <c r="U3450" s="8"/>
      <c r="V3450" s="8"/>
      <c r="W3450" s="8"/>
      <c r="X3450" s="8"/>
      <c r="Y3450" s="8"/>
      <c r="Z3450" s="8"/>
    </row>
    <row r="3451" spans="1:26" ht="12.75" customHeight="1" x14ac:dyDescent="0.2">
      <c r="A3451" s="15"/>
      <c r="B3451" s="15"/>
      <c r="C3451" s="15"/>
      <c r="D3451" s="15"/>
      <c r="E3451" s="22"/>
      <c r="F3451" s="11"/>
      <c r="G3451" s="15"/>
      <c r="H3451" s="15"/>
      <c r="I3451" s="25"/>
      <c r="J3451" s="11"/>
      <c r="K3451" s="11"/>
      <c r="L3451" s="11"/>
      <c r="M3451" s="11"/>
      <c r="N3451" s="11"/>
      <c r="O3451" s="16"/>
      <c r="P3451" s="15"/>
      <c r="Q3451" s="8"/>
      <c r="R3451" s="11"/>
      <c r="S3451" s="8"/>
      <c r="T3451" s="8"/>
      <c r="U3451" s="8"/>
      <c r="V3451" s="8"/>
      <c r="W3451" s="8"/>
      <c r="X3451" s="8"/>
      <c r="Y3451" s="8"/>
      <c r="Z3451" s="8"/>
    </row>
    <row r="3452" spans="1:26" ht="12.75" customHeight="1" x14ac:dyDescent="0.2">
      <c r="A3452" s="15"/>
      <c r="B3452" s="15"/>
      <c r="C3452" s="15"/>
      <c r="D3452" s="15"/>
      <c r="E3452" s="22"/>
      <c r="F3452" s="11"/>
      <c r="G3452" s="15"/>
      <c r="H3452" s="15"/>
      <c r="I3452" s="25"/>
      <c r="J3452" s="11"/>
      <c r="K3452" s="11"/>
      <c r="L3452" s="11"/>
      <c r="M3452" s="11"/>
      <c r="N3452" s="11"/>
      <c r="O3452" s="16"/>
      <c r="P3452" s="15"/>
      <c r="Q3452" s="8"/>
      <c r="R3452" s="11"/>
      <c r="S3452" s="8"/>
      <c r="T3452" s="8"/>
      <c r="U3452" s="8"/>
      <c r="V3452" s="8"/>
      <c r="W3452" s="8"/>
      <c r="X3452" s="8"/>
      <c r="Y3452" s="8"/>
      <c r="Z3452" s="8"/>
    </row>
    <row r="3453" spans="1:26" ht="12.75" customHeight="1" x14ac:dyDescent="0.2">
      <c r="A3453" s="15"/>
      <c r="B3453" s="15"/>
      <c r="C3453" s="15"/>
      <c r="D3453" s="15"/>
      <c r="E3453" s="22"/>
      <c r="F3453" s="11"/>
      <c r="G3453" s="15"/>
      <c r="H3453" s="15"/>
      <c r="I3453" s="25"/>
      <c r="J3453" s="11"/>
      <c r="K3453" s="11"/>
      <c r="L3453" s="11"/>
      <c r="M3453" s="11"/>
      <c r="N3453" s="11"/>
      <c r="O3453" s="16"/>
      <c r="P3453" s="15"/>
      <c r="Q3453" s="8"/>
      <c r="R3453" s="11"/>
      <c r="S3453" s="8"/>
      <c r="T3453" s="8"/>
      <c r="U3453" s="8"/>
      <c r="V3453" s="8"/>
      <c r="W3453" s="8"/>
      <c r="X3453" s="8"/>
      <c r="Y3453" s="8"/>
      <c r="Z3453" s="8"/>
    </row>
    <row r="3454" spans="1:26" ht="12.75" customHeight="1" x14ac:dyDescent="0.2">
      <c r="A3454" s="15"/>
      <c r="B3454" s="15"/>
      <c r="C3454" s="15"/>
      <c r="D3454" s="15"/>
      <c r="E3454" s="22"/>
      <c r="F3454" s="11"/>
      <c r="G3454" s="15"/>
      <c r="H3454" s="15"/>
      <c r="I3454" s="25"/>
      <c r="J3454" s="11"/>
      <c r="K3454" s="11"/>
      <c r="L3454" s="11"/>
      <c r="M3454" s="11"/>
      <c r="N3454" s="11"/>
      <c r="O3454" s="16"/>
      <c r="P3454" s="15"/>
      <c r="Q3454" s="8"/>
      <c r="R3454" s="11"/>
      <c r="S3454" s="8"/>
      <c r="T3454" s="8"/>
      <c r="U3454" s="8"/>
      <c r="V3454" s="8"/>
      <c r="W3454" s="8"/>
      <c r="X3454" s="8"/>
      <c r="Y3454" s="8"/>
      <c r="Z3454" s="8"/>
    </row>
    <row r="3455" spans="1:26" ht="12.75" customHeight="1" x14ac:dyDescent="0.2">
      <c r="A3455" s="15"/>
      <c r="B3455" s="15"/>
      <c r="C3455" s="15"/>
      <c r="D3455" s="15"/>
      <c r="E3455" s="22"/>
      <c r="F3455" s="11"/>
      <c r="G3455" s="15"/>
      <c r="H3455" s="15"/>
      <c r="I3455" s="25"/>
      <c r="J3455" s="11"/>
      <c r="K3455" s="11"/>
      <c r="L3455" s="11"/>
      <c r="M3455" s="11"/>
      <c r="N3455" s="11"/>
      <c r="O3455" s="16"/>
      <c r="P3455" s="15"/>
      <c r="Q3455" s="8"/>
      <c r="R3455" s="11"/>
      <c r="S3455" s="8"/>
      <c r="T3455" s="8"/>
      <c r="U3455" s="8"/>
      <c r="V3455" s="8"/>
      <c r="W3455" s="8"/>
      <c r="X3455" s="8"/>
      <c r="Y3455" s="8"/>
      <c r="Z3455" s="8"/>
    </row>
    <row r="3456" spans="1:26" ht="12.75" customHeight="1" x14ac:dyDescent="0.2">
      <c r="A3456" s="15"/>
      <c r="B3456" s="15"/>
      <c r="C3456" s="15"/>
      <c r="D3456" s="15"/>
      <c r="E3456" s="22"/>
      <c r="F3456" s="11"/>
      <c r="G3456" s="15"/>
      <c r="H3456" s="15"/>
      <c r="I3456" s="25"/>
      <c r="J3456" s="11"/>
      <c r="K3456" s="11"/>
      <c r="L3456" s="11"/>
      <c r="M3456" s="11"/>
      <c r="N3456" s="11"/>
      <c r="O3456" s="16"/>
      <c r="P3456" s="15"/>
      <c r="Q3456" s="8"/>
      <c r="R3456" s="11"/>
      <c r="S3456" s="8"/>
      <c r="T3456" s="8"/>
      <c r="U3456" s="8"/>
      <c r="V3456" s="8"/>
      <c r="W3456" s="8"/>
      <c r="X3456" s="8"/>
      <c r="Y3456" s="8"/>
      <c r="Z3456" s="8"/>
    </row>
    <row r="3457" spans="1:26" ht="12.75" customHeight="1" x14ac:dyDescent="0.2">
      <c r="A3457" s="15"/>
      <c r="B3457" s="15"/>
      <c r="C3457" s="15"/>
      <c r="D3457" s="15"/>
      <c r="E3457" s="22"/>
      <c r="F3457" s="11"/>
      <c r="G3457" s="15"/>
      <c r="H3457" s="15"/>
      <c r="I3457" s="25"/>
      <c r="J3457" s="11"/>
      <c r="K3457" s="11"/>
      <c r="L3457" s="11"/>
      <c r="M3457" s="11"/>
      <c r="N3457" s="11"/>
      <c r="O3457" s="16"/>
      <c r="P3457" s="15"/>
      <c r="Q3457" s="8"/>
      <c r="R3457" s="11"/>
      <c r="S3457" s="8"/>
      <c r="T3457" s="8"/>
      <c r="U3457" s="8"/>
      <c r="V3457" s="8"/>
      <c r="W3457" s="8"/>
      <c r="X3457" s="8"/>
      <c r="Y3457" s="8"/>
      <c r="Z3457" s="8"/>
    </row>
    <row r="3458" spans="1:26" ht="12.75" customHeight="1" x14ac:dyDescent="0.2">
      <c r="A3458" s="15"/>
      <c r="B3458" s="15"/>
      <c r="C3458" s="15"/>
      <c r="D3458" s="15"/>
      <c r="E3458" s="22"/>
      <c r="F3458" s="11"/>
      <c r="G3458" s="15"/>
      <c r="H3458" s="15"/>
      <c r="I3458" s="25"/>
      <c r="J3458" s="11"/>
      <c r="K3458" s="11"/>
      <c r="L3458" s="11"/>
      <c r="M3458" s="11"/>
      <c r="N3458" s="11"/>
      <c r="O3458" s="16"/>
      <c r="P3458" s="15"/>
      <c r="Q3458" s="8"/>
      <c r="R3458" s="11"/>
      <c r="S3458" s="8"/>
      <c r="T3458" s="8"/>
      <c r="U3458" s="8"/>
      <c r="V3458" s="8"/>
      <c r="W3458" s="8"/>
      <c r="X3458" s="8"/>
      <c r="Y3458" s="8"/>
      <c r="Z3458" s="8"/>
    </row>
    <row r="3459" spans="1:26" ht="12.75" customHeight="1" x14ac:dyDescent="0.2">
      <c r="A3459" s="15"/>
      <c r="B3459" s="15"/>
      <c r="C3459" s="15"/>
      <c r="D3459" s="15"/>
      <c r="E3459" s="22"/>
      <c r="F3459" s="11"/>
      <c r="G3459" s="15"/>
      <c r="H3459" s="15"/>
      <c r="I3459" s="25"/>
      <c r="J3459" s="11"/>
      <c r="K3459" s="11"/>
      <c r="L3459" s="11"/>
      <c r="M3459" s="11"/>
      <c r="N3459" s="11"/>
      <c r="O3459" s="16"/>
      <c r="P3459" s="15"/>
      <c r="Q3459" s="8"/>
      <c r="R3459" s="11"/>
      <c r="S3459" s="8"/>
      <c r="T3459" s="8"/>
      <c r="U3459" s="8"/>
      <c r="V3459" s="8"/>
      <c r="W3459" s="8"/>
      <c r="X3459" s="8"/>
      <c r="Y3459" s="8"/>
      <c r="Z3459" s="8"/>
    </row>
    <row r="3460" spans="1:26" ht="12.75" customHeight="1" x14ac:dyDescent="0.2">
      <c r="A3460" s="15"/>
      <c r="B3460" s="15"/>
      <c r="C3460" s="15"/>
      <c r="D3460" s="15"/>
      <c r="E3460" s="22"/>
      <c r="F3460" s="11"/>
      <c r="G3460" s="15"/>
      <c r="H3460" s="15"/>
      <c r="I3460" s="25"/>
      <c r="J3460" s="11"/>
      <c r="K3460" s="11"/>
      <c r="L3460" s="11"/>
      <c r="M3460" s="11"/>
      <c r="N3460" s="11"/>
      <c r="O3460" s="16"/>
      <c r="P3460" s="15"/>
      <c r="Q3460" s="8"/>
      <c r="R3460" s="11"/>
      <c r="S3460" s="8"/>
      <c r="T3460" s="8"/>
      <c r="U3460" s="8"/>
      <c r="V3460" s="8"/>
      <c r="W3460" s="8"/>
      <c r="X3460" s="8"/>
      <c r="Y3460" s="8"/>
      <c r="Z3460" s="8"/>
    </row>
    <row r="3461" spans="1:26" ht="12.75" customHeight="1" x14ac:dyDescent="0.2">
      <c r="A3461" s="15"/>
      <c r="B3461" s="15"/>
      <c r="C3461" s="15"/>
      <c r="D3461" s="15"/>
      <c r="E3461" s="22"/>
      <c r="F3461" s="11"/>
      <c r="G3461" s="15"/>
      <c r="H3461" s="15"/>
      <c r="I3461" s="25"/>
      <c r="J3461" s="11"/>
      <c r="K3461" s="11"/>
      <c r="L3461" s="11"/>
      <c r="M3461" s="11"/>
      <c r="N3461" s="11"/>
      <c r="O3461" s="16"/>
      <c r="P3461" s="15"/>
      <c r="Q3461" s="8"/>
      <c r="R3461" s="11"/>
      <c r="S3461" s="8"/>
      <c r="T3461" s="8"/>
      <c r="U3461" s="8"/>
      <c r="V3461" s="8"/>
      <c r="W3461" s="8"/>
      <c r="X3461" s="8"/>
      <c r="Y3461" s="8"/>
      <c r="Z3461" s="8"/>
    </row>
    <row r="3462" spans="1:26" ht="12.75" customHeight="1" x14ac:dyDescent="0.2">
      <c r="A3462" s="15"/>
      <c r="B3462" s="15"/>
      <c r="C3462" s="15"/>
      <c r="D3462" s="15"/>
      <c r="E3462" s="22"/>
      <c r="F3462" s="11"/>
      <c r="G3462" s="15"/>
      <c r="H3462" s="15"/>
      <c r="I3462" s="25"/>
      <c r="J3462" s="11"/>
      <c r="K3462" s="11"/>
      <c r="L3462" s="11"/>
      <c r="M3462" s="11"/>
      <c r="N3462" s="11"/>
      <c r="O3462" s="16"/>
      <c r="P3462" s="15"/>
      <c r="Q3462" s="8"/>
      <c r="R3462" s="11"/>
      <c r="S3462" s="8"/>
      <c r="T3462" s="8"/>
      <c r="U3462" s="8"/>
      <c r="V3462" s="8"/>
      <c r="W3462" s="8"/>
      <c r="X3462" s="8"/>
      <c r="Y3462" s="8"/>
      <c r="Z3462" s="8"/>
    </row>
    <row r="3463" spans="1:26" ht="12.75" customHeight="1" x14ac:dyDescent="0.2">
      <c r="A3463" s="15"/>
      <c r="B3463" s="15"/>
      <c r="C3463" s="15"/>
      <c r="D3463" s="15"/>
      <c r="E3463" s="22"/>
      <c r="F3463" s="11"/>
      <c r="G3463" s="15"/>
      <c r="H3463" s="15"/>
      <c r="I3463" s="25"/>
      <c r="J3463" s="11"/>
      <c r="K3463" s="11"/>
      <c r="L3463" s="11"/>
      <c r="M3463" s="11"/>
      <c r="N3463" s="11"/>
      <c r="O3463" s="16"/>
      <c r="P3463" s="15"/>
      <c r="Q3463" s="8"/>
      <c r="R3463" s="11"/>
      <c r="S3463" s="8"/>
      <c r="T3463" s="8"/>
      <c r="U3463" s="8"/>
      <c r="V3463" s="8"/>
      <c r="W3463" s="8"/>
      <c r="X3463" s="8"/>
      <c r="Y3463" s="8"/>
      <c r="Z3463" s="8"/>
    </row>
    <row r="3464" spans="1:26" ht="12.75" customHeight="1" x14ac:dyDescent="0.2">
      <c r="A3464" s="15"/>
      <c r="B3464" s="15"/>
      <c r="C3464" s="15"/>
      <c r="D3464" s="15"/>
      <c r="E3464" s="22"/>
      <c r="F3464" s="11"/>
      <c r="G3464" s="15"/>
      <c r="H3464" s="15"/>
      <c r="I3464" s="25"/>
      <c r="J3464" s="11"/>
      <c r="K3464" s="11"/>
      <c r="L3464" s="11"/>
      <c r="M3464" s="11"/>
      <c r="N3464" s="11"/>
      <c r="O3464" s="16"/>
      <c r="P3464" s="15"/>
      <c r="Q3464" s="8"/>
      <c r="R3464" s="11"/>
      <c r="S3464" s="8"/>
      <c r="T3464" s="8"/>
      <c r="U3464" s="8"/>
      <c r="V3464" s="8"/>
      <c r="W3464" s="8"/>
      <c r="X3464" s="8"/>
      <c r="Y3464" s="8"/>
      <c r="Z3464" s="8"/>
    </row>
    <row r="3465" spans="1:26" ht="12.75" customHeight="1" x14ac:dyDescent="0.2">
      <c r="A3465" s="15"/>
      <c r="B3465" s="15"/>
      <c r="C3465" s="15"/>
      <c r="D3465" s="15"/>
      <c r="E3465" s="22"/>
      <c r="F3465" s="11"/>
      <c r="G3465" s="15"/>
      <c r="H3465" s="15"/>
      <c r="I3465" s="25"/>
      <c r="J3465" s="11"/>
      <c r="K3465" s="11"/>
      <c r="L3465" s="11"/>
      <c r="M3465" s="11"/>
      <c r="N3465" s="11"/>
      <c r="O3465" s="16"/>
      <c r="P3465" s="15"/>
      <c r="Q3465" s="8"/>
      <c r="R3465" s="11"/>
      <c r="S3465" s="8"/>
      <c r="T3465" s="8"/>
      <c r="U3465" s="8"/>
      <c r="V3465" s="8"/>
      <c r="W3465" s="8"/>
      <c r="X3465" s="8"/>
      <c r="Y3465" s="8"/>
      <c r="Z3465" s="8"/>
    </row>
    <row r="3466" spans="1:26" ht="12.75" customHeight="1" x14ac:dyDescent="0.2">
      <c r="A3466" s="15"/>
      <c r="B3466" s="15"/>
      <c r="C3466" s="15"/>
      <c r="D3466" s="15"/>
      <c r="E3466" s="22"/>
      <c r="F3466" s="11"/>
      <c r="G3466" s="15"/>
      <c r="H3466" s="15"/>
      <c r="I3466" s="25"/>
      <c r="J3466" s="11"/>
      <c r="K3466" s="11"/>
      <c r="L3466" s="11"/>
      <c r="M3466" s="11"/>
      <c r="N3466" s="11"/>
      <c r="O3466" s="16"/>
      <c r="P3466" s="15"/>
      <c r="Q3466" s="8"/>
      <c r="R3466" s="11"/>
      <c r="S3466" s="8"/>
      <c r="T3466" s="8"/>
      <c r="U3466" s="8"/>
      <c r="V3466" s="8"/>
      <c r="W3466" s="8"/>
      <c r="X3466" s="8"/>
      <c r="Y3466" s="8"/>
      <c r="Z3466" s="8"/>
    </row>
    <row r="3467" spans="1:26" ht="12.75" customHeight="1" x14ac:dyDescent="0.2">
      <c r="A3467" s="15"/>
      <c r="B3467" s="15"/>
      <c r="C3467" s="15"/>
      <c r="D3467" s="15"/>
      <c r="E3467" s="22"/>
      <c r="F3467" s="11"/>
      <c r="G3467" s="15"/>
      <c r="H3467" s="15"/>
      <c r="I3467" s="25"/>
      <c r="J3467" s="11"/>
      <c r="K3467" s="11"/>
      <c r="L3467" s="11"/>
      <c r="M3467" s="11"/>
      <c r="N3467" s="11"/>
      <c r="O3467" s="16"/>
      <c r="P3467" s="15"/>
      <c r="Q3467" s="8"/>
      <c r="R3467" s="11"/>
      <c r="S3467" s="8"/>
      <c r="T3467" s="8"/>
      <c r="U3467" s="8"/>
      <c r="V3467" s="8"/>
      <c r="W3467" s="8"/>
      <c r="X3467" s="8"/>
      <c r="Y3467" s="8"/>
      <c r="Z3467" s="8"/>
    </row>
    <row r="3468" spans="1:26" ht="12.75" customHeight="1" x14ac:dyDescent="0.2">
      <c r="A3468" s="15"/>
      <c r="B3468" s="15"/>
      <c r="C3468" s="15"/>
      <c r="D3468" s="15"/>
      <c r="E3468" s="22"/>
      <c r="F3468" s="11"/>
      <c r="G3468" s="15"/>
      <c r="H3468" s="15"/>
      <c r="I3468" s="25"/>
      <c r="J3468" s="11"/>
      <c r="K3468" s="11"/>
      <c r="L3468" s="11"/>
      <c r="M3468" s="11"/>
      <c r="N3468" s="11"/>
      <c r="O3468" s="16"/>
      <c r="P3468" s="15"/>
      <c r="Q3468" s="8"/>
      <c r="R3468" s="11"/>
      <c r="S3468" s="8"/>
      <c r="T3468" s="8"/>
      <c r="U3468" s="8"/>
      <c r="V3468" s="8"/>
      <c r="W3468" s="8"/>
      <c r="X3468" s="8"/>
      <c r="Y3468" s="8"/>
      <c r="Z3468" s="8"/>
    </row>
    <row r="3469" spans="1:26" ht="12.75" customHeight="1" x14ac:dyDescent="0.2">
      <c r="A3469" s="15"/>
      <c r="B3469" s="15"/>
      <c r="C3469" s="15"/>
      <c r="D3469" s="15"/>
      <c r="E3469" s="22"/>
      <c r="F3469" s="11"/>
      <c r="G3469" s="15"/>
      <c r="H3469" s="15"/>
      <c r="I3469" s="25"/>
      <c r="J3469" s="11"/>
      <c r="K3469" s="11"/>
      <c r="L3469" s="11"/>
      <c r="M3469" s="11"/>
      <c r="N3469" s="11"/>
      <c r="O3469" s="16"/>
      <c r="P3469" s="15"/>
      <c r="Q3469" s="8"/>
      <c r="R3469" s="11"/>
      <c r="S3469" s="8"/>
      <c r="T3469" s="8"/>
      <c r="U3469" s="8"/>
      <c r="V3469" s="8"/>
      <c r="W3469" s="8"/>
      <c r="X3469" s="8"/>
      <c r="Y3469" s="8"/>
      <c r="Z3469" s="8"/>
    </row>
    <row r="3470" spans="1:26" ht="12.75" customHeight="1" x14ac:dyDescent="0.2">
      <c r="A3470" s="15"/>
      <c r="B3470" s="15"/>
      <c r="C3470" s="15"/>
      <c r="D3470" s="15"/>
      <c r="E3470" s="22"/>
      <c r="F3470" s="11"/>
      <c r="G3470" s="15"/>
      <c r="H3470" s="15"/>
      <c r="I3470" s="25"/>
      <c r="J3470" s="11"/>
      <c r="K3470" s="11"/>
      <c r="L3470" s="11"/>
      <c r="M3470" s="11"/>
      <c r="N3470" s="11"/>
      <c r="O3470" s="16"/>
      <c r="P3470" s="15"/>
      <c r="Q3470" s="8"/>
      <c r="R3470" s="11"/>
      <c r="S3470" s="8"/>
      <c r="T3470" s="8"/>
      <c r="U3470" s="8"/>
      <c r="V3470" s="8"/>
      <c r="W3470" s="8"/>
      <c r="X3470" s="8"/>
      <c r="Y3470" s="8"/>
      <c r="Z3470" s="8"/>
    </row>
    <row r="3471" spans="1:26" ht="12.75" customHeight="1" x14ac:dyDescent="0.2">
      <c r="A3471" s="15"/>
      <c r="B3471" s="15"/>
      <c r="C3471" s="15"/>
      <c r="D3471" s="15"/>
      <c r="E3471" s="22"/>
      <c r="F3471" s="11"/>
      <c r="G3471" s="15"/>
      <c r="H3471" s="15"/>
      <c r="I3471" s="25"/>
      <c r="J3471" s="11"/>
      <c r="K3471" s="11"/>
      <c r="L3471" s="11"/>
      <c r="M3471" s="11"/>
      <c r="N3471" s="11"/>
      <c r="O3471" s="16"/>
      <c r="P3471" s="15"/>
      <c r="Q3471" s="8"/>
      <c r="R3471" s="11"/>
      <c r="S3471" s="8"/>
      <c r="T3471" s="8"/>
      <c r="U3471" s="8"/>
      <c r="V3471" s="8"/>
      <c r="W3471" s="8"/>
      <c r="X3471" s="8"/>
      <c r="Y3471" s="8"/>
      <c r="Z3471" s="8"/>
    </row>
    <row r="3472" spans="1:26" ht="12.75" customHeight="1" x14ac:dyDescent="0.2">
      <c r="A3472" s="15"/>
      <c r="B3472" s="15"/>
      <c r="C3472" s="15"/>
      <c r="D3472" s="15"/>
      <c r="E3472" s="22"/>
      <c r="F3472" s="11"/>
      <c r="G3472" s="15"/>
      <c r="H3472" s="15"/>
      <c r="I3472" s="25"/>
      <c r="J3472" s="11"/>
      <c r="K3472" s="11"/>
      <c r="L3472" s="11"/>
      <c r="M3472" s="11"/>
      <c r="N3472" s="11"/>
      <c r="O3472" s="16"/>
      <c r="P3472" s="15"/>
      <c r="Q3472" s="8"/>
      <c r="R3472" s="11"/>
      <c r="S3472" s="8"/>
      <c r="T3472" s="8"/>
      <c r="U3472" s="8"/>
      <c r="V3472" s="8"/>
      <c r="W3472" s="8"/>
      <c r="X3472" s="8"/>
      <c r="Y3472" s="8"/>
      <c r="Z3472" s="8"/>
    </row>
    <row r="3473" spans="1:26" ht="12.75" customHeight="1" x14ac:dyDescent="0.2">
      <c r="A3473" s="15"/>
      <c r="B3473" s="15"/>
      <c r="C3473" s="15"/>
      <c r="D3473" s="15"/>
      <c r="E3473" s="22"/>
      <c r="F3473" s="11"/>
      <c r="G3473" s="15"/>
      <c r="H3473" s="15"/>
      <c r="I3473" s="25"/>
      <c r="J3473" s="11"/>
      <c r="K3473" s="11"/>
      <c r="L3473" s="11"/>
      <c r="M3473" s="11"/>
      <c r="N3473" s="11"/>
      <c r="O3473" s="16"/>
      <c r="P3473" s="15"/>
      <c r="Q3473" s="8"/>
      <c r="R3473" s="11"/>
      <c r="S3473" s="8"/>
      <c r="T3473" s="8"/>
      <c r="U3473" s="8"/>
      <c r="V3473" s="8"/>
      <c r="W3473" s="8"/>
      <c r="X3473" s="8"/>
      <c r="Y3473" s="8"/>
      <c r="Z3473" s="8"/>
    </row>
    <row r="3474" spans="1:26" ht="12.75" customHeight="1" x14ac:dyDescent="0.2">
      <c r="A3474" s="15"/>
      <c r="B3474" s="15"/>
      <c r="C3474" s="15"/>
      <c r="D3474" s="15"/>
      <c r="E3474" s="22"/>
      <c r="F3474" s="11"/>
      <c r="G3474" s="15"/>
      <c r="H3474" s="15"/>
      <c r="I3474" s="25"/>
      <c r="J3474" s="11"/>
      <c r="K3474" s="11"/>
      <c r="L3474" s="11"/>
      <c r="M3474" s="11"/>
      <c r="N3474" s="11"/>
      <c r="O3474" s="16"/>
      <c r="P3474" s="15"/>
      <c r="Q3474" s="8"/>
      <c r="R3474" s="11"/>
      <c r="S3474" s="8"/>
      <c r="T3474" s="8"/>
      <c r="U3474" s="8"/>
      <c r="V3474" s="8"/>
      <c r="W3474" s="8"/>
      <c r="X3474" s="8"/>
      <c r="Y3474" s="8"/>
      <c r="Z3474" s="8"/>
    </row>
    <row r="3475" spans="1:26" ht="12.75" customHeight="1" x14ac:dyDescent="0.2">
      <c r="A3475" s="15"/>
      <c r="B3475" s="15"/>
      <c r="C3475" s="15"/>
      <c r="D3475" s="15"/>
      <c r="E3475" s="22"/>
      <c r="F3475" s="11"/>
      <c r="G3475" s="15"/>
      <c r="H3475" s="15"/>
      <c r="I3475" s="25"/>
      <c r="J3475" s="11"/>
      <c r="K3475" s="11"/>
      <c r="L3475" s="11"/>
      <c r="M3475" s="11"/>
      <c r="N3475" s="11"/>
      <c r="O3475" s="16"/>
      <c r="P3475" s="15"/>
      <c r="Q3475" s="8"/>
      <c r="R3475" s="11"/>
      <c r="S3475" s="8"/>
      <c r="T3475" s="8"/>
      <c r="U3475" s="8"/>
      <c r="V3475" s="8"/>
      <c r="W3475" s="8"/>
      <c r="X3475" s="8"/>
      <c r="Y3475" s="8"/>
      <c r="Z3475" s="8"/>
    </row>
    <row r="3476" spans="1:26" ht="12.75" customHeight="1" x14ac:dyDescent="0.2">
      <c r="A3476" s="15"/>
      <c r="B3476" s="15"/>
      <c r="C3476" s="15"/>
      <c r="D3476" s="15"/>
      <c r="E3476" s="22"/>
      <c r="F3476" s="11"/>
      <c r="G3476" s="15"/>
      <c r="H3476" s="15"/>
      <c r="I3476" s="25"/>
      <c r="J3476" s="11"/>
      <c r="K3476" s="11"/>
      <c r="L3476" s="11"/>
      <c r="M3476" s="11"/>
      <c r="N3476" s="11"/>
      <c r="O3476" s="16"/>
      <c r="P3476" s="15"/>
      <c r="Q3476" s="8"/>
      <c r="R3476" s="11"/>
      <c r="S3476" s="8"/>
      <c r="T3476" s="8"/>
      <c r="U3476" s="8"/>
      <c r="V3476" s="8"/>
      <c r="W3476" s="8"/>
      <c r="X3476" s="8"/>
      <c r="Y3476" s="8"/>
      <c r="Z3476" s="8"/>
    </row>
    <row r="3477" spans="1:26" ht="12.75" customHeight="1" x14ac:dyDescent="0.2">
      <c r="A3477" s="15"/>
      <c r="B3477" s="15"/>
      <c r="C3477" s="15"/>
      <c r="D3477" s="15"/>
      <c r="E3477" s="22"/>
      <c r="F3477" s="11"/>
      <c r="G3477" s="15"/>
      <c r="H3477" s="15"/>
      <c r="I3477" s="25"/>
      <c r="J3477" s="11"/>
      <c r="K3477" s="11"/>
      <c r="L3477" s="11"/>
      <c r="M3477" s="11"/>
      <c r="N3477" s="11"/>
      <c r="O3477" s="16"/>
      <c r="P3477" s="15"/>
      <c r="Q3477" s="8"/>
      <c r="R3477" s="11"/>
      <c r="S3477" s="8"/>
      <c r="T3477" s="8"/>
      <c r="U3477" s="8"/>
      <c r="V3477" s="8"/>
      <c r="W3477" s="8"/>
      <c r="X3477" s="8"/>
      <c r="Y3477" s="8"/>
      <c r="Z3477" s="8"/>
    </row>
    <row r="3478" spans="1:26" ht="12.75" customHeight="1" x14ac:dyDescent="0.2">
      <c r="A3478" s="15"/>
      <c r="B3478" s="15"/>
      <c r="C3478" s="15"/>
      <c r="D3478" s="15"/>
      <c r="E3478" s="22"/>
      <c r="F3478" s="11"/>
      <c r="G3478" s="15"/>
      <c r="H3478" s="15"/>
      <c r="I3478" s="25"/>
      <c r="J3478" s="11"/>
      <c r="K3478" s="11"/>
      <c r="L3478" s="11"/>
      <c r="M3478" s="11"/>
      <c r="N3478" s="11"/>
      <c r="O3478" s="16"/>
      <c r="P3478" s="15"/>
      <c r="Q3478" s="8"/>
      <c r="R3478" s="11"/>
      <c r="S3478" s="8"/>
      <c r="T3478" s="8"/>
      <c r="U3478" s="8"/>
      <c r="V3478" s="8"/>
      <c r="W3478" s="8"/>
      <c r="X3478" s="8"/>
      <c r="Y3478" s="8"/>
      <c r="Z3478" s="8"/>
    </row>
    <row r="3479" spans="1:26" ht="12.75" customHeight="1" x14ac:dyDescent="0.2">
      <c r="A3479" s="15"/>
      <c r="B3479" s="15"/>
      <c r="C3479" s="15"/>
      <c r="D3479" s="15"/>
      <c r="E3479" s="22"/>
      <c r="F3479" s="11"/>
      <c r="G3479" s="15"/>
      <c r="H3479" s="15"/>
      <c r="I3479" s="25"/>
      <c r="J3479" s="11"/>
      <c r="K3479" s="11"/>
      <c r="L3479" s="11"/>
      <c r="M3479" s="11"/>
      <c r="N3479" s="11"/>
      <c r="O3479" s="16"/>
      <c r="P3479" s="15"/>
      <c r="Q3479" s="8"/>
      <c r="R3479" s="11"/>
      <c r="S3479" s="8"/>
      <c r="T3479" s="8"/>
      <c r="U3479" s="8"/>
      <c r="V3479" s="8"/>
      <c r="W3479" s="8"/>
      <c r="X3479" s="8"/>
      <c r="Y3479" s="8"/>
      <c r="Z3479" s="8"/>
    </row>
    <row r="3480" spans="1:26" ht="12.75" customHeight="1" x14ac:dyDescent="0.2">
      <c r="A3480" s="15"/>
      <c r="B3480" s="15"/>
      <c r="C3480" s="15"/>
      <c r="D3480" s="15"/>
      <c r="E3480" s="22"/>
      <c r="F3480" s="11"/>
      <c r="G3480" s="15"/>
      <c r="H3480" s="15"/>
      <c r="I3480" s="25"/>
      <c r="J3480" s="11"/>
      <c r="K3480" s="11"/>
      <c r="L3480" s="11"/>
      <c r="M3480" s="11"/>
      <c r="N3480" s="11"/>
      <c r="O3480" s="16"/>
      <c r="P3480" s="15"/>
      <c r="Q3480" s="8"/>
      <c r="R3480" s="11"/>
      <c r="S3480" s="8"/>
      <c r="T3480" s="8"/>
      <c r="U3480" s="8"/>
      <c r="V3480" s="8"/>
      <c r="W3480" s="8"/>
      <c r="X3480" s="8"/>
      <c r="Y3480" s="8"/>
      <c r="Z3480" s="8"/>
    </row>
    <row r="3481" spans="1:26" ht="12.75" customHeight="1" x14ac:dyDescent="0.2">
      <c r="A3481" s="15"/>
      <c r="B3481" s="15"/>
      <c r="C3481" s="15"/>
      <c r="D3481" s="15"/>
      <c r="E3481" s="22"/>
      <c r="F3481" s="11"/>
      <c r="G3481" s="15"/>
      <c r="H3481" s="15"/>
      <c r="I3481" s="25"/>
      <c r="J3481" s="11"/>
      <c r="K3481" s="11"/>
      <c r="L3481" s="11"/>
      <c r="M3481" s="11"/>
      <c r="N3481" s="11"/>
      <c r="O3481" s="16"/>
      <c r="P3481" s="15"/>
      <c r="Q3481" s="8"/>
      <c r="R3481" s="11"/>
      <c r="S3481" s="8"/>
      <c r="T3481" s="8"/>
      <c r="U3481" s="8"/>
      <c r="V3481" s="8"/>
      <c r="W3481" s="8"/>
      <c r="X3481" s="8"/>
      <c r="Y3481" s="8"/>
      <c r="Z3481" s="8"/>
    </row>
    <row r="3482" spans="1:26" ht="12.75" customHeight="1" x14ac:dyDescent="0.2">
      <c r="A3482" s="15"/>
      <c r="B3482" s="15"/>
      <c r="C3482" s="15"/>
      <c r="D3482" s="15"/>
      <c r="E3482" s="22"/>
      <c r="F3482" s="11"/>
      <c r="G3482" s="15"/>
      <c r="H3482" s="15"/>
      <c r="I3482" s="25"/>
      <c r="J3482" s="11"/>
      <c r="K3482" s="11"/>
      <c r="L3482" s="11"/>
      <c r="M3482" s="11"/>
      <c r="N3482" s="11"/>
      <c r="O3482" s="16"/>
      <c r="P3482" s="15"/>
      <c r="Q3482" s="8"/>
      <c r="R3482" s="11"/>
      <c r="S3482" s="8"/>
      <c r="T3482" s="8"/>
      <c r="U3482" s="8"/>
      <c r="V3482" s="8"/>
      <c r="W3482" s="8"/>
      <c r="X3482" s="8"/>
      <c r="Y3482" s="8"/>
      <c r="Z3482" s="8"/>
    </row>
    <row r="3483" spans="1:26" ht="12.75" customHeight="1" x14ac:dyDescent="0.2">
      <c r="A3483" s="15"/>
      <c r="B3483" s="15"/>
      <c r="C3483" s="15"/>
      <c r="D3483" s="15"/>
      <c r="E3483" s="22"/>
      <c r="F3483" s="11"/>
      <c r="G3483" s="15"/>
      <c r="H3483" s="15"/>
      <c r="I3483" s="25"/>
      <c r="J3483" s="11"/>
      <c r="K3483" s="11"/>
      <c r="L3483" s="11"/>
      <c r="M3483" s="11"/>
      <c r="N3483" s="11"/>
      <c r="O3483" s="16"/>
      <c r="P3483" s="15"/>
      <c r="Q3483" s="8"/>
      <c r="R3483" s="11"/>
      <c r="S3483" s="8"/>
      <c r="T3483" s="8"/>
      <c r="U3483" s="8"/>
      <c r="V3483" s="8"/>
      <c r="W3483" s="8"/>
      <c r="X3483" s="8"/>
      <c r="Y3483" s="8"/>
      <c r="Z3483" s="8"/>
    </row>
    <row r="3484" spans="1:26" ht="12.75" customHeight="1" x14ac:dyDescent="0.2">
      <c r="A3484" s="15"/>
      <c r="B3484" s="15"/>
      <c r="C3484" s="15"/>
      <c r="D3484" s="15"/>
      <c r="E3484" s="22"/>
      <c r="F3484" s="11"/>
      <c r="G3484" s="15"/>
      <c r="H3484" s="15"/>
      <c r="I3484" s="25"/>
      <c r="J3484" s="11"/>
      <c r="K3484" s="11"/>
      <c r="L3484" s="11"/>
      <c r="M3484" s="11"/>
      <c r="N3484" s="11"/>
      <c r="O3484" s="16"/>
      <c r="P3484" s="15"/>
      <c r="Q3484" s="8"/>
      <c r="R3484" s="11"/>
      <c r="S3484" s="8"/>
      <c r="T3484" s="8"/>
      <c r="U3484" s="8"/>
      <c r="V3484" s="8"/>
      <c r="W3484" s="8"/>
      <c r="X3484" s="8"/>
      <c r="Y3484" s="8"/>
      <c r="Z3484" s="8"/>
    </row>
    <row r="3485" spans="1:26" ht="12.75" customHeight="1" x14ac:dyDescent="0.2">
      <c r="A3485" s="15"/>
      <c r="B3485" s="15"/>
      <c r="C3485" s="15"/>
      <c r="D3485" s="15"/>
      <c r="E3485" s="22"/>
      <c r="F3485" s="11"/>
      <c r="G3485" s="15"/>
      <c r="H3485" s="15"/>
      <c r="I3485" s="25"/>
      <c r="J3485" s="11"/>
      <c r="K3485" s="11"/>
      <c r="L3485" s="11"/>
      <c r="M3485" s="11"/>
      <c r="N3485" s="11"/>
      <c r="O3485" s="16"/>
      <c r="P3485" s="15"/>
      <c r="Q3485" s="8"/>
      <c r="R3485" s="11"/>
      <c r="S3485" s="8"/>
      <c r="T3485" s="8"/>
      <c r="U3485" s="8"/>
      <c r="V3485" s="8"/>
      <c r="W3485" s="8"/>
      <c r="X3485" s="8"/>
      <c r="Y3485" s="8"/>
      <c r="Z3485" s="8"/>
    </row>
    <row r="3486" spans="1:26" ht="12.75" customHeight="1" x14ac:dyDescent="0.2">
      <c r="A3486" s="15"/>
      <c r="B3486" s="15"/>
      <c r="C3486" s="15"/>
      <c r="D3486" s="15"/>
      <c r="E3486" s="22"/>
      <c r="F3486" s="11"/>
      <c r="G3486" s="15"/>
      <c r="H3486" s="15"/>
      <c r="I3486" s="25"/>
      <c r="J3486" s="11"/>
      <c r="K3486" s="11"/>
      <c r="L3486" s="11"/>
      <c r="M3486" s="11"/>
      <c r="N3486" s="11"/>
      <c r="O3486" s="16"/>
      <c r="P3486" s="15"/>
      <c r="Q3486" s="8"/>
      <c r="R3486" s="11"/>
      <c r="S3486" s="8"/>
      <c r="T3486" s="8"/>
      <c r="U3486" s="8"/>
      <c r="V3486" s="8"/>
      <c r="W3486" s="8"/>
      <c r="X3486" s="8"/>
      <c r="Y3486" s="8"/>
      <c r="Z3486" s="8"/>
    </row>
    <row r="3487" spans="1:26" ht="12.75" customHeight="1" x14ac:dyDescent="0.2">
      <c r="A3487" s="15"/>
      <c r="B3487" s="15"/>
      <c r="C3487" s="15"/>
      <c r="D3487" s="15"/>
      <c r="E3487" s="22"/>
      <c r="F3487" s="11"/>
      <c r="G3487" s="15"/>
      <c r="H3487" s="15"/>
      <c r="I3487" s="25"/>
      <c r="J3487" s="11"/>
      <c r="K3487" s="11"/>
      <c r="L3487" s="11"/>
      <c r="M3487" s="11"/>
      <c r="N3487" s="11"/>
      <c r="O3487" s="16"/>
      <c r="P3487" s="15"/>
      <c r="Q3487" s="8"/>
      <c r="R3487" s="11"/>
      <c r="S3487" s="8"/>
      <c r="T3487" s="8"/>
      <c r="U3487" s="8"/>
      <c r="V3487" s="8"/>
      <c r="W3487" s="8"/>
      <c r="X3487" s="8"/>
      <c r="Y3487" s="8"/>
      <c r="Z3487" s="8"/>
    </row>
    <row r="3488" spans="1:26" ht="12.75" customHeight="1" x14ac:dyDescent="0.2">
      <c r="A3488" s="15"/>
      <c r="B3488" s="15"/>
      <c r="C3488" s="15"/>
      <c r="D3488" s="15"/>
      <c r="E3488" s="22"/>
      <c r="F3488" s="11"/>
      <c r="G3488" s="15"/>
      <c r="H3488" s="15"/>
      <c r="I3488" s="25"/>
      <c r="J3488" s="11"/>
      <c r="K3488" s="11"/>
      <c r="L3488" s="11"/>
      <c r="M3488" s="11"/>
      <c r="N3488" s="11"/>
      <c r="O3488" s="16"/>
      <c r="P3488" s="15"/>
      <c r="Q3488" s="8"/>
      <c r="R3488" s="11"/>
      <c r="S3488" s="8"/>
      <c r="T3488" s="8"/>
      <c r="U3488" s="8"/>
      <c r="V3488" s="8"/>
      <c r="W3488" s="8"/>
      <c r="X3488" s="8"/>
      <c r="Y3488" s="8"/>
      <c r="Z3488" s="8"/>
    </row>
    <row r="3489" spans="1:26" ht="12.75" customHeight="1" x14ac:dyDescent="0.2">
      <c r="A3489" s="15"/>
      <c r="B3489" s="15"/>
      <c r="C3489" s="15"/>
      <c r="D3489" s="15"/>
      <c r="E3489" s="22"/>
      <c r="F3489" s="11"/>
      <c r="G3489" s="15"/>
      <c r="H3489" s="15"/>
      <c r="I3489" s="25"/>
      <c r="J3489" s="11"/>
      <c r="K3489" s="11"/>
      <c r="L3489" s="11"/>
      <c r="M3489" s="11"/>
      <c r="N3489" s="11"/>
      <c r="O3489" s="16"/>
      <c r="P3489" s="15"/>
      <c r="Q3489" s="8"/>
      <c r="R3489" s="11"/>
      <c r="S3489" s="8"/>
      <c r="T3489" s="8"/>
      <c r="U3489" s="8"/>
      <c r="V3489" s="8"/>
      <c r="W3489" s="8"/>
      <c r="X3489" s="8"/>
      <c r="Y3489" s="8"/>
      <c r="Z3489" s="8"/>
    </row>
    <row r="3490" spans="1:26" ht="12.75" customHeight="1" x14ac:dyDescent="0.2">
      <c r="A3490" s="15"/>
      <c r="B3490" s="15"/>
      <c r="C3490" s="15"/>
      <c r="D3490" s="15"/>
      <c r="E3490" s="22"/>
      <c r="F3490" s="11"/>
      <c r="G3490" s="15"/>
      <c r="H3490" s="15"/>
      <c r="I3490" s="25"/>
      <c r="J3490" s="11"/>
      <c r="K3490" s="11"/>
      <c r="L3490" s="11"/>
      <c r="M3490" s="11"/>
      <c r="N3490" s="11"/>
      <c r="O3490" s="16"/>
      <c r="P3490" s="15"/>
      <c r="Q3490" s="8"/>
      <c r="R3490" s="11"/>
      <c r="S3490" s="8"/>
      <c r="T3490" s="8"/>
      <c r="U3490" s="8"/>
      <c r="V3490" s="8"/>
      <c r="W3490" s="8"/>
      <c r="X3490" s="8"/>
      <c r="Y3490" s="8"/>
      <c r="Z3490" s="8"/>
    </row>
    <row r="3491" spans="1:26" ht="12.75" customHeight="1" x14ac:dyDescent="0.2">
      <c r="A3491" s="15"/>
      <c r="B3491" s="15"/>
      <c r="C3491" s="15"/>
      <c r="D3491" s="15"/>
      <c r="E3491" s="22"/>
      <c r="F3491" s="11"/>
      <c r="G3491" s="15"/>
      <c r="H3491" s="15"/>
      <c r="I3491" s="25"/>
      <c r="J3491" s="11"/>
      <c r="K3491" s="11"/>
      <c r="L3491" s="11"/>
      <c r="M3491" s="11"/>
      <c r="N3491" s="11"/>
      <c r="O3491" s="16"/>
      <c r="P3491" s="15"/>
      <c r="Q3491" s="8"/>
      <c r="R3491" s="11"/>
      <c r="S3491" s="8"/>
      <c r="T3491" s="8"/>
      <c r="U3491" s="8"/>
      <c r="V3491" s="8"/>
      <c r="W3491" s="8"/>
      <c r="X3491" s="8"/>
      <c r="Y3491" s="8"/>
      <c r="Z3491" s="8"/>
    </row>
    <row r="3492" spans="1:26" ht="12.75" customHeight="1" x14ac:dyDescent="0.2">
      <c r="A3492" s="15"/>
      <c r="B3492" s="15"/>
      <c r="C3492" s="15"/>
      <c r="D3492" s="15"/>
      <c r="E3492" s="22"/>
      <c r="F3492" s="11"/>
      <c r="G3492" s="15"/>
      <c r="H3492" s="15"/>
      <c r="I3492" s="25"/>
      <c r="J3492" s="11"/>
      <c r="K3492" s="11"/>
      <c r="L3492" s="11"/>
      <c r="M3492" s="11"/>
      <c r="N3492" s="11"/>
      <c r="O3492" s="16"/>
      <c r="P3492" s="15"/>
      <c r="Q3492" s="8"/>
      <c r="R3492" s="11"/>
      <c r="S3492" s="8"/>
      <c r="T3492" s="8"/>
      <c r="U3492" s="8"/>
      <c r="V3492" s="8"/>
      <c r="W3492" s="8"/>
      <c r="X3492" s="8"/>
      <c r="Y3492" s="8"/>
      <c r="Z3492" s="8"/>
    </row>
    <row r="3493" spans="1:26" ht="12.75" customHeight="1" x14ac:dyDescent="0.2">
      <c r="A3493" s="15"/>
      <c r="B3493" s="15"/>
      <c r="C3493" s="15"/>
      <c r="D3493" s="15"/>
      <c r="E3493" s="22"/>
      <c r="F3493" s="11"/>
      <c r="G3493" s="15"/>
      <c r="H3493" s="15"/>
      <c r="I3493" s="25"/>
      <c r="J3493" s="11"/>
      <c r="K3493" s="11"/>
      <c r="L3493" s="11"/>
      <c r="M3493" s="11"/>
      <c r="N3493" s="11"/>
      <c r="O3493" s="16"/>
      <c r="P3493" s="15"/>
      <c r="Q3493" s="8"/>
      <c r="R3493" s="11"/>
      <c r="S3493" s="8"/>
      <c r="T3493" s="8"/>
      <c r="U3493" s="8"/>
      <c r="V3493" s="8"/>
      <c r="W3493" s="8"/>
      <c r="X3493" s="8"/>
      <c r="Y3493" s="8"/>
      <c r="Z3493" s="8"/>
    </row>
    <row r="3494" spans="1:26" ht="12.75" customHeight="1" x14ac:dyDescent="0.2">
      <c r="A3494" s="15"/>
      <c r="B3494" s="15"/>
      <c r="C3494" s="15"/>
      <c r="D3494" s="15"/>
      <c r="E3494" s="22"/>
      <c r="F3494" s="11"/>
      <c r="G3494" s="15"/>
      <c r="H3494" s="15"/>
      <c r="I3494" s="25"/>
      <c r="J3494" s="11"/>
      <c r="K3494" s="11"/>
      <c r="L3494" s="11"/>
      <c r="M3494" s="11"/>
      <c r="N3494" s="11"/>
      <c r="O3494" s="16"/>
      <c r="P3494" s="15"/>
      <c r="Q3494" s="8"/>
      <c r="R3494" s="11"/>
      <c r="S3494" s="8"/>
      <c r="T3494" s="8"/>
      <c r="U3494" s="8"/>
      <c r="V3494" s="8"/>
      <c r="W3494" s="8"/>
      <c r="X3494" s="8"/>
      <c r="Y3494" s="8"/>
      <c r="Z3494" s="8"/>
    </row>
    <row r="3495" spans="1:26" ht="12.75" customHeight="1" x14ac:dyDescent="0.2">
      <c r="A3495" s="15"/>
      <c r="B3495" s="15"/>
      <c r="C3495" s="15"/>
      <c r="D3495" s="15"/>
      <c r="E3495" s="22"/>
      <c r="F3495" s="11"/>
      <c r="G3495" s="15"/>
      <c r="H3495" s="15"/>
      <c r="I3495" s="25"/>
      <c r="J3495" s="11"/>
      <c r="K3495" s="11"/>
      <c r="L3495" s="11"/>
      <c r="M3495" s="11"/>
      <c r="N3495" s="11"/>
      <c r="O3495" s="16"/>
      <c r="P3495" s="15"/>
      <c r="Q3495" s="8"/>
      <c r="R3495" s="11"/>
      <c r="S3495" s="8"/>
      <c r="T3495" s="8"/>
      <c r="U3495" s="8"/>
      <c r="V3495" s="8"/>
      <c r="W3495" s="8"/>
      <c r="X3495" s="8"/>
      <c r="Y3495" s="8"/>
      <c r="Z3495" s="8"/>
    </row>
    <row r="3496" spans="1:26" ht="12.75" customHeight="1" x14ac:dyDescent="0.2">
      <c r="A3496" s="15"/>
      <c r="B3496" s="15"/>
      <c r="C3496" s="15"/>
      <c r="D3496" s="15"/>
      <c r="E3496" s="22"/>
      <c r="F3496" s="11"/>
      <c r="G3496" s="15"/>
      <c r="H3496" s="15"/>
      <c r="I3496" s="25"/>
      <c r="J3496" s="11"/>
      <c r="K3496" s="11"/>
      <c r="L3496" s="11"/>
      <c r="M3496" s="11"/>
      <c r="N3496" s="11"/>
      <c r="O3496" s="16"/>
      <c r="P3496" s="15"/>
      <c r="Q3496" s="8"/>
      <c r="R3496" s="11"/>
      <c r="S3496" s="8"/>
      <c r="T3496" s="8"/>
      <c r="U3496" s="8"/>
      <c r="V3496" s="8"/>
      <c r="W3496" s="8"/>
      <c r="X3496" s="8"/>
      <c r="Y3496" s="8"/>
      <c r="Z3496" s="8"/>
    </row>
    <row r="3497" spans="1:26" ht="12.75" customHeight="1" x14ac:dyDescent="0.2">
      <c r="A3497" s="15"/>
      <c r="B3497" s="15"/>
      <c r="C3497" s="15"/>
      <c r="D3497" s="15"/>
      <c r="E3497" s="22"/>
      <c r="F3497" s="11"/>
      <c r="G3497" s="15"/>
      <c r="H3497" s="15"/>
      <c r="I3497" s="25"/>
      <c r="J3497" s="11"/>
      <c r="K3497" s="11"/>
      <c r="L3497" s="11"/>
      <c r="M3497" s="11"/>
      <c r="N3497" s="11"/>
      <c r="O3497" s="16"/>
      <c r="P3497" s="15"/>
      <c r="Q3497" s="8"/>
      <c r="R3497" s="11"/>
      <c r="S3497" s="8"/>
      <c r="T3497" s="8"/>
      <c r="U3497" s="8"/>
      <c r="V3497" s="8"/>
      <c r="W3497" s="8"/>
      <c r="X3497" s="8"/>
      <c r="Y3497" s="8"/>
      <c r="Z3497" s="8"/>
    </row>
    <row r="3498" spans="1:26" ht="12.75" customHeight="1" x14ac:dyDescent="0.2">
      <c r="A3498" s="15"/>
      <c r="B3498" s="15"/>
      <c r="C3498" s="15"/>
      <c r="D3498" s="15"/>
      <c r="E3498" s="22"/>
      <c r="F3498" s="11"/>
      <c r="G3498" s="15"/>
      <c r="H3498" s="15"/>
      <c r="I3498" s="25"/>
      <c r="J3498" s="11"/>
      <c r="K3498" s="11"/>
      <c r="L3498" s="11"/>
      <c r="M3498" s="11"/>
      <c r="N3498" s="11"/>
      <c r="O3498" s="16"/>
      <c r="P3498" s="15"/>
      <c r="Q3498" s="8"/>
      <c r="R3498" s="11"/>
      <c r="S3498" s="8"/>
      <c r="T3498" s="8"/>
      <c r="U3498" s="8"/>
      <c r="V3498" s="8"/>
      <c r="W3498" s="8"/>
      <c r="X3498" s="8"/>
      <c r="Y3498" s="8"/>
      <c r="Z3498" s="8"/>
    </row>
    <row r="3499" spans="1:26" ht="12.75" customHeight="1" x14ac:dyDescent="0.2">
      <c r="A3499" s="15"/>
      <c r="B3499" s="15"/>
      <c r="C3499" s="15"/>
      <c r="D3499" s="15"/>
      <c r="E3499" s="22"/>
      <c r="F3499" s="11"/>
      <c r="G3499" s="15"/>
      <c r="H3499" s="15"/>
      <c r="I3499" s="25"/>
      <c r="J3499" s="11"/>
      <c r="K3499" s="11"/>
      <c r="L3499" s="11"/>
      <c r="M3499" s="11"/>
      <c r="N3499" s="11"/>
      <c r="O3499" s="16"/>
      <c r="P3499" s="15"/>
      <c r="Q3499" s="8"/>
      <c r="R3499" s="11"/>
      <c r="S3499" s="8"/>
      <c r="T3499" s="8"/>
      <c r="U3499" s="8"/>
      <c r="V3499" s="8"/>
      <c r="W3499" s="8"/>
      <c r="X3499" s="8"/>
      <c r="Y3499" s="8"/>
      <c r="Z3499" s="8"/>
    </row>
    <row r="3500" spans="1:26" ht="12.75" customHeight="1" x14ac:dyDescent="0.2">
      <c r="A3500" s="15"/>
      <c r="B3500" s="15"/>
      <c r="C3500" s="15"/>
      <c r="D3500" s="15"/>
      <c r="E3500" s="22"/>
      <c r="F3500" s="11"/>
      <c r="G3500" s="15"/>
      <c r="H3500" s="15"/>
      <c r="I3500" s="25"/>
      <c r="J3500" s="11"/>
      <c r="K3500" s="11"/>
      <c r="L3500" s="11"/>
      <c r="M3500" s="11"/>
      <c r="N3500" s="11"/>
      <c r="O3500" s="16"/>
      <c r="P3500" s="15"/>
      <c r="Q3500" s="8"/>
      <c r="R3500" s="11"/>
      <c r="S3500" s="8"/>
      <c r="T3500" s="8"/>
      <c r="U3500" s="8"/>
      <c r="V3500" s="8"/>
      <c r="W3500" s="8"/>
      <c r="X3500" s="8"/>
      <c r="Y3500" s="8"/>
      <c r="Z3500" s="8"/>
    </row>
    <row r="3501" spans="1:26" ht="12.75" customHeight="1" x14ac:dyDescent="0.2">
      <c r="A3501" s="15"/>
      <c r="B3501" s="15"/>
      <c r="C3501" s="15"/>
      <c r="D3501" s="15"/>
      <c r="E3501" s="22"/>
      <c r="F3501" s="11"/>
      <c r="G3501" s="15"/>
      <c r="H3501" s="15"/>
      <c r="I3501" s="25"/>
      <c r="J3501" s="11"/>
      <c r="K3501" s="11"/>
      <c r="L3501" s="11"/>
      <c r="M3501" s="11"/>
      <c r="N3501" s="11"/>
      <c r="O3501" s="16"/>
      <c r="P3501" s="15"/>
      <c r="Q3501" s="8"/>
      <c r="R3501" s="11"/>
      <c r="S3501" s="8"/>
      <c r="T3501" s="8"/>
      <c r="U3501" s="8"/>
      <c r="V3501" s="8"/>
      <c r="W3501" s="8"/>
      <c r="X3501" s="8"/>
      <c r="Y3501" s="8"/>
      <c r="Z3501" s="8"/>
    </row>
    <row r="3502" spans="1:26" ht="12.75" customHeight="1" x14ac:dyDescent="0.2">
      <c r="A3502" s="15"/>
      <c r="B3502" s="15"/>
      <c r="C3502" s="15"/>
      <c r="D3502" s="15"/>
      <c r="E3502" s="22"/>
      <c r="F3502" s="11"/>
      <c r="G3502" s="15"/>
      <c r="H3502" s="15"/>
      <c r="I3502" s="25"/>
      <c r="J3502" s="11"/>
      <c r="K3502" s="11"/>
      <c r="L3502" s="11"/>
      <c r="M3502" s="11"/>
      <c r="N3502" s="11"/>
      <c r="O3502" s="16"/>
      <c r="P3502" s="15"/>
      <c r="Q3502" s="8"/>
      <c r="R3502" s="11"/>
      <c r="S3502" s="8"/>
      <c r="T3502" s="8"/>
      <c r="U3502" s="8"/>
      <c r="V3502" s="8"/>
      <c r="W3502" s="8"/>
      <c r="X3502" s="8"/>
      <c r="Y3502" s="8"/>
      <c r="Z3502" s="8"/>
    </row>
    <row r="3503" spans="1:26" ht="12.75" customHeight="1" x14ac:dyDescent="0.2">
      <c r="A3503" s="15"/>
      <c r="B3503" s="15"/>
      <c r="C3503" s="15"/>
      <c r="D3503" s="15"/>
      <c r="E3503" s="22"/>
      <c r="F3503" s="11"/>
      <c r="G3503" s="15"/>
      <c r="H3503" s="15"/>
      <c r="I3503" s="25"/>
      <c r="J3503" s="11"/>
      <c r="K3503" s="11"/>
      <c r="L3503" s="11"/>
      <c r="M3503" s="11"/>
      <c r="N3503" s="11"/>
      <c r="O3503" s="16"/>
      <c r="P3503" s="15"/>
      <c r="Q3503" s="8"/>
      <c r="R3503" s="11"/>
      <c r="S3503" s="8"/>
      <c r="T3503" s="8"/>
      <c r="U3503" s="8"/>
      <c r="V3503" s="8"/>
      <c r="W3503" s="8"/>
      <c r="X3503" s="8"/>
      <c r="Y3503" s="8"/>
      <c r="Z3503" s="8"/>
    </row>
    <row r="3504" spans="1:26" ht="12.75" customHeight="1" x14ac:dyDescent="0.2">
      <c r="A3504" s="15"/>
      <c r="B3504" s="15"/>
      <c r="C3504" s="15"/>
      <c r="D3504" s="15"/>
      <c r="E3504" s="22"/>
      <c r="F3504" s="11"/>
      <c r="G3504" s="15"/>
      <c r="H3504" s="15"/>
      <c r="I3504" s="25"/>
      <c r="J3504" s="11"/>
      <c r="K3504" s="11"/>
      <c r="L3504" s="11"/>
      <c r="M3504" s="11"/>
      <c r="N3504" s="11"/>
      <c r="O3504" s="16"/>
      <c r="P3504" s="15"/>
      <c r="Q3504" s="8"/>
      <c r="R3504" s="11"/>
      <c r="S3504" s="8"/>
      <c r="T3504" s="8"/>
      <c r="U3504" s="8"/>
      <c r="V3504" s="8"/>
      <c r="W3504" s="8"/>
      <c r="X3504" s="8"/>
      <c r="Y3504" s="8"/>
      <c r="Z3504" s="8"/>
    </row>
  </sheetData>
  <autoFilter ref="A1:V3404">
    <sortState ref="A2:V235">
      <sortCondition ref="K1:K3404"/>
    </sortState>
  </autoFilter>
  <pageMargins left="0.7" right="0.7" top="0.75" bottom="0.75" header="0.3" footer="0.3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2"/>
  <sheetViews>
    <sheetView topLeftCell="A201" workbookViewId="0">
      <selection activeCell="H342" sqref="H342:I369"/>
    </sheetView>
  </sheetViews>
  <sheetFormatPr defaultColWidth="17.28515625" defaultRowHeight="15" customHeight="1" x14ac:dyDescent="0.2"/>
  <cols>
    <col min="1" max="1" width="7" customWidth="1"/>
    <col min="2" max="3" width="16.140625" customWidth="1"/>
    <col min="4" max="4" width="15.85546875" customWidth="1"/>
    <col min="5" max="5" width="15.85546875" style="197" customWidth="1"/>
    <col min="6" max="6" width="14.7109375" customWidth="1"/>
    <col min="7" max="7" width="19.42578125" customWidth="1"/>
    <col min="8" max="8" width="17" customWidth="1"/>
    <col min="9" max="9" width="15.140625" customWidth="1"/>
    <col min="10" max="10" width="13" customWidth="1"/>
    <col min="11" max="11" width="10.7109375" customWidth="1"/>
    <col min="12" max="12" width="13.85546875" customWidth="1"/>
    <col min="13" max="13" width="11.85546875" customWidth="1"/>
    <col min="14" max="14" width="10.42578125" customWidth="1"/>
    <col min="15" max="15" width="10.85546875" customWidth="1"/>
    <col min="16" max="16" width="11" customWidth="1"/>
    <col min="17" max="29" width="7.7109375" customWidth="1"/>
  </cols>
  <sheetData>
    <row r="1" spans="1:29" ht="12.75" customHeight="1" x14ac:dyDescent="0.2">
      <c r="A1" s="345" t="s">
        <v>242</v>
      </c>
      <c r="B1" s="346"/>
      <c r="C1" s="346"/>
      <c r="D1" s="346"/>
      <c r="E1" s="346"/>
      <c r="F1" s="346"/>
      <c r="G1" s="346"/>
      <c r="H1" s="346"/>
      <c r="I1" s="346"/>
      <c r="J1" s="346"/>
      <c r="K1" s="8"/>
      <c r="L1" s="8"/>
      <c r="M1" s="45"/>
      <c r="N1" s="8"/>
      <c r="O1" s="9"/>
    </row>
    <row r="2" spans="1:29" ht="12.75" customHeight="1" x14ac:dyDescent="0.2">
      <c r="A2" s="9" t="s">
        <v>243</v>
      </c>
      <c r="B2" s="9" t="s">
        <v>244</v>
      </c>
      <c r="C2" s="9" t="s">
        <v>245</v>
      </c>
      <c r="D2" s="10" t="s">
        <v>246</v>
      </c>
      <c r="E2" s="46" t="s">
        <v>247</v>
      </c>
      <c r="F2" s="10" t="s">
        <v>248</v>
      </c>
      <c r="H2" s="10" t="s">
        <v>249</v>
      </c>
      <c r="I2" s="10" t="s">
        <v>250</v>
      </c>
      <c r="J2" s="45"/>
      <c r="K2" s="13" t="s">
        <v>251</v>
      </c>
      <c r="L2" s="47" t="s">
        <v>252</v>
      </c>
      <c r="R2" s="8"/>
    </row>
    <row r="3" spans="1:29" s="189" customFormat="1" ht="12.75" customHeight="1" x14ac:dyDescent="0.2">
      <c r="A3">
        <v>2017</v>
      </c>
      <c r="B3" t="s">
        <v>492</v>
      </c>
      <c r="C3" t="s">
        <v>493</v>
      </c>
      <c r="D3" s="104">
        <v>234</v>
      </c>
      <c r="E3" s="140">
        <f>COUNTIFS(data!$B$2:$B$3404,A3,data!$J$2:$J$3404,"capelin")</f>
        <v>209</v>
      </c>
      <c r="F3" s="118">
        <f>E3/D3*100</f>
        <v>89.316239316239319</v>
      </c>
      <c r="H3" s="189">
        <f>COUNTIFS(data!$B$2:$B$3404,A3,data!$J$2:$J$3404,"sandlance")</f>
        <v>19</v>
      </c>
      <c r="I3" s="118">
        <f t="shared" ref="I3:I29" si="0">H3/D3*100</f>
        <v>8.1196581196581192</v>
      </c>
      <c r="J3"/>
      <c r="K3" s="189">
        <f>COUNTIFS(data!$B$2:$B$3404,A3,data!$J$2:$J$3404,"cod")+COUNTIFS(data!$B$2:$B$3404,A3,data!$J$2:$J$3404,"wolffish/pout")+COUNTIFS(data!$B$2:$B$3404,A3,data!$J$2:$J$3404,"liparis")</f>
        <v>6</v>
      </c>
      <c r="L3" s="118">
        <f>K3/D3*100</f>
        <v>2.5641025641025639</v>
      </c>
      <c r="R3" s="45"/>
    </row>
    <row r="4" spans="1:29" ht="12.75" customHeight="1" x14ac:dyDescent="0.2">
      <c r="A4" s="5">
        <v>2016</v>
      </c>
      <c r="B4" s="48">
        <v>42592</v>
      </c>
      <c r="C4" s="48">
        <v>42594</v>
      </c>
      <c r="D4" s="49">
        <v>45</v>
      </c>
      <c r="E4" s="50">
        <f>COUNTIFS(data!$B$236:$B$3404,A4,data!$J$236:$J$3404,"capelin")</f>
        <v>40</v>
      </c>
      <c r="F4" s="51">
        <f>E4/D4*100</f>
        <v>88.888888888888886</v>
      </c>
      <c r="H4">
        <f>COUNTIFS(data!$B$236:$B$3404,A4,data!$J$236:$J$3404,"sandlance")</f>
        <v>2</v>
      </c>
      <c r="I4" s="51">
        <f t="shared" si="0"/>
        <v>4.4444444444444446</v>
      </c>
      <c r="J4" s="45"/>
      <c r="K4">
        <f>COUNTIFS(data!$B$2:$B$3404,A4,data!$J$2:$J$3404,"squid")+COUNTIFS(data!$B$2:$B$3404,A4,data!$J$2:$J$3404,"flatfish")+COUNTIFS(data!$B$2:$B$3404,A4,data!$J$2:$J$3404,"sculpin")</f>
        <v>3</v>
      </c>
      <c r="L4" s="51">
        <f>K4/D4*100</f>
        <v>6.666666666666667</v>
      </c>
      <c r="R4" s="8"/>
    </row>
    <row r="5" spans="1:29" ht="12.75" customHeight="1" x14ac:dyDescent="0.2">
      <c r="A5" s="5">
        <v>2014</v>
      </c>
      <c r="B5" s="48">
        <v>41853</v>
      </c>
      <c r="C5" s="48">
        <v>41857</v>
      </c>
      <c r="D5" s="49">
        <v>92</v>
      </c>
      <c r="E5" s="50">
        <f>COUNTIFS(data!$B$281:$B$3404,A5,data!$J$281:$J$3404,"capelin")</f>
        <v>92</v>
      </c>
      <c r="F5" s="52">
        <f>E5/D5*100</f>
        <v>100</v>
      </c>
      <c r="H5" s="53">
        <f>COUNTIFS(data!$B$281:$B$3404,A5,data!$J$281:$J$3404,"sandlance")</f>
        <v>0</v>
      </c>
      <c r="I5" s="52">
        <f t="shared" si="0"/>
        <v>0</v>
      </c>
      <c r="J5" s="45"/>
      <c r="K5" s="11"/>
      <c r="L5" s="51"/>
      <c r="R5" s="8"/>
    </row>
    <row r="6" spans="1:29" ht="12.75" customHeight="1" x14ac:dyDescent="0.2">
      <c r="A6" s="11">
        <v>2013</v>
      </c>
      <c r="B6" s="54">
        <v>41485</v>
      </c>
      <c r="C6" s="54">
        <v>41490</v>
      </c>
      <c r="D6" s="45">
        <v>80</v>
      </c>
      <c r="E6" s="45">
        <f>COUNTIFS(data!$B$373:$B$3404,A6,data!$J$373:$J$3404,"capelin")</f>
        <v>75</v>
      </c>
      <c r="F6" s="51">
        <f t="shared" ref="F6:F29" si="1">E6/D6*100</f>
        <v>93.75</v>
      </c>
      <c r="H6" s="8">
        <f>COUNTIFS(data!$B$373:$B$3404,A6,data!$J$373:$J$3404,"sandlance")</f>
        <v>5</v>
      </c>
      <c r="I6" s="38">
        <f t="shared" si="0"/>
        <v>6.25</v>
      </c>
      <c r="J6" s="45"/>
      <c r="K6" s="11"/>
      <c r="L6" s="51"/>
      <c r="R6" s="8"/>
    </row>
    <row r="7" spans="1:29" ht="12.75" customHeight="1" x14ac:dyDescent="0.2">
      <c r="A7" s="11">
        <v>2012</v>
      </c>
      <c r="B7" s="54">
        <v>41118</v>
      </c>
      <c r="C7" s="54">
        <v>41123</v>
      </c>
      <c r="D7" s="45">
        <f>COUNTIF(data!$B$453:$B$3404,A7)</f>
        <v>170</v>
      </c>
      <c r="E7" s="45">
        <f>COUNTIFS(data!$B$453:$B$3404,A7,data!$J$453:$J$3404,"capelin")</f>
        <v>113</v>
      </c>
      <c r="F7" s="51">
        <f t="shared" si="1"/>
        <v>66.470588235294116</v>
      </c>
      <c r="H7" s="8">
        <f>COUNTIFS(data!$B$453:$B$3404,A7,data!$J$453:$J$3404,"sandlance")</f>
        <v>57</v>
      </c>
      <c r="I7" s="38">
        <f t="shared" si="0"/>
        <v>33.529411764705877</v>
      </c>
      <c r="J7" s="8"/>
      <c r="K7" s="11"/>
      <c r="L7" s="51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</row>
    <row r="8" spans="1:29" ht="12.75" customHeight="1" x14ac:dyDescent="0.2">
      <c r="A8" s="11">
        <v>2011</v>
      </c>
      <c r="B8" s="54">
        <f>DATE(data!$B$751,data!$D$751,data!$C$751)</f>
        <v>40757</v>
      </c>
      <c r="C8" s="54">
        <f>DATE(data!$B$623,data!$D$623,data!$C$623)</f>
        <v>40764</v>
      </c>
      <c r="D8" s="45">
        <f>COUNTIF(data!$B$453:$B$3404,A8)</f>
        <v>129</v>
      </c>
      <c r="E8" s="45">
        <f>COUNTIFS(data!$B$453:$B$3404,A8,data!$J$453:$J$3404,"capelin")</f>
        <v>126</v>
      </c>
      <c r="F8" s="51">
        <f t="shared" si="1"/>
        <v>97.674418604651152</v>
      </c>
      <c r="H8" s="8">
        <f>COUNTIFS(data!$B$453:$B$3404,A8,data!$J$453:$J$3404,"sandlance")</f>
        <v>3</v>
      </c>
      <c r="I8" s="38">
        <f t="shared" si="0"/>
        <v>2.3255813953488373</v>
      </c>
      <c r="J8" s="45"/>
      <c r="K8" s="11"/>
      <c r="L8" s="51"/>
      <c r="R8" s="8"/>
    </row>
    <row r="9" spans="1:29" ht="12.75" customHeight="1" x14ac:dyDescent="0.2">
      <c r="A9" s="11">
        <v>2010</v>
      </c>
      <c r="B9" s="54">
        <f>DATE(data!$B$785,data!$D$785,data!$C$785)</f>
        <v>40392</v>
      </c>
      <c r="C9" s="54">
        <f>DATE(data!$B$752,data!$D$752,data!$C$752)</f>
        <v>40395</v>
      </c>
      <c r="D9" s="45">
        <f>COUNTIF(data!$B$453:$B$3404,A9)</f>
        <v>34</v>
      </c>
      <c r="E9" s="45">
        <f>COUNTIFS(data!$B$453:$B$3404,A9,data!$J$453:$J$3404,"capelin")</f>
        <v>34</v>
      </c>
      <c r="F9" s="51">
        <f t="shared" si="1"/>
        <v>100</v>
      </c>
      <c r="H9" s="8">
        <f>COUNTIFS(data!$B$453:$B$3404,A9,data!$J$453:$J$3404,"sandlance")</f>
        <v>0</v>
      </c>
      <c r="I9" s="38">
        <f t="shared" si="0"/>
        <v>0</v>
      </c>
      <c r="J9" s="45"/>
      <c r="K9" s="11"/>
      <c r="L9" s="51"/>
      <c r="R9" s="8"/>
    </row>
    <row r="10" spans="1:29" ht="12.75" customHeight="1" x14ac:dyDescent="0.2">
      <c r="A10" s="11">
        <v>2009</v>
      </c>
      <c r="B10" s="54">
        <f>DATE(data!$B$909,data!$D$909,data!$C$909)</f>
        <v>40024</v>
      </c>
      <c r="C10" s="54">
        <f>DATE(data!$B$786,data!$D$786,data!$C$786)</f>
        <v>40031</v>
      </c>
      <c r="D10" s="45">
        <f>COUNTIF(data!$B$453:$B$3404,A10)</f>
        <v>124</v>
      </c>
      <c r="E10" s="45">
        <f>COUNTIFS(data!$B$453:$B$3404,A10,data!$J$453:$J$3404,"capelin")</f>
        <v>70</v>
      </c>
      <c r="F10" s="51">
        <f t="shared" si="1"/>
        <v>56.451612903225815</v>
      </c>
      <c r="H10" s="8">
        <f>COUNTIFS(data!$B$453:$B$3404,A10,data!$J$453:$J$3404,"sandlance")</f>
        <v>53</v>
      </c>
      <c r="I10" s="38">
        <f t="shared" si="0"/>
        <v>42.741935483870968</v>
      </c>
      <c r="J10" s="45"/>
      <c r="K10">
        <f>COUNTIFS(data!$B$453:$B$3404,A10,data!$J$453:$J$3404,"haddock")</f>
        <v>1</v>
      </c>
      <c r="L10" s="51">
        <f>K10/D10*100</f>
        <v>0.80645161290322576</v>
      </c>
      <c r="R10" s="8"/>
    </row>
    <row r="11" spans="1:29" ht="12.75" customHeight="1" x14ac:dyDescent="0.2">
      <c r="A11" s="11">
        <v>2008</v>
      </c>
      <c r="B11" s="54">
        <f>DATE(data!$B$1010,data!$D$1010,data!$C$1010)</f>
        <v>39650</v>
      </c>
      <c r="C11" s="54">
        <f>DATE(data!$B$910,data!$D$910,data!$C$910)</f>
        <v>39658</v>
      </c>
      <c r="D11" s="45">
        <f>COUNTIF(data!$B$453:$B$3404,A11)</f>
        <v>101</v>
      </c>
      <c r="E11" s="45">
        <f>COUNTIFS(data!$B$453:$B$3404,A11,data!$J$453:$J$3404,"capelin")</f>
        <v>101</v>
      </c>
      <c r="F11" s="51">
        <f t="shared" si="1"/>
        <v>100</v>
      </c>
      <c r="H11" s="8">
        <f>COUNTIFS(data!$B$453:$B$3404,A11,data!$J$453:$J$3404,"sandlance")</f>
        <v>0</v>
      </c>
      <c r="I11" s="38">
        <f t="shared" si="0"/>
        <v>0</v>
      </c>
      <c r="J11" s="45"/>
      <c r="K11" s="11"/>
      <c r="L11" s="51"/>
      <c r="R11" s="8"/>
    </row>
    <row r="12" spans="1:29" ht="12.75" customHeight="1" x14ac:dyDescent="0.2">
      <c r="A12" s="11">
        <v>2007</v>
      </c>
      <c r="B12" s="54">
        <f>DATE(data!$B$1160,data!$D$1160,data!$C$1160)</f>
        <v>39290</v>
      </c>
      <c r="C12" s="54">
        <f>DATE(data!$B$1011,data!$D$1011,data!$C$1011)</f>
        <v>39297</v>
      </c>
      <c r="D12" s="45">
        <f>COUNTIF(data!$B$453:$B$3404,A12)</f>
        <v>150</v>
      </c>
      <c r="E12" s="45">
        <f>COUNTIFS(data!$B$453:$B$3404,A12,data!$J$453:$J$3404,"capelin")</f>
        <v>150</v>
      </c>
      <c r="F12" s="51">
        <f t="shared" si="1"/>
        <v>100</v>
      </c>
      <c r="H12" s="8">
        <f>COUNTIFS(data!$B$453:$B$3404,A12,data!$J$453:$J$3404,"sandlance")</f>
        <v>0</v>
      </c>
      <c r="I12" s="38">
        <f t="shared" si="0"/>
        <v>0</v>
      </c>
      <c r="J12" s="45"/>
      <c r="K12" s="11"/>
      <c r="L12" s="51"/>
      <c r="R12" s="8"/>
    </row>
    <row r="13" spans="1:29" ht="12.75" customHeight="1" x14ac:dyDescent="0.2">
      <c r="A13" s="11">
        <v>2006</v>
      </c>
      <c r="B13" s="54">
        <f>DATE(data!$B$1189,data!$D$1189,data!$C$1189)</f>
        <v>38936</v>
      </c>
      <c r="C13" s="54">
        <f>DATE(data!$B$1161,data!$D$1161,data!$C$1161)</f>
        <v>38942</v>
      </c>
      <c r="D13" s="45">
        <f>COUNTIF(data!$B$453:$B$3404,A13)</f>
        <v>29</v>
      </c>
      <c r="E13" s="45">
        <f>COUNTIFS(data!$B$453:$B$3404,A13,data!$J$453:$J$3404,"capelin")</f>
        <v>28</v>
      </c>
      <c r="F13" s="51">
        <f t="shared" si="1"/>
        <v>96.551724137931032</v>
      </c>
      <c r="H13" s="8">
        <f>COUNTIFS(data!$B$453:$B$3404,A13,data!$J$453:$J$3404,"sandlance")</f>
        <v>1</v>
      </c>
      <c r="I13" s="38">
        <f t="shared" si="0"/>
        <v>3.4482758620689653</v>
      </c>
      <c r="J13" s="45"/>
      <c r="K13" s="11"/>
      <c r="L13" s="51"/>
      <c r="R13" s="8"/>
    </row>
    <row r="14" spans="1:29" ht="12.75" customHeight="1" x14ac:dyDescent="0.2">
      <c r="A14" s="11">
        <v>2005</v>
      </c>
      <c r="B14" s="54">
        <f>DATE(data!$B$1299,data!$D$1299,data!$C$1299)</f>
        <v>38566</v>
      </c>
      <c r="C14" s="54">
        <f>DATE(data!$B$1190,data!$D$1190,data!$C$1190)</f>
        <v>38573</v>
      </c>
      <c r="D14" s="45">
        <f>COUNTIF(data!$B$453:$B$3404,A14)</f>
        <v>110</v>
      </c>
      <c r="E14" s="45">
        <f>COUNTIFS(data!$B$453:$B$3404,A14,data!$J$453:$J$3404,"capelin")</f>
        <v>110</v>
      </c>
      <c r="F14" s="51">
        <f t="shared" si="1"/>
        <v>100</v>
      </c>
      <c r="H14" s="8">
        <f>COUNTIFS(data!$B$453:$B$3404,A14,data!$J$453:$J$3404,"sandlance")</f>
        <v>0</v>
      </c>
      <c r="I14" s="38">
        <f t="shared" si="0"/>
        <v>0</v>
      </c>
      <c r="J14" s="45"/>
      <c r="K14" s="11"/>
      <c r="L14" s="51"/>
      <c r="R14" s="8"/>
    </row>
    <row r="15" spans="1:29" ht="12.75" customHeight="1" x14ac:dyDescent="0.2">
      <c r="A15" s="11">
        <v>2004</v>
      </c>
      <c r="B15" s="54">
        <f>DATE(data!$B$1462,data!$D$1462,data!$C$1462)</f>
        <v>38194</v>
      </c>
      <c r="C15" s="54">
        <f>DATE(data!$B$1300,data!$D$1300,data!$C$1300)</f>
        <v>38201</v>
      </c>
      <c r="D15" s="45">
        <f>COUNTIF(data!$B$453:$B$3404,A15)</f>
        <v>163</v>
      </c>
      <c r="E15" s="45">
        <f>COUNTIFS(data!$B$453:$B$3404,A15,data!$J$453:$J$3404,"capelin")</f>
        <v>161</v>
      </c>
      <c r="F15" s="51">
        <f t="shared" si="1"/>
        <v>98.773006134969322</v>
      </c>
      <c r="H15" s="8">
        <f>COUNTIFS(data!$B$453:$B$3404,A15,data!$J$453:$J$3404,"sandlance")</f>
        <v>1</v>
      </c>
      <c r="I15" s="38">
        <f t="shared" si="0"/>
        <v>0.61349693251533743</v>
      </c>
      <c r="J15" s="45"/>
      <c r="K15">
        <f>COUNTIFS(data!$B$1300:$B$3404,A15,data!$J$1300:$J$3404,"alligator fish")</f>
        <v>1</v>
      </c>
      <c r="L15" s="51">
        <f>K15/D15*100</f>
        <v>0.61349693251533743</v>
      </c>
      <c r="Q15" s="11"/>
      <c r="R15" s="8"/>
    </row>
    <row r="16" spans="1:29" ht="12.75" customHeight="1" x14ac:dyDescent="0.2">
      <c r="A16" s="11">
        <v>2003</v>
      </c>
      <c r="B16" s="54">
        <f>DATE(data!$B$1541,data!$D$1541,data!$C$1541)</f>
        <v>37830</v>
      </c>
      <c r="C16" s="54">
        <f>DATE(data!$B$1463,data!$D$1463,data!$C$1463)</f>
        <v>37840</v>
      </c>
      <c r="D16" s="45">
        <f>COUNTIF(data!$B$453:$B$3404,A16)</f>
        <v>79</v>
      </c>
      <c r="E16" s="45">
        <f>COUNTIFS(data!$B$453:$B$3404,A16,data!$J$453:$J$3404,"capelin")</f>
        <v>79</v>
      </c>
      <c r="F16" s="51">
        <f t="shared" si="1"/>
        <v>100</v>
      </c>
      <c r="H16" s="8">
        <f>COUNTIFS(data!$B$453:$B$3404,A16,data!$J$453:$J$3404,"sandlance")</f>
        <v>0</v>
      </c>
      <c r="I16" s="38">
        <f t="shared" si="0"/>
        <v>0</v>
      </c>
      <c r="J16" s="45"/>
      <c r="K16" s="11"/>
      <c r="L16" s="51"/>
      <c r="R16" s="8"/>
    </row>
    <row r="17" spans="1:18" ht="12.75" customHeight="1" x14ac:dyDescent="0.2">
      <c r="A17" s="11">
        <v>2002</v>
      </c>
      <c r="B17" s="54">
        <f>DATE(data!$B$1817,data!$D$1817,data!$C$1817)</f>
        <v>37474</v>
      </c>
      <c r="C17" s="54">
        <f>DATE(data!$B$1542,data!$D$1542,data!$C$1542)</f>
        <v>37481</v>
      </c>
      <c r="D17" s="45">
        <f>COUNTIF(data!$B$453:$B$3404,A17)</f>
        <v>276</v>
      </c>
      <c r="E17" s="45">
        <f>COUNTIFS(data!$B$453:$B$3404,A17,data!$J$453:$J$3404,"capelin")</f>
        <v>270</v>
      </c>
      <c r="F17" s="51">
        <f t="shared" si="1"/>
        <v>97.826086956521735</v>
      </c>
      <c r="H17" s="8">
        <f>COUNTIFS(data!$B$453:$B$3404,A17,data!$J$453:$J$3404,"sandlance")</f>
        <v>0</v>
      </c>
      <c r="I17" s="38">
        <f t="shared" si="0"/>
        <v>0</v>
      </c>
      <c r="J17" s="45"/>
      <c r="K17">
        <f>COUNTIFS(data!$B$1300:$B$3404,A17,data!$J$1300:$J$3404,"sculpin")+COUNTIFS(data!$B$1300:$B$3404,A17,data!$J$1300:$J$3404,"cod")</f>
        <v>6</v>
      </c>
      <c r="L17" s="51">
        <f>K17/D17*100</f>
        <v>2.1739130434782608</v>
      </c>
      <c r="R17" s="8"/>
    </row>
    <row r="18" spans="1:18" ht="12.75" customHeight="1" x14ac:dyDescent="0.2">
      <c r="A18" s="11">
        <v>2001</v>
      </c>
      <c r="B18" s="54">
        <f>DATE(data!$B$1934,data!$D$1934,data!$C$1934)</f>
        <v>37104</v>
      </c>
      <c r="C18" s="54">
        <f>DATE(data!$B$1818,data!$D$1818,data!$C$1818)</f>
        <v>37109</v>
      </c>
      <c r="D18" s="45">
        <f>COUNTIF(data!$B$453:$B$3404,A18)</f>
        <v>117</v>
      </c>
      <c r="E18" s="45">
        <f>COUNTIFS(data!$B$453:$B$3404,A18,data!$J$453:$J$3404,"capelin")</f>
        <v>117</v>
      </c>
      <c r="F18" s="51">
        <f t="shared" si="1"/>
        <v>100</v>
      </c>
      <c r="H18" s="8">
        <f>COUNTIFS(data!$B$453:$B$3404,A18,data!$J$453:$J$3404,"sandlance")</f>
        <v>0</v>
      </c>
      <c r="I18" s="38">
        <f t="shared" si="0"/>
        <v>0</v>
      </c>
      <c r="J18" s="45"/>
      <c r="K18" s="11"/>
      <c r="L18" s="51"/>
      <c r="R18" s="8"/>
    </row>
    <row r="19" spans="1:18" ht="12.75" customHeight="1" x14ac:dyDescent="0.2">
      <c r="A19" s="11">
        <v>2000</v>
      </c>
      <c r="B19" s="54">
        <f>DATE(data!$B$2095,data!$D$2095,data!$C$2095)</f>
        <v>36743</v>
      </c>
      <c r="C19" s="54">
        <f>DATE(data!$B$1935,data!$D$1935,data!$C$1935)</f>
        <v>36751</v>
      </c>
      <c r="D19" s="45">
        <f>COUNTIF(data!$B$453:$B$3404,A19)</f>
        <v>161</v>
      </c>
      <c r="E19" s="45">
        <f>COUNTIFS(data!$B$453:$B$3404,A19,data!$J$453:$J$3404,"capelin")</f>
        <v>159</v>
      </c>
      <c r="F19" s="51">
        <f t="shared" si="1"/>
        <v>98.757763975155271</v>
      </c>
      <c r="H19" s="8">
        <f>COUNTIFS(data!$B$453:$B$3404,A19,data!$J$453:$J$3404,"sandlance")</f>
        <v>1</v>
      </c>
      <c r="I19" s="38">
        <f t="shared" si="0"/>
        <v>0.6211180124223602</v>
      </c>
      <c r="J19" s="45"/>
      <c r="K19">
        <f>COUNTIFS(data!$B$1300:$B$3404,A19,data!$J$1300:$J$3404,"sculpin")</f>
        <v>1</v>
      </c>
      <c r="L19" s="51">
        <f>K19/D19*100</f>
        <v>0.6211180124223602</v>
      </c>
      <c r="R19" s="8"/>
    </row>
    <row r="20" spans="1:18" ht="12.75" customHeight="1" x14ac:dyDescent="0.2">
      <c r="A20" s="11">
        <v>1999</v>
      </c>
      <c r="B20" s="54">
        <f>DATE(data!$B$2157,data!$D$2157,data!$C$2157)</f>
        <v>36368</v>
      </c>
      <c r="C20" s="54">
        <f>DATE(data!$B$2096,data!$D$2096,data!$C$2096)</f>
        <v>36377</v>
      </c>
      <c r="D20" s="45">
        <f>COUNTIF(data!$B$453:$B$3404,A20)</f>
        <v>62</v>
      </c>
      <c r="E20" s="45">
        <f>COUNTIFS(data!$B$453:$B$3404,A20,data!$J$453:$J$3404,"capelin")</f>
        <v>61</v>
      </c>
      <c r="F20" s="51">
        <f t="shared" si="1"/>
        <v>98.387096774193552</v>
      </c>
      <c r="H20" s="8">
        <f>COUNTIFS(data!$B$453:$B$3404,A20,data!$J$453:$J$3404,"sandlance")</f>
        <v>1</v>
      </c>
      <c r="I20" s="38">
        <f t="shared" si="0"/>
        <v>1.6129032258064515</v>
      </c>
      <c r="J20" s="45"/>
      <c r="K20" s="11"/>
      <c r="L20" s="51"/>
      <c r="R20" s="8"/>
    </row>
    <row r="21" spans="1:18" ht="12.75" customHeight="1" x14ac:dyDescent="0.2">
      <c r="A21" s="11">
        <v>1998</v>
      </c>
      <c r="B21" s="54">
        <f>DATE(data!$B$2258,data!$D$2258,data!$C$2258)</f>
        <v>36011</v>
      </c>
      <c r="C21" s="54">
        <f>DATE(data!$B$2158,data!$D$2158,data!$C$2158)</f>
        <v>36023</v>
      </c>
      <c r="D21" s="45">
        <f>COUNTIF(data!$B$453:$B$3404,A21)</f>
        <v>101</v>
      </c>
      <c r="E21" s="45">
        <f>COUNTIFS(data!$B$453:$B$3404,A21,data!$J$453:$J$3404,"capelin")</f>
        <v>96</v>
      </c>
      <c r="F21" s="51">
        <f t="shared" si="1"/>
        <v>95.049504950495049</v>
      </c>
      <c r="H21" s="8">
        <f>COUNTIFS(data!$B$453:$B$3404,A21,data!$J$453:$J$3404,"sandlance")</f>
        <v>4</v>
      </c>
      <c r="I21" s="38">
        <f t="shared" si="0"/>
        <v>3.9603960396039604</v>
      </c>
      <c r="J21" s="45"/>
      <c r="K21">
        <f>COUNTIFS(data!$B$1300:$B$3404,A21,data!$J$1300:$J$3404,"sculpin")</f>
        <v>1</v>
      </c>
      <c r="L21" s="51">
        <f t="shared" ref="L21:L28" si="2">K21/D21*100</f>
        <v>0.99009900990099009</v>
      </c>
      <c r="R21" s="8"/>
    </row>
    <row r="22" spans="1:18" ht="12.75" customHeight="1" x14ac:dyDescent="0.2">
      <c r="A22" s="11">
        <v>1997</v>
      </c>
      <c r="B22" s="54">
        <f>DATE(data!$B$2597,data!$D$2597,data!$C$2597)</f>
        <v>35643</v>
      </c>
      <c r="C22" s="54">
        <f>DATE(data!$B$2259,data!$D$2259,data!$C$2259)</f>
        <v>35651</v>
      </c>
      <c r="D22" s="45">
        <f>COUNTIF(data!$B$453:$B$3404,A22)</f>
        <v>339</v>
      </c>
      <c r="E22" s="45">
        <f>COUNTIFS(data!$B$453:$B$3404,A22,data!$J$453:$J$3404,"capelin")</f>
        <v>323</v>
      </c>
      <c r="F22" s="51">
        <f t="shared" si="1"/>
        <v>95.280235988200587</v>
      </c>
      <c r="H22" s="8">
        <f>COUNTIFS(data!$B$453:$B$3404,A22,data!$J$453:$J$3404,"sandlance")</f>
        <v>1</v>
      </c>
      <c r="I22" s="38">
        <f t="shared" si="0"/>
        <v>0.29498525073746312</v>
      </c>
      <c r="J22" s="45"/>
      <c r="K22">
        <f>COUNTIFS(data!$B$1300:$B$3404,A22,data!$J$1300:$J$3404,"sculpin")+COUNTIFS(data!$B$1300:$B$3404,A22,data!$J$1300:$J$3404,"cod")+COUNTIFS(data!$B$1300:$B$3404,A22,data!$J$1300:$J$3404,"rockling")+COUNTIFS(data!$B$1300:$B$3404,A22,data!$J$1300:$J$3404,"blenny")+COUNTIFS(data!$B$1300:$B$3404,A22,data!$J$1300:$J$3404,"hake")+COUNTIFS(data!$B$1300:$B$3404,A22,data!$J$1300:$J$3404,"wolf fish")+COUNTIFS(data!$B$1300:$B$3404,A22,data!$J$1300:$J$3404,"unknown fish")</f>
        <v>15</v>
      </c>
      <c r="L22" s="51">
        <f t="shared" si="2"/>
        <v>4.4247787610619467</v>
      </c>
      <c r="R22" s="8"/>
    </row>
    <row r="23" spans="1:18" ht="12.75" customHeight="1" x14ac:dyDescent="0.2">
      <c r="A23" s="11">
        <v>1996</v>
      </c>
      <c r="B23" s="54">
        <f>DATE(data!$B$2680,data!$D$2680,data!$C$2680)</f>
        <v>35282</v>
      </c>
      <c r="C23" s="54">
        <f>DATE(data!$B$2598,data!$D$2598,data!$C$2598)</f>
        <v>35286</v>
      </c>
      <c r="D23" s="45">
        <f>COUNTIF(data!$B$453:$B$3404,A23)</f>
        <v>83</v>
      </c>
      <c r="E23" s="45">
        <f>COUNTIFS(data!$B$453:$B$3404,A23,data!$J$453:$J$3404,"capelin")</f>
        <v>81</v>
      </c>
      <c r="F23" s="51">
        <f t="shared" si="1"/>
        <v>97.590361445783131</v>
      </c>
      <c r="H23" s="8">
        <f>COUNTIFS(data!$B$453:$B$3404,A23,data!$J$453:$J$3404,"sandlance")</f>
        <v>0</v>
      </c>
      <c r="I23" s="38">
        <f t="shared" si="0"/>
        <v>0</v>
      </c>
      <c r="J23" s="45"/>
      <c r="K23">
        <f>COUNTIFS(data!$B$1300:$B$3404,A23,data!$J$1300:$J$3404,"sculpin")+COUNTIFS(data!$B$1300:$B$3404,A23,data!$J$1300:$J$3404,"cod")</f>
        <v>2</v>
      </c>
      <c r="L23" s="51">
        <f t="shared" si="2"/>
        <v>2.4096385542168677</v>
      </c>
      <c r="R23" s="8"/>
    </row>
    <row r="24" spans="1:18" ht="12.75" customHeight="1" x14ac:dyDescent="0.2">
      <c r="A24" s="11">
        <v>1995</v>
      </c>
      <c r="B24" s="54">
        <f>DATE(data!$B$2885,data!$D$2885,data!$C$2885)</f>
        <v>34915</v>
      </c>
      <c r="C24" s="54">
        <f>DATE(data!$B$2681,data!$D$2681,data!$C$2681)</f>
        <v>34922</v>
      </c>
      <c r="D24" s="45">
        <f>COUNTIF(data!$B$453:$B$3404,A24)</f>
        <v>205</v>
      </c>
      <c r="E24" s="45">
        <f>COUNTIFS(data!$B$453:$B$3404,A24,data!$J$453:$J$3404,"capelin")</f>
        <v>151</v>
      </c>
      <c r="F24" s="51">
        <f t="shared" si="1"/>
        <v>73.658536585365852</v>
      </c>
      <c r="H24" s="8">
        <f>COUNTIFS(data!$B$453:$B$3404,A24,data!$J$453:$J$3404,"sandlance")</f>
        <v>46</v>
      </c>
      <c r="I24" s="38">
        <f t="shared" si="0"/>
        <v>22.439024390243905</v>
      </c>
      <c r="J24" s="45"/>
      <c r="K24">
        <f>COUNTIFS(data!$B$1300:$B$3404,A24,data!$J$1300:$J$3404,"sculpin")+COUNTIFS(data!$B$1300:$B$3404,A24,data!$J$1300:$J$3404,"cod")+COUNTIFS(data!$B$1300:$B$3404,A24,data!$J$1300:$J$3404,"gadid")</f>
        <v>8</v>
      </c>
      <c r="L24" s="51">
        <f t="shared" si="2"/>
        <v>3.9024390243902438</v>
      </c>
      <c r="R24" s="8"/>
    </row>
    <row r="25" spans="1:18" ht="12.75" customHeight="1" x14ac:dyDescent="0.2">
      <c r="A25" s="11">
        <v>1994</v>
      </c>
      <c r="B25" s="54">
        <f>DATE(data!$B$2983,data!$D$2983,data!$C$2983)</f>
        <v>34558</v>
      </c>
      <c r="C25" s="54">
        <f>DATE(data!$B$2886,data!$D$2886,data!$C$2886)</f>
        <v>34562</v>
      </c>
      <c r="D25" s="45">
        <f>COUNTIF(data!$B$453:$B$3404,A25)</f>
        <v>98</v>
      </c>
      <c r="E25" s="45">
        <f>COUNTIFS(data!$B$453:$B$3404,A25,data!$J$453:$J$3404,"capelin")</f>
        <v>96</v>
      </c>
      <c r="F25" s="51">
        <f t="shared" si="1"/>
        <v>97.959183673469383</v>
      </c>
      <c r="H25" s="8">
        <f>COUNTIFS(data!$B$453:$B$3404,A25,data!$J$453:$J$3404,"sandlance")</f>
        <v>0</v>
      </c>
      <c r="I25" s="38">
        <f t="shared" si="0"/>
        <v>0</v>
      </c>
      <c r="J25" s="45"/>
      <c r="K25">
        <f>COUNTIFS(data!$B$1300:$B$3404,A25,data!$J$1300:$J$3404,"cod")</f>
        <v>2</v>
      </c>
      <c r="L25" s="51">
        <f t="shared" si="2"/>
        <v>2.0408163265306123</v>
      </c>
      <c r="R25" s="8"/>
    </row>
    <row r="26" spans="1:18" ht="12.75" customHeight="1" x14ac:dyDescent="0.2">
      <c r="A26" s="11">
        <v>1993</v>
      </c>
      <c r="B26" s="54">
        <f>DATE(data!$B$3135,data!$D$3135,data!$C$3135)</f>
        <v>34186</v>
      </c>
      <c r="C26" s="54">
        <f>DATE(data!$B$2984,data!$D$2984,data!$C$2984)</f>
        <v>34193</v>
      </c>
      <c r="D26" s="45">
        <f>COUNTIF(data!$B$453:$B$3404,A26)</f>
        <v>152</v>
      </c>
      <c r="E26" s="45">
        <f>COUNTIFS(data!$B$453:$B$3404,A26,data!$J$453:$J$3404,"capelin")</f>
        <v>150</v>
      </c>
      <c r="F26" s="51">
        <f t="shared" si="1"/>
        <v>98.68421052631578</v>
      </c>
      <c r="H26" s="8">
        <f>COUNTIFS(data!$B$453:$B$3404,A26,data!$J$453:$J$3404,"sandlance")</f>
        <v>0</v>
      </c>
      <c r="I26" s="38">
        <f t="shared" si="0"/>
        <v>0</v>
      </c>
      <c r="J26" s="45"/>
      <c r="K26">
        <f>COUNTIFS(data!$B$1300:$B$3404,A26,data!$J$1300:$J$3404,"sculpin")+COUNTIFS(data!$B$1300:$B$3404,A26,data!$J$1300:$J$3404,"gadid")</f>
        <v>2</v>
      </c>
      <c r="L26" s="51">
        <f t="shared" si="2"/>
        <v>1.3157894736842104</v>
      </c>
      <c r="R26" s="8"/>
    </row>
    <row r="27" spans="1:18" ht="12.75" customHeight="1" x14ac:dyDescent="0.2">
      <c r="A27" s="11">
        <v>1992</v>
      </c>
      <c r="B27" s="54">
        <f>DATE(data!$B$3301,data!$D$3301,data!$C$3301)</f>
        <v>33820</v>
      </c>
      <c r="C27" s="54">
        <f>DATE(data!$B$3136,data!$D$3136,data!$C$3136)</f>
        <v>33826</v>
      </c>
      <c r="D27" s="45">
        <f>COUNTIF(data!$B$453:$B$3404,A27)</f>
        <v>166</v>
      </c>
      <c r="E27" s="45">
        <f>COUNTIFS(data!$B$453:$B$3404,A27,data!$J$453:$J$3404,"capelin")</f>
        <v>158</v>
      </c>
      <c r="F27" s="51">
        <f t="shared" si="1"/>
        <v>95.180722891566262</v>
      </c>
      <c r="H27" s="8">
        <f>COUNTIFS(data!$B$453:$B$3404,A27,data!$J$453:$J$3404,"sandlance")</f>
        <v>1</v>
      </c>
      <c r="I27" s="38">
        <f t="shared" si="0"/>
        <v>0.60240963855421692</v>
      </c>
      <c r="J27" s="45"/>
      <c r="K27" s="55">
        <f>COUNTIFS(data!$B$1300:$B$3404,A27,data!$J$1300:$J$3404,"blenny")+COUNTIFS(data!$B$1300:$B$3404,A27,data!$J$1300:$J$3404,"gadid")+COUNTIFS(data!$B$1300:$B$3404,A27,data!$J$1300:$J$3404,"cod")+COUNTIFS(data!$B$1300:$B$3404,A27,data!$J$1300:$J$3404,"unknown fish")</f>
        <v>6</v>
      </c>
      <c r="L27" s="51">
        <f t="shared" si="2"/>
        <v>3.6144578313253009</v>
      </c>
      <c r="R27" s="8"/>
    </row>
    <row r="28" spans="1:18" ht="12.75" customHeight="1" x14ac:dyDescent="0.2">
      <c r="A28" s="11">
        <v>1991</v>
      </c>
      <c r="B28" s="54">
        <f>DATE(data!$B$3349,data!$D$3349,data!$C$3349)</f>
        <v>33463</v>
      </c>
      <c r="C28" s="54">
        <f>DATE(data!$B$3302,data!$D$3302,data!$C$3302)</f>
        <v>33465</v>
      </c>
      <c r="D28" s="45">
        <f>COUNTIF(data!$B$453:$B$3404,A28)</f>
        <v>48</v>
      </c>
      <c r="E28" s="45">
        <f>COUNTIFS(data!$B$453:$B$3404,A28,data!$J$453:$J$3404,"capelin")</f>
        <v>47</v>
      </c>
      <c r="F28" s="51">
        <f t="shared" si="1"/>
        <v>97.916666666666657</v>
      </c>
      <c r="H28" s="8">
        <f>COUNTIFS(data!$B$453:$B$3404,A28,data!$J$453:$J$3404,"sandlance")</f>
        <v>0</v>
      </c>
      <c r="I28" s="38">
        <f t="shared" si="0"/>
        <v>0</v>
      </c>
      <c r="J28" s="45"/>
      <c r="K28">
        <f>COUNTIFS(data!$B$1300:$B$3404,A28,data!$J$1300:$J$3404,"gadid")</f>
        <v>1</v>
      </c>
      <c r="L28" s="51">
        <f t="shared" si="2"/>
        <v>2.083333333333333</v>
      </c>
      <c r="R28" s="8"/>
    </row>
    <row r="29" spans="1:18" ht="12.75" customHeight="1" x14ac:dyDescent="0.2">
      <c r="A29" s="11">
        <v>1990</v>
      </c>
      <c r="B29" s="54">
        <f>DATE(data!$B$3404,data!$D$3404,data!$C$3404)</f>
        <v>33095</v>
      </c>
      <c r="C29" s="54">
        <f>DATE(data!$B$3350,data!$D$3350,data!$C$3350)</f>
        <v>33097</v>
      </c>
      <c r="D29" s="45">
        <f>COUNTIF(data!$B$453:$B$3404,A29)</f>
        <v>55</v>
      </c>
      <c r="E29" s="45">
        <f>COUNTIFS(data!$B$453:$B$3404,A29,data!$J$453:$J$3404,"capelin")</f>
        <v>55</v>
      </c>
      <c r="F29" s="51">
        <f t="shared" si="1"/>
        <v>100</v>
      </c>
      <c r="H29" s="8">
        <f>COUNTIFS(data!$B$453:$B$3404,A29,data!$J$453:$J$3404,"sandlance")</f>
        <v>0</v>
      </c>
      <c r="I29" s="38">
        <f t="shared" si="0"/>
        <v>0</v>
      </c>
      <c r="J29" s="45"/>
      <c r="K29" s="11"/>
      <c r="L29" s="8"/>
      <c r="R29" s="8"/>
    </row>
    <row r="30" spans="1:18" ht="12.75" customHeight="1" x14ac:dyDescent="0.2">
      <c r="A30" s="11"/>
      <c r="B30" s="11"/>
      <c r="C30" s="11"/>
      <c r="D30" s="11"/>
      <c r="E30" s="11"/>
      <c r="F30" s="45"/>
      <c r="G30" s="45"/>
      <c r="H30" s="45"/>
      <c r="I30" s="45"/>
      <c r="J30" s="45"/>
      <c r="K30" s="45"/>
      <c r="L30" s="45"/>
      <c r="M30" s="45"/>
      <c r="N30" s="11"/>
      <c r="P30" s="8"/>
      <c r="R30" s="8"/>
    </row>
    <row r="31" spans="1:18" ht="12.75" customHeight="1" x14ac:dyDescent="0.2">
      <c r="A31" s="11"/>
      <c r="B31" s="11"/>
      <c r="C31" s="11"/>
      <c r="D31" s="11"/>
      <c r="E31" s="11"/>
      <c r="F31" s="45"/>
      <c r="G31" s="45"/>
      <c r="H31" s="45"/>
      <c r="I31" s="45"/>
      <c r="J31" s="45"/>
      <c r="K31" s="45"/>
      <c r="L31" s="45"/>
      <c r="M31" s="45"/>
      <c r="N31" s="11"/>
      <c r="P31" s="8"/>
      <c r="R31" s="8"/>
    </row>
    <row r="32" spans="1:18" ht="12.75" customHeight="1" x14ac:dyDescent="0.2">
      <c r="A32" s="44" t="s">
        <v>253</v>
      </c>
      <c r="B32" s="11"/>
      <c r="C32" s="11"/>
      <c r="D32" s="11"/>
      <c r="E32" s="11"/>
      <c r="F32" s="45"/>
      <c r="G32" s="45"/>
      <c r="H32" s="45"/>
      <c r="I32" s="45"/>
      <c r="J32" s="45"/>
      <c r="K32" s="45"/>
      <c r="L32" s="45"/>
      <c r="M32" s="45"/>
      <c r="N32" s="11"/>
      <c r="P32" s="8"/>
      <c r="R32" s="8"/>
    </row>
    <row r="33" spans="1:29" ht="12.75" customHeight="1" x14ac:dyDescent="0.2">
      <c r="A33" s="9" t="s">
        <v>243</v>
      </c>
      <c r="B33" s="9" t="s">
        <v>254</v>
      </c>
      <c r="C33" s="9"/>
      <c r="D33" s="9" t="s">
        <v>255</v>
      </c>
      <c r="E33" s="9" t="s">
        <v>256</v>
      </c>
      <c r="F33" s="9" t="s">
        <v>257</v>
      </c>
      <c r="G33" s="9" t="s">
        <v>258</v>
      </c>
      <c r="I33" s="9" t="s">
        <v>259</v>
      </c>
      <c r="J33" s="9" t="s">
        <v>260</v>
      </c>
      <c r="M33" s="10"/>
      <c r="N33" s="9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spans="1:29" s="189" customFormat="1" ht="12.75" customHeight="1" x14ac:dyDescent="0.2">
      <c r="A34">
        <v>2017</v>
      </c>
      <c r="B34">
        <v>209</v>
      </c>
      <c r="C34">
        <v>204</v>
      </c>
      <c r="D34">
        <v>97.61</v>
      </c>
      <c r="E34">
        <v>4</v>
      </c>
      <c r="F34">
        <v>1.91</v>
      </c>
      <c r="H34">
        <v>0</v>
      </c>
      <c r="I34">
        <v>0</v>
      </c>
      <c r="K34"/>
      <c r="L34" s="10"/>
      <c r="M34" s="13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29" ht="12.75" customHeight="1" x14ac:dyDescent="0.2">
      <c r="A35" s="5">
        <v>2016</v>
      </c>
      <c r="B35">
        <f>COUNTIFS(data!$B$236:$B$3404,A35,data!$J$236:$J$3404,"capelin")</f>
        <v>40</v>
      </c>
      <c r="C35" s="56">
        <f>COUNTIFS(data!$B$236:$B$3404,A35,data!$J$236:$J$3404,"capelin",data!$K$236:$K$3404,"female")</f>
        <v>36</v>
      </c>
      <c r="D35" s="51">
        <f t="shared" ref="D35:D60" si="3">C35/B35*100</f>
        <v>90</v>
      </c>
      <c r="E35" s="57">
        <f>COUNTIFS(data!$B$236:$B$3404,A35,data!$J$236:$J$3404,"capelin",data!$K$236:$K$3404,"male")</f>
        <v>2</v>
      </c>
      <c r="F35" s="51">
        <f t="shared" ref="F35:F60" si="4">E35/B35*100</f>
        <v>5</v>
      </c>
      <c r="H35" s="57">
        <f>COUNTIFS(data!$B$236:$B$3404,A35,data!$J$236:$J$3404,"capelin",data!$K$236:$K$3404,"unknown")</f>
        <v>0</v>
      </c>
      <c r="I35" s="51">
        <f t="shared" ref="I35:I60" si="5">H35/B35*100</f>
        <v>0</v>
      </c>
      <c r="L35" s="10"/>
      <c r="M35" s="9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1:29" ht="12.75" customHeight="1" x14ac:dyDescent="0.2">
      <c r="A36" s="5">
        <v>2014</v>
      </c>
      <c r="B36">
        <f>COUNTIFS(data!$B$281:$B$3404,A36,data!$J$281:$J$3404,"capelin")</f>
        <v>92</v>
      </c>
      <c r="C36" s="56">
        <f>COUNTIFS(data!$B$281:$B$3404,A36,data!$J$281:$J$3404,"capelin",data!$K$281:$K$3404,"female")</f>
        <v>90</v>
      </c>
      <c r="D36" s="51">
        <f t="shared" si="3"/>
        <v>97.826086956521735</v>
      </c>
      <c r="E36" s="57">
        <f>COUNTIFS(data!$B$281:$B$3404,A36,data!$J$281:$J$3404,"capelin",data!$K$281:$K$3404,"male")</f>
        <v>0</v>
      </c>
      <c r="F36" s="51">
        <f t="shared" si="4"/>
        <v>0</v>
      </c>
      <c r="H36" s="58">
        <f>COUNTIFS(data!$B$281:$B$3404,A36,data!$J$281:$J$3404,"capelin",data!$K$281:$K$3404,"unknown")</f>
        <v>2</v>
      </c>
      <c r="I36" s="52">
        <f t="shared" si="5"/>
        <v>2.1739130434782608</v>
      </c>
      <c r="L36" s="10"/>
      <c r="M36" s="9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1:29" ht="12.75" customHeight="1" x14ac:dyDescent="0.2">
      <c r="A37" s="11">
        <v>2013</v>
      </c>
      <c r="B37" s="45">
        <f>COUNTIFS(data!$B$373:$B$3404,A37,data!$J$373:$J$3404,"capelin")</f>
        <v>75</v>
      </c>
      <c r="C37" s="15">
        <f>COUNTIFS(data!$B$373:$B$3404,A37,data!$J$373:$J$3404,"capelin",data!$K$373:$K$3404,"female")</f>
        <v>70</v>
      </c>
      <c r="D37" s="51">
        <f t="shared" si="3"/>
        <v>93.333333333333329</v>
      </c>
      <c r="E37" s="11">
        <f>COUNTIFS(data!$B$373:$B$3404,A37,data!$J$373:$J$3404,"capelin",data!$K$373:$K$3404,"male")</f>
        <v>2</v>
      </c>
      <c r="F37" s="51">
        <f t="shared" si="4"/>
        <v>2.666666666666667</v>
      </c>
      <c r="H37" s="11">
        <f>COUNTIFS(data!$B$373:$B$3404,A37,data!$J$373:$J$3404,"capelin",data!$K$373:$K$3404,"unknown")</f>
        <v>3</v>
      </c>
      <c r="I37" s="51">
        <f t="shared" si="5"/>
        <v>4</v>
      </c>
      <c r="L37" s="10"/>
      <c r="M37" s="9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1:29" ht="12.75" customHeight="1" x14ac:dyDescent="0.2">
      <c r="A38" s="11">
        <v>2012</v>
      </c>
      <c r="B38" s="45">
        <f>COUNTIFS(data!$B$453:$B$3404,A38,data!$J$453:$J$3404,"capelin")</f>
        <v>113</v>
      </c>
      <c r="C38" s="15">
        <f>COUNTIFS(data!$B$453:$B$3404,A38,data!$J$453:$J$3404,"capelin",data!$K$453:$K$3404,"female")</f>
        <v>104</v>
      </c>
      <c r="D38" s="51">
        <f t="shared" si="3"/>
        <v>92.035398230088489</v>
      </c>
      <c r="E38" s="11">
        <f>COUNTIFS(data!$B$453:$B$3404,A38,data!$J$453:$J$3404,"capelin",data!$K$453:$K$3404,"male")</f>
        <v>2</v>
      </c>
      <c r="F38" s="51">
        <f t="shared" si="4"/>
        <v>1.7699115044247788</v>
      </c>
      <c r="H38" s="11">
        <f>COUNTIFS(data!$B$453:$B$3404,A38,data!$J$453:$J$3404,"capelin",data!$K$453:$K$3404,"unknown")</f>
        <v>7</v>
      </c>
      <c r="I38" s="51">
        <f t="shared" si="5"/>
        <v>6.1946902654867255</v>
      </c>
      <c r="L38" s="8"/>
      <c r="M38" s="11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9" ht="12.75" customHeight="1" x14ac:dyDescent="0.2">
      <c r="A39" s="11">
        <v>2011</v>
      </c>
      <c r="B39" s="45">
        <f>COUNTIFS(data!$B$453:$B$3404,A39,data!$J$453:$J$3404,"capelin")</f>
        <v>126</v>
      </c>
      <c r="C39" s="15">
        <f>COUNTIFS(data!$B$453:$B$3404,A39,data!$J$453:$J$3404,"capelin",data!$K$453:$K$3404,"female")+1</f>
        <v>92</v>
      </c>
      <c r="D39" s="51">
        <f t="shared" si="3"/>
        <v>73.015873015873012</v>
      </c>
      <c r="E39" s="11">
        <f>COUNTIFS(data!$B$453:$B$3404,A39,data!$J$453:$J$3404,"capelin",data!$K$453:$K$3404,"male")</f>
        <v>35</v>
      </c>
      <c r="F39" s="51">
        <f t="shared" si="4"/>
        <v>27.777777777777779</v>
      </c>
      <c r="H39" s="11">
        <f>COUNTIFS(data!$B$453:$B$3404,A39,data!$J$453:$J$3404,"capelin",data!$K$453:$K$3404,"unknown")</f>
        <v>0</v>
      </c>
      <c r="I39" s="51">
        <f t="shared" si="5"/>
        <v>0</v>
      </c>
      <c r="L39" s="45"/>
      <c r="M39" s="11"/>
      <c r="O39" s="8"/>
      <c r="Q39" s="8"/>
    </row>
    <row r="40" spans="1:29" ht="12.75" customHeight="1" x14ac:dyDescent="0.2">
      <c r="A40" s="11">
        <v>2010</v>
      </c>
      <c r="B40" s="45">
        <f>COUNTIFS(data!$B$453:$B$3404,A40,data!$J$453:$J$3404,"capelin")</f>
        <v>34</v>
      </c>
      <c r="C40" s="15">
        <f>COUNTIFS(data!$B$453:$B$3404,A40,data!$J$453:$J$3404,"capelin",data!$K$453:$K$3404,"female")</f>
        <v>27</v>
      </c>
      <c r="D40" s="51">
        <f t="shared" si="3"/>
        <v>79.411764705882348</v>
      </c>
      <c r="E40" s="11">
        <f>COUNTIFS(data!$B$453:$B$3404,A40,data!$J$453:$J$3404,"capelin",data!$K$453:$K$3404,"male")</f>
        <v>7</v>
      </c>
      <c r="F40" s="51">
        <f t="shared" si="4"/>
        <v>20.588235294117645</v>
      </c>
      <c r="H40" s="11">
        <f>COUNTIFS(data!$B$453:$B$3404,A40,data!$J$453:$J$3404,"capelin",data!$K$453:$K$3404,"unknown")</f>
        <v>0</v>
      </c>
      <c r="I40" s="51">
        <f t="shared" si="5"/>
        <v>0</v>
      </c>
      <c r="L40" s="45"/>
      <c r="M40" s="11"/>
      <c r="O40" s="8"/>
      <c r="Q40" s="8"/>
    </row>
    <row r="41" spans="1:29" ht="12.75" customHeight="1" x14ac:dyDescent="0.2">
      <c r="A41" s="11">
        <v>2009</v>
      </c>
      <c r="B41" s="45">
        <f>COUNTIFS(data!$B$453:$B$3404,A41,data!$J$453:$J$3404,"capelin")</f>
        <v>70</v>
      </c>
      <c r="C41" s="15">
        <f>COUNTIFS(data!$B$453:$B$3404,A41,data!$J$453:$J$3404,"capelin",data!$K$453:$K$3404,"female")</f>
        <v>58</v>
      </c>
      <c r="D41" s="51">
        <f t="shared" si="3"/>
        <v>82.857142857142861</v>
      </c>
      <c r="E41" s="11">
        <f>COUNTIFS(data!$B$453:$B$3404,A41,data!$J$453:$J$3404,"capelin",data!$K$453:$K$3404,"male")</f>
        <v>0</v>
      </c>
      <c r="F41" s="51">
        <f t="shared" si="4"/>
        <v>0</v>
      </c>
      <c r="H41" s="11">
        <f>COUNTIFS(data!$B$453:$B$3404,A41,data!$J$453:$J$3404,"capelin",data!$K$453:$K$3404,"unknown")</f>
        <v>12</v>
      </c>
      <c r="I41" s="51">
        <f t="shared" si="5"/>
        <v>17.142857142857142</v>
      </c>
      <c r="L41" s="45"/>
      <c r="M41" s="11"/>
      <c r="O41" s="8"/>
      <c r="Q41" s="8"/>
    </row>
    <row r="42" spans="1:29" ht="12.75" customHeight="1" x14ac:dyDescent="0.2">
      <c r="A42" s="11">
        <v>2008</v>
      </c>
      <c r="B42" s="45">
        <f>COUNTIFS(data!$B$453:$B$3404,A42,data!$J$453:$J$3404,"capelin")</f>
        <v>101</v>
      </c>
      <c r="C42" s="15">
        <f>COUNTIFS(data!$B$453:$B$3404,A42,data!$J$453:$J$3404,"capelin",data!$K$453:$K$3404,"female")</f>
        <v>101</v>
      </c>
      <c r="D42" s="51">
        <f t="shared" si="3"/>
        <v>100</v>
      </c>
      <c r="E42" s="11">
        <f>COUNTIFS(data!$B$453:$B$3404,A42,data!$J$453:$J$3404,"capelin",data!$K$453:$K$3404,"male")</f>
        <v>0</v>
      </c>
      <c r="F42" s="51">
        <f t="shared" si="4"/>
        <v>0</v>
      </c>
      <c r="H42" s="11">
        <f>COUNTIFS(data!$B$453:$B$3404,A42,data!$J$453:$J$3404,"capelin",data!$K$453:$K$3404,"unknown")</f>
        <v>0</v>
      </c>
      <c r="I42" s="51">
        <f t="shared" si="5"/>
        <v>0</v>
      </c>
      <c r="L42" s="45"/>
      <c r="M42" s="11"/>
      <c r="O42" s="8"/>
      <c r="Q42" s="8"/>
    </row>
    <row r="43" spans="1:29" ht="12.75" customHeight="1" x14ac:dyDescent="0.2">
      <c r="A43" s="11">
        <v>2007</v>
      </c>
      <c r="B43" s="45">
        <f>COUNTIFS(data!$B$453:$B$3404,A43,data!$J$453:$J$3404,"capelin")</f>
        <v>150</v>
      </c>
      <c r="C43" s="15">
        <f>COUNTIFS(data!$B$453:$B$3404,A43,data!$J$453:$J$3404,"capelin",data!$K$453:$K$3404,"female")</f>
        <v>149</v>
      </c>
      <c r="D43" s="51">
        <f t="shared" si="3"/>
        <v>99.333333333333329</v>
      </c>
      <c r="E43" s="11">
        <f>COUNTIFS(data!$B$453:$B$3404,A43,data!$J$453:$J$3404,"capelin",data!$K$453:$K$3404,"male")</f>
        <v>1</v>
      </c>
      <c r="F43" s="51">
        <f t="shared" si="4"/>
        <v>0.66666666666666674</v>
      </c>
      <c r="H43" s="11">
        <f>COUNTIFS(data!$B$453:$B$3404,A43,data!$J$453:$J$3404,"capelin",data!$K$453:$K$3404,"unknown")</f>
        <v>0</v>
      </c>
      <c r="I43" s="51">
        <f t="shared" si="5"/>
        <v>0</v>
      </c>
      <c r="L43" s="45"/>
      <c r="M43" s="11"/>
      <c r="O43" s="8"/>
      <c r="Q43" s="8"/>
    </row>
    <row r="44" spans="1:29" ht="12.75" customHeight="1" x14ac:dyDescent="0.2">
      <c r="A44" s="11">
        <v>2006</v>
      </c>
      <c r="B44" s="45">
        <f>COUNTIFS(data!$B$453:$B$3404,A44,data!$J$453:$J$3404,"capelin")</f>
        <v>28</v>
      </c>
      <c r="C44" s="15">
        <f>COUNTIFS(data!$B$453:$B$3404,A44,data!$J$453:$J$3404,"capelin",data!$K$453:$K$3404,"female")</f>
        <v>24</v>
      </c>
      <c r="D44" s="51">
        <f t="shared" si="3"/>
        <v>85.714285714285708</v>
      </c>
      <c r="E44" s="11">
        <f>COUNTIFS(data!$B$453:$B$3404,A44,data!$J$453:$J$3404,"capelin",data!$K$453:$K$3404,"male")</f>
        <v>2</v>
      </c>
      <c r="F44" s="51">
        <f t="shared" si="4"/>
        <v>7.1428571428571423</v>
      </c>
      <c r="H44" s="11">
        <f>COUNTIFS(data!$B$453:$B$3404,A44,data!$J$453:$J$3404,"capelin",data!$K$453:$K$3404,"unknown")</f>
        <v>2</v>
      </c>
      <c r="I44" s="51">
        <f t="shared" si="5"/>
        <v>7.1428571428571423</v>
      </c>
      <c r="L44" s="45"/>
      <c r="M44" s="11"/>
      <c r="O44" s="8"/>
      <c r="Q44" s="8"/>
    </row>
    <row r="45" spans="1:29" ht="12.75" customHeight="1" x14ac:dyDescent="0.2">
      <c r="A45" s="11">
        <v>2005</v>
      </c>
      <c r="B45" s="45">
        <f>COUNTIFS(data!$B$453:$B$3404,A45,data!$J$453:$J$3404,"capelin")</f>
        <v>110</v>
      </c>
      <c r="C45" s="15">
        <f>COUNTIFS(data!$B$453:$B$3404,A45,data!$J$453:$J$3404,"capelin",data!$K$453:$K$3404,"female")</f>
        <v>104</v>
      </c>
      <c r="D45" s="51">
        <f t="shared" si="3"/>
        <v>94.545454545454547</v>
      </c>
      <c r="E45" s="11">
        <f>COUNTIFS(data!$B$453:$B$3404,A45,data!$J$453:$J$3404,"capelin",data!$K$453:$K$3404,"male")</f>
        <v>4</v>
      </c>
      <c r="F45" s="51">
        <f t="shared" si="4"/>
        <v>3.6363636363636362</v>
      </c>
      <c r="H45" s="11">
        <f>COUNTIFS(data!$B$453:$B$3404,A45,data!$J$453:$J$3404,"capelin",data!$K$453:$K$3404,"unknown")</f>
        <v>2</v>
      </c>
      <c r="I45" s="51">
        <f t="shared" si="5"/>
        <v>1.8181818181818181</v>
      </c>
      <c r="L45" s="45"/>
      <c r="M45" s="11"/>
      <c r="O45" s="8"/>
      <c r="Q45" s="8"/>
    </row>
    <row r="46" spans="1:29" ht="12.75" customHeight="1" x14ac:dyDescent="0.2">
      <c r="A46" s="11">
        <v>2004</v>
      </c>
      <c r="B46" s="45">
        <f>COUNTIFS(data!$B$453:$B$3404,A46,data!$J$453:$J$3404,"capelin")</f>
        <v>161</v>
      </c>
      <c r="C46" s="15">
        <f>COUNTIFS(data!$B$453:$B$3404,A46,data!$J$453:$J$3404,"capelin",data!$K$453:$K$3404,"female")</f>
        <v>158</v>
      </c>
      <c r="D46" s="51">
        <f t="shared" si="3"/>
        <v>98.136645962732914</v>
      </c>
      <c r="E46" s="11">
        <f>COUNTIFS(data!$B$453:$B$3404,A46,data!$J$453:$J$3404,"capelin",data!$K$453:$K$3404,"male")</f>
        <v>1</v>
      </c>
      <c r="F46" s="51">
        <f t="shared" si="4"/>
        <v>0.6211180124223602</v>
      </c>
      <c r="H46" s="11">
        <f>COUNTIFS(data!$B$453:$B$3404,A46,data!$J$453:$J$3404,"capelin",data!$K$453:$K$3404,"unknown")</f>
        <v>2</v>
      </c>
      <c r="I46" s="51">
        <f t="shared" si="5"/>
        <v>1.2422360248447204</v>
      </c>
      <c r="L46" s="45"/>
      <c r="M46" s="11"/>
      <c r="O46" s="8"/>
      <c r="Q46" s="8"/>
    </row>
    <row r="47" spans="1:29" ht="12.75" customHeight="1" x14ac:dyDescent="0.2">
      <c r="A47" s="11">
        <v>2003</v>
      </c>
      <c r="B47" s="45">
        <f>COUNTIFS(data!$B$453:$B$3404,A47,data!$J$453:$J$3404,"capelin")</f>
        <v>79</v>
      </c>
      <c r="C47" s="15">
        <f>COUNTIFS(data!$B$453:$B$3404,A47,data!$J$453:$J$3404,"capelin",data!$K$453:$K$3404,"female")</f>
        <v>73</v>
      </c>
      <c r="D47" s="51">
        <f t="shared" si="3"/>
        <v>92.405063291139243</v>
      </c>
      <c r="E47" s="11">
        <f>COUNTIFS(data!$B$453:$B$3404,A47,data!$J$453:$J$3404,"capelin",data!$K$453:$K$3404,"male")</f>
        <v>6</v>
      </c>
      <c r="F47" s="51">
        <f t="shared" si="4"/>
        <v>7.59493670886076</v>
      </c>
      <c r="H47" s="11">
        <f>COUNTIFS(data!$B$453:$B$3404,A47,data!$J$453:$J$3404,"capelin",data!$K$453:$K$3404,"unknown")</f>
        <v>0</v>
      </c>
      <c r="I47" s="51">
        <f t="shared" si="5"/>
        <v>0</v>
      </c>
      <c r="L47" s="45"/>
      <c r="M47" s="11"/>
      <c r="O47" s="8"/>
      <c r="Q47" s="8"/>
    </row>
    <row r="48" spans="1:29" ht="12.75" customHeight="1" x14ac:dyDescent="0.2">
      <c r="A48" s="11">
        <v>2002</v>
      </c>
      <c r="B48" s="45">
        <f>COUNTIFS(data!$B$453:$B$3404,A48,data!$J$453:$J$3404,"capelin")</f>
        <v>270</v>
      </c>
      <c r="C48" s="15">
        <f>COUNTIFS(data!$B$453:$B$3404,A48,data!$J$453:$J$3404,"capelin",data!$K$453:$K$3404,"female")</f>
        <v>261</v>
      </c>
      <c r="D48" s="51">
        <f t="shared" si="3"/>
        <v>96.666666666666671</v>
      </c>
      <c r="E48" s="11">
        <f>COUNTIFS(data!$B$453:$B$3404,A48,data!$J$453:$J$3404,"capelin",data!$K$453:$K$3404,"male")</f>
        <v>9</v>
      </c>
      <c r="F48" s="51">
        <f t="shared" si="4"/>
        <v>3.3333333333333335</v>
      </c>
      <c r="H48" s="11">
        <f>COUNTIFS(data!$B$453:$B$3404,A48,data!$J$453:$J$3404,"capelin",data!$K$453:$K$3404,"unknown")</f>
        <v>0</v>
      </c>
      <c r="I48" s="51">
        <f t="shared" si="5"/>
        <v>0</v>
      </c>
      <c r="L48" s="45"/>
      <c r="M48" s="11"/>
      <c r="O48" s="8"/>
      <c r="Q48" s="8"/>
    </row>
    <row r="49" spans="1:32" ht="12.75" customHeight="1" x14ac:dyDescent="0.2">
      <c r="A49" s="11">
        <v>2001</v>
      </c>
      <c r="B49" s="45">
        <f>COUNTIFS(data!$B$453:$B$3404,A49,data!$J$453:$J$3404,"capelin")</f>
        <v>117</v>
      </c>
      <c r="C49" s="15">
        <f>COUNTIFS(data!$B$453:$B$3404,A49,data!$J$453:$J$3404,"capelin",data!$K$453:$K$3404,"female")</f>
        <v>116</v>
      </c>
      <c r="D49" s="51">
        <f t="shared" si="3"/>
        <v>99.145299145299148</v>
      </c>
      <c r="E49" s="11">
        <f>COUNTIFS(data!$B$453:$B$3404,A49,data!$J$453:$J$3404,"capelin",data!$K$453:$K$3404,"male")</f>
        <v>1</v>
      </c>
      <c r="F49" s="51">
        <f t="shared" si="4"/>
        <v>0.85470085470085477</v>
      </c>
      <c r="H49" s="11">
        <f>COUNTIFS(data!$B$453:$B$3404,A49,data!$J$453:$J$3404,"capelin",data!$K$453:$K$3404,"unknown")</f>
        <v>0</v>
      </c>
      <c r="I49" s="51">
        <f t="shared" si="5"/>
        <v>0</v>
      </c>
      <c r="L49" s="45"/>
      <c r="M49" s="11"/>
      <c r="O49" s="8"/>
      <c r="Q49" s="8"/>
    </row>
    <row r="50" spans="1:32" ht="12.75" customHeight="1" x14ac:dyDescent="0.2">
      <c r="A50" s="11">
        <v>2000</v>
      </c>
      <c r="B50" s="45">
        <f>COUNTIFS(data!$B$453:$B$3404,A50,data!$J$453:$J$3404,"capelin")</f>
        <v>159</v>
      </c>
      <c r="C50" s="15">
        <f>COUNTIFS(data!$B$453:$B$3404,A50,data!$J$453:$J$3404,"capelin",data!$K$453:$K$3404,"female")</f>
        <v>135</v>
      </c>
      <c r="D50" s="51">
        <f t="shared" si="3"/>
        <v>84.905660377358487</v>
      </c>
      <c r="E50" s="11">
        <f>COUNTIFS(data!$B$453:$B$3404,A50,data!$J$453:$J$3404,"capelin",data!$K$453:$K$3404,"male")</f>
        <v>3</v>
      </c>
      <c r="F50" s="51">
        <f t="shared" si="4"/>
        <v>1.8867924528301887</v>
      </c>
      <c r="H50" s="11">
        <f>COUNTIFS(data!$B$453:$B$3404,A50,data!$J$453:$J$3404,"capelin",data!$K$453:$K$3404,"unknown")</f>
        <v>21</v>
      </c>
      <c r="I50" s="51">
        <f t="shared" si="5"/>
        <v>13.20754716981132</v>
      </c>
      <c r="L50" s="45"/>
      <c r="M50" s="11"/>
      <c r="O50" s="8"/>
      <c r="Q50" s="8"/>
    </row>
    <row r="51" spans="1:32" ht="12.75" customHeight="1" x14ac:dyDescent="0.2">
      <c r="A51" s="11">
        <v>1999</v>
      </c>
      <c r="B51" s="45">
        <f>COUNTIFS(data!$B$453:$B$3404,A51,data!$J$453:$J$3404,"capelin")</f>
        <v>61</v>
      </c>
      <c r="C51" s="15">
        <f>COUNTIFS(data!$B$453:$B$3404,A51,data!$J$453:$J$3404,"capelin",data!$K$453:$K$3404,"female")</f>
        <v>60</v>
      </c>
      <c r="D51" s="51">
        <f t="shared" si="3"/>
        <v>98.360655737704917</v>
      </c>
      <c r="E51" s="11">
        <f>COUNTIFS(data!$B$453:$B$3404,A51,data!$J$453:$J$3404,"capelin",data!$K$453:$K$3404,"male")</f>
        <v>0</v>
      </c>
      <c r="F51" s="51">
        <f t="shared" si="4"/>
        <v>0</v>
      </c>
      <c r="H51" s="11">
        <f>COUNTIFS(data!$B$453:$B$3404,A51,data!$J$453:$J$3404,"capelin",data!$K$453:$K$3404,"unknown")</f>
        <v>1</v>
      </c>
      <c r="I51" s="51">
        <f t="shared" si="5"/>
        <v>1.639344262295082</v>
      </c>
      <c r="L51" s="45"/>
      <c r="M51" s="11"/>
      <c r="O51" s="8"/>
      <c r="Q51" s="8"/>
    </row>
    <row r="52" spans="1:32" ht="12.75" customHeight="1" x14ac:dyDescent="0.2">
      <c r="A52" s="11">
        <v>1998</v>
      </c>
      <c r="B52" s="45">
        <f>COUNTIFS(data!$B$453:$B$3404,A52,data!$J$453:$J$3404,"capelin")</f>
        <v>96</v>
      </c>
      <c r="C52" s="15">
        <f>COUNTIFS(data!$B$453:$B$3404,A52,data!$J$453:$J$3404,"capelin",data!$K$453:$K$3404,"female")</f>
        <v>87</v>
      </c>
      <c r="D52" s="51">
        <f t="shared" si="3"/>
        <v>90.625</v>
      </c>
      <c r="E52" s="11">
        <f>COUNTIFS(data!$B$453:$B$3404,A52,data!$J$453:$J$3404,"capelin",data!$K$453:$K$3404,"male")</f>
        <v>4</v>
      </c>
      <c r="F52" s="51">
        <f t="shared" si="4"/>
        <v>4.1666666666666661</v>
      </c>
      <c r="H52" s="11">
        <f>COUNTIFS(data!$B$453:$B$3404,A52,data!$J$453:$J$3404,"capelin",data!$K$453:$K$3404,"unknown")</f>
        <v>5</v>
      </c>
      <c r="I52" s="51">
        <f t="shared" si="5"/>
        <v>5.2083333333333339</v>
      </c>
      <c r="L52" s="45"/>
      <c r="M52" s="11"/>
      <c r="O52" s="8"/>
      <c r="Q52" s="8"/>
    </row>
    <row r="53" spans="1:32" ht="12.75" customHeight="1" x14ac:dyDescent="0.2">
      <c r="A53" s="11">
        <v>1997</v>
      </c>
      <c r="B53" s="45">
        <f>COUNTIFS(data!$B$453:$B$3404,A53,data!$J$453:$J$3404,"capelin")</f>
        <v>323</v>
      </c>
      <c r="C53" s="15">
        <f>COUNTIFS(data!$B$453:$B$3404,A53,data!$J$453:$J$3404,"capelin",data!$K$453:$K$3404,"female")</f>
        <v>290</v>
      </c>
      <c r="D53" s="51">
        <f t="shared" si="3"/>
        <v>89.783281733746136</v>
      </c>
      <c r="E53" s="11">
        <f>COUNTIFS(data!$B$453:$B$3404,A53,data!$J$453:$J$3404,"capelin",data!$K$453:$K$3404,"male")</f>
        <v>32</v>
      </c>
      <c r="F53" s="51">
        <f t="shared" si="4"/>
        <v>9.9071207430340564</v>
      </c>
      <c r="H53" s="11">
        <f>COUNTIFS(data!$B$453:$B$3404,A53,data!$J$453:$J$3404,"capelin",data!$K$453:$K$3404,"unknown")</f>
        <v>1</v>
      </c>
      <c r="I53" s="51">
        <f t="shared" si="5"/>
        <v>0.30959752321981426</v>
      </c>
      <c r="L53" s="45"/>
      <c r="M53" s="11"/>
      <c r="O53" s="8"/>
      <c r="Q53" s="8"/>
    </row>
    <row r="54" spans="1:32" ht="12.75" customHeight="1" x14ac:dyDescent="0.2">
      <c r="A54" s="11">
        <v>1996</v>
      </c>
      <c r="B54" s="45">
        <f>COUNTIFS(data!$B$453:$B$3404,A54,data!$J$453:$J$3404,"capelin")</f>
        <v>81</v>
      </c>
      <c r="C54" s="15">
        <f>COUNTIFS(data!$B$453:$B$3404,A54,data!$J$453:$J$3404,"capelin",data!$K$453:$K$3404,"female")</f>
        <v>78</v>
      </c>
      <c r="D54" s="51">
        <f t="shared" si="3"/>
        <v>96.296296296296291</v>
      </c>
      <c r="E54" s="11">
        <f>COUNTIFS(data!$B$453:$B$3404,A54,data!$J$453:$J$3404,"capelin",data!$K$453:$K$3404,"male")</f>
        <v>1</v>
      </c>
      <c r="F54" s="51">
        <f t="shared" si="4"/>
        <v>1.2345679012345678</v>
      </c>
      <c r="H54" s="11">
        <f>COUNTIFS(data!$B$453:$B$3404,A54,data!$J$453:$J$3404,"capelin",data!$K$453:$K$3404,"unknown")</f>
        <v>2</v>
      </c>
      <c r="I54" s="51">
        <f t="shared" si="5"/>
        <v>2.4691358024691357</v>
      </c>
      <c r="L54" s="45"/>
      <c r="M54" s="11"/>
      <c r="O54" s="8"/>
      <c r="Q54" s="8"/>
    </row>
    <row r="55" spans="1:32" ht="12.75" customHeight="1" x14ac:dyDescent="0.2">
      <c r="A55" s="11">
        <v>1995</v>
      </c>
      <c r="B55" s="45">
        <f>COUNTIFS(data!$B$453:$B$3404,A55,data!$J$453:$J$3404,"capelin")</f>
        <v>151</v>
      </c>
      <c r="C55" s="15">
        <f>COUNTIFS(data!$B$453:$B$3404,A55,data!$J$453:$J$3404,"capelin",data!$K$453:$K$3404,"female")</f>
        <v>118</v>
      </c>
      <c r="D55" s="51">
        <f t="shared" si="3"/>
        <v>78.145695364238406</v>
      </c>
      <c r="E55" s="11">
        <f>COUNTIFS(data!$B$453:$B$3404,A55,data!$J$453:$J$3404,"capelin",data!$K$453:$K$3404,"male")</f>
        <v>19</v>
      </c>
      <c r="F55" s="51">
        <f t="shared" si="4"/>
        <v>12.582781456953644</v>
      </c>
      <c r="H55" s="11">
        <f>COUNTIFS(data!$B$453:$B$3404,A55,data!$J$453:$J$3404,"capelin",data!$K$453:$K$3404,"unknown")</f>
        <v>14</v>
      </c>
      <c r="I55" s="51">
        <f t="shared" si="5"/>
        <v>9.2715231788079464</v>
      </c>
      <c r="L55" s="45"/>
      <c r="M55" s="11"/>
      <c r="O55" s="8"/>
      <c r="Q55" s="8"/>
    </row>
    <row r="56" spans="1:32" ht="12.75" customHeight="1" x14ac:dyDescent="0.2">
      <c r="A56" s="11">
        <v>1994</v>
      </c>
      <c r="B56" s="45">
        <f>COUNTIFS(data!$B$453:$B$3404,A56,data!$J$453:$J$3404,"capelin")</f>
        <v>96</v>
      </c>
      <c r="C56" s="15">
        <f>COUNTIFS(data!$B$453:$B$3404,A56,data!$J$453:$J$3404,"capelin",data!$K$453:$K$3404,"female")</f>
        <v>77</v>
      </c>
      <c r="D56" s="51">
        <f t="shared" si="3"/>
        <v>80.208333333333343</v>
      </c>
      <c r="E56" s="11">
        <f>COUNTIFS(data!$B$453:$B$3404,A56,data!$J$453:$J$3404,"capelin",data!$K$453:$K$3404,"male")</f>
        <v>16</v>
      </c>
      <c r="F56" s="51">
        <f t="shared" si="4"/>
        <v>16.666666666666664</v>
      </c>
      <c r="H56" s="11">
        <f>COUNTIFS(data!$B$453:$B$3404,A56,data!$J$453:$J$3404,"capelin",data!$K$453:$K$3404,"unknown")</f>
        <v>3</v>
      </c>
      <c r="I56" s="51">
        <f t="shared" si="5"/>
        <v>3.125</v>
      </c>
      <c r="L56" s="45"/>
      <c r="M56" s="11"/>
      <c r="O56" s="8"/>
      <c r="Q56" s="8"/>
    </row>
    <row r="57" spans="1:32" ht="12.75" customHeight="1" x14ac:dyDescent="0.2">
      <c r="A57" s="11">
        <v>1993</v>
      </c>
      <c r="B57" s="45">
        <f>COUNTIFS(data!$B$453:$B$3404,A57,data!$J$453:$J$3404,"capelin")</f>
        <v>150</v>
      </c>
      <c r="C57" s="15">
        <f>COUNTIFS(data!$B$453:$B$3404,A57,data!$J$453:$J$3404,"capelin",data!$K$453:$K$3404,"female")</f>
        <v>136</v>
      </c>
      <c r="D57" s="51">
        <f t="shared" si="3"/>
        <v>90.666666666666657</v>
      </c>
      <c r="E57" s="11">
        <f>COUNTIFS(data!$B$453:$B$3404,A57,data!$J$453:$J$3404,"capelin",data!$K$453:$K$3404,"male")</f>
        <v>12</v>
      </c>
      <c r="F57" s="51">
        <f t="shared" si="4"/>
        <v>8</v>
      </c>
      <c r="H57" s="11">
        <f>COUNTIFS(data!$B$453:$B$3404,A57,data!$J$453:$J$3404,"capelin",data!$K$453:$K$3404,"unknown")</f>
        <v>2</v>
      </c>
      <c r="I57" s="51">
        <f t="shared" si="5"/>
        <v>1.3333333333333335</v>
      </c>
      <c r="L57" s="45"/>
      <c r="M57" s="11"/>
      <c r="O57" s="8"/>
      <c r="Q57" s="8"/>
    </row>
    <row r="58" spans="1:32" ht="12.75" customHeight="1" x14ac:dyDescent="0.2">
      <c r="A58" s="11">
        <v>1992</v>
      </c>
      <c r="B58" s="45">
        <f>COUNTIFS(data!$B$453:$B$3404,A58,data!$J$453:$J$3404,"capelin")</f>
        <v>158</v>
      </c>
      <c r="C58" s="15">
        <f>COUNTIFS(data!$B$453:$B$3404,A58,data!$J$453:$J$3404,"capelin",data!$K$453:$K$3404,"female")</f>
        <v>119</v>
      </c>
      <c r="D58" s="51">
        <f t="shared" si="3"/>
        <v>75.316455696202539</v>
      </c>
      <c r="E58" s="11">
        <f>COUNTIFS(data!$B$453:$B$3404,A58,data!$J$453:$J$3404,"capelin",data!$K$453:$K$3404,"male")</f>
        <v>19</v>
      </c>
      <c r="F58" s="51">
        <f t="shared" si="4"/>
        <v>12.025316455696203</v>
      </c>
      <c r="H58" s="11">
        <f>COUNTIFS(data!$B$453:$B$3404,A58,data!$J$453:$J$3404,"capelin",data!$K$453:$K$3404,"unknown")</f>
        <v>20</v>
      </c>
      <c r="I58" s="51">
        <f t="shared" si="5"/>
        <v>12.658227848101266</v>
      </c>
      <c r="L58" s="45"/>
      <c r="M58" s="11"/>
      <c r="O58" s="8"/>
      <c r="Q58" s="8"/>
    </row>
    <row r="59" spans="1:32" ht="12.75" customHeight="1" x14ac:dyDescent="0.2">
      <c r="A59" s="11">
        <v>1991</v>
      </c>
      <c r="B59" s="45">
        <f>COUNTIFS(data!$B$453:$B$3404,A59,data!$J$453:$J$3404,"capelin")</f>
        <v>47</v>
      </c>
      <c r="C59" s="15">
        <f>COUNTIFS(data!$B$453:$B$3404,A59,data!$J$453:$J$3404,"capelin",data!$K$453:$K$3404,"female")</f>
        <v>45</v>
      </c>
      <c r="D59" s="51">
        <f t="shared" si="3"/>
        <v>95.744680851063833</v>
      </c>
      <c r="E59" s="11">
        <f>COUNTIFS(data!$B$453:$B$3404,A59,data!$J$453:$J$3404,"capelin",data!$K$453:$K$3404,"male")</f>
        <v>2</v>
      </c>
      <c r="F59" s="51">
        <f t="shared" si="4"/>
        <v>4.2553191489361701</v>
      </c>
      <c r="H59" s="11">
        <f>COUNTIFS(data!$B$453:$B$3404,A59,data!$J$453:$J$3404,"capelin",data!$K$453:$K$3404,"unknown")</f>
        <v>0</v>
      </c>
      <c r="I59" s="51">
        <f t="shared" si="5"/>
        <v>0</v>
      </c>
      <c r="L59" s="45"/>
      <c r="M59" s="11"/>
      <c r="O59" s="8"/>
      <c r="Q59" s="8"/>
    </row>
    <row r="60" spans="1:32" ht="12.75" customHeight="1" x14ac:dyDescent="0.2">
      <c r="A60" s="11">
        <v>1990</v>
      </c>
      <c r="B60" s="45">
        <f>COUNTIFS(data!$B$453:$B$3404,A60,data!$J$453:$J$3404,"capelin")</f>
        <v>55</v>
      </c>
      <c r="C60" s="15">
        <f>COUNTIFS(data!$B$453:$B$3404,A60,data!$J$453:$J$3404,"capelin",data!$K$453:$K$3404,"female")</f>
        <v>26</v>
      </c>
      <c r="D60" s="51">
        <f t="shared" si="3"/>
        <v>47.272727272727273</v>
      </c>
      <c r="E60" s="11">
        <f>COUNTIFS(data!$B$453:$B$3404,A60,data!$J$453:$J$3404,"capelin",data!$K$453:$K$3404,"male")</f>
        <v>5</v>
      </c>
      <c r="F60" s="51">
        <f t="shared" si="4"/>
        <v>9.0909090909090917</v>
      </c>
      <c r="H60" s="11">
        <f>COUNTIFS(data!$B$453:$B$3404,A60,data!$J$453:$J$3404,"capelin",data!$K$453:$K$3404,"unknown")</f>
        <v>24</v>
      </c>
      <c r="I60" s="51">
        <f t="shared" si="5"/>
        <v>43.636363636363633</v>
      </c>
      <c r="L60" s="45"/>
      <c r="M60" s="11"/>
      <c r="O60" s="8"/>
      <c r="Q60" s="8"/>
    </row>
    <row r="61" spans="1:32" ht="12.75" customHeight="1" x14ac:dyDescent="0.2">
      <c r="A61" s="11"/>
      <c r="B61" s="11"/>
      <c r="C61" s="11"/>
      <c r="D61" s="11"/>
      <c r="E61" s="11"/>
      <c r="F61" s="45"/>
      <c r="G61" s="45"/>
      <c r="H61" s="45"/>
      <c r="I61" s="45"/>
      <c r="J61" s="45"/>
      <c r="K61" s="45"/>
      <c r="L61" s="45"/>
      <c r="M61" s="45"/>
      <c r="N61" s="45"/>
      <c r="O61" s="11"/>
      <c r="P61" s="8"/>
      <c r="R61" s="8"/>
    </row>
    <row r="62" spans="1:32" ht="12.75" customHeight="1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1"/>
      <c r="P62" s="8"/>
      <c r="R62" s="8"/>
    </row>
    <row r="63" spans="1:32" ht="12.75" customHeight="1" x14ac:dyDescent="0.2">
      <c r="A63" s="59" t="s">
        <v>261</v>
      </c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1"/>
      <c r="P63" s="8"/>
      <c r="R63" s="8"/>
    </row>
    <row r="64" spans="1:32" ht="12.75" customHeight="1" x14ac:dyDescent="0.2">
      <c r="A64" s="60" t="s">
        <v>243</v>
      </c>
      <c r="B64" s="60" t="s">
        <v>262</v>
      </c>
      <c r="C64" s="61"/>
      <c r="D64" s="62" t="s">
        <v>263</v>
      </c>
      <c r="E64" s="62" t="s">
        <v>499</v>
      </c>
      <c r="F64" s="60" t="s">
        <v>264</v>
      </c>
      <c r="G64" s="62" t="s">
        <v>494</v>
      </c>
      <c r="H64" s="60" t="s">
        <v>265</v>
      </c>
      <c r="I64" s="62" t="s">
        <v>266</v>
      </c>
      <c r="J64" s="62" t="s">
        <v>495</v>
      </c>
      <c r="K64" s="62" t="s">
        <v>267</v>
      </c>
      <c r="L64" s="206" t="s">
        <v>496</v>
      </c>
      <c r="M64" s="63"/>
      <c r="N64" s="63"/>
      <c r="O64" s="59" t="s">
        <v>268</v>
      </c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</row>
    <row r="65" spans="1:32" s="189" customFormat="1" ht="12.75" customHeight="1" x14ac:dyDescent="0.2">
      <c r="A65">
        <v>2017</v>
      </c>
      <c r="B65" t="s">
        <v>20</v>
      </c>
      <c r="C65" s="193" t="s">
        <v>271</v>
      </c>
      <c r="D65" s="73">
        <f>AVERAGEIFS(data!H2:H3404,data!$B$2:$B$3404,A65,data!$K$2:$K$3404,B65)</f>
        <v>124.4</v>
      </c>
      <c r="E65" s="73">
        <f t="array" ref="E65">STDEV(IF(data!$B$2:$B$3404=2017,IF(data!$H$2:$H$3404&lt;&gt;"",IF(data!$K$2:$K$3404="female",data!$H$2:$H$3404))))</f>
        <v>12.772241726891925</v>
      </c>
      <c r="F65">
        <v>11.26</v>
      </c>
      <c r="G65" s="73">
        <f t="array" ref="G65">STDEV(IF(data!$B$2:$B$3404=2017,IF(data!$I$2:$I$3404&lt;&gt;"",IF(data!$K$2:$K$3404="female",data!$I$2:$I$3404))))</f>
        <v>2.639023071019083</v>
      </c>
      <c r="H65" s="74">
        <f>COUNTIFS(data!$B$2:$B$3404,A65,data!$K$2:$K$3404,B65,data!$N$2:$N$3404,"headless")</f>
        <v>82</v>
      </c>
      <c r="I65">
        <v>127.96</v>
      </c>
      <c r="J65" s="73">
        <f t="array" ref="J65">STDEV(IF(data!$B$2:$B$3404=2017,IF(data!$H$2:$H$3404&lt;&gt;"",IF(data!$K$2:$K$3404="female",IF(data!$N$2:$N$3404&lt;&gt;"headless",data!$H$2:$H$3404)))))</f>
        <v>13.146557502860242</v>
      </c>
      <c r="K65">
        <v>11.97</v>
      </c>
      <c r="L65" s="73">
        <f t="array" ref="L65">STDEV(IF(data!$B$2:$B$3404=2017,IF(data!$I$2:$I$3404&lt;&gt;"",IF(data!$K$2:$K$3404="female",IF(data!$N$2:$N$3404&lt;&gt;"headless",data!$I$2:$I$3404)))))</f>
        <v>2.6549357432192262</v>
      </c>
      <c r="M65" s="72"/>
      <c r="N65" s="72"/>
      <c r="O65" s="59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</row>
    <row r="66" spans="1:32" s="189" customFormat="1" ht="12.75" customHeight="1" x14ac:dyDescent="0.2">
      <c r="A66">
        <v>2017</v>
      </c>
      <c r="B66" t="s">
        <v>34</v>
      </c>
      <c r="C66"/>
      <c r="D66" s="73">
        <f>AVERAGEIFS(data!$H$2:$H$3404,data!$B$2:$B$3404,A66,data!$K$2:$K$3404,B66)</f>
        <v>142.5</v>
      </c>
      <c r="E66" s="73">
        <f t="array" ref="E66">STDEV(IF(data!$B$2:$B$3404=2017,IF(data!$H$2:$H$3404&lt;&gt;"",IF(data!$K$2:$K$3404="male",data!$H$2:$H$3404))))</f>
        <v>3.5355339059327378</v>
      </c>
      <c r="F66">
        <v>18.350000000000001</v>
      </c>
      <c r="G66" s="73">
        <f t="array" ref="G66">STDEV(IF(data!$B$2:$B$3404=2017,IF(data!$I$2:$I$3404&lt;&gt;"",IF(data!$K$2:$K$3404="male",data!$I$2:$I$3404))))</f>
        <v>0.49497474683058273</v>
      </c>
      <c r="H66" s="74">
        <f>COUNTIFS(data!$B$2:$B$3404,A66,data!$K$2:$K$3404,B66,data!$N$2:$N$3404,"headless")</f>
        <v>1</v>
      </c>
      <c r="I66">
        <v>140</v>
      </c>
      <c r="J66" s="118" t="s">
        <v>497</v>
      </c>
      <c r="K66">
        <v>18.7</v>
      </c>
      <c r="L66" s="118" t="s">
        <v>498</v>
      </c>
      <c r="M66" s="72"/>
      <c r="N66" s="72"/>
      <c r="O66" s="59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</row>
    <row r="67" spans="1:32" s="189" customFormat="1" ht="12.75" customHeight="1" x14ac:dyDescent="0.2">
      <c r="A67">
        <v>2017</v>
      </c>
      <c r="B67" t="s">
        <v>41</v>
      </c>
      <c r="C67"/>
      <c r="D67" s="73"/>
      <c r="E67" s="198"/>
      <c r="F67"/>
      <c r="G67" s="197"/>
      <c r="H67"/>
      <c r="I67"/>
      <c r="J67" s="73"/>
      <c r="K67"/>
      <c r="L67" s="197"/>
      <c r="M67" s="72"/>
      <c r="N67" s="72"/>
      <c r="O67" s="59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</row>
    <row r="68" spans="1:32" s="189" customFormat="1" ht="12.75" customHeight="1" x14ac:dyDescent="0.2">
      <c r="A68">
        <v>2017</v>
      </c>
      <c r="B68" t="s">
        <v>20</v>
      </c>
      <c r="C68" t="s">
        <v>30</v>
      </c>
      <c r="D68" s="73">
        <f>AVERAGEIFS(data!$H$2:$H$3404,data!$B$2:$B$3404,A68,data!$K$2:$K$3404,B68,data!$L$2:$L$3404,SumTbl!C68)</f>
        <v>122.76344086021506</v>
      </c>
      <c r="E68" s="73">
        <f t="array" ref="E68">STDEV(IF(data!$B$2:$B$3404=2017,IF(data!$H$2:$H$3404&lt;&gt;"",IF(data!$K$2:$K$3404="female",IF(data!$L$2:$L$3404="gravid",data!$H$2:$H$3404)))))</f>
        <v>12.750445729175889</v>
      </c>
      <c r="F68" s="73">
        <f>AVERAGEIFS(data!I2:I3404,data!L2:L3404,C68,data!B2:B3404,A68,data!$K$2:$K$3404,B68)</f>
        <v>11.721505376344082</v>
      </c>
      <c r="G68" s="73">
        <f t="array" ref="G68">STDEV(IF(data!$B$2:$B$3404=2017,IF(data!$I$2:$I$3404&lt;&gt;"",IF(data!$K$2:$K$3404="female",IF(data!$L$2:$L$3404="gravid",data!$I$2:$I$3404)))))</f>
        <v>2.6323592271030121</v>
      </c>
      <c r="H68" s="74">
        <f>COUNTIFS(data!$B$2:$B$3404,A68,data!$L$2:$L$3404,C68,data!$K$2:$K$3404,B68,data!$N$2:$N$3404,"headless")</f>
        <v>36</v>
      </c>
      <c r="I68">
        <v>125.86</v>
      </c>
      <c r="J68" s="73">
        <f t="array" ref="J68">STDEV(IF(data!$B$2:$B$3404=2017,IF(data!$H$2:$H$3404&lt;&gt;"",IF(data!$K$2:$K$3404="female",IF(data!$L$2:$L$3404="gravid",IF(data!$N$2:$N$3404&lt;&gt;"headless",data!$H$2:$H$3404))))))</f>
        <v>13.063204351344487</v>
      </c>
      <c r="K68">
        <v>12.3</v>
      </c>
      <c r="L68" s="73">
        <f t="array" ref="L68">STDEV(IF(data!$B$2:$B$3404=2017,IF(data!$I$2:$I$3404&lt;&gt;"",IF(data!$K$2:$K$3404="female",IF(data!$L$2:$L$3404="gravid",IF(data!$N$2:$N$3404&lt;&gt;"headless",data!$I$2:$I$3404))))))</f>
        <v>2.7679852396194908</v>
      </c>
      <c r="M68" s="72"/>
      <c r="N68" s="72"/>
      <c r="O68" s="59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</row>
    <row r="69" spans="1:32" s="189" customFormat="1" ht="12.75" customHeight="1" x14ac:dyDescent="0.2">
      <c r="A69">
        <v>2017</v>
      </c>
      <c r="B69" t="s">
        <v>20</v>
      </c>
      <c r="C69" t="s">
        <v>21</v>
      </c>
      <c r="D69" s="201">
        <f>AVERAGEIFS(data!$H$2:$H$3404,data!$B$2:$B$3404,A69,data!$K$2:$K$3404,B69,data!$L$2:$L$3404,SumTbl!C69)</f>
        <v>126.58947368421053</v>
      </c>
      <c r="E69" s="201">
        <f t="array" ref="E69">STDEV(IF(data!$B$2:$B$3404=2017,IF(data!$H$2:$H$3404&lt;&gt;"",IF(data!$K$2:$K$3404="female",IF(data!$L$2:$L$3404="spent",data!$H$2:$H$3404)))))</f>
        <v>10.792525720246044</v>
      </c>
      <c r="F69" s="201">
        <f>AVERAGEIFS(data!I2:I3404,data!L2:L3404,C69,data!B2:B3404,A69,data!$K$2:$K$3404,B69)</f>
        <v>10.760638297872338</v>
      </c>
      <c r="G69" s="201">
        <f t="array" ref="G69">STDEV(IF(data!$B$2:$B$3404=2017,IF(data!$I$2:$I$3404&lt;&gt;"",IF(data!$K$2:$K$3404="female",IF(data!$L$2:$L$3404="spent",data!$I$2:$I$3404)))))</f>
        <v>2.5511632634539749</v>
      </c>
      <c r="H69" s="202">
        <f>COUNTIFS(data!$B$2:$B$3404,A69,data!$L$2:$L$3404,C69,data!$K$2:$K$3404,B69,data!$N$2:$N$3404,"headless")</f>
        <v>45</v>
      </c>
      <c r="I69" s="219">
        <v>131.76</v>
      </c>
      <c r="J69" s="73">
        <f t="array" ref="J69">STDEV(IF(data!$B$2:$B$3404=2017,IF(data!$H$2:$H$3404&lt;&gt;"",IF(data!$K$2:$K$3404="female",IF(data!$L$2:$L$3404="spent",IF(data!$N$2:$N$3404&lt;&gt;"headless",data!$H$2:$H$3404))))))</f>
        <v>8.2599599742075185</v>
      </c>
      <c r="K69" s="219">
        <v>11.59</v>
      </c>
      <c r="L69" s="73">
        <f t="array" ref="L69">STDEV(IF(data!$B$2:$B$3404=2017,IF(data!$I$2:$I$3404&lt;&gt;"",IF(data!$K$2:$K$3404="female",IF(data!$L$2:$L$3404="spent",IF(data!$N$2:$N$3404&lt;&gt;"headless",data!$I$2:$I$3404))))))</f>
        <v>2.491147592281644</v>
      </c>
      <c r="M69" s="203"/>
      <c r="N69" s="72"/>
      <c r="O69" s="59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</row>
    <row r="70" spans="1:32" ht="12.75" customHeight="1" x14ac:dyDescent="0.2">
      <c r="A70" s="64">
        <v>2016</v>
      </c>
      <c r="B70" s="65" t="s">
        <v>269</v>
      </c>
      <c r="C70" s="66" t="s">
        <v>270</v>
      </c>
      <c r="D70" s="195">
        <f>AVERAGE(data!H236:H256,data!H258:H259,data!H261:H263,data!H265,data!H267:H268,data!H270:H271,data!H274:H276,data!H278:H279)</f>
        <v>135.42424242424244</v>
      </c>
      <c r="E70" s="73">
        <f t="array" ref="E70">STDEV(IF(data!$B$2:$B$3404=2016,IF(data!$H$2:$H$3404&lt;&gt;"",IF(data!$K$2:$K$3404="female",data!$H$2:$H$3404))))</f>
        <v>12.552465651791044</v>
      </c>
      <c r="F70" s="199">
        <f>AVERAGE(data!I236:I254,data!I255:I256,data!I258:I259,data!I261:I263,data!I265,data!I267:I268,data!I270:I271,data!I274:I276,data!I278:I279)</f>
        <v>10.975757575757575</v>
      </c>
      <c r="G70" s="73">
        <f t="array" ref="G70">STDEV(IF(data!$B$2:$B$3404=2016,IF(data!$I$2:$I$3404&lt;&gt;"",IF(data!$K$2:$K$3404="female",data!$I$2:$I$3404))))</f>
        <v>2.8318534459597191</v>
      </c>
      <c r="H70" s="67">
        <v>12</v>
      </c>
      <c r="I70" s="216">
        <f>AVERAGE(data!H236:H238,data!H240:H243,data!H249,data!H255,data!H259,data!H261:H263,data!H267:H268,data!H270:H271,data!H274:H276,data!H279)</f>
        <v>140.47619047619048</v>
      </c>
      <c r="J70" s="214">
        <f t="array" ref="J70">STDEV(IF(data!$B$2:$B$3404=2016,IF(data!$H$2:$H$3404&lt;&gt;"",IF(data!$K$2:$K$3404="female",IF(data!$N$2:$N$3404&lt;&gt;"headless",data!$H$2:$H$3404)))))</f>
        <v>9.1739797668135683</v>
      </c>
      <c r="K70" s="220">
        <f>AVERAGE(data!I236:I238,data!I240:I243,data!I249,data!I255,data!I259,data!I261:I263,data!I267:I268,data!I270:I271,data!I274:I276,data!I279)</f>
        <v>11.238095238095237</v>
      </c>
      <c r="L70" s="214">
        <f t="array" ref="L70">STDEV(IF(data!$B$2:$B$3404=2016,IF(data!$I$2:$I$3404&lt;&gt;"",IF(data!$K$2:$K$3404="female",IF(data!$N$2:$N$3404&lt;&gt;"headless",data!$I$2:$I$3404)))))</f>
        <v>2.5080821737886088</v>
      </c>
      <c r="M70" s="200"/>
      <c r="N70" s="75"/>
      <c r="O70" s="59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</row>
    <row r="71" spans="1:32" ht="12.75" customHeight="1" x14ac:dyDescent="0.2">
      <c r="A71" s="70">
        <v>2016</v>
      </c>
      <c r="B71" s="71" t="s">
        <v>34</v>
      </c>
      <c r="C71" s="72"/>
      <c r="D71" s="73">
        <f>AVERAGEIFS(data!$H$236:$H$3404,data!$B$236:$B$3404,A71,data!$K$236:$K$3404,B71)</f>
        <v>125</v>
      </c>
      <c r="E71" s="73">
        <f t="array" ref="E71">STDEV(IF(data!$B$2:$B$3404=2016,IF(data!$H$2:$H$3404&lt;&gt;"",IF(data!$K$2:$K$3404="male",data!$H$2:$H$3404))))</f>
        <v>35.355339059327378</v>
      </c>
      <c r="F71" s="73">
        <f>AVERAGEIFS(data!$I$236:$I$3404,data!$B$236:$B$3404,A71,data!$K$236:$K$3404,B71)</f>
        <v>15.5</v>
      </c>
      <c r="G71" s="73">
        <f t="array" ref="G71">STDEV(IF(data!$B$2:$B$3404=2016,IF(data!$I$2:$I$3404&lt;&gt;"",IF(data!$K$2:$K$3404="male",data!$I$2:$I$3404))))</f>
        <v>4.9497474683058327</v>
      </c>
      <c r="H71" s="74">
        <f>COUNTIFS(data!$B$236:$B$3404,A71,data!$K$236:$K$3404,B71,data!$N$236:$N$3404,"headless")</f>
        <v>1</v>
      </c>
      <c r="I71" s="75">
        <f>AVERAGEIFS(data!$H$236:$H$3404,data!$B$236:$B$3404,A71,data!$K$236:$K$3404,B71,data!$N$236:$N$3404,"&lt;&gt;headless")</f>
        <v>150</v>
      </c>
      <c r="J71" s="118" t="s">
        <v>498</v>
      </c>
      <c r="K71" s="76">
        <f>AVERAGEIFS(data!$I$236:$I$3404,data!$B$236:$B$3404,A71,data!$K$236:$K$3404,B71,data!$N$236:$N$3404,"&lt;&gt;headless")</f>
        <v>19</v>
      </c>
      <c r="L71" s="200" t="s">
        <v>498</v>
      </c>
      <c r="M71" s="51"/>
      <c r="N71" s="63"/>
      <c r="O71" s="59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</row>
    <row r="72" spans="1:32" ht="12.75" customHeight="1" x14ac:dyDescent="0.2">
      <c r="A72" s="70">
        <v>2016</v>
      </c>
      <c r="B72" s="71" t="s">
        <v>41</v>
      </c>
      <c r="C72" s="63"/>
      <c r="D72" s="73"/>
      <c r="E72" s="73"/>
      <c r="F72" s="73"/>
      <c r="G72" s="73"/>
      <c r="H72" s="74">
        <f>COUNTIFS(data!$B$236:$B$3404,A72,data!$K$236:$K$3404,B72,data!$N$236:$N$3404,"headless")</f>
        <v>0</v>
      </c>
      <c r="I72" s="77"/>
      <c r="J72" s="205"/>
      <c r="K72" s="78"/>
      <c r="L72" s="200"/>
      <c r="M72" s="51"/>
      <c r="N72" s="63"/>
      <c r="O72" s="59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</row>
    <row r="73" spans="1:32" ht="12.75" customHeight="1" x14ac:dyDescent="0.2">
      <c r="A73" s="70">
        <v>2016</v>
      </c>
      <c r="B73" s="71" t="s">
        <v>269</v>
      </c>
      <c r="C73" s="70" t="s">
        <v>30</v>
      </c>
      <c r="D73" s="73">
        <f>AVERAGEIFS(data!H236:H3404,data!B236:B3404,A73,data!L236:L3404,C73,data!$K$236:$K$3404,B97)</f>
        <v>128.28571428571428</v>
      </c>
      <c r="E73" s="73">
        <f t="array" ref="E73">STDEV(IF(data!$B$2:$B$3404=2016,IF(data!$H$2:$H$3404&lt;&gt;"",IF(data!$K$2:$K$3404="female",IF(data!$L$2:$L$3404="gravid",data!$H$2:$H$3404)))))</f>
        <v>12.684824078589418</v>
      </c>
      <c r="F73" s="73">
        <f>AVERAGEIFS(data!I236:I3404,data!L236:L3404,C73,data!B236:B3404,A73,data!$K$236:$K$3404,B97)</f>
        <v>10.857142857142858</v>
      </c>
      <c r="G73" s="73">
        <f t="array" ref="G73">STDEV(IF(data!$B$2:$B$3404=2016,IF(data!$I$2:$I$3404&lt;&gt;"",IF(data!$K$2:$K$3404="female",IF(data!$L$2:$L$3404="gravid",data!$I$2:$I$3404)))))</f>
        <v>2.4275207811380626</v>
      </c>
      <c r="H73" s="74">
        <f>COUNTIFS(data!$B$236:$B$3404,A73,data!$L$236:$L$3404,C73,data!$K$236:$K$3404,B97,data!$N$236:$N$3404,"headless")</f>
        <v>3</v>
      </c>
      <c r="I73" s="75">
        <f>AVERAGEIFS(data!$H$236:$H$3404,data!$B$236:$B$3404,A73,data!$L$236:$L$3404,C73,data!$K$236:$K$3404,B97,data!$N$236:$N$3404,"&lt;&gt;headless")</f>
        <v>134.5</v>
      </c>
      <c r="J73" s="73">
        <f t="array" ref="J73">STDEV(IF(data!$B$2:$B$3404=2016,IF(data!$H$2:$H$3404&lt;&gt;"",IF(data!$K$2:$K$3404="female",IF(data!$L$2:$L$3404="gravid",IF(data!$N$2:$N$3404&lt;&gt;"headless",data!$H$2:$H$3404))))))</f>
        <v>12.609520212918492</v>
      </c>
      <c r="K73" s="76">
        <f>AVERAGEIFS(data!$I$236:$I$3404,data!$B$236:$B$3404,A73,data!$L$236:$L$3404,C73,data!$K$236:$K$3404,B97,data!$N$236:$N$3404,"&lt;&gt;headless")</f>
        <v>10.75</v>
      </c>
      <c r="L73" s="73">
        <f t="array" ref="L73">STDEV(IF(data!$B$2:$B$3404=2016,IF(data!$I$2:$I$3404&lt;&gt;"",IF(data!$K$2:$K$3404="female",IF(data!$L$2:$L$3404="gravid",IF(data!$N$2:$N$3404&lt;&gt;"headless",data!$I$2:$I$3404))))))</f>
        <v>3.1224989991991992</v>
      </c>
      <c r="M73" s="72" t="s">
        <v>271</v>
      </c>
      <c r="N73" s="63"/>
      <c r="O73" s="59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</row>
    <row r="74" spans="1:32" ht="12.75" customHeight="1" x14ac:dyDescent="0.2">
      <c r="A74" s="70">
        <v>2016</v>
      </c>
      <c r="B74" s="71" t="s">
        <v>20</v>
      </c>
      <c r="C74" s="70" t="s">
        <v>21</v>
      </c>
      <c r="D74" s="73">
        <f>AVERAGEIFS(data!H236:H3404,data!B236:B3404,A74,data!L236:L3404,C74,data!$K$236:$K$3404,B97)</f>
        <v>137.34615384615384</v>
      </c>
      <c r="E74" s="204">
        <f t="array" ref="E74">STDEV(IF(data!$B$2:$B$3404=2016,IF(data!$H$2:$H$3404&lt;&gt;"",IF(data!$K$2:$K$3404="female",IF(data!$L$2:$L$3404="spent",data!$H$2:$H$3404)))))</f>
        <v>12.039741883254168</v>
      </c>
      <c r="F74" s="73">
        <f>AVERAGEIFS(data!I236:I3404,data!L236:L3404,C74,data!B236:B3404,A74,data!$K$236:$K$3404,B97)</f>
        <v>11.007692307692308</v>
      </c>
      <c r="G74" s="204">
        <f t="array" ref="G74">STDEV(IF(data!$B$2:$B$3404=2016,IF(data!$I$2:$I$3404&lt;&gt;"",IF(data!$K$2:$K$3404="female",IF(data!$L$2:$L$3404="spent",data!$I$2:$I$3404)))))</f>
        <v>2.9741449967240117</v>
      </c>
      <c r="H74" s="210">
        <f>COUNTIFS(data!$B$236:$B$3404,A74,data!$L$236:$L$3404,C74,data!$K$236:$K$3404,B97,data!$N$236:$N$3404,"headless")</f>
        <v>9</v>
      </c>
      <c r="I74" s="75">
        <f>AVERAGEIFS(data!$H$236:$H$3404,data!$B$236:$B$3404,A74,data!$L$236:$L$3404,C74,data!$K$236:$K$3404,B97,data!$N$236:$N$3404,"&lt;&gt;headless")</f>
        <v>141.88235294117646</v>
      </c>
      <c r="J74" s="73">
        <f t="array" ref="J74">STDEV(IF(data!$B$2:$B$3404=2016,IF(data!$H$2:$H$3404&lt;&gt;"",IF(data!$K$2:$K$3404="female",IF(data!$L$2:$L$3404="spent",IF(data!$N$2:$N$3404&lt;&gt;"headless",data!$H$2:$H$3404))))))</f>
        <v>8.0224867789013565</v>
      </c>
      <c r="K74" s="76">
        <f>AVERAGEIFS(data!$I$236:$I$3404,data!$B$236:$B$3404,A74,data!$L$236:$L$3404,C74,data!$K$236:$K$3404,B97,data!$N$236:$N$3404,"&lt;&gt;headless")</f>
        <v>11.352941176470589</v>
      </c>
      <c r="L74" s="73">
        <f t="array" ref="L74">STDEV(IF(data!$B$2:$B$3404=2016,IF(data!$I$2:$I$3404&lt;&gt;"",IF(data!$K$2:$K$3404="female",IF(data!$L$2:$L$3404="spent",IF(data!$N$2:$N$3404&lt;&gt;"headless",data!$I$2:$I$3404))))))</f>
        <v>2.4415972351769111</v>
      </c>
      <c r="M74" s="72" t="s">
        <v>271</v>
      </c>
      <c r="N74" s="63"/>
      <c r="O74" s="59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</row>
    <row r="75" spans="1:32" ht="12.75" customHeight="1" x14ac:dyDescent="0.2">
      <c r="A75" s="211">
        <v>2014</v>
      </c>
      <c r="B75" s="212" t="s">
        <v>20</v>
      </c>
      <c r="C75" s="213" t="s">
        <v>271</v>
      </c>
      <c r="D75" s="214">
        <f>AVERAGEIFS(data!$H$281:$H$3404,data!$B$281:$B$3404,A76,data!$K$281:$K$3404,B76)</f>
        <v>137.89473684210526</v>
      </c>
      <c r="E75" s="214">
        <f t="array" ref="E75">STDEV(IF(data!$B$2:$B$3404=2014,IF(data!$H$2:$H$3404&lt;&gt;"",IF(data!$K$2:$K$3404="female",data!$H$2:$H$3404))))</f>
        <v>18.938188159384048</v>
      </c>
      <c r="F75" s="218">
        <f>AVERAGEIFS(data!$I$281:$I$3404,data!$B$281:$B$3404,A76,data!$K$281:$K$3404,B76)</f>
        <v>10.882098765432097</v>
      </c>
      <c r="G75" s="214">
        <f t="array" ref="G75">STDEV(IF(data!$B$2:$B$3404=2014,IF(data!$I$2:$I$3404&lt;&gt;"",IF(data!$K$2:$K$3404="female",data!$I$2:$I$3404))))</f>
        <v>3.386326444707227</v>
      </c>
      <c r="H75" s="215">
        <f>COUNTIFS(data!$B$281:$B$3404,A76,data!$K$281:$K$3404,B76,data!$N$281:$N$3404,"headless")</f>
        <v>23</v>
      </c>
      <c r="I75" s="214">
        <f>AVERAGEIFS(data!$H$236:$H$3404,data!$B$236:$B$3404,A76,data!$K$236:$K$3404,B76,data!$N$236:$N$3404,"&lt;&gt;headless")</f>
        <v>137.89473684210526</v>
      </c>
      <c r="J75" s="214">
        <f t="array" ref="J75">STDEV(IF(data!$B$2:$B$3404=2014,IF(data!$H$2:$H$3404&lt;&gt;"",IF(data!$K$2:$K$3404="female",IF(data!$N$2:$N$3404&lt;&gt;"headless",data!$H$2:$H$3404)))))</f>
        <v>18.938188159384048</v>
      </c>
      <c r="K75" s="214">
        <f>AVERAGEIFS(data!$I$236:$I$3404,data!$B$236:$B$3404,A76,data!$K$236:$K$3404,B76,data!$N$236:$N$3404,"&lt;&gt;headless")</f>
        <v>10.884920634920634</v>
      </c>
      <c r="L75" s="214">
        <f t="array" ref="L75">STDEV(IF(data!$B$2:$B$3404=2014,IF(data!$I$2:$I$3404&lt;&gt;"",IF(data!$K$2:$K$3404="female",IF(data!$N$2:$N$3404&lt;&gt;"headless",data!$I$2:$I$3404)))))</f>
        <v>3.2666402158871417</v>
      </c>
      <c r="M75" s="217"/>
      <c r="N75" s="63"/>
      <c r="O75" s="59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</row>
    <row r="76" spans="1:32" ht="12.75" customHeight="1" x14ac:dyDescent="0.2">
      <c r="A76" s="208">
        <v>2014</v>
      </c>
      <c r="B76" s="209" t="s">
        <v>20</v>
      </c>
      <c r="C76" s="206" t="s">
        <v>272</v>
      </c>
      <c r="D76" s="204">
        <f>AVERAGEIFS(data!$G$281:$G$3404,data!$B$281:$B$3404,A76,data!$K$281:$K$3404,B76)</f>
        <v>145.33333333333334</v>
      </c>
      <c r="E76" s="204">
        <f t="array" ref="E76">STDEV(IF(data!$B$2:$B$3404=2014,IF(data!$G$2:$G$3404&lt;&gt;"",IF(data!$K$2:$K$3404="female",data!$G$2:$G$3404))))</f>
        <v>17.566463649843993</v>
      </c>
      <c r="I76" s="204">
        <f>AVERAGEIFS(data!$G$236:$G$3404,data!$B$236:$B$3404,A76,data!$K$236:$K$3404,B76,data!$N$236:$N$3404,"&lt;&gt;headless")</f>
        <v>146.97777777777779</v>
      </c>
      <c r="J76" s="204">
        <f t="array" ref="J76">STDEV(IF(data!$B$2:$B$3404=2014,IF(data!$G$2:$G$3404&lt;&gt;"",IF(data!$K$2:$K$3404="female",IF(data!$N$2:$N$3404&lt;&gt;"headless",data!$G$2:$G$3404)))))</f>
        <v>17.285686260456959</v>
      </c>
      <c r="L76" s="204"/>
      <c r="M76" s="200"/>
      <c r="N76" s="69"/>
      <c r="O76" s="59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</row>
    <row r="77" spans="1:32" ht="12.75" customHeight="1" x14ac:dyDescent="0.2">
      <c r="A77" s="208">
        <v>2014</v>
      </c>
      <c r="B77" s="209" t="s">
        <v>34</v>
      </c>
      <c r="C77" s="206"/>
      <c r="D77" s="204"/>
      <c r="E77" s="204"/>
      <c r="F77" s="204"/>
      <c r="G77" s="204"/>
      <c r="H77" s="210">
        <f>COUNTIFS(data!$B$281:$B$3404,A77,data!$K$281:$K$3404,B77,data!$N$281:$N$3404,"headless")</f>
        <v>0</v>
      </c>
      <c r="I77" s="204"/>
      <c r="J77" s="204"/>
      <c r="K77" s="200"/>
      <c r="L77" s="200"/>
      <c r="M77" s="200"/>
      <c r="N77" s="63"/>
      <c r="O77" s="59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</row>
    <row r="78" spans="1:32" ht="12.75" customHeight="1" x14ac:dyDescent="0.2">
      <c r="A78" s="70">
        <v>2014</v>
      </c>
      <c r="B78" s="71" t="s">
        <v>41</v>
      </c>
      <c r="C78" s="63"/>
      <c r="D78" s="73"/>
      <c r="E78" s="73"/>
      <c r="F78" s="73"/>
      <c r="G78" s="73"/>
      <c r="H78" s="74">
        <f>COUNTIFS(data!$B$281:$B$3404,A78,data!$K$281:$K$3404,B78,data!$N$281:$N$3404,"headless")</f>
        <v>0</v>
      </c>
      <c r="I78" s="84"/>
      <c r="J78" s="200"/>
      <c r="K78" s="78"/>
      <c r="L78" s="200"/>
      <c r="M78" s="51"/>
      <c r="N78" s="63"/>
      <c r="O78" s="59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</row>
    <row r="79" spans="1:32" ht="12.75" customHeight="1" x14ac:dyDescent="0.2">
      <c r="A79" s="70">
        <v>2014</v>
      </c>
      <c r="B79" s="71" t="s">
        <v>20</v>
      </c>
      <c r="C79" s="70" t="s">
        <v>30</v>
      </c>
      <c r="D79" s="73">
        <f>AVERAGEIFS(data!H236:H3404,data!B236:B3404,A79,data!L236:L3404,C79,data!$K$236:$K$3404,B97)</f>
        <v>128</v>
      </c>
      <c r="E79" s="73">
        <f t="array" ref="E79">STDEV(IF(data!$B$2:$B$3404=2014,IF(data!$H$2:$H$3404&lt;&gt;"",IF(data!$K$2:$K$3404="female",IF(data!$L$2:$L$3404="gravid",data!$H$2:$H$3404)))))</f>
        <v>2.8284271247461903</v>
      </c>
      <c r="F79" s="73">
        <f>AVERAGEIFS(data!I236:I3404,data!L236:L3404,C79,data!B236:B3404,A79,data!$K$236:$K$3404,B97)</f>
        <v>12.642857142857142</v>
      </c>
      <c r="G79" s="73">
        <f t="array" ref="G79">STDEV(IF(data!$B$2:$B$3404=2014,IF(data!$I$2:$I$3404&lt;&gt;"",IF(data!$K$2:$K$3404="female",IF(data!$L$2:$L$3404="gravid",data!$I$2:$I$3404)))))</f>
        <v>4.1202172850701064</v>
      </c>
      <c r="H79" s="74">
        <f>COUNTIFS(data!$B$236:$B$3404,A79,data!$L$236:$L$3404,C79,data!$K$236:$K$3404,B97,data!$N$236:$N$3404,"headless")</f>
        <v>2</v>
      </c>
      <c r="I79" s="75">
        <f>AVERAGEIFS(data!$H$236:$H$3404,data!$B$236:$B$3404,A79,data!$L$236:$L$3404,C79,data!$K$236:$K$3404,B97,data!$N$236:$N$3404,"&lt;&gt;headless")</f>
        <v>128</v>
      </c>
      <c r="J79" s="73">
        <f t="array" ref="J79">STDEV(IF(data!$B$2:$B$3404=2014,IF(data!$H$2:$H$3404&lt;&gt;"",IF(data!$K$2:$K$3404="female",IF(data!$L$2:$L$3404="gravid",IF(data!$N$2:$N$3404&lt;&gt;"headless",data!$H$2:$H$3404))))))</f>
        <v>2.8284271247461903</v>
      </c>
      <c r="K79" s="76">
        <f>AVERAGEIFS(data!$I$236:$I$3404,data!$B$236:$B$3404,A79,data!$L$236:$L$3404,C79,data!$K$236:$K$3404,B97,data!$N$236:$N$3404,"&lt;&gt;headless")</f>
        <v>11.3</v>
      </c>
      <c r="L79" s="73">
        <f t="array" ref="L79">STDEV(IF(data!$B$2:$B$3404=2014,IF(data!$I$2:$I$3404&lt;&gt;"",IF(data!$K$2:$K$3404="female",IF(data!$L$2:$L$3404="gravid",IF(data!$N$2:$N$3404&lt;&gt;"headless",data!$I$2:$I$3404))))))</f>
        <v>2.2527760652137596</v>
      </c>
      <c r="M79" s="85" t="s">
        <v>271</v>
      </c>
      <c r="N79" s="63"/>
      <c r="O79" s="59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</row>
    <row r="80" spans="1:32" ht="12.75" customHeight="1" x14ac:dyDescent="0.2">
      <c r="A80" s="70">
        <v>2014</v>
      </c>
      <c r="B80" s="71" t="s">
        <v>20</v>
      </c>
      <c r="C80" s="70" t="s">
        <v>21</v>
      </c>
      <c r="D80" s="73">
        <f>AVERAGEIFS(data!H236:H3404,data!B236:B3404,A80,data!L236:L3404,C80,data!$K$236:$K$3404,B97)</f>
        <v>139.05882352941177</v>
      </c>
      <c r="E80" s="204">
        <f t="array" ref="E80">STDEV(IF(data!$B$2:$B$3404=2014,IF(data!$H$2:$H$3404&lt;&gt;"",IF(data!$K$2:$K$3404="female",IF(data!$L$2:$L$3404="spent",data!$H$2:$H$3404)))))</f>
        <v>19.730910357340651</v>
      </c>
      <c r="F80" s="73">
        <f>AVERAGEIFS(data!I236:I3404,data!L236:L3404,C80,data!B236:B3404,A80,data!$K$236:$K$3404,B97)</f>
        <v>10.715540540540539</v>
      </c>
      <c r="G80" s="204">
        <f t="array" ref="G80">STDEV(IF(data!$B$2:$B$3404=2014,IF(data!$I$2:$I$3404&lt;&gt;"",IF(data!$K$2:$K$3404="female",IF(data!$L$2:$L$3404="spent",data!$I$2:$I$3404)))))</f>
        <v>3.2933403710676274</v>
      </c>
      <c r="H80" s="74">
        <f>COUNTIFS(data!$B$236:$B$3404,A80,data!$L$236:$L$3404,C80,data!$K$236:$K$3404,B97,data!$N$236:$N$3404,"headless")</f>
        <v>21</v>
      </c>
      <c r="I80" s="75">
        <f>AVERAGEIFS(data!$H$236:$H$3404,data!$B$236:$B$3404,A80,data!$L$236:$L$3404,C80,data!$K$236:$K$3404,B97,data!$N$236:$N$3404,"&lt;&gt;headless")</f>
        <v>139.05882352941177</v>
      </c>
      <c r="J80" s="73">
        <f t="array" ref="J80">STDEV(IF(data!$B$2:$B$3404=2014,IF(data!$H$2:$H$3404&lt;&gt;"",IF(data!$K$2:$K$3404="female",IF(data!$L$2:$L$3404="spent",IF(data!$N$2:$N$3404&lt;&gt;"headless",data!$H$2:$H$3404))))))</f>
        <v>19.730910357340651</v>
      </c>
      <c r="K80" s="76">
        <f>AVERAGEIFS(data!$I$236:$I$3404,data!$B$236:$B$3404,A80,data!$L$236:$L$3404,C80,data!$K$236:$K$3404,B97,data!$N$236:$N$3404,"&lt;&gt;headless")</f>
        <v>10.849137931034482</v>
      </c>
      <c r="L80" s="73">
        <f t="array" ref="L80">STDEV(IF(data!$B$2:$B$3404=2014,IF(data!$I$2:$I$3404&lt;&gt;"",IF(data!$K$2:$K$3404="female",IF(data!$L$2:$L$3404="spent",IF(data!$N$2:$N$3404&lt;&gt;"headless",data!$I$2:$I$3404))))))</f>
        <v>3.3517799850766661</v>
      </c>
      <c r="M80" s="85" t="s">
        <v>271</v>
      </c>
      <c r="N80" s="63"/>
      <c r="O80" s="59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</row>
    <row r="81" spans="1:32" ht="12.75" customHeight="1" x14ac:dyDescent="0.2">
      <c r="A81" s="208">
        <v>2014</v>
      </c>
      <c r="B81" s="209" t="s">
        <v>20</v>
      </c>
      <c r="C81" s="208" t="s">
        <v>30</v>
      </c>
      <c r="D81" s="204">
        <f>AVERAGEIFS(data!G236:G3404,data!B236:B3404,A81,data!L236:L3404,C81,data!$K$236:$K$3404,B97)</f>
        <v>137.4</v>
      </c>
      <c r="E81" s="204">
        <f t="array" ref="E81">STDEV(IF(data!$B$2:$B$3404=2014,IF(data!$G$2:$G$3404&lt;&gt;"",IF(data!$K$2:$K$3404="female",IF(data!$L$2:$L$3404="gravid",data!$G$2:$G$3404)))))</f>
        <v>13.240090634130871</v>
      </c>
      <c r="F81" s="204"/>
      <c r="G81" s="204"/>
      <c r="H81" s="210"/>
      <c r="I81" s="204">
        <f>AVERAGEIFS(data!$G$236:$G$3404,data!$B$236:$B$3404,A81,data!$L$236:$L$3404,C81,data!$K$236:$K$3404,B97,data!$N$236:$N$3404,"&lt;&gt;headless")</f>
        <v>132.66666666666666</v>
      </c>
      <c r="J81" s="204">
        <f t="array" ref="J81">STDEV(IF(data!$B$2:$B$3404=2014,IF(data!$G$2:$G$3404&lt;&gt;"",IF(data!$K$2:$K$3404="female",IF(data!$L$2:$L$3404="gravid",IF(data!$N$2:$N$3404&lt;&gt;"headless",data!$G$2:$G$3404))))))</f>
        <v>7.5055534994651349</v>
      </c>
      <c r="K81" s="200"/>
      <c r="L81" s="228"/>
      <c r="M81" s="222" t="s">
        <v>272</v>
      </c>
      <c r="N81" s="206"/>
      <c r="O81" s="59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</row>
    <row r="82" spans="1:32" ht="12.75" customHeight="1" x14ac:dyDescent="0.2">
      <c r="A82" s="223">
        <v>2014</v>
      </c>
      <c r="B82" s="224" t="s">
        <v>20</v>
      </c>
      <c r="C82" s="223" t="s">
        <v>21</v>
      </c>
      <c r="D82" s="201">
        <f>AVERAGEIFS(data!G236:G3404,data!B236:B3404,A82,data!L236:L3404,C82,data!$K$236:$K$3404,B97)</f>
        <v>145.61403508771929</v>
      </c>
      <c r="E82" s="201">
        <f t="array" ref="E82">STDEV(IF(data!$B$2:$B$3404=2014,IF(data!$G$2:$G$3404&lt;&gt;"",IF(data!$K$2:$K$3404="female",IF(data!$L$2:$L$3404="spent",data!$G$2:$G$3404)))))</f>
        <v>17.703666272802028</v>
      </c>
      <c r="F82" s="201"/>
      <c r="G82" s="201"/>
      <c r="H82" s="202"/>
      <c r="I82" s="201">
        <f>AVERAGEIFS(data!$G$236:$G$3404,data!$B$236:$B$3404,A82,data!$L$236:$L$3404,C82,data!$K$236:$K$3404,B97,data!$N$236:$N$3404,"&lt;&gt;headless")</f>
        <v>147.48780487804879</v>
      </c>
      <c r="J82" s="201">
        <f t="array" ref="J82">STDEV(IF(data!$B$2:$B$3404=2014,IF(data!$G$2:$G$3404&lt;&gt;"",IF(data!$K$2:$K$3404="female",IF(data!$L$2:$L$3404="spent",IF(data!$N$2:$N$3404&lt;&gt;"headless",data!$G$2:$G$3404))))))</f>
        <v>17.265749261499643</v>
      </c>
      <c r="K82" s="225"/>
      <c r="L82" s="229"/>
      <c r="M82" s="226" t="s">
        <v>272</v>
      </c>
      <c r="N82" s="203"/>
      <c r="O82" s="59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</row>
    <row r="83" spans="1:32" ht="12.75" customHeight="1" x14ac:dyDescent="0.2">
      <c r="A83" s="208">
        <v>2013</v>
      </c>
      <c r="B83" s="209" t="s">
        <v>20</v>
      </c>
      <c r="C83" s="206" t="s">
        <v>272</v>
      </c>
      <c r="D83" s="200">
        <f>AVERAGEIFS(data!$G$373:$G$3404,data!$B$373:$B$3404,A83,data!$K$373:$K$3404,B83)</f>
        <v>150</v>
      </c>
      <c r="E83" s="204">
        <f t="array" ref="E83">STDEV(IF(data!$B$2:$B$3404=2013,IF(data!$G$2:$G$3404&lt;&gt;"",IF(data!$K$2:$K$3404="female",data!$G$2:$G$3404))))</f>
        <v>15.219231255224424</v>
      </c>
      <c r="F83" s="200">
        <f>AVERAGEIFS(data!$I$373:$I$3404,data!$B$373:$B$3404,A83,data!$K$373:$K$3404,B83)</f>
        <v>10.614062499999999</v>
      </c>
      <c r="G83" s="214">
        <f t="array" ref="G83">STDEV(IF(data!$B$2:$B$3404=2013,IF(data!$I$2:$I$3404&lt;&gt;"",IF(data!$K$2:$K$3404="female",data!$I$2:$I$3404))))</f>
        <v>3.1999934120715943</v>
      </c>
      <c r="H83" s="221">
        <f>COUNTIFS(data!$B$373:$B$3404,A83,data!$K$373:$K$3404,B83,data!$N$373:$N$3404,"headless")</f>
        <v>17</v>
      </c>
      <c r="I83" s="75">
        <f>AVERAGEIFS(data!$G$236:$G$3404,data!$B$236:$B$3404,A83,data!$K$236:$K$3404,B83,data!$N$236:$N$3404,"&lt;&gt;headless")</f>
        <v>153.25</v>
      </c>
      <c r="J83" s="204">
        <f t="array" ref="J83">STDEV(IF(data!$B$2:$B$3404=2013,IF(data!$G$2:$G$3404&lt;&gt;"",IF(data!$K$2:$K$3404="female",IF(data!$N$2:$N$3404&lt;&gt;"headless",data!$G$2:$G$3404)))))</f>
        <v>15.580265750335064</v>
      </c>
      <c r="K83" s="76">
        <f>AVERAGEIFS(data!$I$236:$I$3404,data!$B$236:$B$3404,A83,data!$K$236:$K$3404,B83,data!$N$236:$N$3404,"&lt;&gt;headless")</f>
        <v>11.040425531914895</v>
      </c>
      <c r="L83" s="214">
        <f t="array" ref="L83">STDEV(IF(data!$B$2:$B$3404=2013,IF(data!$I$2:$I$3404&lt;&gt;"",IF(data!$K$2:$K$3404="female",IF(data!$N$2:$N$3404&lt;&gt;"headless",data!$I$2:$I$3404)))))</f>
        <v>3.0246566153983556</v>
      </c>
      <c r="M83" s="51"/>
      <c r="N83" s="206"/>
      <c r="O83" s="59"/>
      <c r="P83" s="63"/>
      <c r="Q83" s="63"/>
      <c r="R83" s="63"/>
      <c r="S83" s="63"/>
      <c r="T83" s="63"/>
      <c r="U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</row>
    <row r="84" spans="1:32" ht="12.75" customHeight="1" x14ac:dyDescent="0.2">
      <c r="A84" s="23">
        <v>2013</v>
      </c>
      <c r="B84" s="42" t="s">
        <v>34</v>
      </c>
      <c r="C84" s="72"/>
      <c r="D84" s="51">
        <f>AVERAGEIFS(data!$G$373:$G$3404,data!$B$373:$B$3404,A84,data!$K$373:$K$3404,B84)</f>
        <v>168.5</v>
      </c>
      <c r="E84" s="204">
        <f t="array" ref="E84">STDEV(IF(data!$B$2:$B$3404=2013,IF(data!$G$2:$G$3404&lt;&gt;"",IF(data!$K$2:$K$3404="male",data!$G$2:$G$3404))))</f>
        <v>23.334523779156068</v>
      </c>
      <c r="F84" s="51">
        <f>AVERAGEIFS(data!$I$373:$I$3404,data!$B$373:$B$3404,A84,data!$K$373:$K$3404,B84)</f>
        <v>20.5</v>
      </c>
      <c r="G84" s="204">
        <f t="array" ref="G84">STDEV(IF(data!$B$2:$B$3404=2013,IF(data!$I$2:$I$3404&lt;&gt;"",IF(data!$K$2:$K$3404="male",data!$I$2:$I$3404))))</f>
        <v>6.3639610306789276</v>
      </c>
      <c r="H84" s="88">
        <f>COUNTIFS(data!$B$373:$B$3404,A84,data!$K$373:$K$3404,B84,data!$N$373:$N$3404,"headless")</f>
        <v>1</v>
      </c>
      <c r="I84" s="75">
        <f>AVERAGEIFS(data!$G$236:$G$3404,data!$B$236:$B$3404,A84,data!$K$236:$K$3404,B84,data!$N$236:$N$3404,"&lt;&gt;headless")</f>
        <v>152</v>
      </c>
      <c r="J84" s="200" t="s">
        <v>498</v>
      </c>
      <c r="K84" s="76">
        <f>AVERAGEIFS(data!$I$236:$I$3404,data!$B$236:$B$3404,A84,data!$K$236:$K$3404,B84,data!$N$236:$N$3404,"&lt;&gt;headless")</f>
        <v>16</v>
      </c>
      <c r="L84" s="204"/>
      <c r="M84" s="63"/>
      <c r="N84" s="63"/>
      <c r="O84" s="59"/>
      <c r="P84" s="63"/>
      <c r="Q84" s="63" t="s">
        <v>273</v>
      </c>
      <c r="R84" s="63" t="s">
        <v>264</v>
      </c>
      <c r="S84" s="63"/>
      <c r="T84" s="63"/>
      <c r="U84" s="63"/>
      <c r="V84" s="63" t="s">
        <v>273</v>
      </c>
      <c r="W84" s="63"/>
      <c r="X84" s="63"/>
      <c r="Y84" s="63"/>
      <c r="Z84" s="63" t="s">
        <v>274</v>
      </c>
      <c r="AA84" s="63"/>
      <c r="AB84" s="63"/>
      <c r="AC84" s="63"/>
      <c r="AD84" s="63"/>
      <c r="AE84" s="63"/>
      <c r="AF84" s="63"/>
    </row>
    <row r="85" spans="1:32" ht="12.75" customHeight="1" x14ac:dyDescent="0.2">
      <c r="A85" s="23">
        <v>2013</v>
      </c>
      <c r="B85" s="42" t="s">
        <v>41</v>
      </c>
      <c r="C85" s="72"/>
      <c r="D85" s="51">
        <f>AVERAGEIFS(data!$G$373:$G$3404,data!$B$373:$B$3404,A85,data!$K$373:$K$3404,B85)</f>
        <v>144</v>
      </c>
      <c r="E85" s="118"/>
      <c r="F85" s="51">
        <f>AVERAGEIFS(data!$I$373:$I$3404,data!$B$373:$B$3404,A85,data!$K$373:$K$3404,B85)</f>
        <v>8.25</v>
      </c>
      <c r="G85" s="118"/>
      <c r="H85" s="89">
        <f>COUNTIFS(data!$B$373:$B$3404,A85,data!$K$373:$K$3404,B85,data!$N$373:$N$3404,"headless")</f>
        <v>0</v>
      </c>
      <c r="I85" s="75">
        <f>AVERAGEIFS(data!$G$236:$G$3404,data!$B$236:$B$3404,A85,data!$K$236:$K$3404,B85,data!$N$236:$N$3404,"&lt;&gt;headless")</f>
        <v>144</v>
      </c>
      <c r="J85" s="204"/>
      <c r="K85" s="76">
        <f>AVERAGEIFS(data!$I$236:$I$3404,data!$B$236:$B$3404,A85,data!$K$236:$K$3404,B85,data!$N$236:$N$3404,"&lt;&gt;headless")</f>
        <v>8.25</v>
      </c>
      <c r="L85" s="204"/>
      <c r="M85" s="63"/>
      <c r="N85" s="63"/>
      <c r="O85" s="5">
        <v>2016</v>
      </c>
      <c r="P85" s="70" t="s">
        <v>32</v>
      </c>
      <c r="Q85">
        <f>AVERAGEIFS(data!$H$236:$H$3404,data!$B$236:$B$3404,O85,data!$J$236:$J$3404,P85)</f>
        <v>153</v>
      </c>
      <c r="R85">
        <f>AVERAGEIFS(data!$I$236:$I$3404,data!$B$236:$B$3404,O85,data!$J$236:$J$3404,P85)</f>
        <v>9.75</v>
      </c>
      <c r="S85" s="63"/>
      <c r="T85" s="70">
        <v>2016</v>
      </c>
      <c r="U85" s="70" t="s">
        <v>19</v>
      </c>
      <c r="V85" s="90">
        <f>AVERAGEIFS(data!$H$236:$H$3404,data!$B$236:$B$3404,T85,data!$J$236:$J$3404,U85)</f>
        <v>132.45945945945945</v>
      </c>
      <c r="W85" s="23"/>
      <c r="X85" s="70">
        <v>2016</v>
      </c>
      <c r="Y85" s="70" t="s">
        <v>19</v>
      </c>
      <c r="Z85" s="90">
        <f>AVERAGEIFS(data!$I$236:$I$3404,data!$B$236:$B$3404,X85,data!$J$236:$J$3404,Y85)</f>
        <v>10.816216216216215</v>
      </c>
      <c r="AA85" s="63"/>
      <c r="AB85" s="63"/>
      <c r="AC85" s="63"/>
      <c r="AD85" s="63"/>
      <c r="AE85" s="63"/>
      <c r="AF85" s="63"/>
    </row>
    <row r="86" spans="1:32" ht="12.75" customHeight="1" x14ac:dyDescent="0.2">
      <c r="A86" s="70">
        <v>2013</v>
      </c>
      <c r="B86" s="71" t="s">
        <v>20</v>
      </c>
      <c r="C86" s="70" t="s">
        <v>30</v>
      </c>
      <c r="D86" s="73">
        <f>AVERAGEIFS(data!G236:G3404,data!B236:B3404,A86,data!L236:L3404,C86,data!$K$236:$K$3404,B97)</f>
        <v>143.6875</v>
      </c>
      <c r="E86" s="73">
        <f t="array" ref="E86">STDEV(IF(data!$B$2:$B$3404=2013,IF(data!$G$2:$G$3404&lt;&gt;"",IF(data!$K$2:$K$3404="female",IF(data!$L$2:$L$3404="gravid",data!$G$2:$G$3404)))))</f>
        <v>11.8023655820913</v>
      </c>
      <c r="F86" s="73">
        <f>AVERAGEIFS(data!I236:I3404,data!L236:L3404,C86,data!B236:B3404,A86,data!$K$236:$K$3404,B97)</f>
        <v>10.94</v>
      </c>
      <c r="G86" s="73">
        <f t="array" ref="G86">STDEV(IF(data!$B$2:$B$3404=2013,IF(data!$I$2:$I$3404&lt;&gt;"",IF(data!$K$2:$K$3404="female",IF(data!$L$2:$L$3404="gravid",data!$I$2:$I$3404)))))</f>
        <v>3.4477321738872284</v>
      </c>
      <c r="H86" s="74">
        <f>COUNTIFS(data!$B$236:$B$3404,A86,data!$L$236:$L$3404,C86,data!$K$236:$K$3404,B97,data!$N$236:$N$3404,"headless")</f>
        <v>8</v>
      </c>
      <c r="I86" s="75">
        <f>AVERAGEIFS(data!$G$236:$G$3404,data!$B$236:$B$3404,A86,data!$L$236:$L$3404,C86,data!$K$236:$K$3404,B97,data!$N$236:$N$3404,"&lt;&gt;headless")</f>
        <v>145.875</v>
      </c>
      <c r="J86" s="204">
        <f t="array" ref="J86">STDEV(IF(data!$B$2:$B$3404=2013,IF(data!$G$2:$G$3404&lt;&gt;"",IF(data!$K$2:$K$3404="female",IF(data!$L$2:$L$3404="gravid",IF(data!$N$2:$N$3404&lt;&gt;"headless",data!$G$2:$G$3404))))))</f>
        <v>13.065084330819628</v>
      </c>
      <c r="K86" s="76">
        <f>AVERAGEIFS(data!$I$236:$I$3404,data!$B$236:$B$3404,A86,data!$L$236:$L$3404,C86,data!$K$236:$K$3404,B97,data!$N$236:$N$3404,"&lt;&gt;headless")</f>
        <v>10.599999999999998</v>
      </c>
      <c r="L86" s="73">
        <f t="array" ref="L86">STDEV(IF(data!$B$2:$B$3404=2013,IF(data!$I$2:$I$3404&lt;&gt;"",IF(data!$K$2:$K$3404="female",IF(data!$L$2:$L$3404="gravid",IF(data!$N$2:$N$3404&lt;&gt;"headless",data!$I$2:$I$3404))))))</f>
        <v>3.0495901363953863</v>
      </c>
      <c r="M86" s="63"/>
      <c r="N86" s="63"/>
      <c r="O86" s="5"/>
      <c r="P86" s="70"/>
      <c r="S86" s="63"/>
      <c r="T86" s="70"/>
      <c r="U86" s="70"/>
      <c r="V86" s="90"/>
      <c r="W86" s="23"/>
      <c r="X86" s="70"/>
      <c r="Y86" s="70"/>
      <c r="Z86" s="90"/>
      <c r="AA86" s="63"/>
      <c r="AB86" s="63"/>
      <c r="AC86" s="63"/>
      <c r="AD86" s="63"/>
      <c r="AE86" s="63"/>
      <c r="AF86" s="63"/>
    </row>
    <row r="87" spans="1:32" ht="12.75" customHeight="1" x14ac:dyDescent="0.2">
      <c r="A87" s="70">
        <v>2013</v>
      </c>
      <c r="B87" s="71" t="s">
        <v>20</v>
      </c>
      <c r="C87" s="70" t="s">
        <v>21</v>
      </c>
      <c r="D87" s="73">
        <f>AVERAGEIFS(data!G236:G3404,data!B236:B3404,A87,data!L236:L3404,C87,data!$K$236:$K$3404,B97)</f>
        <v>152.0612244897959</v>
      </c>
      <c r="E87" s="73">
        <f t="array" ref="E87">STDEV(IF(data!$B$2:$B$3404=2013,IF(data!$G$2:$G$3404&lt;&gt;"",IF(data!$K$2:$K$3404="female",IF(data!$L$2:$L$3404="spent",data!$G$2:$G$3404)))))</f>
        <v>15.73796916598163</v>
      </c>
      <c r="F87" s="73">
        <f>AVERAGEIFS(data!I236:I3404,data!L236:L3404,C87,data!B236:B3404,A87,data!$K$236:$K$3404,B97)</f>
        <v>10.514285714285716</v>
      </c>
      <c r="G87" s="201">
        <f t="array" ref="G87">STDEV(IF(data!$B$2:$B$3404=2013,IF(data!$I$2:$I$3404&lt;&gt;"",IF(data!$K$2:$K$3404="female",IF(data!$L$2:$L$3404="spent",data!$I$2:$I$3404)))))</f>
        <v>3.1511241380392065</v>
      </c>
      <c r="H87" s="79">
        <f>COUNTIFS(data!$B$236:$B$3404,A87,data!$L$236:$L$3404,C87,data!$K$236:$K$3404,B97,data!$N$236:$N$3404,"headless")</f>
        <v>9</v>
      </c>
      <c r="I87" s="80">
        <f>AVERAGEIFS(data!$G$236:$G$3404,data!$B$236:$B$3404,A87,data!$L$236:$L$3404,C87,data!$K$236:$K$3404,B97,data!$N$236:$N$3404,"&lt;&gt;headless")</f>
        <v>154.72499999999999</v>
      </c>
      <c r="J87" s="201">
        <f t="array" ref="J87">STDEV(IF(data!$B$2:$B$3404=2013,IF(data!$G$2:$G$3404&lt;&gt;"",IF(data!$K$2:$K$3404="female",IF(data!$L$2:$L$3404="spent",IF(data!$N$2:$N$3404&lt;&gt;"headless",data!$G$2:$G$3404))))))</f>
        <v>15.764269075576543</v>
      </c>
      <c r="K87" s="81">
        <f>AVERAGEIFS(data!$I$236:$I$3404,data!$B$236:$B$3404,A87,data!$L$236:$L$3404,C87,data!$K$236:$K$3404,B97,data!$N$236:$N$3404,"&lt;&gt;headless")</f>
        <v>11.117500000000001</v>
      </c>
      <c r="L87" s="73">
        <f t="array" ref="L87">STDEV(IF(data!$B$2:$B$3404=2013,IF(data!$I$2:$I$3404&lt;&gt;"",IF(data!$K$2:$K$3404="female",IF(data!$L$2:$L$3404="spent",IF(data!$N$2:$N$3404&lt;&gt;"headless",data!$I$2:$I$3404))))))</f>
        <v>3.0526900705224964</v>
      </c>
      <c r="M87" s="63"/>
      <c r="N87" s="63"/>
      <c r="O87" s="5"/>
      <c r="P87" s="70"/>
      <c r="S87" s="63"/>
      <c r="T87" s="70"/>
      <c r="U87" s="70"/>
      <c r="V87" s="90"/>
      <c r="W87" s="23"/>
      <c r="X87" s="70"/>
      <c r="Y87" s="70"/>
      <c r="Z87" s="90"/>
      <c r="AA87" s="63"/>
      <c r="AB87" s="63"/>
      <c r="AC87" s="63"/>
      <c r="AD87" s="63"/>
      <c r="AE87" s="63"/>
      <c r="AF87" s="63"/>
    </row>
    <row r="88" spans="1:32" ht="12.75" customHeight="1" x14ac:dyDescent="0.2">
      <c r="A88" s="91">
        <v>2012</v>
      </c>
      <c r="B88" s="87" t="s">
        <v>20</v>
      </c>
      <c r="C88" s="66" t="s">
        <v>272</v>
      </c>
      <c r="D88" s="68">
        <f>AVERAGEIFS(data!$G$453:$G$3404,data!$B$453:$B$3404,A88,data!$K$453:$K$3404,B88)</f>
        <v>152.91397849462365</v>
      </c>
      <c r="E88" s="214">
        <f t="array" ref="E88">STDEV(IF(data!$B$2:$B$3404=2012,IF(data!$G$2:$G$3404&lt;&gt;"",IF(data!$K$2:$K$3404="female",data!$G$2:$G$3404))))</f>
        <v>13.842009085435235</v>
      </c>
      <c r="F88" s="68">
        <f>AVERAGEIFS(data!$I$453:$I$3404,data!$B$453:$B$3404,A88,data!$K$453:$K$3404,B88)</f>
        <v>9.8333333333333321</v>
      </c>
      <c r="G88" s="214">
        <f t="array" ref="G88">STDEV(IF(data!$B$2:$B$3404=2012,IF(data!$I$2:$I$3404&lt;&gt;"",IF(data!$K$2:$K$3404="female",data!$I$2:$I$3404))))</f>
        <v>3.1146684286276587</v>
      </c>
      <c r="H88" s="92">
        <f>COUNTIFS(data!$B$453:$B$3404,A88,data!$K$453:$K$3404,B88,data!$N$453:$N$3404,"headless")</f>
        <v>18</v>
      </c>
      <c r="I88" s="82">
        <f>AVERAGEIFS(data!$G$236:$G$3404,data!$B$236:$B$3404,A88,data!$K$236:$K$3404,B88,data!$N$236:$N$3404,"&lt;&gt;headless")</f>
        <v>154.16455696202533</v>
      </c>
      <c r="J88" s="204">
        <f t="array" ref="J88">STDEV(IF(data!$B$2:$B$3404=2012,IF(data!$G$2:$G$3404&lt;&gt;"",IF(data!$K$2:$K$3404="female",IF(data!$N$2:$N$3404&lt;&gt;"headless",data!$G$2:$G$3404)))))</f>
        <v>14.097126802865636</v>
      </c>
      <c r="K88" s="83">
        <f>AVERAGEIFS(data!$I$236:$I$3404,data!$B$236:$B$3404,A88,data!$K$236:$K$3404,B88,data!$N$236:$N$3404,"&lt;&gt;headless")</f>
        <v>10.213924050632913</v>
      </c>
      <c r="L88" s="214">
        <f t="array" ref="L88">STDEV(IF(data!$B$2:$B$3404=2012,IF(data!$I$2:$I$3404&lt;&gt;"",IF(data!$K$2:$K$3404="female",IF(data!$N$2:$N$3404&lt;&gt;"headless",data!$I$2:$I$3404)))))</f>
        <v>3.1720224955233904</v>
      </c>
      <c r="M88" s="68">
        <f>AVERAGEIFS(data!$I$453:$I$3404,data!$B$453:$B$3404,A88,data!$L$453:$L$3404,N88)</f>
        <v>10.80909090909091</v>
      </c>
      <c r="N88" s="68" t="s">
        <v>30</v>
      </c>
      <c r="O88" s="70">
        <v>2014</v>
      </c>
      <c r="P88" s="70" t="s">
        <v>32</v>
      </c>
      <c r="Q88" s="57" t="e">
        <f>AVERAGEIFS(data!$G$281:$G$3404,data!$B$281:$B$3404,O88,data!$J$281:$J$3404,P88)</f>
        <v>#DIV/0!</v>
      </c>
      <c r="R88" t="e">
        <f>AVERAGEIFS(data!$I$281:$I$3404,data!$B$281:$B$3404,O88,data!$J$281:$J$3404,P88)</f>
        <v>#DIV/0!</v>
      </c>
      <c r="S88" s="23"/>
      <c r="T88" s="70">
        <v>2014</v>
      </c>
      <c r="U88" s="70" t="s">
        <v>19</v>
      </c>
      <c r="V88" s="90">
        <f>AVERAGEIFS(data!$H$281:$H$3404,data!$B$281:$B$3404,T88,data!$J$281:$J$3404,U88)</f>
        <v>137.89473684210526</v>
      </c>
      <c r="W88" s="23"/>
      <c r="X88" s="70">
        <v>2014</v>
      </c>
      <c r="Y88" s="70" t="s">
        <v>19</v>
      </c>
      <c r="Z88" s="90">
        <f>AVERAGEIFS(data!$I$281:$I$3404,data!$B$281:$B$3404,X88,data!$J$281:$J$3404,Y88)</f>
        <v>10.882098765432097</v>
      </c>
      <c r="AA88" s="23"/>
      <c r="AB88" s="23"/>
      <c r="AC88" s="23"/>
      <c r="AD88" s="23"/>
      <c r="AE88" s="23"/>
      <c r="AF88" s="23"/>
    </row>
    <row r="89" spans="1:32" ht="12.75" customHeight="1" x14ac:dyDescent="0.2">
      <c r="A89" s="93">
        <v>2012</v>
      </c>
      <c r="B89" s="42" t="s">
        <v>34</v>
      </c>
      <c r="C89" s="72"/>
      <c r="D89" s="51">
        <f>AVERAGEIFS(data!$G$453:$G$3404,data!$B$453:$B$3404,A89,data!$K$453:$K$3404,B89)</f>
        <v>168.5</v>
      </c>
      <c r="E89" s="204">
        <f t="array" ref="E89">STDEV(IF(data!$B$2:$B$3404=2012,IF(data!$G$2:$G$3404&lt;&gt;"",IF(data!$K$2:$K$3404="male",data!$G$2:$G$3404))))</f>
        <v>12.020815280171307</v>
      </c>
      <c r="F89" s="51">
        <f>AVERAGEIFS(data!$I$453:$I$3404,data!$B$453:$B$3404,A89,data!$K$453:$K$3404,B89)</f>
        <v>17.600000000000001</v>
      </c>
      <c r="G89" s="204">
        <f t="array" ref="G89">STDEV(IF(data!$B$2:$B$3404=2012,IF(data!$I$2:$I$3404&lt;&gt;"",IF(data!$K$2:$K$3404="male",data!$I$2:$I$3404))))</f>
        <v>2.2627416997969516</v>
      </c>
      <c r="H89" s="92">
        <f>COUNTIFS(data!$B$453:$B$3404,A89,data!$K$453:$K$3404,B89,data!$N$453:$N$3404,"headless")</f>
        <v>1</v>
      </c>
      <c r="I89" s="75">
        <f>AVERAGEIFS(data!$G$236:$G$3404,data!$B$236:$B$3404,A89,data!$K$236:$K$3404,B89,data!$N$236:$N$3404,"&lt;&gt;headless")</f>
        <v>177</v>
      </c>
      <c r="J89" s="200" t="s">
        <v>498</v>
      </c>
      <c r="K89" s="76">
        <f>AVERAGEIFS(data!$I$236:$I$3404,data!$B$236:$B$3404,A89,data!$K$236:$K$3404,B89,data!$N$236:$N$3404,"&lt;&gt;headless")</f>
        <v>19.2</v>
      </c>
      <c r="L89" s="204"/>
      <c r="M89" s="68">
        <f>AVERAGEIFS(data!$I$453:$I$3404,data!$B$453:$B$3404,A89,data!$L$453:$L$3404,N89)</f>
        <v>10.80909090909091</v>
      </c>
      <c r="N89" s="68" t="s">
        <v>30</v>
      </c>
      <c r="O89" s="23">
        <v>2013</v>
      </c>
      <c r="P89" s="23" t="s">
        <v>32</v>
      </c>
      <c r="Q89" s="41">
        <f>AVERAGEIFS(data!$G$373:$G$3404,data!$B$373:$B$3404,O89,data!$J$373:$J$3404,P89)</f>
        <v>127.2</v>
      </c>
      <c r="R89" s="41">
        <f>AVERAGEIFS(data!$I$373:$I$3404,data!$B$373:$B$3404,O89,data!$J$373:$J$3404,P89)</f>
        <v>4.9249999999999998</v>
      </c>
      <c r="S89" s="23"/>
      <c r="T89" s="23">
        <v>2013</v>
      </c>
      <c r="U89" s="23" t="s">
        <v>19</v>
      </c>
      <c r="V89" s="41">
        <f>AVERAGEIFS(data!$G$373:$G$3404,data!$B$373:$B$3404,T89,data!$J$373:$J$3404,U89)</f>
        <v>150.36231884057972</v>
      </c>
      <c r="W89" s="23"/>
      <c r="X89" s="23">
        <v>2013</v>
      </c>
      <c r="Y89" s="23" t="s">
        <v>19</v>
      </c>
      <c r="Z89" s="41">
        <f>AVERAGEIFS(data!$I$373:$I$3404,data!$B$373:$B$3404,X89,data!$J$373:$J$3404,Y89)</f>
        <v>10.835294117647058</v>
      </c>
      <c r="AA89" s="23"/>
      <c r="AB89" s="23"/>
      <c r="AC89" s="23"/>
      <c r="AD89" s="23"/>
      <c r="AE89" s="23"/>
      <c r="AF89" s="23"/>
    </row>
    <row r="90" spans="1:32" ht="12.75" customHeight="1" x14ac:dyDescent="0.2">
      <c r="A90" s="93">
        <v>2012</v>
      </c>
      <c r="B90" s="42" t="s">
        <v>41</v>
      </c>
      <c r="C90" s="72"/>
      <c r="D90" s="51">
        <f>AVERAGEIFS(data!$G$453:$G$3404,data!$B$453:$B$3404,A90,data!$K$453:$K$3404,B90)</f>
        <v>124.28571428571429</v>
      </c>
      <c r="E90" s="118"/>
      <c r="F90" s="51">
        <f>AVERAGEIFS(data!$I$453:$I$3404,data!$B$453:$B$3404,A90,data!$K$453:$K$3404,B90)</f>
        <v>4.6285714285714281</v>
      </c>
      <c r="G90" s="118"/>
      <c r="H90" s="92">
        <f>COUNTIFS(data!$B$453:$B$3404,A90,data!$K$453:$K$3404,B90,data!$N$453:$N$3404,"headless")</f>
        <v>4</v>
      </c>
      <c r="I90" s="75">
        <f>AVERAGEIFS(data!$G$236:$G$3404,data!$B$236:$B$3404,A90,data!$K$236:$K$3404,B90,data!$N$236:$N$3404,"&lt;&gt;headless")</f>
        <v>133</v>
      </c>
      <c r="J90" s="204"/>
      <c r="K90" s="76">
        <f>AVERAGEIFS(data!$I$236:$I$3404,data!$B$236:$B$3404,A90,data!$K$236:$K$3404,B90,data!$N$236:$N$3404,"&lt;&gt;headless")</f>
        <v>5.1333333333333329</v>
      </c>
      <c r="L90" s="204"/>
      <c r="M90" s="68">
        <f>AVERAGEIFS(data!$I$453:$I$3404,data!$B$453:$B$3404,A90,data!$L$453:$L$3404,N90)</f>
        <v>10.80909090909091</v>
      </c>
      <c r="N90" s="68" t="s">
        <v>30</v>
      </c>
      <c r="O90" s="23">
        <v>2012</v>
      </c>
      <c r="P90" s="23" t="s">
        <v>32</v>
      </c>
      <c r="Q90" s="41">
        <f>AVERAGEIFS(data!$G$453:$G$3404,data!$B$453:$B$3404,O90,data!$J$453:$J$3404,P90)</f>
        <v>183.58181818181819</v>
      </c>
      <c r="R90" s="41">
        <f>AVERAGEIFS(data!$I$453:$I$3404,data!$B$453:$B$3404,O90,data!$J$453:$J$3404,P90)</f>
        <v>12.453703703703704</v>
      </c>
      <c r="S90" s="23"/>
      <c r="T90" s="23">
        <v>2012</v>
      </c>
      <c r="U90" s="23" t="s">
        <v>19</v>
      </c>
      <c r="V90" s="41">
        <f>AVERAGEIFS(data!$G$373:$G$3404,data!$B$373:$B$3404,T90,data!$J$373:$J$3404,U90)</f>
        <v>151.25490196078431</v>
      </c>
      <c r="W90" s="23"/>
      <c r="X90" s="23">
        <v>2012</v>
      </c>
      <c r="Y90" s="23" t="s">
        <v>19</v>
      </c>
      <c r="Z90" s="41">
        <f>AVERAGEIFS(data!$I$373:$I$3404,data!$B$373:$B$3404,X90,data!$J$373:$J$3404,Y90)</f>
        <v>9.6284313725490147</v>
      </c>
      <c r="AA90" s="23"/>
      <c r="AB90" s="23"/>
      <c r="AC90" s="23"/>
      <c r="AD90" s="23"/>
      <c r="AE90" s="23"/>
      <c r="AF90" s="23"/>
    </row>
    <row r="91" spans="1:32" ht="12.75" customHeight="1" x14ac:dyDescent="0.2">
      <c r="A91" s="94">
        <v>2012</v>
      </c>
      <c r="B91" s="71" t="s">
        <v>20</v>
      </c>
      <c r="C91" s="70" t="s">
        <v>30</v>
      </c>
      <c r="D91" s="73">
        <f>AVERAGEIFS(data!G236:G3404,data!B236:B3404,A91,data!L236:L3404,C91,data!$K$236:$K$3404,B97)</f>
        <v>151.57575757575756</v>
      </c>
      <c r="E91" s="73">
        <f t="array" ref="E91">STDEV(IF(data!$B$2:$B$3404=2012,IF(data!$G$2:$G$3404&lt;&gt;"",IF(data!$K$2:$K$3404="female",IF(data!$L$2:$L$3404="gravid",data!$G$2:$G$3404)))))</f>
        <v>11.78725557283772</v>
      </c>
      <c r="F91" s="73">
        <f>AVERAGEIFS(data!I236:I3404,data!L236:L3404,C91,data!B236:B3404,A91,data!$K$236:$K$3404,B97)</f>
        <v>10.80909090909091</v>
      </c>
      <c r="G91" s="73">
        <f t="array" ref="G91">STDEV(IF(data!$B$2:$B$3404=2012,IF(data!$I$2:$I$3404&lt;&gt;"",IF(data!$K$2:$K$3404="female",IF(data!$L$2:$L$3404="gravid",data!$I$2:$I$3404)))))</f>
        <v>2.972831524443865</v>
      </c>
      <c r="H91" s="95">
        <f>COUNTIFS(data!$B$236:$B$3404,A91,data!$L$236:$L$3404,C91,data!$K$236:$K$3404,B97,data!$N$236:$N$3404,"headless")</f>
        <v>4</v>
      </c>
      <c r="I91" s="75">
        <f>AVERAGEIFS(data!$G$236:$G$3404,data!$B$236:$B$3404,A91,data!$L$236:$L$3404,C91,data!$K$236:$K$3404,B97,data!$N$236:$N$3404,"&lt;&gt;headless")</f>
        <v>151.76666666666668</v>
      </c>
      <c r="J91" s="204">
        <f t="array" ref="J91">STDEV(IF(data!$B$2:$B$3404=2012,IF(data!$G$2:$G$3404&lt;&gt;"",IF(data!$K$2:$K$3404="female",IF(data!$L$2:$L$3404="gravid",IF(data!$N$2:$N$3404&lt;&gt;"headless",data!$G$2:$G$3404))))))</f>
        <v>12.274681914084537</v>
      </c>
      <c r="K91" s="76">
        <f>AVERAGEIFS(data!$I$236:$I$3404,data!$B$236:$B$3404,A91,data!$L$236:$L$3404,C91,data!$K$236:$K$3404,B97,data!$N$236:$N$3404,"&lt;&gt;headless")</f>
        <v>11.016666666666669</v>
      </c>
      <c r="L91" s="73">
        <f t="array" ref="L91">STDEV(IF(data!$B$2:$B$3404=2012,IF(data!$I$2:$I$3404&lt;&gt;"",IF(data!$K$2:$K$3404="female",IF(data!$L$2:$L$3404="gravid",IF(data!$N$2:$N$3404&lt;&gt;"headless",data!$I$2:$I$3404))))))</f>
        <v>3.0348644613640552</v>
      </c>
      <c r="M91" s="68"/>
      <c r="N91" s="68"/>
      <c r="O91" s="23"/>
      <c r="P91" s="23"/>
      <c r="Q91" s="41"/>
      <c r="R91" s="41"/>
      <c r="S91" s="23"/>
      <c r="T91" s="23"/>
      <c r="U91" s="23"/>
      <c r="V91" s="41"/>
      <c r="W91" s="23"/>
      <c r="X91" s="23"/>
      <c r="Y91" s="23"/>
      <c r="Z91" s="41"/>
      <c r="AA91" s="23"/>
      <c r="AB91" s="23"/>
      <c r="AC91" s="23"/>
      <c r="AD91" s="23"/>
      <c r="AE91" s="23"/>
      <c r="AF91" s="23"/>
    </row>
    <row r="92" spans="1:32" ht="12.75" customHeight="1" x14ac:dyDescent="0.2">
      <c r="A92" s="94">
        <v>2012</v>
      </c>
      <c r="B92" s="71" t="s">
        <v>20</v>
      </c>
      <c r="C92" s="70" t="s">
        <v>21</v>
      </c>
      <c r="D92" s="73">
        <f>AVERAGEIFS(data!G236:G3404,data!B236:B3404,A92,data!L236:L3404,C92,data!$K$236:$K$3404,B97)</f>
        <v>156.02083333333334</v>
      </c>
      <c r="E92" s="73">
        <f t="array" ref="E92">STDEV(IF(data!$B$2:$B$3404=2012,IF(data!$G$2:$G$3404&lt;&gt;"",IF(data!$K$2:$K$3404="female",IF(data!$L$2:$L$3404="spent",data!$G$2:$G$3404)))))</f>
        <v>13.685665094470718</v>
      </c>
      <c r="F92" s="73">
        <f>AVERAGEIFS(data!I236:I3404,data!L236:L3404,C92,data!B236:B3404,A92,data!$K$236:$K$3404,B97)</f>
        <v>9.6520833333333353</v>
      </c>
      <c r="G92" s="201">
        <f t="array" ref="G92">STDEV(IF(data!$B$2:$B$3404=2012,IF(data!$I$2:$I$3404&lt;&gt;"",IF(data!$K$2:$K$3404="female",IF(data!$L$2:$L$3404="spent",data!$I$2:$I$3404)))))</f>
        <v>3.0583676346463728</v>
      </c>
      <c r="H92" s="79">
        <f>COUNTIFS(data!$B$236:$B$3404,A92,data!$L$236:$L$3404,C92,data!$K$236:$K$3404,B97,data!$N$236:$N$3404,"headless")</f>
        <v>11</v>
      </c>
      <c r="I92" s="80">
        <f>AVERAGEIFS(data!$G$236:$G$3404,data!$B$236:$B$3404,A92,data!$L$236:$L$3404,C92,data!$K$236:$K$3404,B97,data!$N$236:$N$3404,"&lt;&gt;headless")</f>
        <v>158.30769230769232</v>
      </c>
      <c r="J92" s="201">
        <f t="array" ref="J92">STDEV(IF(data!$B$2:$B$3404=2012,IF(data!$G$2:$G$3404&lt;&gt;"",IF(data!$K$2:$K$3404="female",IF(data!$L$2:$L$3404="spent",IF(data!$N$2:$N$3404&lt;&gt;"headless",data!$G$2:$G$3404))))))</f>
        <v>13.262836574733821</v>
      </c>
      <c r="K92" s="81">
        <f>AVERAGEIFS(data!$I$236:$I$3404,data!$B$236:$B$3404,A92,data!$L$236:$L$3404,C92,data!$K$236:$K$3404,B97,data!$N$236:$N$3404,"&lt;&gt;headless")</f>
        <v>10.253846153846155</v>
      </c>
      <c r="L92" s="73">
        <f t="array" ref="L92">STDEV(IF(data!$B$2:$B$3404=2012,IF(data!$I$2:$I$3404&lt;&gt;"",IF(data!$K$2:$K$3404="female",IF(data!$L$2:$L$3404="spent",IF(data!$N$2:$N$3404&lt;&gt;"headless",data!$I$2:$I$3404))))))</f>
        <v>3.013377730077917</v>
      </c>
      <c r="M92" s="68"/>
      <c r="N92" s="68"/>
      <c r="O92" s="23"/>
      <c r="P92" s="23"/>
      <c r="Q92" s="41"/>
      <c r="R92" s="41"/>
      <c r="S92" s="23"/>
      <c r="T92" s="23"/>
      <c r="U92" s="23"/>
      <c r="V92" s="41"/>
      <c r="W92" s="23"/>
      <c r="X92" s="23"/>
      <c r="Y92" s="23"/>
      <c r="Z92" s="41"/>
      <c r="AA92" s="23"/>
      <c r="AB92" s="23"/>
      <c r="AC92" s="23"/>
      <c r="AD92" s="23"/>
      <c r="AE92" s="23"/>
      <c r="AF92" s="23"/>
    </row>
    <row r="93" spans="1:32" ht="12.75" customHeight="1" x14ac:dyDescent="0.2">
      <c r="A93" s="96">
        <v>2011</v>
      </c>
      <c r="B93" s="97" t="s">
        <v>20</v>
      </c>
      <c r="C93" s="66" t="s">
        <v>272</v>
      </c>
      <c r="D93" s="68">
        <f>AVERAGEIFS(data!$G$453:$G$3404,data!$B$453:$B$3404,A93,data!$K$453:$K$3404,B93)</f>
        <v>139.69620253164558</v>
      </c>
      <c r="E93" s="214">
        <f t="array" ref="E93">STDEV(IF(data!$B$2:$B$3404=2011,IF(data!$G$2:$G$3404&lt;&gt;"",IF(data!$K$2:$K$3404="female",data!$G$2:$G$3404))))</f>
        <v>12.560983987239446</v>
      </c>
      <c r="F93" s="68">
        <f>AVERAGEIFS(data!$I$453:$I$3404,data!$B$453:$B$3404,A93,data!$K$453:$K$3404,B93)</f>
        <v>10.662345679012349</v>
      </c>
      <c r="G93" s="214">
        <f t="array" ref="G93">STDEV(IF(data!$B$2:$B$3404=2011,IF(data!$I$2:$I$3404&lt;&gt;"",IF(data!$K$2:$K$3404="female",data!$I$2:$I$3404))))</f>
        <v>3.0480683520899414</v>
      </c>
      <c r="H93" s="8">
        <f>COUNTIFS(data!$B$453:$B$3404,A93,data!$K$453:$K$3404,B93,data!$N$453:$N$3404,"headless")</f>
        <v>24</v>
      </c>
      <c r="I93" s="75">
        <f>AVERAGEIFS(data!$G$236:$G$3404,data!$B$236:$B$3404,A93,data!$K$236:$K$3404,B93,data!$N$236:$N$3404,"&lt;&gt;headless")</f>
        <v>141.10526315789474</v>
      </c>
      <c r="J93" s="204">
        <f t="array" ref="J93">STDEV(IF(data!$B$2:$B$3404=2011,IF(data!$G$2:$G$3404&lt;&gt;"",IF(data!$K$2:$K$3404="female",IF(data!$N$2:$N$3404&lt;&gt;"headless",data!$G$2:$G$3404)))))</f>
        <v>13.326509845479205</v>
      </c>
      <c r="K93" s="76">
        <f>AVERAGEIFS(data!$I$236:$I$3404,data!$B$236:$B$3404,A93,data!$K$236:$K$3404,B93,data!$N$236:$N$3404,"&lt;&gt;headless")</f>
        <v>10.93898305084746</v>
      </c>
      <c r="L93" s="214">
        <f t="array" ref="L93">STDEV(IF(data!$B$2:$B$3404=2011,IF(data!$I$2:$I$3404&lt;&gt;"",IF(data!$K$2:$K$3404="female",IF(data!$N$2:$N$3404&lt;&gt;"headless",data!$I$2:$I$3404)))))</f>
        <v>3.140394053308051</v>
      </c>
      <c r="M93" s="68">
        <f>AVERAGEIFS(data!$I$453:$I$3404,data!$B$453:$B$3404,A93,data!$L$453:$L$3404,N93)</f>
        <v>12.126315789473686</v>
      </c>
      <c r="N93" s="68" t="s">
        <v>30</v>
      </c>
      <c r="O93" s="23">
        <v>2011</v>
      </c>
      <c r="P93" s="23" t="s">
        <v>32</v>
      </c>
      <c r="Q93" s="41">
        <f>AVERAGEIFS(data!$G$453:$G$3404,data!$B$453:$B$3404,O93,data!$J$453:$J$3404,P93)</f>
        <v>158.66666666666666</v>
      </c>
      <c r="R93" s="41">
        <f>AVERAGEIFS(data!$I$453:$I$3404,data!$B$453:$B$3404,O93,data!$J$453:$J$3404,P93)</f>
        <v>8.5</v>
      </c>
      <c r="T93" s="23">
        <v>2011</v>
      </c>
      <c r="U93" s="23" t="s">
        <v>19</v>
      </c>
      <c r="V93" s="41">
        <f>AVERAGEIFS(data!$G$373:$G$3404,data!$B$373:$B$3404,T93,data!$J$373:$J$3404,U93)</f>
        <v>141.52336448598132</v>
      </c>
      <c r="X93" s="23">
        <v>2011</v>
      </c>
      <c r="Y93" s="23" t="s">
        <v>19</v>
      </c>
      <c r="Z93" s="41">
        <f>AVERAGEIFS(data!$I$373:$I$3404,data!$B$373:$B$3404,X93,data!$J$373:$J$3404,Y93)</f>
        <v>11.364159292035399</v>
      </c>
    </row>
    <row r="94" spans="1:32" ht="12.75" customHeight="1" x14ac:dyDescent="0.2">
      <c r="A94" s="98">
        <v>2011</v>
      </c>
      <c r="B94" s="8" t="s">
        <v>34</v>
      </c>
      <c r="C94" s="72"/>
      <c r="D94" s="51">
        <f>AVERAGEIFS(data!$G$453:$G$3404,data!$B$453:$B$3404,A94,data!$K$453:$K$3404,B94)</f>
        <v>146.67857142857142</v>
      </c>
      <c r="E94" s="204">
        <f t="array" ref="E94">STDEV(IF(data!$B$2:$B$3404=2011,IF(data!$G$2:$G$3404&lt;&gt;"",IF(data!$K$2:$K$3404="male",data!$G$2:$G$3404))))</f>
        <v>9.2498391234401378</v>
      </c>
      <c r="F94" s="51">
        <f>AVERAGEIFS(data!$I$453:$I$3404,data!$B$453:$B$3404,A94,data!$K$453:$K$3404,B94)</f>
        <v>13.140624999999998</v>
      </c>
      <c r="G94" s="204">
        <f t="array" ref="G94">STDEV(IF(data!$B$2:$B$3404=2011,IF(data!$I$2:$I$3404&lt;&gt;"",IF(data!$K$2:$K$3404="male",data!$I$2:$I$3404))))</f>
        <v>4.3697537669611339</v>
      </c>
      <c r="H94" s="8">
        <f>COUNTIFS(data!$B$453:$B$3404,A94,data!$K$453:$K$3404,B94,data!$N$453:$N$3404,"headless")</f>
        <v>4</v>
      </c>
      <c r="I94" s="75">
        <f>AVERAGEIFS(data!$G$236:$G$3404,data!$B$236:$B$3404,A94,data!$K$236:$K$3404,B94,data!$N$236:$N$3404,"&lt;&gt;headless")</f>
        <v>146.84615384615384</v>
      </c>
      <c r="J94" s="204">
        <f t="array" ref="J94">STDEV(IF(data!$B$2:$B$3404=2011,IF(data!$G$2:$G$3404&lt;&gt;"",IF(data!$K$2:$K$3404="male",IF(data!$N$2:$N$3404&lt;&gt;"headless",data!$G$2:$G$3404)))))</f>
        <v>9.5065968998051371</v>
      </c>
      <c r="K94" s="204">
        <f>AVERAGEIFS(data!$I$236:$I$3404,data!$B$236:$B$3404,A94,data!$K$236:$K$3404,B94,data!$N$236:$N$3404,"&lt;&gt;headless")</f>
        <v>13.175862068965516</v>
      </c>
      <c r="L94" s="227">
        <f t="array" ref="L94">STDEV(IF(data!$B$2:$B$3404=2011,IF(data!$I$2:$I$3404&lt;&gt;"",IF(data!$K$2:$K$3404="male",IF(data!$N$2:$N$3404&lt;&gt;"headless",data!$I$2:$I$3404)))))</f>
        <v>4.5356252657956864</v>
      </c>
      <c r="M94" s="68">
        <f>AVERAGEIFS(data!$I$453:$I$3404,data!$B$453:$B$3404,A94,data!$L$453:$L$3404,N94)</f>
        <v>12.126315789473686</v>
      </c>
      <c r="N94" s="68" t="s">
        <v>30</v>
      </c>
      <c r="O94" s="23">
        <v>2010</v>
      </c>
      <c r="P94" s="23" t="s">
        <v>32</v>
      </c>
      <c r="Q94" s="41" t="s">
        <v>29</v>
      </c>
      <c r="R94" s="41" t="s">
        <v>29</v>
      </c>
      <c r="T94" s="23">
        <v>2010</v>
      </c>
      <c r="U94" s="23" t="s">
        <v>19</v>
      </c>
      <c r="V94" s="41">
        <f>AVERAGEIFS(data!$G$373:$G$3404,data!$B$373:$B$3404,T94,data!$J$373:$J$3404,U94)</f>
        <v>160.06666666666666</v>
      </c>
      <c r="X94" s="23">
        <v>2010</v>
      </c>
      <c r="Y94" s="23" t="s">
        <v>19</v>
      </c>
      <c r="Z94" s="41">
        <f>AVERAGEIFS(data!$I$373:$I$3404,data!$B$373:$B$3404,X94,data!$J$373:$J$3404,Y94)</f>
        <v>13.732258064516129</v>
      </c>
    </row>
    <row r="95" spans="1:32" ht="12.75" customHeight="1" x14ac:dyDescent="0.2">
      <c r="A95" s="98">
        <v>2011</v>
      </c>
      <c r="B95" s="8" t="s">
        <v>41</v>
      </c>
      <c r="C95" s="8"/>
      <c r="D95" s="51"/>
      <c r="E95" s="118"/>
      <c r="F95" s="51"/>
      <c r="G95" s="118"/>
      <c r="H95" s="8">
        <f>COUNTIFS(data!$B$453:$B$3404,A95,data!$K$453:$K$3404,B95,data!$N$453:$N$3404,"headless")</f>
        <v>0</v>
      </c>
      <c r="I95" s="84"/>
      <c r="J95" s="200"/>
      <c r="K95" s="76"/>
      <c r="L95" s="204"/>
      <c r="M95" s="68">
        <f>AVERAGEIFS(data!$I$453:$I$3404,data!$B$453:$B$3404,A95,data!$L$453:$L$3404,N95)</f>
        <v>12.126315789473686</v>
      </c>
      <c r="N95" s="68" t="s">
        <v>30</v>
      </c>
      <c r="O95" s="23">
        <v>2009</v>
      </c>
      <c r="P95" s="23" t="s">
        <v>32</v>
      </c>
      <c r="Q95" s="41">
        <f>AVERAGEIFS(data!$G$453:$G$3404,data!$B$453:$B$3404,O95,data!$J$453:$J$3404,P95)</f>
        <v>123.55319148936171</v>
      </c>
      <c r="R95" s="41">
        <f>AVERAGEIFS(data!$I$453:$I$3404,data!$B$453:$B$3404,O95,data!$J$453:$J$3404,P95)</f>
        <v>2.5863636363636364</v>
      </c>
      <c r="T95" s="23">
        <v>2009</v>
      </c>
      <c r="U95" s="23" t="s">
        <v>19</v>
      </c>
      <c r="V95" s="41">
        <f>AVERAGEIFS(data!$G$373:$G$3404,data!$B$373:$B$3404,T95,data!$J$373:$J$3404,U95)</f>
        <v>157.80701754385964</v>
      </c>
      <c r="X95" s="23">
        <v>2009</v>
      </c>
      <c r="Y95" s="23" t="s">
        <v>19</v>
      </c>
      <c r="Z95" s="41">
        <f>AVERAGEIFS(data!$I$373:$I$3404,data!$B$373:$B$3404,X95,data!$J$373:$J$3404,Y95)</f>
        <v>12.396296296296295</v>
      </c>
    </row>
    <row r="96" spans="1:32" ht="12.75" customHeight="1" x14ac:dyDescent="0.2">
      <c r="A96" s="99">
        <v>2011</v>
      </c>
      <c r="B96" s="49" t="s">
        <v>20</v>
      </c>
      <c r="C96" s="49" t="s">
        <v>30</v>
      </c>
      <c r="D96" s="73">
        <f>AVERAGEIFS(data!G236:G3404,data!B236:B3404,A96,data!L236:L3404,C96,data!$K$236:$K$3404,B97)</f>
        <v>135.35897435897436</v>
      </c>
      <c r="E96" s="73">
        <f t="array" ref="E96">STDEV(IF(data!$B$2:$B$3404=2011,IF(data!$G$2:$G$3404&lt;&gt;"",IF(data!$K$2:$K$3404="female",IF(data!$L$2:$L$3404="gravid",data!$G$2:$G$3404)))))</f>
        <v>11.842135252623599</v>
      </c>
      <c r="F96" s="73">
        <f>AVERAGEIFS(data!I236:I3404,data!L236:L3404,C96,data!B236:B3404,A96,data!$K$236:$K$3404,B97)</f>
        <v>11.987179487179487</v>
      </c>
      <c r="G96" s="73">
        <f t="array" ref="G96">STDEV(IF(data!$B$2:$B$3404=2011,IF(data!$I$2:$I$3404&lt;&gt;"",IF(data!$K$2:$K$3404="female",IF(data!$L$2:$L$3404="gravid",data!$I$2:$I$3404)))))</f>
        <v>2.6967992223901169</v>
      </c>
      <c r="H96" s="95">
        <f>COUNTIFS(data!$B$236:$B$3404,A96,data!$L$236:$L$3404,C96,data!$K$236:$K$3404,B96,data!$N$236:$N$3404,"headless")</f>
        <v>11</v>
      </c>
      <c r="I96" s="73">
        <f>AVERAGEIFS(data!$G$236:$G$3404,data!$B$236:$B$3404,A96,data!$L$236:$L$3404,C96,data!$K$236:$K$3404,B97,data!$N$236:$N$3404,"&lt;&gt;headless")</f>
        <v>135.72413793103448</v>
      </c>
      <c r="J96" s="204">
        <f t="array" ref="J96">STDEV(IF(data!$B$2:$B$3404=2011,IF(data!$G$2:$G$3404&lt;&gt;"",IF(data!$K$2:$K$3404="female",IF(data!$L$2:$L$3404="gravid",IF(data!$N$2:$N$3404&lt;&gt;"headless",data!$G$2:$G$3404))))))</f>
        <v>12.088650378776599</v>
      </c>
      <c r="K96" s="73">
        <f>AVERAGEIFS(data!$I$236:$I$3404,data!$B$236:$B$3404,A96,data!$L$236:$L$3404,C96,data!$K$236:$K$3404,B97,data!$N$236:$N$3404,"&lt;&gt;headless")</f>
        <v>12.006666666666666</v>
      </c>
      <c r="L96" s="73">
        <f t="array" ref="L96">STDEV(IF(data!$B$2:$B$3404=2011,IF(data!$I$2:$I$3404&lt;&gt;"",IF(data!$K$2:$K$3404="female",IF(data!$L$2:$L$3404="gravid",IF(data!$N$2:$N$3404&lt;&gt;"headless",data!$I$2:$I$3404))))))</f>
        <v>2.8301252967673203</v>
      </c>
      <c r="M96" s="68"/>
      <c r="N96" s="68"/>
      <c r="O96" s="23"/>
      <c r="P96" s="23"/>
      <c r="Q96" s="41"/>
      <c r="R96" s="41"/>
      <c r="T96" s="23"/>
      <c r="U96" s="23"/>
      <c r="V96" s="41"/>
      <c r="X96" s="23"/>
      <c r="Y96" s="23"/>
      <c r="Z96" s="41"/>
    </row>
    <row r="97" spans="1:26" ht="12.75" customHeight="1" x14ac:dyDescent="0.2">
      <c r="A97" s="99">
        <v>2011</v>
      </c>
      <c r="B97" s="49" t="s">
        <v>20</v>
      </c>
      <c r="C97" s="49" t="s">
        <v>21</v>
      </c>
      <c r="D97" s="73">
        <f>AVERAGEIFS(data!G236:G3404,data!B236:B3404,A97,data!L236:L3404,C97,data!$K$236:$K$3404,B97)</f>
        <v>143.64864864864865</v>
      </c>
      <c r="E97" s="73">
        <f t="array" ref="E97">STDEV(IF(data!$B$2:$B$3404=2011,IF(data!$G$2:$G$3404&lt;&gt;"",IF(data!$K$2:$K$3404="female",IF(data!$L$2:$L$3404="spent",data!$G$2:$G$3404)))))</f>
        <v>10.812071998507081</v>
      </c>
      <c r="F97" s="73">
        <f>AVERAGEIFS(data!I236:I3404,data!L236:L3404,C97,data!B236:B3404,A97,data!$K$236:$K$3404,B97)</f>
        <v>9.3371794871794869</v>
      </c>
      <c r="G97" s="201">
        <f t="array" ref="G97">STDEV(IF(data!$B$2:$B$3404=2011,IF(data!$I$2:$I$3404&lt;&gt;"",IF(data!$K$2:$K$3404="female",IF(data!$L$2:$L$3404="spent",data!$I$2:$I$3404)))))</f>
        <v>2.169092641633644</v>
      </c>
      <c r="H97" s="95">
        <f>COUNTIFS(data!$B$236:$B$3404,A97,data!$L$236:$L$3404,C97,data!$K$236:$K$3404,B97,data!$N$236:$N$3404,"headless")</f>
        <v>13</v>
      </c>
      <c r="I97" s="86">
        <f>AVERAGEIFS(data!$G$236:$G$3404,data!$B$236:$B$3404,A97,data!$L$236:$L$3404,C97,data!$K$236:$K$3404,B97,data!$N$236:$N$3404,"&lt;&gt;headless")</f>
        <v>146.6</v>
      </c>
      <c r="J97" s="201">
        <f t="array" ref="J97">STDEV(IF(data!$B$2:$B$3404=2011,IF(data!$G$2:$G$3404&lt;&gt;"",IF(data!$K$2:$K$3404="female",IF(data!$L$2:$L$3404="spent",IF(data!$N$2:$N$3404&lt;&gt;"headless",data!$G$2:$G$3404))))))</f>
        <v>10.916348595875208</v>
      </c>
      <c r="K97" s="86">
        <f>AVERAGEIFS(data!$I$236:$I$3404,data!$B$236:$B$3404,A97,data!$L$236:$L$3404,C97,data!$K$236:$K$3404,B97,data!$N$236:$N$3404,"&lt;&gt;headless")</f>
        <v>9.7384615384615376</v>
      </c>
      <c r="L97" s="73">
        <f t="array" ref="L97">STDEV(IF(data!$B$2:$B$3404=2011,IF(data!$I$2:$I$3404&lt;&gt;"",IF(data!$K$2:$K$3404="female",IF(data!$L$2:$L$3404="spent",IF(data!$N$2:$N$3404&lt;&gt;"headless",data!$I$2:$I$3404))))))</f>
        <v>2.1601994209937083</v>
      </c>
      <c r="M97" s="68"/>
      <c r="N97" s="68"/>
      <c r="O97" s="23"/>
      <c r="P97" s="23"/>
      <c r="Q97" s="41"/>
      <c r="R97" s="41"/>
      <c r="T97" s="23"/>
      <c r="U97" s="23"/>
      <c r="V97" s="41"/>
      <c r="X97" s="23"/>
      <c r="Y97" s="23"/>
      <c r="Z97" s="41"/>
    </row>
    <row r="98" spans="1:26" ht="12.75" customHeight="1" x14ac:dyDescent="0.2">
      <c r="A98" s="96">
        <v>2010</v>
      </c>
      <c r="B98" s="97" t="s">
        <v>20</v>
      </c>
      <c r="C98" s="66" t="s">
        <v>272</v>
      </c>
      <c r="D98" s="68">
        <f>AVERAGEIFS(data!$G$453:$G$3404,data!$B$453:$B$3404,A98,data!$K$453:$K$3404,B98)</f>
        <v>156.91666666666666</v>
      </c>
      <c r="E98" s="214">
        <f t="array" ref="E98">STDEV(IF(data!$B$2:$B$3404=2010,IF(data!$G$2:$G$3404&lt;&gt;"",IF(data!$K$2:$K$3404="female",data!$G$2:$G$3404))))</f>
        <v>7.8900965259244957</v>
      </c>
      <c r="F98" s="68">
        <f>AVERAGEIFS(data!$I$453:$I$3404,data!$B$453:$B$3404,A98,data!$K$453:$K$3404,B98)</f>
        <v>12.488</v>
      </c>
      <c r="G98" s="214">
        <f t="array" ref="G98">STDEV(IF(data!$B$2:$B$3404=2010,IF(data!$I$2:$I$3404&lt;&gt;"",IF(data!$K$2:$K$3404="female",data!$I$2:$I$3404))))</f>
        <v>2.418560177736607</v>
      </c>
      <c r="H98" s="97">
        <f>COUNTIFS(data!$B$453:$B$3404,A98,data!$K$453:$K$3404,B98,data!$N$453:$N$3404,"headless")</f>
        <v>5</v>
      </c>
      <c r="I98" s="82">
        <f>AVERAGEIFS(data!$G$236:$G$3404,data!$B$236:$B$3404,A98,data!$K$236:$K$3404,B98,data!$N$236:$N$3404,"&lt;&gt;headless")</f>
        <v>157.31578947368422</v>
      </c>
      <c r="J98" s="204">
        <f t="array" ref="J98">STDEV(IF(data!$B$2:$B$3404=2010,IF(data!$G$2:$G$3404&lt;&gt;"",IF(data!$K$2:$K$3404="female",IF(data!$N$2:$N$3404&lt;&gt;"headless",data!$G$2:$G$3404)))))</f>
        <v>7.7892563585931001</v>
      </c>
      <c r="K98" s="83">
        <f>AVERAGEIFS(data!$I$236:$I$3404,data!$B$236:$B$3404,A98,data!$K$236:$K$3404,B98,data!$N$236:$N$3404,"&lt;&gt;headless")</f>
        <v>12.484999999999999</v>
      </c>
      <c r="L98" s="214">
        <f t="array" ref="L98">STDEV(IF(data!$B$2:$B$3404=2010,IF(data!$I$2:$I$3404&lt;&gt;"",IF(data!$K$2:$K$3404="female",IF(data!$N$2:$N$3404&lt;&gt;"headless",data!$I$2:$I$3404)))))</f>
        <v>2.327020910045603</v>
      </c>
      <c r="M98" s="68">
        <f>AVERAGEIFS(data!$I$453:$I$3404,data!$B$453:$B$3404,A98,data!$L$453:$L$3404,N98)</f>
        <v>12.660869565217391</v>
      </c>
      <c r="N98" s="68" t="s">
        <v>30</v>
      </c>
      <c r="O98" s="23">
        <v>2008</v>
      </c>
      <c r="P98" s="23" t="s">
        <v>32</v>
      </c>
      <c r="Q98" s="41" t="s">
        <v>29</v>
      </c>
      <c r="R98" s="41" t="s">
        <v>29</v>
      </c>
      <c r="T98" s="23">
        <v>2008</v>
      </c>
      <c r="U98" s="23" t="s">
        <v>19</v>
      </c>
      <c r="V98" s="41">
        <f>AVERAGEIFS(data!$G$373:$G$3404,data!$B$373:$B$3404,T98,data!$J$373:$J$3404,U98)</f>
        <v>144.58426966292134</v>
      </c>
      <c r="X98" s="23">
        <v>2008</v>
      </c>
      <c r="Y98" s="23" t="s">
        <v>19</v>
      </c>
      <c r="Z98" s="41">
        <f>AVERAGEIFS(data!$I$373:$I$3404,data!$B$373:$B$3404,X98,data!$J$373:$J$3404,Y98)</f>
        <v>12.388043478260871</v>
      </c>
    </row>
    <row r="99" spans="1:26" ht="12.75" customHeight="1" x14ac:dyDescent="0.2">
      <c r="A99" s="98">
        <v>2010</v>
      </c>
      <c r="B99" s="8" t="s">
        <v>34</v>
      </c>
      <c r="C99" s="72"/>
      <c r="D99" s="51">
        <f>AVERAGEIFS(data!$G$453:$G$3404,data!$B$453:$B$3404,A99,data!$K$453:$K$3404,B99)</f>
        <v>172.66666666666666</v>
      </c>
      <c r="E99" s="204">
        <f t="array" ref="E99">STDEV(IF(data!$B$2:$B$3404=2010,IF(data!$G$2:$G$3404&lt;&gt;"",IF(data!$K$2:$K$3404="male",data!$G$2:$G$3404))))</f>
        <v>8.0911474258393472</v>
      </c>
      <c r="F99" s="51">
        <f>AVERAGEIFS(data!$I$453:$I$3404,data!$B$453:$B$3404,A99,data!$K$453:$K$3404,B99)</f>
        <v>18.916666666666668</v>
      </c>
      <c r="G99" s="204">
        <f t="array" ref="G99">STDEV(IF(data!$B$2:$B$3404=2010,IF(data!$I$2:$I$3404&lt;&gt;"",IF(data!$K$2:$K$3404="male",data!$I$2:$I$3404))))</f>
        <v>4.4318919962772894</v>
      </c>
      <c r="H99" s="8">
        <f>COUNTIFS(data!$B$453:$B$3404,A99,data!$K$453:$K$3404,B99,data!$N$453:$N$3404,"headless")</f>
        <v>3</v>
      </c>
      <c r="I99" s="75">
        <f>AVERAGEIFS(data!$G$236:$G$3404,data!$B$236:$B$3404,A99,data!$K$236:$K$3404,B99,data!$N$236:$N$3404,"&lt;&gt;headless")</f>
        <v>177.66666666666666</v>
      </c>
      <c r="J99" s="204">
        <f t="array" ref="J99">STDEV(IF(data!$B$2:$B$3404=2010,IF(data!$G$2:$G$3404&lt;&gt;"",IF(data!$K$2:$K$3404="male",IF(data!$N$2:$N$3404&lt;&gt;"headless",data!$G$2:$G$3404)))))</f>
        <v>6.5064070986477116</v>
      </c>
      <c r="K99" s="76">
        <f>AVERAGEIFS(data!$I$236:$I$3404,data!$B$236:$B$3404,A99,data!$K$236:$K$3404,B99,data!$N$236:$N$3404,"&lt;&gt;headless")</f>
        <v>22.5</v>
      </c>
      <c r="L99" s="227">
        <f t="array" ref="L99">STDEV(IF(data!$B$2:$B$3404=2010,IF(data!$I$2:$I$3404&lt;&gt;"",IF(data!$K$2:$K$3404="male",IF(data!$N$2:$N$3404&lt;&gt;"headless",data!$I$2:$I$3404)))))</f>
        <v>1.7320508075688772</v>
      </c>
      <c r="M99" s="68">
        <f>AVERAGEIFS(data!$I$453:$I$3404,data!$B$453:$B$3404,A99,data!$L$453:$L$3404,N99)</f>
        <v>12.660869565217391</v>
      </c>
      <c r="N99" s="68" t="s">
        <v>30</v>
      </c>
      <c r="O99" s="23">
        <v>2007</v>
      </c>
      <c r="P99" s="23" t="s">
        <v>32</v>
      </c>
      <c r="Q99" s="41" t="s">
        <v>29</v>
      </c>
      <c r="R99" s="41" t="s">
        <v>29</v>
      </c>
      <c r="T99" s="23">
        <v>2007</v>
      </c>
      <c r="U99" s="23" t="s">
        <v>19</v>
      </c>
      <c r="V99" s="41">
        <f>AVERAGEIFS(data!$G$373:$G$3404,data!$B$373:$B$3404,T99,data!$J$373:$J$3404,U99)</f>
        <v>143.52112676056339</v>
      </c>
      <c r="X99" s="23">
        <v>2007</v>
      </c>
      <c r="Y99" s="23" t="s">
        <v>19</v>
      </c>
      <c r="Z99" s="41">
        <f>AVERAGEIFS(data!$I$373:$I$3404,data!$B$373:$B$3404,X99,data!$J$373:$J$3404,Y99)</f>
        <v>12.460638297872338</v>
      </c>
    </row>
    <row r="100" spans="1:26" ht="12.75" customHeight="1" x14ac:dyDescent="0.2">
      <c r="A100" s="98">
        <v>2010</v>
      </c>
      <c r="B100" s="8" t="s">
        <v>41</v>
      </c>
      <c r="C100" s="8"/>
      <c r="D100" s="51"/>
      <c r="E100" s="118"/>
      <c r="F100" s="51"/>
      <c r="G100" s="118"/>
      <c r="H100" s="8">
        <f>COUNTIFS(data!$B$453:$B$3404,A100,data!$K$453:$K$3404,B100,data!$N$453:$N$3404,"headless")</f>
        <v>0</v>
      </c>
      <c r="I100" s="84"/>
      <c r="J100" s="200"/>
      <c r="K100" s="78"/>
      <c r="L100" s="200"/>
      <c r="M100" s="68">
        <f>AVERAGEIFS(data!$I$453:$I$3404,data!$B$453:$B$3404,A100,data!$L$453:$L$3404,N100)</f>
        <v>12.660869565217391</v>
      </c>
      <c r="N100" s="68" t="s">
        <v>30</v>
      </c>
      <c r="O100" s="23">
        <v>2006</v>
      </c>
      <c r="P100" s="23" t="s">
        <v>32</v>
      </c>
      <c r="Q100" s="41">
        <f>AVERAGEIFS(data!$G$453:$G$3404,data!$B$453:$B$3404,O100,data!$J$453:$J$3404,P100)</f>
        <v>223</v>
      </c>
      <c r="R100" s="41">
        <f>AVERAGEIFS(data!$I$453:$I$3404,data!$B$453:$B$3404,O100,data!$J$453:$J$3404,P100)</f>
        <v>24.5</v>
      </c>
      <c r="T100" s="23">
        <v>2006</v>
      </c>
      <c r="U100" s="23" t="s">
        <v>19</v>
      </c>
      <c r="V100" s="41">
        <f>AVERAGEIFS(data!$G$373:$G$3404,data!$B$373:$B$3404,T100,data!$J$373:$J$3404,U100)</f>
        <v>143</v>
      </c>
      <c r="X100" s="23">
        <v>2006</v>
      </c>
      <c r="Y100" s="23" t="s">
        <v>19</v>
      </c>
      <c r="Z100" s="41">
        <f>AVERAGEIFS(data!$I$373:$I$3404,data!$B$373:$B$3404,X100,data!$J$373:$J$3404,Y100)</f>
        <v>9.3280000000000012</v>
      </c>
    </row>
    <row r="101" spans="1:26" ht="12.75" customHeight="1" x14ac:dyDescent="0.2">
      <c r="A101" s="99">
        <v>2010</v>
      </c>
      <c r="B101" s="49" t="s">
        <v>20</v>
      </c>
      <c r="C101" s="49" t="s">
        <v>30</v>
      </c>
      <c r="D101" s="73">
        <f>AVERAGEIFS(data!G236:G3404,data!B236:B3404,A101,data!L236:L3404,C101,data!$K$236:$K$3404,B97)</f>
        <v>156.18181818181819</v>
      </c>
      <c r="E101" s="73">
        <f t="array" ref="E101">STDEV(IF(data!$B$2:$B$3404=2010,IF(data!$G$2:$G$3404&lt;&gt;"",IF(data!$K$2:$K$3404="female",IF(data!$L$2:$L$3404="gravid",data!$G$2:$G$3404)))))</f>
        <v>7.8110810399705244</v>
      </c>
      <c r="F101" s="73">
        <f>AVERAGEIFS(data!I236:I3404,data!L236:L3404,C101,data!B236:B3404,A101)</f>
        <v>12.660869565217391</v>
      </c>
      <c r="G101" s="73">
        <f t="array" ref="G101">STDEV(IF(data!$B$2:$B$3404=2010,IF(data!$I$2:$I$3404&lt;&gt;"",IF(data!$K$2:$K$3404="female",IF(data!$L$2:$L$3404="gravid",data!$I$2:$I$3404)))))</f>
        <v>2.4289427423983923</v>
      </c>
      <c r="H101" s="74">
        <f>COUNTIFS(data!$B$236:$B$3404,A101,data!$L$236:$L$3404,C101,data!$K$236:$K$3404,B101,data!$N$236:$N$3404,"headless")</f>
        <v>5</v>
      </c>
      <c r="I101" s="75">
        <f>AVERAGEIFS(data!$G$236:$G$3404,data!$B$236:$B$3404,A101,data!$L$236:$L$3404,C101,data!$K$236:$K$3404,B102,data!$N$236:$N$3404,"&lt;&gt;headless")</f>
        <v>156.41176470588235</v>
      </c>
      <c r="J101" s="204">
        <f t="array" ref="J101">STDEV(IF(data!$B$2:$B$3404=2010,IF(data!$G$2:$G$3404&lt;&gt;"",IF(data!$K$2:$K$3404="female",IF(data!$L$2:$L$3404="gravid",IF(data!$N$2:$N$3404&lt;&gt;"headless",data!$G$2:$G$3404))))))</f>
        <v>7.7141009159315814</v>
      </c>
      <c r="K101" s="76">
        <f>AVERAGEIFS(data!$I$236:$I$3404,data!$B$236:$B$3404,A101,data!$L$236:$L$3404,C101,data!$K$236:$K$3404,B102,data!$N$236:$N$3404,"&lt;&gt;headless")</f>
        <v>12.705555555555556</v>
      </c>
      <c r="L101" s="73">
        <f t="array" ref="L101">STDEV(IF(data!$B$2:$B$3404=2010,IF(data!$I$2:$I$3404&lt;&gt;"",IF(data!$K$2:$K$3404="female",IF(data!$L$2:$L$3404="gravid",IF(data!$N$2:$N$3404&lt;&gt;"headless",data!$I$2:$I$3404))))))</f>
        <v>2.3279559886233541</v>
      </c>
      <c r="M101" s="68"/>
      <c r="N101" s="68"/>
      <c r="O101" s="23"/>
      <c r="P101" s="23"/>
      <c r="Q101" s="41"/>
      <c r="R101" s="41"/>
      <c r="T101" s="23"/>
      <c r="U101" s="23"/>
      <c r="V101" s="41"/>
      <c r="X101" s="23"/>
      <c r="Y101" s="23"/>
      <c r="Z101" s="41"/>
    </row>
    <row r="102" spans="1:26" ht="12.75" customHeight="1" x14ac:dyDescent="0.2">
      <c r="A102" s="99">
        <v>2010</v>
      </c>
      <c r="B102" s="49" t="s">
        <v>20</v>
      </c>
      <c r="C102" s="49" t="s">
        <v>21</v>
      </c>
      <c r="D102" s="73">
        <f>AVERAGEIFS(data!G236:G3404,data!B236:B3404,A102,data!L236:L3404,C102,data!$K$236:$K$3404,B97)</f>
        <v>165</v>
      </c>
      <c r="E102" s="73">
        <f t="array" ref="E102">STDEV(IF(data!$B$2:$B$3404=2010,IF(data!$G$2:$G$3404&lt;&gt;"",IF(data!$K$2:$K$3404="female",IF(data!$L$2:$L$3404="spent",data!$G$2:$G$3404)))))</f>
        <v>2.8284271247461903</v>
      </c>
      <c r="F102" s="73">
        <f>AVERAGEIFS(data!I236:I3404,data!L236:L3404,C102,data!B236:B3404,A102,data!$K$236:$K$3404,B97)</f>
        <v>10.5</v>
      </c>
      <c r="G102" s="201">
        <f t="array" ref="G102">STDEV(IF(data!$B$2:$B$3404=2010,IF(data!$I$2:$I$3404&lt;&gt;"",IF(data!$K$2:$K$3404="female",IF(data!$L$2:$L$3404="spent",data!$I$2:$I$3404)))))</f>
        <v>1.4142135623730951</v>
      </c>
      <c r="H102" s="74">
        <f>COUNTIFS(data!$B$236:$B$3404,A102,data!$L$236:$L$3404,C102,data!$K$236:$K$3404,B102,data!$N$236:$N$3404,"headless")</f>
        <v>0</v>
      </c>
      <c r="I102" s="80">
        <f>AVERAGEIFS(data!$G$236:$G$3404,data!$B$236:$B$3404,A102,data!$L$236:$L$3404,C102,data!$K$236:$K$3404,B103,data!$N$236:$N$3404,"&lt;&gt;headless")</f>
        <v>165</v>
      </c>
      <c r="J102" s="201">
        <f t="array" ref="J102">STDEV(IF(data!$B$2:$B$3404=2010,IF(data!$G$2:$G$3404&lt;&gt;"",IF(data!$K$2:$K$3404="female",IF(data!$L$2:$L$3404="spent",IF(data!$N$2:$N$3404&lt;&gt;"headless",data!$G$2:$G$3404))))))</f>
        <v>2.8284271247461903</v>
      </c>
      <c r="K102" s="81">
        <f>AVERAGEIFS(data!$I$236:$I$3404,data!$B$236:$B$3404,A102,data!$L$236:$L$3404,C102,data!$K$236:$K$3404,B103,data!$N$236:$N$3404,"&lt;&gt;headless")</f>
        <v>10.5</v>
      </c>
      <c r="L102" s="73">
        <f t="array" ref="L102">STDEV(IF(data!$B$2:$B$3404=2010,IF(data!$I$2:$I$3404&lt;&gt;"",IF(data!$K$2:$K$3404="female",IF(data!$L$2:$L$3404="spent",IF(data!$N$2:$N$3404&lt;&gt;"headless",data!$I$2:$I$3404))))))</f>
        <v>1.4142135623730951</v>
      </c>
      <c r="M102" s="68"/>
      <c r="N102" s="68"/>
      <c r="O102" s="23"/>
      <c r="P102" s="23"/>
      <c r="Q102" s="41"/>
      <c r="R102" s="41"/>
      <c r="T102" s="23"/>
      <c r="U102" s="23"/>
      <c r="V102" s="41"/>
      <c r="X102" s="23"/>
      <c r="Y102" s="23"/>
      <c r="Z102" s="41"/>
    </row>
    <row r="103" spans="1:26" ht="12.75" customHeight="1" x14ac:dyDescent="0.2">
      <c r="A103" s="96">
        <v>2009</v>
      </c>
      <c r="B103" s="97" t="s">
        <v>20</v>
      </c>
      <c r="C103" s="66" t="s">
        <v>272</v>
      </c>
      <c r="D103" s="68">
        <f>AVERAGEIFS(data!$G$453:$G$3404,data!$B$453:$B$3404,A103,data!$K$453:$K$3404,B103)</f>
        <v>159.22916666666666</v>
      </c>
      <c r="E103" s="214">
        <f t="array" ref="E103">STDEV(IF(data!$B$2:$B$3404=2009,IF(data!$G$2:$G$3404&lt;&gt;"",IF(data!$K$2:$K$3404="female",data!$G$2:$G$3404))))</f>
        <v>12.937229114579388</v>
      </c>
      <c r="F103" s="68">
        <f>AVERAGEIFS(data!$I$453:$I$3404,data!$B$453:$B$3404,A103,data!$K$453:$K$3404,B103)</f>
        <v>12.604444444444445</v>
      </c>
      <c r="G103" s="214">
        <f t="array" ref="G103">STDEV(IF(data!$B$2:$B$3404=2009,IF(data!$I$2:$I$3404&lt;&gt;"",IF(data!$K$2:$K$3404="female",data!$I$2:$I$3404))))</f>
        <v>3.6508999859035716</v>
      </c>
      <c r="H103" s="97">
        <f>COUNTIFS(data!$B$453:$B$3404,A103,data!$K$453:$K$3404,B103,data!$N$453:$N$3404,"headless")</f>
        <v>7</v>
      </c>
      <c r="I103" s="82">
        <f>AVERAGEIFS(data!$G$236:$G$3404,data!$B$236:$B$3404,A103,data!$K$236:$K$3404,B103,data!$N$236:$N$3404,"&lt;&gt;headless")</f>
        <v>159.46511627906978</v>
      </c>
      <c r="J103" s="204">
        <f t="array" ref="J103">STDEV(IF(data!$B$2:$B$3404=2009,IF(data!$G$2:$G$3404&lt;&gt;"",IF(data!$K$2:$K$3404="female",IF(data!$N$2:$N$3404&lt;&gt;"headless",data!$G$2:$G$3404)))))</f>
        <v>13.113694835860027</v>
      </c>
      <c r="K103" s="83">
        <f>AVERAGEIFS(data!$I$236:$I$3404,data!$B$236:$B$3404,A103,data!$K$236:$K$3404,B103,data!$N$236:$N$3404,"&lt;&gt;headless")</f>
        <v>12.7925</v>
      </c>
      <c r="L103" s="214">
        <f t="array" ref="L103">STDEV(IF(data!$B$2:$B$3404=2009,IF(data!$I$2:$I$3404&lt;&gt;"",IF(data!$K$2:$K$3404="female",IF(data!$N$2:$N$3404&lt;&gt;"headless",data!$I$2:$I$3404)))))</f>
        <v>3.7349621561258588</v>
      </c>
      <c r="M103" s="68">
        <f>AVERAGEIFS(data!$I$453:$I$3404,data!$B$453:$B$3404,A103,data!$L$453:$L$3404,N103)</f>
        <v>13.439393939393939</v>
      </c>
      <c r="N103" s="68" t="s">
        <v>30</v>
      </c>
      <c r="O103" s="23">
        <v>2005</v>
      </c>
      <c r="P103" s="23" t="s">
        <v>32</v>
      </c>
      <c r="Q103" s="41" t="s">
        <v>29</v>
      </c>
      <c r="R103" s="41" t="s">
        <v>29</v>
      </c>
      <c r="T103" s="23">
        <v>2005</v>
      </c>
      <c r="U103" s="23" t="s">
        <v>19</v>
      </c>
      <c r="V103" s="41">
        <f>AVERAGEIFS(data!$G$373:$G$3404,data!$B$373:$B$3404,T103,data!$J$373:$J$3404,U103)</f>
        <v>142.66666666666666</v>
      </c>
      <c r="X103" s="23">
        <v>2005</v>
      </c>
      <c r="Y103" s="23" t="s">
        <v>19</v>
      </c>
      <c r="Z103" s="41">
        <f>AVERAGEIFS(data!$I$373:$I$3404,data!$B$373:$B$3404,X103,data!$J$373:$J$3404,Y103)</f>
        <v>9.9126213592233015</v>
      </c>
    </row>
    <row r="104" spans="1:26" ht="12.75" customHeight="1" x14ac:dyDescent="0.2">
      <c r="A104" s="98">
        <v>2009</v>
      </c>
      <c r="B104" s="8" t="s">
        <v>34</v>
      </c>
      <c r="C104" s="8"/>
      <c r="D104" s="51"/>
      <c r="E104" s="204"/>
      <c r="F104" s="51"/>
      <c r="G104" s="118"/>
      <c r="H104" s="8">
        <f>COUNTIFS(data!$B$453:$B$3404,A104,data!$K$453:$K$3404,B104,data!$N$453:$N$3404,"headless")</f>
        <v>0</v>
      </c>
      <c r="I104" s="84"/>
      <c r="J104" s="200"/>
      <c r="K104" s="78"/>
      <c r="L104" s="227"/>
      <c r="M104" s="68">
        <f>AVERAGEIFS(data!$I$453:$I$3404,data!$B$453:$B$3404,A104,data!$L$453:$L$3404,N104)</f>
        <v>13.439393939393939</v>
      </c>
      <c r="N104" s="68" t="s">
        <v>30</v>
      </c>
      <c r="O104" s="23">
        <v>2004</v>
      </c>
      <c r="P104" s="23" t="s">
        <v>32</v>
      </c>
      <c r="Q104" s="41">
        <f>AVERAGEIFS(data!$G$453:$G$3404,data!$B$453:$B$3404,O104,data!$J$453:$J$3404,P104)</f>
        <v>157</v>
      </c>
      <c r="R104" s="41">
        <f>AVERAGEIFS(data!$I$453:$I$3404,data!$B$453:$B$3404,O104,data!$J$453:$J$3404,P104)</f>
        <v>8</v>
      </c>
      <c r="T104" s="23">
        <v>2004</v>
      </c>
      <c r="U104" s="23" t="s">
        <v>19</v>
      </c>
      <c r="V104" s="41">
        <f>AVERAGEIFS(data!$G$373:$G$3404,data!$B$373:$B$3404,T104,data!$J$373:$J$3404,U104)</f>
        <v>140.07947019867549</v>
      </c>
      <c r="X104" s="23">
        <v>2004</v>
      </c>
      <c r="Y104" s="23" t="s">
        <v>19</v>
      </c>
      <c r="Z104" s="41">
        <f>AVERAGEIFS(data!$I$373:$I$3404,data!$B$373:$B$3404,X104,data!$J$373:$J$3404,Y104)</f>
        <v>11.649668874172185</v>
      </c>
    </row>
    <row r="105" spans="1:26" ht="12.75" customHeight="1" x14ac:dyDescent="0.2">
      <c r="A105" s="98">
        <v>2009</v>
      </c>
      <c r="B105" s="8" t="s">
        <v>41</v>
      </c>
      <c r="C105" s="8"/>
      <c r="D105" s="51">
        <f>AVERAGEIFS(data!$G$453:$G$3404,data!$B$453:$B$3404,A105,data!$K$453:$K$3404,B105)</f>
        <v>150.22222222222223</v>
      </c>
      <c r="E105" s="118"/>
      <c r="F105" s="51">
        <f>AVERAGEIFS(data!$I$453:$I$3404,data!$B$453:$B$3404,A105,data!$K$453:$K$3404,B105)</f>
        <v>11.355555555555556</v>
      </c>
      <c r="G105" s="118"/>
      <c r="H105" s="8">
        <f>COUNTIFS(data!$B$453:$B$3404,A105,data!$K$453:$K$3404,B105,data!$N$453:$N$3404,"headless")</f>
        <v>2</v>
      </c>
      <c r="I105" s="75">
        <f>AVERAGEIFS(data!$G$236:$G$3404,data!$B$236:$B$3404,A105,data!$K$236:$K$3404,B105,data!$N$236:$N$3404,"&lt;&gt;headless")</f>
        <v>143.71428571428572</v>
      </c>
      <c r="J105" s="204"/>
      <c r="K105" s="76">
        <f>AVERAGEIFS(data!$I$236:$I$3404,data!$B$236:$B$3404,A105,data!$K$236:$K$3404,B105,data!$N$236:$N$3404,"&lt;&gt;headless")</f>
        <v>9.1</v>
      </c>
      <c r="L105" s="204"/>
      <c r="M105" s="68">
        <f>AVERAGEIFS(data!$I$453:$I$3404,data!$B$453:$B$3404,A105,data!$L$453:$L$3404,N105)</f>
        <v>13.439393939393939</v>
      </c>
      <c r="N105" s="68" t="s">
        <v>30</v>
      </c>
      <c r="O105" s="23">
        <v>2003</v>
      </c>
      <c r="P105" s="23" t="s">
        <v>32</v>
      </c>
      <c r="Q105" s="41" t="s">
        <v>29</v>
      </c>
      <c r="R105" s="41" t="s">
        <v>29</v>
      </c>
      <c r="T105" s="23">
        <v>2003</v>
      </c>
      <c r="U105" s="23" t="s">
        <v>19</v>
      </c>
      <c r="V105" s="41">
        <f>AVERAGEIFS(data!$G$373:$G$3404,data!$B$373:$B$3404,T105,data!$J$373:$J$3404,U105)</f>
        <v>140.55405405405406</v>
      </c>
      <c r="X105" s="23">
        <v>2003</v>
      </c>
      <c r="Y105" s="23" t="s">
        <v>19</v>
      </c>
      <c r="Z105" s="41">
        <f>AVERAGEIFS(data!$I$373:$I$3404,data!$B$373:$B$3404,X105,data!$J$373:$J$3404,Y105)</f>
        <v>13.449333333333332</v>
      </c>
    </row>
    <row r="106" spans="1:26" ht="12.75" customHeight="1" x14ac:dyDescent="0.2">
      <c r="A106" s="99">
        <v>2009</v>
      </c>
      <c r="B106" s="49" t="s">
        <v>20</v>
      </c>
      <c r="C106" s="49" t="s">
        <v>30</v>
      </c>
      <c r="D106" s="73">
        <f>AVERAGEIFS(data!G236:G3404,data!B236:B3404,A106,data!L236:L3404,C106,data!$K$236:$K$3404,B106)</f>
        <v>160.28571428571428</v>
      </c>
      <c r="E106" s="73">
        <f t="array" ref="E106">STDEV(IF(data!$B$2:$B$3404=2009,IF(data!$G$2:$G$3404&lt;&gt;"",IF(data!$K$2:$K$3404="female",IF(data!$L$2:$L$3404="gravid",data!$G$2:$G$3404)))))</f>
        <v>12.978650860211184</v>
      </c>
      <c r="F106" s="73">
        <f>AVERAGEIFS(data!I236:I3404,data!L236:L3404,C106,data!B236:B3404,A106,data!K236:K3404,B106)</f>
        <v>13.439393939393939</v>
      </c>
      <c r="G106" s="73">
        <f t="array" ref="G106">STDEV(IF(data!$B$2:$B$3404=2009,IF(data!$I$2:$I$3404&lt;&gt;"",IF(data!$K$2:$K$3404="female",IF(data!$L$2:$L$3404="gravid",data!$I$2:$I$3404)))))</f>
        <v>3.6415947222627807</v>
      </c>
      <c r="H106" s="74">
        <f>COUNTIFS(data!$B$236:$B$3404,A106,data!$L$236:$L$3404,C106,data!$K$236:$K$3404,B106,data!$N$236:$N$3404,"headless")</f>
        <v>5</v>
      </c>
      <c r="I106" s="75">
        <f>AVERAGEIFS(data!$G$236:$G$3404,data!$B$236:$B$3404,A106,data!$L$236:$L$3404,C106,data!$K$236:$K$3404,B107,data!$N$236:$N$3404,"&lt;&gt;headless")</f>
        <v>161.29032258064515</v>
      </c>
      <c r="J106" s="204">
        <f t="array" ref="J106">STDEV(IF(data!$B$2:$B$3404=2009,IF(data!$G$2:$G$3404&lt;&gt;"",IF(data!$K$2:$K$3404="female",IF(data!$L$2:$L$3404="gravid",IF(data!$N$2:$N$3404&lt;&gt;"headless",data!$G$2:$G$3404))))))</f>
        <v>13.259445811413329</v>
      </c>
      <c r="K106" s="76">
        <f>AVERAGEIFS(data!$I$236:$I$3404,data!$B$236:$B$3404,A106,data!$L$236:$L$3404,C106,data!$K$236:$K$3404,B107,data!$N$236:$N$3404,"&lt;&gt;headless")</f>
        <v>13.879310344827585</v>
      </c>
      <c r="L106" s="73">
        <f t="array" ref="L106">STDEV(IF(data!$B$2:$B$3404=2009,IF(data!$I$2:$I$3404&lt;&gt;"",IF(data!$K$2:$K$3404="female",IF(data!$L$2:$L$3404="gravid",IF(data!$N$2:$N$3404&lt;&gt;"headless",data!$I$2:$I$3404))))))</f>
        <v>3.5996407866762863</v>
      </c>
      <c r="M106" s="68"/>
      <c r="N106" s="68"/>
      <c r="O106" s="23"/>
      <c r="P106" s="23"/>
      <c r="Q106" s="41"/>
      <c r="R106" s="41"/>
      <c r="T106" s="23"/>
      <c r="U106" s="23"/>
      <c r="V106" s="41"/>
      <c r="X106" s="23"/>
      <c r="Y106" s="23"/>
      <c r="Z106" s="41"/>
    </row>
    <row r="107" spans="1:26" ht="12.75" customHeight="1" x14ac:dyDescent="0.2">
      <c r="A107" s="99">
        <v>2009</v>
      </c>
      <c r="B107" s="49" t="s">
        <v>20</v>
      </c>
      <c r="C107" s="49" t="s">
        <v>21</v>
      </c>
      <c r="D107" s="73">
        <f>AVERAGEIFS(data!G236:G3404,data!B236:B3404,A107,data!L236:L3404,C107,data!$K$236:$K$3404,B107)</f>
        <v>156.38461538461539</v>
      </c>
      <c r="E107" s="73">
        <f t="array" ref="E107">STDEV(IF(data!$B$2:$B$3404=2009,IF(data!$G$2:$G$3404&lt;&gt;"",IF(data!$K$2:$K$3404="female",IF(data!$L$2:$L$3404="spent",data!$G$2:$G$3404)))))</f>
        <v>12.894045534913015</v>
      </c>
      <c r="F107" s="73">
        <f>AVERAGEIFS(data!I236:I3404,data!L236:L3404,C107,data!B236:B3404,A107,data!K236:K3404,B107)</f>
        <v>10.308333333333334</v>
      </c>
      <c r="G107" s="201">
        <f t="array" ref="G107">STDEV(IF(data!$B$2:$B$3404=2009,IF(data!$I$2:$I$3404&lt;&gt;"",IF(data!$K$2:$K$3404="female",IF(data!$L$2:$L$3404="spent",data!$I$2:$I$3404)))))</f>
        <v>2.6259053272878639</v>
      </c>
      <c r="H107" s="74">
        <f>COUNTIFS(data!$B$236:$B$3404,A107,data!$L$236:$L$3404,C107,data!$K$236:$K$3404,B107,data!$N$236:$N$3404,"headless")</f>
        <v>2</v>
      </c>
      <c r="I107" s="80">
        <f>AVERAGEIFS(data!$G$236:$G$3404,data!$B$236:$B$3404,A107,data!$L$236:$L$3404,C107,data!$K$236:$K$3404,B108,data!$N$236:$N$3404,"&lt;&gt;headless")</f>
        <v>154.75</v>
      </c>
      <c r="J107" s="201">
        <f t="array" ref="J107">STDEV(IF(data!$B$2:$B$3404=2009,IF(data!$G$2:$G$3404&lt;&gt;"",IF(data!$K$2:$K$3404="female",IF(data!$L$2:$L$3404="spent",IF(data!$N$2:$N$3404&lt;&gt;"headless",data!$G$2:$G$3404))))))</f>
        <v>11.978199895112484</v>
      </c>
      <c r="K107" s="81">
        <f>AVERAGEIFS(data!$I$236:$I$3404,data!$B$236:$B$3404,A107,data!$L$236:$L$3404,C107,data!$K$236:$K$3404,B108,data!$N$236:$N$3404,"&lt;&gt;headless")</f>
        <v>9.9272727272727277</v>
      </c>
      <c r="L107" s="73">
        <f t="array" ref="L107">STDEV(IF(data!$B$2:$B$3404=2009,IF(data!$I$2:$I$3404&lt;&gt;"",IF(data!$K$2:$K$3404="female",IF(data!$L$2:$L$3404="spent",IF(data!$N$2:$N$3404&lt;&gt;"headless",data!$I$2:$I$3404))))))</f>
        <v>2.3807943670510063</v>
      </c>
      <c r="M107" s="68"/>
      <c r="N107" s="68"/>
      <c r="O107" s="23"/>
      <c r="P107" s="23"/>
      <c r="Q107" s="41"/>
      <c r="R107" s="41"/>
      <c r="T107" s="23"/>
      <c r="U107" s="23"/>
      <c r="V107" s="41"/>
      <c r="X107" s="23"/>
      <c r="Y107" s="23"/>
      <c r="Z107" s="41"/>
    </row>
    <row r="108" spans="1:26" ht="12.75" customHeight="1" x14ac:dyDescent="0.2">
      <c r="A108" s="96">
        <v>2008</v>
      </c>
      <c r="B108" s="97" t="s">
        <v>20</v>
      </c>
      <c r="C108" s="66" t="s">
        <v>272</v>
      </c>
      <c r="D108" s="68">
        <f>AVERAGEIFS(data!$G$453:$G$3404,data!$B$453:$B$3404,A108,data!$K$453:$K$3404,B108)</f>
        <v>144.58426966292134</v>
      </c>
      <c r="E108" s="214">
        <f t="array" ref="E108">STDEV(IF(data!$B$2:$B$3404=2008,IF(data!$G$2:$G$3404&lt;&gt;"",IF(data!$K$2:$K$3404="female",data!$G$2:$G$3404))))</f>
        <v>10.594605176010408</v>
      </c>
      <c r="F108" s="68">
        <f>AVERAGEIFS(data!$I$453:$I$3404,data!$B$453:$B$3404,A108,data!$K$453:$K$3404,B108)</f>
        <v>12.388043478260871</v>
      </c>
      <c r="G108" s="214">
        <f t="array" ref="G108">STDEV(IF(data!$B$2:$B$3404=2008,IF(data!$I$2:$I$3404&lt;&gt;"",IF(data!$K$2:$K$3404="female",data!$I$2:$I$3404))))</f>
        <v>3.9129776299072789</v>
      </c>
      <c r="H108" s="97">
        <f>COUNTIFS(data!$B$453:$B$3404,A108,data!$K$453:$K$3404,B108,data!$N$453:$N$3404,"headless")</f>
        <v>45</v>
      </c>
      <c r="I108" s="82">
        <f>AVERAGEIFS(data!$G$236:$G$3404,data!$B$236:$B$3404,A108,data!$K$236:$K$3404,B108,data!$N$236:$N$3404,"&lt;&gt;headless")</f>
        <v>148.41999999999999</v>
      </c>
      <c r="J108" s="204">
        <f t="array" ref="J108">STDEV(IF(data!$B$2:$B$3404=2008,IF(data!$G$2:$G$3404&lt;&gt;"",IF(data!$K$2:$K$3404="female",IF(data!$N$2:$N$3404&lt;&gt;"headless",data!$G$2:$G$3404)))))</f>
        <v>10.234176437160873</v>
      </c>
      <c r="K108" s="83">
        <f>AVERAGEIFS(data!$I$236:$I$3404,data!$B$236:$B$3404,A108,data!$K$236:$K$3404,B108,data!$N$236:$N$3404,"&lt;&gt;headless")</f>
        <v>13.333333333333334</v>
      </c>
      <c r="L108" s="214">
        <f t="array" ref="L108">STDEV(IF(data!$B$2:$B$3404=2008,IF(data!$I$2:$I$3404&lt;&gt;"",IF(data!$K$2:$K$3404="female",IF(data!$N$2:$N$3404&lt;&gt;"headless",data!$I$2:$I$3404)))))</f>
        <v>3.7505555144093892</v>
      </c>
      <c r="M108" s="68">
        <f>AVERAGEIFS(data!$I$453:$I$3404,data!$B$453:$B$3404,A108,data!$L$453:$L$3404,N108)</f>
        <v>13.728947368421053</v>
      </c>
      <c r="N108" s="68" t="s">
        <v>30</v>
      </c>
      <c r="O108" s="23">
        <v>2002</v>
      </c>
      <c r="P108" s="23" t="s">
        <v>32</v>
      </c>
      <c r="Q108" s="41" t="s">
        <v>29</v>
      </c>
      <c r="R108" s="41" t="s">
        <v>29</v>
      </c>
      <c r="T108" s="23">
        <v>2002</v>
      </c>
      <c r="U108" s="23" t="s">
        <v>19</v>
      </c>
      <c r="V108" s="41">
        <f>AVERAGEIFS(data!$G$373:$G$3404,data!$B$373:$B$3404,T108,data!$J$373:$J$3404,U108)</f>
        <v>141.83665338645417</v>
      </c>
      <c r="X108" s="23">
        <v>2002</v>
      </c>
      <c r="Y108" s="23" t="s">
        <v>19</v>
      </c>
      <c r="Z108" s="41">
        <f>AVERAGEIFS(data!$I$373:$I$3404,data!$B$373:$B$3404,X108,data!$J$373:$J$3404,Y108)</f>
        <v>12.216165413533835</v>
      </c>
    </row>
    <row r="109" spans="1:26" ht="12.75" customHeight="1" x14ac:dyDescent="0.2">
      <c r="A109" s="98">
        <v>2008</v>
      </c>
      <c r="B109" s="8" t="s">
        <v>34</v>
      </c>
      <c r="C109" s="8"/>
      <c r="D109" s="51"/>
      <c r="E109" s="118"/>
      <c r="F109" s="51"/>
      <c r="G109" s="118"/>
      <c r="H109" s="8">
        <f>COUNTIFS(data!$B$453:$B$3404,A109,data!$K$453:$K$3404,B109,data!$N$453:$N$3404,"headless")</f>
        <v>0</v>
      </c>
      <c r="I109" s="84"/>
      <c r="J109" s="200"/>
      <c r="K109" s="78"/>
      <c r="L109" s="200"/>
      <c r="M109" s="68">
        <f>AVERAGEIFS(data!$I$453:$I$3404,data!$B$453:$B$3404,A109,data!$L$453:$L$3404,N109)</f>
        <v>13.728947368421053</v>
      </c>
      <c r="N109" s="68" t="s">
        <v>30</v>
      </c>
      <c r="O109" s="23">
        <v>2001</v>
      </c>
      <c r="P109" s="23" t="s">
        <v>32</v>
      </c>
      <c r="Q109" s="41" t="s">
        <v>29</v>
      </c>
      <c r="R109" s="41" t="s">
        <v>29</v>
      </c>
      <c r="T109" s="23">
        <v>2001</v>
      </c>
      <c r="U109" s="23" t="s">
        <v>19</v>
      </c>
      <c r="V109" s="41">
        <f>AVERAGEIFS(data!$G$373:$G$3404,data!$B$373:$B$3404,T109,data!$J$373:$J$3404,U109)</f>
        <v>147.47321428571428</v>
      </c>
      <c r="X109" s="23">
        <v>2001</v>
      </c>
      <c r="Y109" s="23" t="s">
        <v>19</v>
      </c>
      <c r="Z109" s="41">
        <f>AVERAGEIFS(data!$I$373:$I$3404,data!$B$373:$B$3404,X109,data!$J$373:$J$3404,Y109)</f>
        <v>12.501801801801802</v>
      </c>
    </row>
    <row r="110" spans="1:26" ht="12.75" customHeight="1" x14ac:dyDescent="0.2">
      <c r="A110" s="98">
        <v>2008</v>
      </c>
      <c r="B110" s="8" t="s">
        <v>41</v>
      </c>
      <c r="C110" s="8"/>
      <c r="D110" s="51"/>
      <c r="E110" s="118"/>
      <c r="F110" s="51"/>
      <c r="G110" s="118"/>
      <c r="H110" s="8">
        <f>COUNTIFS(data!$B$453:$B$3404,A110,data!$K$453:$K$3404,B110,data!$N$453:$N$3404,"headless")</f>
        <v>0</v>
      </c>
      <c r="I110" s="84"/>
      <c r="J110" s="200"/>
      <c r="K110" s="78"/>
      <c r="L110" s="200"/>
      <c r="M110" s="68">
        <f>AVERAGEIFS(data!$I$453:$I$3404,data!$B$453:$B$3404,A110,data!$L$453:$L$3404,N110)</f>
        <v>13.728947368421053</v>
      </c>
      <c r="N110" s="68" t="s">
        <v>30</v>
      </c>
      <c r="O110" s="23">
        <v>2000</v>
      </c>
      <c r="P110" s="23" t="s">
        <v>32</v>
      </c>
      <c r="Q110" s="41">
        <f>AVERAGEIFS(data!$G$453:$G$3404,data!$B$453:$B$3404,O110,data!$J$453:$J$3404,P110)</f>
        <v>112</v>
      </c>
      <c r="R110" s="41">
        <f>AVERAGEIFS(data!$I$453:$I$3404,data!$B$453:$B$3404,O110,data!$J$453:$J$3404,P110)</f>
        <v>1.5</v>
      </c>
      <c r="T110" s="23">
        <v>2000</v>
      </c>
      <c r="U110" s="23" t="s">
        <v>19</v>
      </c>
      <c r="V110" s="41">
        <f>AVERAGEIFS(data!$G$373:$G$3404,data!$B$373:$B$3404,T110,data!$J$373:$J$3404,U110)</f>
        <v>153.67213114754099</v>
      </c>
      <c r="X110" s="23">
        <v>2000</v>
      </c>
      <c r="Y110" s="23" t="s">
        <v>19</v>
      </c>
      <c r="Z110" s="41">
        <f>AVERAGEIFS(data!$I$373:$I$3404,data!$B$373:$B$3404,X110,data!$J$373:$J$3404,Y110)</f>
        <v>11.804112200435728</v>
      </c>
    </row>
    <row r="111" spans="1:26" ht="12.75" customHeight="1" x14ac:dyDescent="0.2">
      <c r="A111" s="99">
        <v>2008</v>
      </c>
      <c r="B111" s="49" t="s">
        <v>20</v>
      </c>
      <c r="C111" s="49" t="s">
        <v>30</v>
      </c>
      <c r="D111" s="73">
        <f>AVERAGEIFS(data!$G$236:$G$3404,data!$B$236:$B$3404,A111,data!$L$236:$L$3404,C111,data!$K$236:$K$3404,B111)</f>
        <v>142.62857142857143</v>
      </c>
      <c r="E111" s="73">
        <f t="array" ref="E111">STDEV(IF(data!$B$2:$B$3404=2008,IF(data!$G$2:$G$3404&lt;&gt;"",IF(data!$K$2:$K$3404="female",IF(data!$L$2:$L$3404="gravid",data!$G$2:$G$3404)))))</f>
        <v>10.00319276762267</v>
      </c>
      <c r="F111" s="73">
        <f>AVERAGEIFS(data!$I$236:$I$3404,data!$L$236:$L$3404,C111,data!$B$236:$B$3404,A111,data!$K$236:$K$3404,B111)</f>
        <v>13.728947368421053</v>
      </c>
      <c r="G111" s="73">
        <f t="array" ref="G111">STDEV(IF(data!$B$2:$B$3404=2008,IF(data!$I$2:$I$3404&lt;&gt;"",IF(data!$K$2:$K$3404="female",IF(data!$L$2:$L$3404="gravid",data!$I$2:$I$3404)))))</f>
        <v>4.4481947686514021</v>
      </c>
      <c r="H111" s="74">
        <f>COUNTIFS(data!$B$236:$B$3404,A111,data!$L$236:$L$3404,C111,data!$K$236:$K$3404,B111,data!$N$236:$N$3404,"headless")</f>
        <v>21</v>
      </c>
      <c r="I111" s="75">
        <f>AVERAGEIFS(data!$G$236:$G$3404,data!$B$236:$B$3404,A111,data!$L$236:$L$3404,C111,data!$K$236:$K$3404,B112,data!$N$236:$N$3404,"&lt;&gt;headless")</f>
        <v>144</v>
      </c>
      <c r="J111" s="204">
        <f t="array" ref="J111">STDEV(IF(data!$B$2:$B$3404=2008,IF(data!$G$2:$G$3404&lt;&gt;"",IF(data!$K$2:$K$3404="female",IF(data!$L$2:$L$3404="gravid",IF(data!$N$2:$N$3404&lt;&gt;"headless",data!$G$2:$G$3404))))))</f>
        <v>10.04987562112089</v>
      </c>
      <c r="K111" s="76">
        <f>AVERAGEIFS(data!$I$236:$I$3404,data!$B$236:$B$3404,A111,data!$L$236:$L$3404,C111,data!$K$236:$K$3404,B112,data!$N$236:$N$3404,"&lt;&gt;headless")</f>
        <v>14.416666666666666</v>
      </c>
      <c r="L111" s="73">
        <f t="array" ref="L111">STDEV(IF(data!$B$2:$B$3404=2008,IF(data!$I$2:$I$3404&lt;&gt;"",IF(data!$K$2:$K$3404="female",IF(data!$L$2:$L$3404="gravid",IF(data!$N$2:$N$3404&lt;&gt;"headless",data!$I$2:$I$3404))))))</f>
        <v>4.5608629214475735</v>
      </c>
      <c r="M111" s="68"/>
      <c r="N111" s="68"/>
      <c r="O111" s="23"/>
      <c r="P111" s="23"/>
      <c r="Q111" s="41"/>
      <c r="R111" s="41"/>
      <c r="T111" s="23"/>
      <c r="U111" s="23"/>
      <c r="V111" s="41"/>
      <c r="X111" s="23"/>
      <c r="Y111" s="23"/>
      <c r="Z111" s="41"/>
    </row>
    <row r="112" spans="1:26" ht="12.75" customHeight="1" x14ac:dyDescent="0.2">
      <c r="A112" s="99">
        <v>2008</v>
      </c>
      <c r="B112" s="49" t="s">
        <v>20</v>
      </c>
      <c r="C112" s="49" t="s">
        <v>21</v>
      </c>
      <c r="D112" s="73">
        <f>AVERAGEIFS(data!G236:G3404,data!B236:B3404,A112,data!L236:L3404,C112,data!$K$236:$K$3404,B112)</f>
        <v>145.85185185185185</v>
      </c>
      <c r="E112" s="73">
        <f t="array" ref="E112">STDEV(IF(data!$B$2:$B$3404=2008,IF(data!$G$2:$G$3404&lt;&gt;"",IF(data!$K$2:$K$3404="female",IF(data!$L$2:$L$3404="spent",data!$G$2:$G$3404)))))</f>
        <v>10.86348810762135</v>
      </c>
      <c r="F112" s="73">
        <f>AVERAGEIFS(data!I236:I3404,data!L236:L3404,C112,data!B236:B3404,A112,data!K236:K3404,B112)</f>
        <v>11.444444444444445</v>
      </c>
      <c r="G112" s="201">
        <f t="array" ref="G112">STDEV(IF(data!$B$2:$B$3404=2008,IF(data!$I$2:$I$3404&lt;&gt;"",IF(data!$K$2:$K$3404="female",IF(data!$L$2:$L$3404="spent",data!$I$2:$I$3404)))))</f>
        <v>3.2062242925030171</v>
      </c>
      <c r="H112" s="74">
        <f>COUNTIFS(data!$B$236:$B$3404,A112,data!$L$236:$L$3404,C112,data!$K$236:$K$3404,B112,data!$N$236:$N$3404,"headless")</f>
        <v>24</v>
      </c>
      <c r="I112" s="80">
        <f>AVERAGEIFS(data!$G$236:$G$3404,data!$B$236:$B$3404,A112,data!$L$236:$L$3404,C112,data!$K$236:$K$3404,B112,data!$N$236:$N$3404,"&lt;&gt;headless")</f>
        <v>150.69696969696969</v>
      </c>
      <c r="J112" s="201">
        <f t="array" ref="J112">STDEV(IF(data!$B$2:$B$3404=2008,IF(data!$G$2:$G$3404&lt;&gt;"",IF(data!$K$2:$K$3404="female",IF(data!$L$2:$L$3404="spent",IF(data!$N$2:$N$3404&lt;&gt;"headless",data!$G$2:$G$3404))))))</f>
        <v>9.703365551719827</v>
      </c>
      <c r="K112" s="81">
        <f>AVERAGEIFS(data!$I$236:$I$3404,data!$B$236:$B$3404,A112,data!$L$236:$L$3404,C112,data!$K$236:$K$3404,B113,data!$N$236:$N$3404,"&lt;&gt;headless")</f>
        <v>12.742424242424242</v>
      </c>
      <c r="L112" s="73">
        <f t="array" ref="L112">STDEV(IF(data!$B$2:$B$3404=2008,IF(data!$I$2:$I$3404&lt;&gt;"",IF(data!$K$2:$K$3404="female",IF(data!$L$2:$L$3404="spent",IF(data!$N$2:$N$3404&lt;&gt;"headless",data!$I$2:$I$3404))))))</f>
        <v>3.1477204353935146</v>
      </c>
      <c r="M112" s="68"/>
      <c r="N112" s="68"/>
      <c r="O112" s="23"/>
      <c r="P112" s="23"/>
      <c r="Q112" s="41"/>
      <c r="R112" s="41"/>
      <c r="T112" s="23"/>
      <c r="U112" s="23"/>
      <c r="V112" s="41"/>
      <c r="X112" s="23"/>
      <c r="Y112" s="23"/>
      <c r="Z112" s="41"/>
    </row>
    <row r="113" spans="1:26" ht="12.75" customHeight="1" x14ac:dyDescent="0.2">
      <c r="A113" s="96">
        <v>2007</v>
      </c>
      <c r="B113" s="97" t="s">
        <v>20</v>
      </c>
      <c r="C113" s="66" t="s">
        <v>272</v>
      </c>
      <c r="D113" s="68">
        <f>AVERAGEIFS(data!$G$453:$G$3404,data!$B$453:$B$3404,A113,data!$K$453:$K$3404,B113)</f>
        <v>143.36170212765958</v>
      </c>
      <c r="E113" s="214">
        <f t="array" ref="E113">STDEV(IF(data!$B$2:$B$3404=2007,IF(data!$G$2:$G$3404&lt;&gt;"",IF(data!$K$2:$K$3404="female",data!$G$2:$G$3404))))</f>
        <v>12.403499849261831</v>
      </c>
      <c r="F113" s="68">
        <f>AVERAGEIFS(data!$I$453:$I$3404,data!$B$453:$B$3404,A113,data!$K$453:$K$3404,B113)</f>
        <v>12.396071428571426</v>
      </c>
      <c r="G113" s="214">
        <f t="array" ref="G113">STDEV(IF(data!$B$2:$B$3404=2007,IF(data!$I$2:$I$3404&lt;&gt;"",IF(data!$K$2:$K$3404="female",data!$I$2:$I$3404))))</f>
        <v>3.2955281880188538</v>
      </c>
      <c r="H113" s="97">
        <f>COUNTIFS(data!$B$453:$B$3404,A113,data!$K$453:$K$3404,B113,data!$N$453:$N$3404,"headless")</f>
        <v>30</v>
      </c>
      <c r="I113" s="82">
        <f>AVERAGEIFS(data!$G$236:$G$3404,data!$B$236:$B$3404,A113,data!$K$236:$K$3404,B113,data!$N$236:$N$3404,"&lt;&gt;headless")</f>
        <v>144.02702702702703</v>
      </c>
      <c r="J113" s="204">
        <f t="array" ref="J113">STDEV(IF(data!$B$2:$B$3404=2007,IF(data!$G$2:$G$3404&lt;&gt;"",IF(data!$K$2:$K$3404="female",IF(data!$N$2:$N$3404&lt;&gt;"headless",data!$G$2:$G$3404)))))</f>
        <v>12.782416516065027</v>
      </c>
      <c r="K113" s="83">
        <f>AVERAGEIFS(data!$I$236:$I$3404,data!$B$236:$B$3404,A113,data!$K$236:$K$3404,B113,data!$N$236:$N$3404,"&lt;&gt;headless")</f>
        <v>12.755909090909087</v>
      </c>
      <c r="L113" s="214">
        <f t="array" ref="L113">STDEV(IF(data!$B$2:$B$3404=2007,IF(data!$I$2:$I$3404&lt;&gt;"",IF(data!$K$2:$K$3404="female",IF(data!$N$2:$N$3404&lt;&gt;"headless",data!$I$2:$I$3404)))))</f>
        <v>3.3669312779134577</v>
      </c>
      <c r="M113" s="68">
        <f>AVERAGEIFS(data!$I$453:$I$3404,data!$B$453:$B$3404,A113,data!$L$453:$L$3404,N113)</f>
        <v>13.04042553191489</v>
      </c>
      <c r="N113" s="68" t="s">
        <v>30</v>
      </c>
      <c r="O113" s="23">
        <v>1999</v>
      </c>
      <c r="P113" s="23" t="s">
        <v>32</v>
      </c>
      <c r="Q113" s="41">
        <f>AVERAGEIFS(data!$G$453:$G$3404,data!$B$453:$B$3404,O113,data!$J$453:$J$3404,P113)</f>
        <v>163</v>
      </c>
      <c r="R113" s="41">
        <f>AVERAGEIFS(data!$I$453:$I$3404,data!$B$453:$B$3404,O113,data!$J$453:$J$3404,P113)</f>
        <v>7</v>
      </c>
      <c r="T113" s="23">
        <v>1999</v>
      </c>
      <c r="U113" s="23" t="s">
        <v>19</v>
      </c>
      <c r="V113" s="41">
        <f>AVERAGEIFS(data!$G$373:$G$3404,data!$B$373:$B$3404,T113,data!$J$373:$J$3404,U113)</f>
        <v>144.42105263157896</v>
      </c>
      <c r="X113" s="23">
        <v>1999</v>
      </c>
      <c r="Y113" s="23" t="s">
        <v>19</v>
      </c>
      <c r="Z113" s="41">
        <f>AVERAGEIFS(data!$I$373:$I$3404,data!$B$373:$B$3404,X113,data!$J$373:$J$3404,Y113)</f>
        <v>12.620689655172415</v>
      </c>
    </row>
    <row r="114" spans="1:26" ht="12.75" customHeight="1" x14ac:dyDescent="0.2">
      <c r="A114" s="98">
        <v>2007</v>
      </c>
      <c r="B114" s="8" t="s">
        <v>34</v>
      </c>
      <c r="C114" s="8"/>
      <c r="D114" s="51">
        <f>AVERAGEIFS(data!$G$453:$G$3404,data!$B$453:$B$3404,A114,data!$K$453:$K$3404,B114)</f>
        <v>166</v>
      </c>
      <c r="E114" s="200" t="s">
        <v>498</v>
      </c>
      <c r="F114" s="51">
        <f>AVERAGEIFS(data!$I$453:$I$3404,data!$B$453:$B$3404,A114,data!$K$453:$K$3404,B114)</f>
        <v>21.5</v>
      </c>
      <c r="G114" s="118"/>
      <c r="H114" s="8">
        <f>COUNTIFS(data!$B$453:$B$3404,A114,data!$K$453:$K$3404,B114,data!$N$453:$N$3404,"headless")</f>
        <v>0</v>
      </c>
      <c r="I114" s="75">
        <f>AVERAGEIFS(data!$G$236:$G$3404,data!$B$236:$B$3404,A114,data!$K$236:$K$3404,B114,data!$N$236:$N$3404,"&lt;&gt;headless")</f>
        <v>166</v>
      </c>
      <c r="J114" s="204"/>
      <c r="K114" s="76">
        <f>AVERAGEIFS(data!$I$236:$I$3404,data!$B$236:$B$3404,A114,data!$K$236:$K$3404,B114,data!$N$236:$N$3404,"&lt;&gt;headless")</f>
        <v>21.5</v>
      </c>
      <c r="L114" s="204"/>
      <c r="M114" s="68">
        <f>AVERAGEIFS(data!$I$453:$I$3404,data!$B$453:$B$3404,A114,data!$L$453:$L$3404,N114)</f>
        <v>13.04042553191489</v>
      </c>
      <c r="N114" s="68" t="s">
        <v>30</v>
      </c>
      <c r="O114" s="23">
        <v>1998</v>
      </c>
      <c r="P114" s="23" t="s">
        <v>32</v>
      </c>
      <c r="Q114" s="41">
        <f>AVERAGEIFS(data!$G$453:$G$3404,data!$B$453:$B$3404,O114,data!$J$453:$J$3404,P114)</f>
        <v>170.66666666666666</v>
      </c>
      <c r="R114" s="41">
        <f>AVERAGEIFS(data!$I$453:$I$3404,data!$B$453:$B$3404,O114,data!$J$453:$J$3404,P114)</f>
        <v>10.324999999999999</v>
      </c>
      <c r="T114" s="23">
        <v>1998</v>
      </c>
      <c r="U114" s="23" t="s">
        <v>19</v>
      </c>
      <c r="V114" s="41">
        <f>AVERAGEIFS(data!$G$373:$G$3404,data!$B$373:$B$3404,T114,data!$J$373:$J$3404,U114)</f>
        <v>138.55172413793105</v>
      </c>
      <c r="X114" s="23">
        <v>1998</v>
      </c>
      <c r="Y114" s="23" t="s">
        <v>19</v>
      </c>
      <c r="Z114" s="41">
        <f>AVERAGEIFS(data!$I$373:$I$3404,data!$B$373:$B$3404,X114,data!$J$373:$J$3404,Y114)</f>
        <v>11.103191489361702</v>
      </c>
    </row>
    <row r="115" spans="1:26" ht="12.75" customHeight="1" x14ac:dyDescent="0.2">
      <c r="A115" s="98">
        <v>2007</v>
      </c>
      <c r="B115" s="8" t="s">
        <v>41</v>
      </c>
      <c r="C115" s="8"/>
      <c r="D115" s="51"/>
      <c r="E115" s="118"/>
      <c r="F115" s="51"/>
      <c r="G115" s="118"/>
      <c r="H115" s="8">
        <f>COUNTIFS(data!$B$453:$B$3404,A115,data!$K$453:$K$3404,B115,data!$N$453:$N$3404,"headless")</f>
        <v>0</v>
      </c>
      <c r="I115" s="84"/>
      <c r="J115" s="200"/>
      <c r="K115" s="78"/>
      <c r="L115" s="200"/>
      <c r="M115" s="68">
        <f>AVERAGEIFS(data!$I$453:$I$3404,data!$B$453:$B$3404,A115,data!$L$453:$L$3404,N115)</f>
        <v>13.04042553191489</v>
      </c>
      <c r="N115" s="68" t="s">
        <v>30</v>
      </c>
      <c r="O115" s="23">
        <v>1997</v>
      </c>
      <c r="P115" s="23" t="s">
        <v>32</v>
      </c>
      <c r="Q115" s="41">
        <f>AVERAGEIFS(data!$G$453:$G$3404,data!$B$453:$B$3404,O115,data!$J$453:$J$3404,P115)</f>
        <v>151</v>
      </c>
      <c r="R115" s="41">
        <f>AVERAGEIFS(data!$I$453:$I$3404,data!$B$453:$B$3404,O115,data!$J$453:$J$3404,P115)</f>
        <v>12</v>
      </c>
      <c r="T115" s="23">
        <v>1997</v>
      </c>
      <c r="U115" s="23" t="s">
        <v>19</v>
      </c>
      <c r="V115" s="41">
        <f>AVERAGEIFS(data!$G$373:$G$3404,data!$B$373:$B$3404,T115,data!$J$373:$J$3404,U115)</f>
        <v>140.63503649635035</v>
      </c>
      <c r="X115" s="23">
        <v>1997</v>
      </c>
      <c r="Y115" s="23" t="s">
        <v>19</v>
      </c>
      <c r="Z115" s="41">
        <f>AVERAGEIFS(data!$I$373:$I$3404,data!$B$373:$B$3404,X115,data!$J$373:$J$3404,Y115)</f>
        <v>12.643125</v>
      </c>
    </row>
    <row r="116" spans="1:26" ht="12.75" customHeight="1" x14ac:dyDescent="0.2">
      <c r="A116" s="99">
        <v>2007</v>
      </c>
      <c r="B116" s="49" t="s">
        <v>20</v>
      </c>
      <c r="C116" s="49" t="s">
        <v>30</v>
      </c>
      <c r="D116" s="73">
        <f>AVERAGEIFS(data!$G$236:$G$3404,data!$B$236:$B$3404,A116,data!$L$236:$L$3404,C116,data!$K$236:$K$3404,B116)</f>
        <v>140.61702127659575</v>
      </c>
      <c r="E116" s="73">
        <f t="array" ref="E116">STDEV(IF(data!$B$2:$B$3404=2007,IF(data!$G$2:$G$3404&lt;&gt;"",IF(data!$K$2:$K$3404="female",IF(data!$L$2:$L$3404="gravid",data!$G$2:$G$3404)))))</f>
        <v>12.055222919132282</v>
      </c>
      <c r="F116" s="73">
        <f>AVERAGEIFS(data!$I$236:$I$3404,data!$L$236:$L$3404,C116,data!$B$236:$B$3404,A116,data!$K$236:$K$3404,B116)</f>
        <v>13.04042553191489</v>
      </c>
      <c r="G116" s="73">
        <f t="array" ref="G116">STDEV(IF(data!$B$2:$B$3404=2007,IF(data!$I$2:$I$3404&lt;&gt;"",IF(data!$K$2:$K$3404="female",IF(data!$L$2:$L$3404="gravid",data!$I$2:$I$3404)))))</f>
        <v>3.0921646824970059</v>
      </c>
      <c r="H116" s="74">
        <f>COUNTIFS(data!$B$236:$B$3404,A116,data!$L$236:$L$3404,C116,data!$K$236:$K$3404,B116,data!$N$236:$N$3404,"headless")</f>
        <v>11</v>
      </c>
      <c r="I116" s="75">
        <f>AVERAGEIFS(data!$G$236:$G$3404,data!$B$236:$B$3404,A116,data!$L$236:$L$3404,C116,data!$K$236:$K$3404,B116,data!$N$236:$N$3404,"&lt;&gt;headless")</f>
        <v>141</v>
      </c>
      <c r="J116" s="204">
        <f t="array" ref="J116">STDEV(IF(data!$B$2:$B$3404=2007,IF(data!$G$2:$G$3404&lt;&gt;"",IF(data!$K$2:$K$3404="female",IF(data!$L$2:$L$3404="gravid",IF(data!$N$2:$N$3404&lt;&gt;"headless",data!$G$2:$G$3404))))))</f>
        <v>12.464807602663932</v>
      </c>
      <c r="K116" s="76">
        <f>AVERAGEIFS(data!$I$236:$I$3404,data!$B$236:$B$3404,A116,data!$L$236:$L$3404,C116,data!$K$236:$K$3404,B116,data!$N$236:$N$3404,"&lt;&gt;headless")</f>
        <v>13.430555555555552</v>
      </c>
      <c r="L116" s="73">
        <f t="array" ref="L116">STDEV(IF(data!$B$2:$B$3404=2007,IF(data!$I$2:$I$3404&lt;&gt;"",IF(data!$K$2:$K$3404="female",IF(data!$L$2:$L$3404="gravid",IF(data!$N$2:$N$3404&lt;&gt;"headless",data!$I$2:$I$3404))))))</f>
        <v>3.2686886356496956</v>
      </c>
      <c r="M116" s="68"/>
      <c r="N116" s="68"/>
      <c r="O116" s="23"/>
      <c r="P116" s="23"/>
      <c r="Q116" s="41"/>
      <c r="R116" s="41"/>
      <c r="T116" s="23"/>
      <c r="U116" s="23"/>
      <c r="V116" s="41"/>
      <c r="X116" s="23"/>
      <c r="Y116" s="23"/>
      <c r="Z116" s="41"/>
    </row>
    <row r="117" spans="1:26" ht="12.75" customHeight="1" x14ac:dyDescent="0.2">
      <c r="A117" s="99">
        <v>2007</v>
      </c>
      <c r="B117" s="49" t="s">
        <v>20</v>
      </c>
      <c r="C117" s="49" t="s">
        <v>21</v>
      </c>
      <c r="D117" s="73">
        <f>AVERAGEIFS(data!$G$236:$G$3404,data!$B$236:$B$3404,A117,data!$L$236:$L$3404,C117,data!$K$236:$K$3404,B117)</f>
        <v>145.48235294117646</v>
      </c>
      <c r="E117" s="73">
        <f t="array" ref="E117">STDEV(IF(data!$B$2:$B$3404=2007,IF(data!$G$2:$G$3404&lt;&gt;"",IF(data!$K$2:$K$3404="female",IF(data!$L$2:$L$3404="spent",data!$G$2:$G$3404)))))</f>
        <v>12.182747134004398</v>
      </c>
      <c r="F117" s="73">
        <f>AVERAGEIFS(data!$I$236:$I$3404,data!$L$236:$L$3404,C117,data!$B$236:$B$3404,A117,data!$K$236:$K$3404,B117)</f>
        <v>12.079166666666667</v>
      </c>
      <c r="G117" s="201">
        <f t="array" ref="G117">STDEV(IF(data!$B$2:$B$3404=2007,IF(data!$I$2:$I$3404&lt;&gt;"",IF(data!$K$2:$K$3404="female",IF(data!$L$2:$L$3404="spent",data!$I$2:$I$3404)))))</f>
        <v>3.2837149137125348</v>
      </c>
      <c r="H117" s="74">
        <f>COUNTIFS(data!$B$236:$B$3404,A117,data!$L$236:$L$3404,C117,data!$K$236:$K$3404,B117,data!$N$236:$N$3404,"headless")</f>
        <v>14</v>
      </c>
      <c r="I117" s="80">
        <f>AVERAGEIFS(data!$G$236:$G$3404,data!$B$236:$B$3404,A117,data!$L$236:$L$3404,C117,data!$K$236:$K$3404,B117,data!$N$236:$N$3404,"&lt;&gt;headless")</f>
        <v>146.12676056338029</v>
      </c>
      <c r="J117" s="201">
        <f t="array" ref="J117">STDEV(IF(data!$B$2:$B$3404=2007,IF(data!$G$2:$G$3404&lt;&gt;"",IF(data!$K$2:$K$3404="female",IF(data!$L$2:$L$3404="spent",IF(data!$N$2:$N$3404&lt;&gt;"headless",data!$G$2:$G$3404))))))</f>
        <v>12.520759421815997</v>
      </c>
      <c r="K117" s="81">
        <f>AVERAGEIFS(data!$I$236:$I$3404,data!$B$236:$B$3404,A117,data!$L$236:$L$3404,C117,data!$K$236:$K$3404,B117,data!$N$236:$N$3404,"&lt;&gt;headless")</f>
        <v>12.382142857142858</v>
      </c>
      <c r="L117" s="73">
        <f t="array" ref="L117">STDEV(IF(data!$B$2:$B$3404=2007,IF(data!$I$2:$I$3404&lt;&gt;"",IF(data!$K$2:$K$3404="female",IF(data!$L$2:$L$3404="spent",IF(data!$N$2:$N$3404&lt;&gt;"headless",data!$I$2:$I$3404))))))</f>
        <v>3.306307495478658</v>
      </c>
      <c r="M117" s="68"/>
      <c r="N117" s="68"/>
      <c r="O117" s="23"/>
      <c r="P117" s="23"/>
      <c r="Q117" s="41"/>
      <c r="R117" s="41"/>
      <c r="T117" s="23"/>
      <c r="U117" s="23"/>
      <c r="V117" s="41"/>
      <c r="X117" s="23"/>
      <c r="Y117" s="23"/>
      <c r="Z117" s="41"/>
    </row>
    <row r="118" spans="1:26" ht="12.75" customHeight="1" x14ac:dyDescent="0.2">
      <c r="A118" s="96">
        <v>2006</v>
      </c>
      <c r="B118" s="97" t="s">
        <v>20</v>
      </c>
      <c r="C118" s="66" t="s">
        <v>272</v>
      </c>
      <c r="D118" s="68">
        <f>AVERAGEIFS(data!$G$453:$G$3404,data!$B$453:$B$3404,A118,data!$K$453:$K$3404,B118)</f>
        <v>143.5</v>
      </c>
      <c r="E118" s="214">
        <f t="array" ref="E118">STDEV(IF(data!$B$2:$B$3404=2006,IF(data!$G$2:$G$3404&lt;&gt;"",IF(data!$K$2:$K$3404="female",data!$G$2:$G$3404))))</f>
        <v>11.00540992507992</v>
      </c>
      <c r="F118" s="68">
        <f>AVERAGEIFS(data!$I$453:$I$3404,data!$B$453:$B$3404,A118,data!$K$453:$K$3404,B118)</f>
        <v>9.1681818181818198</v>
      </c>
      <c r="G118" s="214">
        <f t="array" ref="G118">STDEV(IF(data!$B$2:$B$3404=2006,IF(data!$I$2:$I$3404&lt;&gt;"",IF(data!$K$2:$K$3404="female",data!$I$2:$I$3404))))</f>
        <v>2.42906730358958</v>
      </c>
      <c r="H118" s="97">
        <f>COUNTIFS(data!$B$453:$B$3404,A118,data!$K$453:$K$3404,B118,data!$N$453:$N$3404,"headless")</f>
        <v>2</v>
      </c>
      <c r="I118" s="82">
        <f>AVERAGEIFS(data!$G$236:$G$3404,data!$B$236:$B$3404,A118,data!$K$236:$K$3404,B118,data!$N$236:$N$3404,"&lt;&gt;headless")</f>
        <v>144.1</v>
      </c>
      <c r="J118" s="204">
        <f t="array" ref="J118">STDEV(IF(data!$B$2:$B$3404=2006,IF(data!$G$2:$G$3404&lt;&gt;"",IF(data!$K$2:$K$3404="female",IF(data!$N$2:$N$3404&lt;&gt;"headless",data!$G$2:$G$3404)))))</f>
        <v>11.387435365811143</v>
      </c>
      <c r="K118" s="83">
        <f>AVERAGEIFS(data!$I$236:$I$3404,data!$B$236:$B$3404,A118,data!$K$236:$K$3404,B118,data!$N$236:$N$3404,"&lt;&gt;headless")</f>
        <v>9.1650000000000009</v>
      </c>
      <c r="L118" s="214">
        <f t="array" ref="L118">STDEV(IF(data!$B$2:$B$3404=2006,IF(data!$I$2:$I$3404&lt;&gt;"",IF(data!$K$2:$K$3404="female",IF(data!$N$2:$N$3404&lt;&gt;"headless",data!$I$2:$I$3404)))))</f>
        <v>2.5536918579310131</v>
      </c>
      <c r="M118" s="68">
        <f>AVERAGEIFS(data!$I$453:$I$3404,data!$B$453:$B$3404,A118,data!$L$453:$L$3404,N118)</f>
        <v>11.2</v>
      </c>
      <c r="N118" s="68" t="s">
        <v>30</v>
      </c>
      <c r="O118" s="23">
        <v>1996</v>
      </c>
      <c r="P118" s="23" t="s">
        <v>32</v>
      </c>
      <c r="Q118" s="41" t="s">
        <v>29</v>
      </c>
      <c r="R118" s="41" t="s">
        <v>29</v>
      </c>
      <c r="T118" s="23">
        <v>1996</v>
      </c>
      <c r="U118" s="23" t="s">
        <v>19</v>
      </c>
      <c r="V118" s="41">
        <f>AVERAGEIFS(data!$G$373:$G$3404,data!$B$373:$B$3404,T118,data!$J$373:$J$3404,U118)</f>
        <v>149.63768115942028</v>
      </c>
      <c r="X118" s="23">
        <v>1996</v>
      </c>
      <c r="Y118" s="23" t="s">
        <v>19</v>
      </c>
      <c r="Z118" s="41">
        <f>AVERAGEIFS(data!$I$373:$I$3404,data!$B$373:$B$3404,X118,data!$J$373:$J$3404,Y118)</f>
        <v>11.985915492957746</v>
      </c>
    </row>
    <row r="119" spans="1:26" ht="12.75" customHeight="1" x14ac:dyDescent="0.2">
      <c r="A119" s="98">
        <v>2006</v>
      </c>
      <c r="B119" s="8" t="s">
        <v>34</v>
      </c>
      <c r="C119" s="8"/>
      <c r="D119" s="51">
        <f>AVERAGEIFS(data!$G$453:$G$3404,data!$B$453:$B$3404,A119,data!$K$453:$K$3404,B119)</f>
        <v>163</v>
      </c>
      <c r="E119" s="200" t="s">
        <v>498</v>
      </c>
      <c r="F119" s="51">
        <f>AVERAGEIFS(data!$I$453:$I$3404,data!$B$453:$B$3404,A119,data!$K$453:$K$3404,B119)</f>
        <v>19.8</v>
      </c>
      <c r="G119" s="118"/>
      <c r="H119" s="8">
        <f>COUNTIFS(data!$B$453:$B$3404,A119,data!$K$453:$K$3404,B119,data!$N$453:$N$3404,"headless")</f>
        <v>0</v>
      </c>
      <c r="I119" s="75">
        <f>AVERAGEIFS(data!$G$236:$G$3404,data!$B$236:$B$3404,A119,data!$K$236:$K$3404,B119,data!$N$236:$N$3404,"&lt;&gt;headless")</f>
        <v>163</v>
      </c>
      <c r="J119" s="204"/>
      <c r="K119" s="76">
        <f>AVERAGEIFS(data!$I$236:$I$3404,data!$B$236:$B$3404,A119,data!$K$236:$K$3404,B119,data!$N$236:$N$3404,"&lt;&gt;headless")</f>
        <v>19.8</v>
      </c>
      <c r="L119" s="204"/>
      <c r="M119" s="68">
        <f>AVERAGEIFS(data!$I$453:$I$3404,data!$B$453:$B$3404,A119,data!$L$453:$L$3404,N119)</f>
        <v>11.2</v>
      </c>
      <c r="N119" s="68" t="s">
        <v>30</v>
      </c>
      <c r="O119" s="23">
        <v>1995</v>
      </c>
      <c r="P119" s="23" t="s">
        <v>32</v>
      </c>
      <c r="Q119" s="41">
        <f>AVERAGEIFS(data!$G$453:$G$3404,data!$B$453:$B$3404,O119,data!$J$453:$J$3404,P119)</f>
        <v>105.78125</v>
      </c>
      <c r="R119" s="41">
        <f>AVERAGEIFS(data!$I$453:$I$3404,data!$B$453:$B$3404,O119,data!$J$453:$J$3404,P119)</f>
        <v>2.3096774193548386</v>
      </c>
      <c r="T119" s="23">
        <v>1995</v>
      </c>
      <c r="U119" s="23" t="s">
        <v>19</v>
      </c>
      <c r="V119" s="41">
        <f>AVERAGEIFS(data!$G$373:$G$3404,data!$B$373:$B$3404,T119,data!$J$373:$J$3404,U119)</f>
        <v>138.77272727272728</v>
      </c>
      <c r="X119" s="23">
        <v>1995</v>
      </c>
      <c r="Y119" s="23" t="s">
        <v>19</v>
      </c>
      <c r="Z119" s="41">
        <f>AVERAGEIFS(data!$I$373:$I$3404,data!$B$373:$B$3404,X119,data!$J$373:$J$3404,Y119)</f>
        <v>12.217699115044235</v>
      </c>
    </row>
    <row r="120" spans="1:26" ht="12.75" customHeight="1" x14ac:dyDescent="0.2">
      <c r="A120" s="98">
        <v>2006</v>
      </c>
      <c r="B120" s="8" t="s">
        <v>41</v>
      </c>
      <c r="C120" s="8"/>
      <c r="D120" s="51">
        <f>AVERAGEIFS(data!$G$453:$G$3404,data!$B$453:$B$3404,A120,data!$K$453:$K$3404,B120)</f>
        <v>127.5</v>
      </c>
      <c r="E120" s="118"/>
      <c r="F120" s="51">
        <f>AVERAGEIFS(data!$I$453:$I$3404,data!$B$453:$B$3404,A120,data!$K$453:$K$3404,B120)</f>
        <v>5.85</v>
      </c>
      <c r="G120" s="118"/>
      <c r="H120" s="8">
        <f>COUNTIFS(data!$B$453:$B$3404,A120,data!$K$453:$K$3404,B120,data!$N$453:$N$3404,"headless")</f>
        <v>1</v>
      </c>
      <c r="I120" s="75">
        <f>AVERAGEIFS(data!$G$236:$G$3404,data!$B$236:$B$3404,A120,data!$K$236:$K$3404,B120,data!$N$236:$N$3404,"&lt;&gt;headless")</f>
        <v>126</v>
      </c>
      <c r="J120" s="204"/>
      <c r="K120" s="76">
        <f>AVERAGEIFS(data!$I$236:$I$3404,data!$B$236:$B$3404,A120,data!$K$236:$K$3404,B120,data!$N$236:$N$3404,"&lt;&gt;headless")</f>
        <v>5.6</v>
      </c>
      <c r="L120" s="204"/>
      <c r="M120" s="68">
        <f>AVERAGEIFS(data!$I$453:$I$3404,data!$B$453:$B$3404,A120,data!$L$453:$L$3404,N120)</f>
        <v>11.2</v>
      </c>
      <c r="N120" s="68" t="s">
        <v>30</v>
      </c>
      <c r="O120" s="23">
        <v>1994</v>
      </c>
      <c r="P120" s="23" t="s">
        <v>32</v>
      </c>
      <c r="Q120" s="41" t="s">
        <v>29</v>
      </c>
      <c r="R120" s="41" t="s">
        <v>29</v>
      </c>
      <c r="T120" s="23">
        <v>1994</v>
      </c>
      <c r="U120" s="23" t="s">
        <v>19</v>
      </c>
      <c r="V120" s="41">
        <f>AVERAGEIFS(data!$G$373:$G$3404,data!$B$373:$B$3404,T120,data!$J$373:$J$3404,U120)</f>
        <v>149.06818181818181</v>
      </c>
      <c r="X120" s="23">
        <v>1994</v>
      </c>
      <c r="Y120" s="23" t="s">
        <v>19</v>
      </c>
      <c r="Z120" s="41">
        <f>AVERAGEIFS(data!$I$373:$I$3404,data!$B$373:$B$3404,X120,data!$J$373:$J$3404,Y120)</f>
        <v>13.158208955223879</v>
      </c>
    </row>
    <row r="121" spans="1:26" ht="12.75" customHeight="1" x14ac:dyDescent="0.2">
      <c r="A121" s="99">
        <v>2006</v>
      </c>
      <c r="B121" s="49" t="s">
        <v>20</v>
      </c>
      <c r="C121" s="49" t="s">
        <v>30</v>
      </c>
      <c r="D121" s="73">
        <f>AVERAGEIFS(data!$G$236:$G$3404,data!$B$236:$B$3404,A121,data!$L$236:$L$3404,C121,data!$K$236:$K$3404,B121)</f>
        <v>137</v>
      </c>
      <c r="E121" s="118" t="s">
        <v>498</v>
      </c>
      <c r="F121" s="73">
        <f>AVERAGEIFS(data!$I$236:$I$3404,data!$L$236:$L$3404,C121,data!$B$236:$B$3404,A121,data!$K$236:$K$3404,B121)</f>
        <v>11.2</v>
      </c>
      <c r="G121" s="73"/>
      <c r="H121" s="74">
        <f>COUNTIFS(data!$B$236:$B$3404,A121,data!$L$236:$L$3404,C121,data!$K$236:$K$3404,B121,data!$N$236:$N$3404,"headless")</f>
        <v>0</v>
      </c>
      <c r="I121" s="75">
        <f>AVERAGEIFS(data!$G$236:$G$3404,data!$B$236:$B$3404,A121,data!$L$236:$L$3404,C121,data!$K$236:$K$3404,B121,data!$N$236:$N$3404,"&lt;&gt;headless")</f>
        <v>137</v>
      </c>
      <c r="J121" s="204"/>
      <c r="K121" s="76">
        <f>AVERAGEIFS(data!$I$236:$I$3404,data!$B$236:$B$3404,A121,data!$L$236:$L$3404,C121,data!$K$236:$K$3404,B121,data!$N$236:$N$3404,"&lt;&gt;headless")</f>
        <v>11.2</v>
      </c>
      <c r="L121" s="204"/>
      <c r="M121" s="68"/>
      <c r="N121" s="68"/>
      <c r="O121" s="23"/>
      <c r="P121" s="23"/>
      <c r="Q121" s="41"/>
      <c r="R121" s="41"/>
      <c r="T121" s="23"/>
      <c r="U121" s="23"/>
      <c r="V121" s="41"/>
      <c r="X121" s="23"/>
      <c r="Y121" s="23"/>
      <c r="Z121" s="41"/>
    </row>
    <row r="122" spans="1:26" ht="12.75" customHeight="1" x14ac:dyDescent="0.2">
      <c r="A122" s="99">
        <v>2006</v>
      </c>
      <c r="B122" s="49" t="s">
        <v>20</v>
      </c>
      <c r="C122" s="49" t="s">
        <v>21</v>
      </c>
      <c r="D122" s="73">
        <f>AVERAGEIFS(data!$G$236:$G$3404,data!$B$236:$B$3404,A122,data!$L$236:$L$3404,C122,data!$K$236:$K$3404,B122)</f>
        <v>145.63157894736841</v>
      </c>
      <c r="E122" s="73">
        <f t="array" ref="E122">STDEV(IF(data!$B$2:$B$3404=2006,IF(data!$G$2:$G$3404&lt;&gt;"",IF(data!$K$2:$K$3404="female",IF(data!$L$2:$L$3404="spent",data!$G$2:$G$3404)))))</f>
        <v>10.034443605877318</v>
      </c>
      <c r="F122" s="73">
        <f>AVERAGEIFS(data!$I$236:$I$3404,data!$L$236:$L$3404,C122,data!$B$236:$B$3404,A122,data!$K$236:$K$3404,B122)</f>
        <v>9.4210526315789469</v>
      </c>
      <c r="G122" s="201">
        <f t="array" ref="G122">STDEV(IF(data!$B$2:$B$3404=2006,IF(data!$I$2:$I$3404&lt;&gt;"",IF(data!$K$2:$K$3404="female",IF(data!$L$2:$L$3404="spent",data!$I$2:$I$3404)))))</f>
        <v>2.2982067761550331</v>
      </c>
      <c r="H122" s="74">
        <f>COUNTIFS(data!$B$236:$B$3404,A122,data!$L$236:$L$3404,C122,data!$K$236:$K$3404,B122,data!$N$236:$N$3404,"headless")</f>
        <v>2</v>
      </c>
      <c r="I122" s="75">
        <f>AVERAGEIFS(data!$G$236:$G$3404,data!$B$236:$B$3404,A122,data!$L$236:$L$3404,C122,data!$K$236:$K$3404,B122,data!$N$236:$N$3404,"&lt;&gt;headless")</f>
        <v>146.58823529411765</v>
      </c>
      <c r="J122" s="201">
        <f t="array" ref="J122">STDEV(IF(data!$B$2:$B$3404=2006,IF(data!$G$2:$G$3404&lt;&gt;"",IF(data!$K$2:$K$3404="female",IF(data!$L$2:$L$3404="spent",IF(data!$N$2:$N$3404&lt;&gt;"headless",data!$G$2:$G$3404))))))</f>
        <v>10.198399528415058</v>
      </c>
      <c r="K122" s="76">
        <f>AVERAGEIFS(data!$I$236:$I$3404,data!$B$236:$B$3404,A122,data!$L$236:$L$3404,C122,data!$K$236:$K$3404,B122,data!$N$236:$N$3404,"&lt;&gt;headless")</f>
        <v>9.447058823529412</v>
      </c>
      <c r="L122" s="73">
        <f t="array" ref="L122">STDEV(IF(data!$B$2:$B$3404=2006,IF(data!$I$2:$I$3404&lt;&gt;"",IF(data!$K$2:$K$3404="female",IF(data!$L$2:$L$3404="spent",IF(data!$N$2:$N$3404&lt;&gt;"headless",data!$I$2:$I$3404))))))</f>
        <v>2.4362157250177057</v>
      </c>
      <c r="M122" s="68"/>
      <c r="N122" s="68"/>
      <c r="O122" s="23"/>
      <c r="P122" s="23"/>
      <c r="Q122" s="41"/>
      <c r="R122" s="41"/>
      <c r="T122" s="23"/>
      <c r="U122" s="23"/>
      <c r="V122" s="41"/>
      <c r="X122" s="23"/>
      <c r="Y122" s="23"/>
      <c r="Z122" s="41"/>
    </row>
    <row r="123" spans="1:26" ht="12.75" customHeight="1" x14ac:dyDescent="0.2">
      <c r="A123" s="96">
        <v>2005</v>
      </c>
      <c r="B123" s="97" t="s">
        <v>20</v>
      </c>
      <c r="C123" s="66" t="s">
        <v>272</v>
      </c>
      <c r="D123" s="68">
        <f>AVERAGEIFS(data!$G$453:$G$3404,data!$B$453:$B$3404,A123,data!$K$453:$K$3404,B123)</f>
        <v>142.80198019801981</v>
      </c>
      <c r="E123" s="214">
        <f t="array" ref="E123">STDEV(IF(data!$B$2:$B$3404=2005,IF(data!$G$2:$G$3404&lt;&gt;"",IF(data!$K$2:$K$3404="female",data!$G$2:$G$3404))))</f>
        <v>15.90661485167742</v>
      </c>
      <c r="F123" s="68">
        <f>AVERAGEIFS(data!$I$453:$I$3404,data!$B$453:$B$3404,A123,data!$K$453:$K$3404,B123)</f>
        <v>9.8848484848484848</v>
      </c>
      <c r="G123" s="214">
        <f t="array" ref="G123">STDEV(IF(data!$B$2:$B$3404=2005,IF(data!$I$2:$I$3404&lt;&gt;"",IF(data!$K$2:$K$3404="female",data!$I$2:$I$3404))))</f>
        <v>2.8644322597482414</v>
      </c>
      <c r="H123" s="97">
        <f>COUNTIFS(data!$B$453:$B$3404,A123,data!$K$453:$K$3404,B123,data!$N$453:$N$3404,"headless")</f>
        <v>13</v>
      </c>
      <c r="I123" s="82">
        <f>AVERAGEIFS(data!$G$236:$G$3404,data!$B$236:$B$3404,A123,data!$K$236:$K$3404,B123,data!$N$236:$N$3404,"&lt;&gt;headless")</f>
        <v>144.37777777777777</v>
      </c>
      <c r="J123" s="214">
        <f t="array" ref="J123">STDEV(IF(data!$B$2:$B$3404=2005,IF(data!$G$2:$G$3404&lt;&gt;"",IF(data!$K$2:$K$3404="female",IF(data!$N$2:$N$3404&lt;&gt;"headless",data!$G$2:$G$3404)))))</f>
        <v>12.938556418598383</v>
      </c>
      <c r="K123" s="83">
        <f>AVERAGEIFS(data!$I$236:$I$3404,data!$B$236:$B$3404,A123,data!$K$236:$K$3404,B123,data!$N$236:$N$3404,"&lt;&gt;headless")</f>
        <v>9.9758620689655171</v>
      </c>
      <c r="L123" s="214">
        <f t="array" ref="L123">STDEV(IF(data!$B$2:$B$3404=2005,IF(data!$I$2:$I$3404&lt;&gt;"",IF(data!$K$2:$K$3404="female",IF(data!$N$2:$N$3404&lt;&gt;"headless",data!$I$2:$I$3404)))))</f>
        <v>2.7990432550327848</v>
      </c>
      <c r="M123" s="68">
        <f>AVERAGEIFS(data!$I$453:$I$3404,data!$B$453:$B$3404,A123,data!$L$453:$L$3404,N123)</f>
        <v>10.64</v>
      </c>
      <c r="N123" s="68" t="s">
        <v>30</v>
      </c>
      <c r="O123" s="23">
        <v>1993</v>
      </c>
      <c r="P123" s="23" t="s">
        <v>32</v>
      </c>
      <c r="Q123" s="41" t="s">
        <v>29</v>
      </c>
      <c r="R123" s="41" t="s">
        <v>29</v>
      </c>
      <c r="T123" s="23">
        <v>1993</v>
      </c>
      <c r="U123" s="23" t="s">
        <v>19</v>
      </c>
      <c r="V123" s="41">
        <f>AVERAGEIFS(data!$G$373:$G$3404,data!$B$373:$B$3404,T123,data!$J$373:$J$3404,U123)</f>
        <v>150.83333333333334</v>
      </c>
      <c r="X123" s="23">
        <v>1993</v>
      </c>
      <c r="Y123" s="23" t="s">
        <v>19</v>
      </c>
      <c r="Z123" s="41">
        <f>AVERAGEIFS(data!$I$373:$I$3404,data!$B$373:$B$3404,X123,data!$J$373:$J$3404,Y123)</f>
        <v>15.770769230769229</v>
      </c>
    </row>
    <row r="124" spans="1:26" ht="12.75" customHeight="1" x14ac:dyDescent="0.2">
      <c r="A124" s="98">
        <v>2005</v>
      </c>
      <c r="B124" s="8" t="s">
        <v>34</v>
      </c>
      <c r="C124" s="8"/>
      <c r="D124" s="51">
        <f>AVERAGEIFS(data!$G$453:$G$3404,data!$B$453:$B$3404,A124,data!$K$453:$K$3404,B124)</f>
        <v>152</v>
      </c>
      <c r="E124" s="204">
        <f t="array" ref="E124">STDEV(IF(data!$B$2:$B$3404=2005,IF(data!$G$2:$G$3404&lt;&gt;"",IF(data!$K$2:$K$3404="male",data!$G$2:$G$3404))))</f>
        <v>16.822603841260722</v>
      </c>
      <c r="F124" s="51">
        <f>AVERAGEIFS(data!$I$453:$I$3404,data!$B$453:$B$3404,A124,data!$K$453:$K$3404,B124)</f>
        <v>12.966666666666667</v>
      </c>
      <c r="G124" s="204">
        <f t="array" ref="G124">STDEV(IF(data!$B$2:$B$3404=2005,IF(data!$I$2:$I$3404&lt;&gt;"",IF(data!$K$2:$K$3404="male",data!$I$2:$I$3404))))</f>
        <v>5.8054572027819953</v>
      </c>
      <c r="H124" s="8">
        <f>COUNTIFS(data!$B$453:$B$3404,A124,data!$K$453:$K$3404,B124,data!$N$453:$N$3404,"headless")</f>
        <v>0</v>
      </c>
      <c r="I124" s="75">
        <f>AVERAGEIFS(data!$G$236:$G$3404,data!$B$236:$B$3404,A124,data!$K$236:$K$3404,B124,data!$N$236:$N$3404,"&lt;&gt;headless")</f>
        <v>152</v>
      </c>
      <c r="J124" s="204">
        <f t="array" ref="J124">STDEV(IF(data!$B$2:$B$3404=2005,IF(data!$G$2:$G$3404&lt;&gt;"",IF(data!$K$2:$K$3404="male",IF(data!$N$2:$N$3404&lt;&gt;"headless",data!$G$2:$G$3404)))))</f>
        <v>16.822603841260722</v>
      </c>
      <c r="K124" s="76">
        <f>AVERAGEIFS(data!$I$236:$I$3404,data!$B$236:$B$3404,A124,data!$K$236:$K$3404,B124,data!$N$236:$N$3404,"&lt;&gt;headless")</f>
        <v>12.966666666666667</v>
      </c>
      <c r="L124" s="227">
        <f t="array" ref="L124">STDEV(IF(data!$B$2:$B$3404=2005,IF(data!$I$2:$I$3404&lt;&gt;"",IF(data!$K$2:$K$3404="male",IF(data!$N$2:$N$3404&lt;&gt;"headless",data!$I$2:$I$3404)))))</f>
        <v>5.8054572027819953</v>
      </c>
      <c r="M124" s="68">
        <f>AVERAGEIFS(data!$I$453:$I$3404,data!$B$453:$B$3404,A124,data!$L$453:$L$3404,N124)</f>
        <v>10.64</v>
      </c>
      <c r="N124" s="68" t="s">
        <v>30</v>
      </c>
      <c r="O124" s="23">
        <v>1992</v>
      </c>
      <c r="P124" s="23" t="s">
        <v>32</v>
      </c>
      <c r="Q124" s="41">
        <f>AVERAGEIFS(data!$G$453:$G$3404,data!$B$453:$B$3404,O124,data!$J$453:$J$3404,P124)</f>
        <v>147</v>
      </c>
      <c r="R124" s="41">
        <f>AVERAGEIFS(data!$I$453:$I$3404,data!$B$453:$B$3404,O124,data!$J$453:$J$3404,P124)</f>
        <v>9</v>
      </c>
      <c r="T124" s="23">
        <v>1992</v>
      </c>
      <c r="U124" s="23" t="s">
        <v>19</v>
      </c>
      <c r="V124" s="41">
        <f>AVERAGEIFS(data!$G$373:$G$3404,data!$B$373:$B$3404,T124,data!$J$373:$J$3404,U124)</f>
        <v>135.97278911564626</v>
      </c>
      <c r="X124" s="23">
        <v>1992</v>
      </c>
      <c r="Y124" s="23" t="s">
        <v>19</v>
      </c>
      <c r="Z124" s="41">
        <f>AVERAGEIFS(data!$I$373:$I$3404,data!$B$373:$B$3404,X124,data!$J$373:$J$3404,Y124)</f>
        <v>13.797297297297296</v>
      </c>
    </row>
    <row r="125" spans="1:26" ht="12.75" customHeight="1" x14ac:dyDescent="0.2">
      <c r="A125" s="98">
        <v>2005</v>
      </c>
      <c r="B125" s="8" t="s">
        <v>41</v>
      </c>
      <c r="C125" s="8"/>
      <c r="D125" s="51">
        <f>AVERAGEIFS(data!$G$453:$G$3404,data!$B$453:$B$3404,A125,data!$K$453:$K$3404,B125)</f>
        <v>101</v>
      </c>
      <c r="E125" s="118"/>
      <c r="F125" s="51">
        <f>AVERAGEIFS(data!$I$453:$I$3404,data!$B$453:$B$3404,A125,data!$K$453:$K$3404,B125)</f>
        <v>3.5</v>
      </c>
      <c r="G125" s="118"/>
      <c r="H125" s="8">
        <f>COUNTIFS(data!$B$453:$B$3404,A125,data!$K$453:$K$3404,B125,data!$N$453:$N$3404,"headless")</f>
        <v>0</v>
      </c>
      <c r="I125" s="75">
        <f>AVERAGEIFS(data!$G$236:$G$3404,data!$B$236:$B$3404,A125,data!$K$236:$K$3404,B125,data!$N$236:$N$3404,"&lt;&gt;headless")</f>
        <v>101</v>
      </c>
      <c r="J125" s="204"/>
      <c r="K125" s="76">
        <f>AVERAGEIFS(data!$I$236:$I$3404,data!$B$236:$B$3404,A125,data!$K$236:$K$3404,B125,data!$N$236:$N$3404,"&lt;&gt;headless")</f>
        <v>3.5</v>
      </c>
      <c r="L125" s="204"/>
      <c r="M125" s="68">
        <f>AVERAGEIFS(data!$I$453:$I$3404,data!$B$453:$B$3404,A125,data!$L$453:$L$3404,N125)</f>
        <v>10.64</v>
      </c>
      <c r="N125" s="68" t="s">
        <v>30</v>
      </c>
      <c r="O125" s="23">
        <v>1991</v>
      </c>
      <c r="P125" s="23" t="s">
        <v>32</v>
      </c>
      <c r="Q125" s="41" t="s">
        <v>29</v>
      </c>
      <c r="R125" s="41" t="s">
        <v>29</v>
      </c>
      <c r="T125" s="23">
        <v>1991</v>
      </c>
      <c r="U125" s="23" t="s">
        <v>19</v>
      </c>
      <c r="V125" s="41">
        <f>AVERAGEIFS(data!$G$373:$G$3404,data!$B$373:$B$3404,T125,data!$J$373:$J$3404,U125)</f>
        <v>148.40540540540542</v>
      </c>
      <c r="X125" s="23">
        <v>1991</v>
      </c>
      <c r="Y125" s="23" t="s">
        <v>19</v>
      </c>
      <c r="Z125" s="41">
        <f>AVERAGEIFS(data!$I$373:$I$3404,data!$B$373:$B$3404,X125,data!$J$373:$J$3404,Y125)</f>
        <v>18.313793103448276</v>
      </c>
    </row>
    <row r="126" spans="1:26" ht="12.75" customHeight="1" x14ac:dyDescent="0.2">
      <c r="A126" s="99">
        <v>2005</v>
      </c>
      <c r="B126" s="49" t="s">
        <v>20</v>
      </c>
      <c r="C126" s="49" t="s">
        <v>30</v>
      </c>
      <c r="D126" s="73">
        <f>AVERAGEIFS(data!$G$236:$G$3404,data!$B$236:$B$3404,A126,data!$L$236:$L$3404,C126,data!$K$236:$K$3404,B126)</f>
        <v>142.80000000000001</v>
      </c>
      <c r="E126" s="73">
        <f t="array" ref="E126">STDEV(IF(data!$B$2:$B$3404=2005,IF(data!$G$2:$G$3404&lt;&gt;"",IF(data!$K$2:$K$3404="female",IF(data!$L$2:$L$3404="gravid",data!$G$2:$G$3404)))))</f>
        <v>14.20211251891774</v>
      </c>
      <c r="F126" s="73">
        <f>AVERAGEIFS(data!$I$236:$I$3404,data!$L$236:$L$3404,C126,data!$B$236:$B$3404,A126,data!$K$236:$K$3404,B126)</f>
        <v>10.64</v>
      </c>
      <c r="G126" s="73">
        <f t="array" ref="G126">STDEV(IF(data!$B$2:$B$3404=2005,IF(data!$I$2:$I$3404&lt;&gt;"",IF(data!$K$2:$K$3404="female",IF(data!$L$2:$L$3404="gravid",data!$I$2:$I$3404)))))</f>
        <v>3.169858040985432</v>
      </c>
      <c r="H126" s="74">
        <f>COUNTIFS(data!$B$236:$B$3404,A126,data!$L$236:$L$3404,C126,data!$K$236:$K$3404,B126,data!$N$236:$N$3404,"headless")</f>
        <v>0</v>
      </c>
      <c r="I126" s="75">
        <f>AVERAGEIFS(data!$G$236:$G$3404,data!$B$236:$B$3404,A126,data!$L$236:$L$3404,C126,data!$K$236:$K$3404,B126,data!$N$236:$N$3404,"&lt;&gt;headless")</f>
        <v>142.80000000000001</v>
      </c>
      <c r="J126" s="204">
        <f t="array" ref="J126">STDEV(IF(data!$B$2:$B$3404=2005,IF(data!$G$2:$G$3404&lt;&gt;"",IF(data!$K$2:$K$3404="female",IF(data!$L$2:$L$3404="gravid",IF(data!$N$2:$N$3404&lt;&gt;"headless",data!$G$2:$G$3404))))))</f>
        <v>14.20211251891774</v>
      </c>
      <c r="K126" s="76">
        <f>AVERAGEIFS(data!$I$236:$I$3404,data!$B$236:$B$3404,A126,data!$L$236:$L$3404,C126,data!$K$236:$K$3404,B126,data!$N$236:$N$3404,"&lt;&gt;headless")</f>
        <v>10.64</v>
      </c>
      <c r="L126" s="73">
        <f t="array" ref="L126">STDEV(IF(data!$B$2:$B$3404=2005,IF(data!$I$2:$I$3404&lt;&gt;"",IF(data!$K$2:$K$3404="female",IF(data!$L$2:$L$3404="gravid",IF(data!$N$2:$N$3404&lt;&gt;"headless",data!$I$2:$I$3404))))))</f>
        <v>3.169858040985432</v>
      </c>
      <c r="M126" s="68"/>
      <c r="N126" s="68"/>
      <c r="O126" s="23"/>
      <c r="P126" s="23"/>
      <c r="Q126" s="41"/>
      <c r="R126" s="41"/>
      <c r="T126" s="23"/>
      <c r="U126" s="23"/>
      <c r="V126" s="41"/>
      <c r="X126" s="23"/>
      <c r="Y126" s="23"/>
      <c r="Z126" s="41"/>
    </row>
    <row r="127" spans="1:26" ht="12.75" customHeight="1" x14ac:dyDescent="0.2">
      <c r="A127" s="99">
        <v>2005</v>
      </c>
      <c r="B127" s="49" t="s">
        <v>20</v>
      </c>
      <c r="C127" s="49" t="s">
        <v>21</v>
      </c>
      <c r="D127" s="73">
        <f>AVERAGEIFS(data!$G$236:$G$3404,data!$B$236:$B$3404,A127,data!$L$236:$L$3404,C127,data!$K$236:$K$3404,B127)</f>
        <v>143.95945945945945</v>
      </c>
      <c r="E127" s="73">
        <f t="array" ref="E127">STDEV(IF(data!$B$2:$B$3404=2005,IF(data!$G$2:$G$3404&lt;&gt;"",IF(data!$K$2:$K$3404="female",IF(data!$L$2:$L$3404="spent",data!$G$2:$G$3404)))))</f>
        <v>15.685644068408566</v>
      </c>
      <c r="F127" s="73">
        <f>AVERAGEIFS(data!$I$236:$I$3404,data!$L$236:$L$3404,C127,data!$B$236:$B$3404,A127,data!$K$236:$K$3404,B127)</f>
        <v>10.138888888888889</v>
      </c>
      <c r="G127" s="201">
        <f t="array" ref="G127">STDEV(IF(data!$B$2:$B$3404=2005,IF(data!$I$2:$I$3404&lt;&gt;"",IF(data!$K$2:$K$3404="female",IF(data!$L$2:$L$3404="spent",data!$I$2:$I$3404)))))</f>
        <v>2.8774282118310075</v>
      </c>
      <c r="H127" s="74">
        <f>COUNTIFS(data!$B$236:$B$3404,A127,data!$L$236:$L$3404,C127,data!$K$236:$K$3404,B127,data!$N$236:$N$3404,"headless")</f>
        <v>11</v>
      </c>
      <c r="I127" s="75">
        <f>AVERAGEIFS(data!$G$236:$G$3404,data!$B$236:$B$3404,A127,data!$L$236:$L$3404,C127,data!$K$236:$K$3404,B127,data!$N$236:$N$3404,"&lt;&gt;headless")</f>
        <v>146.01538461538462</v>
      </c>
      <c r="J127" s="201">
        <f t="array" ref="J127">STDEV(IF(data!$B$2:$B$3404=2005,IF(data!$G$2:$G$3404&lt;&gt;"",IF(data!$K$2:$K$3404="female",IF(data!$L$2:$L$3404="spent",IF(data!$N$2:$N$3404&lt;&gt;"headless",data!$G$2:$G$3404))))))</f>
        <v>11.176834731505366</v>
      </c>
      <c r="K127" s="76">
        <f>AVERAGEIFS(data!$I$236:$I$3404,data!$B$236:$B$3404,A127,data!$L$236:$L$3404,C127,data!$K$236:$K$3404,B127,data!$N$236:$N$3404,"&lt;&gt;headless")</f>
        <v>10.279032258064515</v>
      </c>
      <c r="L127" s="73">
        <f t="array" ref="L127">STDEV(IF(data!$B$2:$B$3404=2005,IF(data!$I$2:$I$3404&lt;&gt;"",IF(data!$K$2:$K$3404="female",IF(data!$L$2:$L$3404="spent",IF(data!$N$2:$N$3404&lt;&gt;"headless",data!$I$2:$I$3404))))))</f>
        <v>2.8250714249943147</v>
      </c>
      <c r="M127" s="68"/>
      <c r="N127" s="68"/>
      <c r="O127" s="23"/>
      <c r="P127" s="23"/>
      <c r="Q127" s="41"/>
      <c r="R127" s="41"/>
      <c r="T127" s="23"/>
      <c r="U127" s="23"/>
      <c r="V127" s="41"/>
      <c r="X127" s="23"/>
      <c r="Y127" s="23"/>
      <c r="Z127" s="41"/>
    </row>
    <row r="128" spans="1:26" ht="12.75" customHeight="1" x14ac:dyDescent="0.2">
      <c r="A128" s="96">
        <v>2004</v>
      </c>
      <c r="B128" s="97" t="s">
        <v>20</v>
      </c>
      <c r="C128" s="66" t="s">
        <v>272</v>
      </c>
      <c r="D128" s="68">
        <f>AVERAGEIFS(data!$G$453:$G$3404,data!$B$453:$B$3404,A128,data!$K$453:$K$3404,B128)</f>
        <v>140.14093959731542</v>
      </c>
      <c r="E128" s="214">
        <f t="array" ref="E128">STDEV(IF(data!$B$2:$B$3404=2004,IF(data!$G$2:$G$3404&lt;&gt;"",IF(data!$K$2:$K$3404="female",data!$G$2:$G$3404))))</f>
        <v>11.365559720481889</v>
      </c>
      <c r="F128" s="68">
        <f>AVERAGEIFS(data!$I$453:$I$3404,data!$B$453:$B$3404,A128,data!$K$453:$K$3404,B128)</f>
        <v>11.584563758389262</v>
      </c>
      <c r="G128" s="214">
        <f t="array" ref="G128">STDEV(IF(data!$B$2:$B$3404=2004,IF(data!$I$2:$I$3404&lt;&gt;"",IF(data!$K$2:$K$3404="female",data!$I$2:$I$3404))))</f>
        <v>2.8279188420685517</v>
      </c>
      <c r="H128" s="97">
        <f>COUNTIFS(data!$B$453:$B$3404,A128,data!$K$453:$K$3404,B128,data!$N$453:$N$3404,"headless")</f>
        <v>59</v>
      </c>
      <c r="I128" s="82">
        <f>AVERAGEIFS(data!$G$236:$G$3404,data!$B$236:$B$3404,A128,data!$K$236:$K$3404,B128,data!$N$236:$N$3404,"&lt;&gt;headless")</f>
        <v>142.25555555555556</v>
      </c>
      <c r="J128" s="214">
        <f t="array" ref="J128">STDEV(IF(data!$B$2:$B$3404=2004,IF(data!$G$2:$G$3404&lt;&gt;"",IF(data!$K$2:$K$3404="female",IF(data!$N$2:$N$3404&lt;&gt;"headless",data!$G$2:$G$3404)))))</f>
        <v>10.73434173037729</v>
      </c>
      <c r="K128" s="83">
        <f>AVERAGEIFS(data!$I$236:$I$3404,data!$B$236:$B$3404,A128,data!$K$236:$K$3404,B128,data!$N$236:$N$3404,"&lt;&gt;headless")</f>
        <v>12.284444444444446</v>
      </c>
      <c r="L128" s="214">
        <f t="array" ref="L128">STDEV(IF(data!$B$2:$B$3404=2004,IF(data!$I$2:$I$3404&lt;&gt;"",IF(data!$K$2:$K$3404="female",IF(data!$N$2:$N$3404&lt;&gt;"headless",data!$I$2:$I$3404)))))</f>
        <v>2.7522375416455112</v>
      </c>
      <c r="M128" s="68">
        <f>AVERAGEIFS(data!$I$453:$I$3404,data!$B$453:$B$3404,A128,data!$L$453:$L$3404,N128)</f>
        <v>11.107936507936508</v>
      </c>
      <c r="N128" s="68" t="s">
        <v>30</v>
      </c>
      <c r="O128" s="23">
        <v>1990</v>
      </c>
      <c r="P128" s="23" t="s">
        <v>32</v>
      </c>
      <c r="Q128" s="41" t="s">
        <v>29</v>
      </c>
      <c r="R128" s="41" t="s">
        <v>29</v>
      </c>
      <c r="T128" s="23">
        <v>1990</v>
      </c>
      <c r="U128" s="23" t="s">
        <v>19</v>
      </c>
      <c r="V128" s="41">
        <f>AVERAGEIFS(data!$G$373:$G$3404,data!$B$373:$B$3404,T128,data!$J$373:$J$3404,U128)</f>
        <v>140.85454545454544</v>
      </c>
      <c r="X128" s="23">
        <v>1990</v>
      </c>
      <c r="Y128" s="23" t="s">
        <v>19</v>
      </c>
      <c r="Z128" s="41">
        <f>AVERAGEIFS(data!$I$373:$I$3404,data!$B$373:$B$3404,X128,data!$J$373:$J$3404,Y128)</f>
        <v>11.78709677419355</v>
      </c>
    </row>
    <row r="129" spans="1:21" ht="12.75" customHeight="1" x14ac:dyDescent="0.2">
      <c r="A129" s="98">
        <v>2004</v>
      </c>
      <c r="B129" s="8" t="s">
        <v>34</v>
      </c>
      <c r="C129" s="8"/>
      <c r="D129" s="51">
        <f>AVERAGEIFS(data!$G$453:$G$3404,data!$B$453:$B$3404,A129,data!$K$453:$K$3404,B129)</f>
        <v>161</v>
      </c>
      <c r="E129" s="200" t="s">
        <v>498</v>
      </c>
      <c r="F129" s="51">
        <f>AVERAGEIFS(data!$I$453:$I$3404,data!$B$453:$B$3404,A129,data!$K$453:$K$3404,B129)</f>
        <v>24</v>
      </c>
      <c r="G129" s="118"/>
      <c r="H129" s="8">
        <f>COUNTIFS(data!$B$453:$B$3404,A129,data!$K$453:$K$3404,B129,data!$N$453:$N$3404,"headless")</f>
        <v>0</v>
      </c>
      <c r="I129" s="75">
        <f>AVERAGEIFS(data!$G$236:$G$3404,data!$B$236:$B$3404,A129,data!$K$236:$K$3404,B129,data!$N$236:$N$3404,"&lt;&gt;headless")</f>
        <v>161</v>
      </c>
      <c r="J129" s="204"/>
      <c r="K129" s="76">
        <f>AVERAGEIFS(data!$I$236:$I$3404,data!$B$236:$B$3404,A129,data!$K$236:$K$3404,B129,data!$N$236:$N$3404,"&lt;&gt;headless")</f>
        <v>24</v>
      </c>
      <c r="L129" s="204"/>
      <c r="M129" s="68">
        <f>AVERAGEIFS(data!$I$453:$I$3404,data!$B$453:$B$3404,A129,data!$L$453:$L$3404,N129)</f>
        <v>11.107936507936508</v>
      </c>
      <c r="N129" s="68" t="s">
        <v>30</v>
      </c>
      <c r="O129" s="45"/>
      <c r="P129" s="45"/>
      <c r="Q129" s="45"/>
      <c r="R129" s="11"/>
      <c r="S129" s="8"/>
      <c r="U129" s="8"/>
    </row>
    <row r="130" spans="1:21" ht="12.75" customHeight="1" x14ac:dyDescent="0.2">
      <c r="A130" s="98">
        <v>2004</v>
      </c>
      <c r="B130" s="8" t="s">
        <v>41</v>
      </c>
      <c r="C130" s="8"/>
      <c r="D130" s="51">
        <f>AVERAGEIFS(data!$G$453:$G$3404,data!$B$453:$B$3404,A130,data!$K$453:$K$3404,B130)</f>
        <v>133.5</v>
      </c>
      <c r="E130" s="118"/>
      <c r="F130" s="51">
        <f>AVERAGEIFS(data!$I$453:$I$3404,data!$B$453:$B$3404,A130,data!$K$453:$K$3404,B130)</f>
        <v>8.5</v>
      </c>
      <c r="G130" s="118"/>
      <c r="H130" s="8">
        <f>COUNTIFS(data!$B$453:$B$3404,A130,data!$K$453:$K$3404,B130,data!$N$453:$N$3404,"headless")</f>
        <v>1</v>
      </c>
      <c r="I130" s="75">
        <f>AVERAGEIFS(data!$G$236:$G$3404,data!$B$236:$B$3404,A130,data!$K$236:$K$3404,B130,data!$N$236:$N$3404,"&lt;&gt;headless")</f>
        <v>132</v>
      </c>
      <c r="J130" s="204"/>
      <c r="K130" s="76">
        <f>AVERAGEIFS(data!$I$236:$I$3404,data!$B$236:$B$3404,A130,data!$K$236:$K$3404,B130,data!$N$236:$N$3404,"&lt;&gt;headless")</f>
        <v>8.5</v>
      </c>
      <c r="L130" s="204"/>
      <c r="M130" s="68">
        <f>AVERAGEIFS(data!$I$453:$I$3404,data!$B$453:$B$3404,A130,data!$L$453:$L$3404,N130)</f>
        <v>11.107936507936508</v>
      </c>
      <c r="N130" s="68" t="s">
        <v>30</v>
      </c>
      <c r="O130" s="8"/>
      <c r="P130" s="8"/>
      <c r="Q130" s="8"/>
      <c r="R130" s="8"/>
      <c r="S130" s="8"/>
      <c r="U130" s="8"/>
    </row>
    <row r="131" spans="1:21" ht="12.75" customHeight="1" x14ac:dyDescent="0.2">
      <c r="A131" s="99">
        <v>2004</v>
      </c>
      <c r="B131" s="49" t="s">
        <v>20</v>
      </c>
      <c r="C131" s="49" t="s">
        <v>30</v>
      </c>
      <c r="D131" s="73">
        <f>AVERAGEIFS(data!$G$236:$G$3404,data!$B$236:$B$3404,A131,data!$L$236:$L$3404,C131,data!$K$236:$K$3404,B131)</f>
        <v>137.92063492063491</v>
      </c>
      <c r="E131" s="73">
        <f t="array" ref="E131">STDEV(IF(data!$B$2:$B$3404=2004,IF(data!$G$2:$G$3404&lt;&gt;"",IF(data!$K$2:$K$3404="female",IF(data!$L$2:$L$3404="gravid",data!$G$2:$G$3404)))))</f>
        <v>12.230714361145148</v>
      </c>
      <c r="F131" s="73">
        <f>AVERAGEIFS(data!$I$236:$I$3404,data!$L$236:$L$3404,C131,data!$B$236:$B$3404,A131,data!$K$236:$K$3404,B131)</f>
        <v>11.107936507936508</v>
      </c>
      <c r="G131" s="73">
        <f t="array" ref="G131">STDEV(IF(data!$B$2:$B$3404=2004,IF(data!$I$2:$I$3404&lt;&gt;"",IF(data!$K$2:$K$3404="female",IF(data!$L$2:$L$3404="gravid",data!$I$2:$I$3404)))))</f>
        <v>2.6240390921619374</v>
      </c>
      <c r="H131" s="74">
        <f>COUNTIFS(data!$B$236:$B$3404,A131,data!$L$236:$L$3404,C131,data!$K$236:$K$3404,B131,data!$N$236:$N$3404,"headless")</f>
        <v>28</v>
      </c>
      <c r="I131" s="75">
        <f>AVERAGEIFS(data!$G$236:$G$3404,data!$B$236:$B$3404,A131,data!$L$236:$L$3404,C131,data!$K$236:$K$3404,B131,data!$N$236:$N$3404,"&lt;&gt;headless")</f>
        <v>140.42857142857142</v>
      </c>
      <c r="J131" s="204">
        <f t="array" ref="J131">STDEV(IF(data!$B$2:$B$3404=2004,IF(data!$G$2:$G$3404&lt;&gt;"",IF(data!$K$2:$K$3404="female",IF(data!$L$2:$L$3404="gravid",IF(data!$N$2:$N$3404&lt;&gt;"headless",data!$G$2:$G$3404))))))</f>
        <v>10.850008713159186</v>
      </c>
      <c r="K131" s="76">
        <f>AVERAGEIFS(data!$I$236:$I$3404,data!$B$236:$B$3404,A131,data!$L$236:$L$3404,C131,data!$K$236:$K$3404,B131,data!$N$236:$N$3404,"&lt;&gt;headless")</f>
        <v>11.874285714285714</v>
      </c>
      <c r="L131" s="73">
        <f t="array" ref="L131">STDEV(IF(data!$B$2:$B$3404=2004,IF(data!$I$2:$I$3404&lt;&gt;"",IF(data!$K$2:$K$3404="female",IF(data!$L$2:$L$3404="gravid",IF(data!$N$2:$N$3404&lt;&gt;"headless",data!$I$2:$I$3404))))))</f>
        <v>2.636769732428061</v>
      </c>
      <c r="M131" s="68"/>
      <c r="N131" s="68"/>
      <c r="O131" s="8"/>
      <c r="P131" s="8"/>
      <c r="Q131" s="8"/>
      <c r="R131" s="8"/>
      <c r="S131" s="8"/>
      <c r="U131" s="8"/>
    </row>
    <row r="132" spans="1:21" ht="12.75" customHeight="1" x14ac:dyDescent="0.2">
      <c r="A132" s="99">
        <v>2004</v>
      </c>
      <c r="B132" s="49" t="s">
        <v>20</v>
      </c>
      <c r="C132" s="49" t="s">
        <v>21</v>
      </c>
      <c r="D132" s="73">
        <f>AVERAGEIFS(data!$G$236:$G$3404,data!$B$236:$B$3404,A132,data!$L$236:$L$3404,C132,data!$K$236:$K$3404,B132)</f>
        <v>141.5</v>
      </c>
      <c r="E132" s="73">
        <f t="array" ref="E132">STDEV(IF(data!$B$2:$B$3404=2004,IF(data!$G$2:$G$3404&lt;&gt;"",IF(data!$K$2:$K$3404="female",IF(data!$L$2:$L$3404="spent",data!$G$2:$G$3404)))))</f>
        <v>10.547061502101613</v>
      </c>
      <c r="F132" s="73">
        <f>AVERAGEIFS(data!$I$236:$I$3404,data!$L$236:$L$3404,C132,data!$B$236:$B$3404,A132,data!$K$236:$K$3404,B132)</f>
        <v>11.834999999999999</v>
      </c>
      <c r="G132" s="201">
        <f t="array" ref="G132">STDEV(IF(data!$B$2:$B$3404=2004,IF(data!$I$2:$I$3404&lt;&gt;"",IF(data!$K$2:$K$3404="female",IF(data!$L$2:$L$3404="spent",data!$I$2:$I$3404)))))</f>
        <v>2.9205123531776565</v>
      </c>
      <c r="H132" s="74">
        <f>COUNTIFS(data!$B$236:$B$3404,A132,data!$L$236:$L$3404,C132,data!$K$236:$K$3404,B132,data!$N$236:$N$3404,"headless")</f>
        <v>29</v>
      </c>
      <c r="I132" s="75">
        <f>AVERAGEIFS(data!$G$236:$G$3404,data!$B$236:$B$3404,A132,data!$L$236:$L$3404,C132,data!$K$236:$K$3404,B132,data!$N$236:$N$3404,"&lt;&gt;headless")</f>
        <v>143.58823529411765</v>
      </c>
      <c r="J132" s="201">
        <f t="array" ref="J132">STDEV(IF(data!$B$2:$B$3404=2004,IF(data!$G$2:$G$3404&lt;&gt;"",IF(data!$K$2:$K$3404="female",IF(data!$L$2:$L$3404="spent",IF(data!$N$2:$N$3404&lt;&gt;"headless",data!$G$2:$G$3404))))))</f>
        <v>10.798474837843047</v>
      </c>
      <c r="K132" s="76">
        <f>AVERAGEIFS(data!$I$236:$I$3404,data!$B$236:$B$3404,A132,data!$L$236:$L$3404,C132,data!$K$236:$K$3404,B132,data!$N$236:$N$3404,"&lt;&gt;headless")</f>
        <v>12.558823529411766</v>
      </c>
      <c r="L132" s="73">
        <f t="array" ref="L132">STDEV(IF(data!$B$2:$B$3404=2004,IF(data!$I$2:$I$3404&lt;&gt;"",IF(data!$K$2:$K$3404="female",IF(data!$L$2:$L$3404="spent",IF(data!$N$2:$N$3404&lt;&gt;"headless",data!$I$2:$I$3404))))))</f>
        <v>2.9062812300662206</v>
      </c>
      <c r="M132" s="68"/>
      <c r="N132" s="68"/>
      <c r="O132" s="8"/>
      <c r="P132" s="8"/>
      <c r="Q132" s="8"/>
      <c r="R132" s="8"/>
      <c r="S132" s="8"/>
      <c r="U132" s="8"/>
    </row>
    <row r="133" spans="1:21" ht="12.75" customHeight="1" x14ac:dyDescent="0.2">
      <c r="A133" s="96">
        <v>2003</v>
      </c>
      <c r="B133" s="97" t="s">
        <v>20</v>
      </c>
      <c r="C133" s="66" t="s">
        <v>272</v>
      </c>
      <c r="D133" s="68">
        <f>AVERAGEIFS(data!$G$453:$G$3404,data!$B$453:$B$3404,A133,data!$K$453:$K$3404,B133)</f>
        <v>138.89855072463769</v>
      </c>
      <c r="E133" s="214">
        <f t="array" ref="E133">STDEV(IF(data!$B$2:$B$3404=2003,IF(data!$G$2:$G$3404&lt;&gt;"",IF(data!$K$2:$K$3404="female",data!$G$2:$G$3404))))</f>
        <v>11.667129451301149</v>
      </c>
      <c r="F133" s="68">
        <f>AVERAGEIFS(data!$I$453:$I$3404,data!$B$453:$B$3404,A133,data!$K$453:$K$3404,B133)</f>
        <v>12.998550724637681</v>
      </c>
      <c r="G133" s="214">
        <f t="array" ref="G133">STDEV(IF(data!$B$2:$B$3404=2003,IF(data!$I$2:$I$3404&lt;&gt;"",IF(data!$K$2:$K$3404="female",data!$I$2:$I$3404))))</f>
        <v>3.2483250323469046</v>
      </c>
      <c r="H133" s="97">
        <f>COUNTIFS(data!$B$453:$B$3404,A133,data!$K$453:$K$3404,B133,data!$N$453:$N$3404,"headless")</f>
        <v>1</v>
      </c>
      <c r="I133" s="82">
        <f>AVERAGEIFS(data!$G$236:$G$3404,data!$B$236:$B$3404,A133,data!$K$236:$K$3404,B133,data!$N$236:$N$3404,"&lt;&gt;headless")</f>
        <v>138.89855072463769</v>
      </c>
      <c r="J133" s="214">
        <f t="array" ref="J133">STDEV(IF(data!$B$2:$B$3404=2003,IF(data!$G$2:$G$3404&lt;&gt;"",IF(data!$K$2:$K$3404="female",IF(data!$N$2:$N$3404&lt;&gt;"headless",data!$G$2:$G$3404)))))</f>
        <v>11.667129451301149</v>
      </c>
      <c r="K133" s="83">
        <f>AVERAGEIFS(data!$I$236:$I$3404,data!$B$236:$B$3404,A133,data!$K$236:$K$3404,B133,data!$N$236:$N$3404,"&lt;&gt;headless")</f>
        <v>12.983823529411765</v>
      </c>
      <c r="L133" s="214">
        <f t="array" ref="L133">STDEV(IF(data!$B$2:$B$3404=2003,IF(data!$I$2:$I$3404&lt;&gt;"",IF(data!$K$2:$K$3404="female",IF(data!$N$2:$N$3404&lt;&gt;"headless",data!$I$2:$I$3404)))))</f>
        <v>3.2701549689016498</v>
      </c>
      <c r="M133" s="68">
        <f>AVERAGEIFS(data!$I$453:$I$3404,data!$B$453:$B$3404,A133,data!$L$453:$L$3404,N133)</f>
        <v>13.542857142857143</v>
      </c>
      <c r="N133" s="68" t="s">
        <v>30</v>
      </c>
      <c r="O133" s="8"/>
      <c r="P133" s="51"/>
      <c r="Q133" s="51"/>
      <c r="R133" s="51"/>
      <c r="S133" s="8"/>
      <c r="U133" s="8"/>
    </row>
    <row r="134" spans="1:21" ht="12.75" customHeight="1" x14ac:dyDescent="0.2">
      <c r="A134" s="98">
        <v>2003</v>
      </c>
      <c r="B134" s="8" t="s">
        <v>34</v>
      </c>
      <c r="C134" s="8"/>
      <c r="D134" s="51">
        <f>AVERAGEIFS(data!$G$453:$G$3404,data!$B$453:$B$3404,A134,data!$K$453:$K$3404,B134)</f>
        <v>163.4</v>
      </c>
      <c r="E134" s="204">
        <f t="array" ref="E134">STDEV(IF(data!$B$2:$B$3404=2003,IF(data!$G$2:$G$3404&lt;&gt;"",IF(data!$K$2:$K$3404="male",data!$G$2:$G$3404))))</f>
        <v>16.195678435928517</v>
      </c>
      <c r="F134" s="51">
        <f>AVERAGEIFS(data!$I$453:$I$3404,data!$B$453:$B$3404,A134,data!$K$453:$K$3404,B134)</f>
        <v>18.633333333333333</v>
      </c>
      <c r="G134" s="204">
        <f t="array" ref="G134">STDEV(IF(data!$B$2:$B$3404=2003,IF(data!$I$2:$I$3404&lt;&gt;"",IF(data!$K$2:$K$3404="male",data!$I$2:$I$3404))))</f>
        <v>3.6642416223096879</v>
      </c>
      <c r="H134" s="8">
        <f>COUNTIFS(data!$B$453:$B$3404,A134,data!$K$453:$K$3404,B134,data!$N$453:$N$3404,"headless")</f>
        <v>1</v>
      </c>
      <c r="I134" s="75">
        <f>AVERAGEIFS(data!$G$236:$G$3404,data!$B$236:$B$3404,A134,data!$K$236:$K$3404,B134,data!$N$236:$N$3404,"&lt;&gt;headless")</f>
        <v>163.4</v>
      </c>
      <c r="J134" s="204">
        <f t="array" ref="J134">STDEV(IF(data!$B$2:$B$3404=2003,IF(data!$G$2:$G$3404&lt;&gt;"",IF(data!$K$2:$K$3404="male",IF(data!$N$2:$N$3404&lt;&gt;"headless",data!$G$2:$G$3404)))))</f>
        <v>16.195678435928517</v>
      </c>
      <c r="K134" s="76">
        <f>AVERAGEIFS(data!$I$236:$I$3404,data!$B$236:$B$3404,A134,data!$K$236:$K$3404,B134,data!$N$236:$N$3404,"&lt;&gt;headless")</f>
        <v>19.36</v>
      </c>
      <c r="L134" s="227">
        <f t="array" ref="L134">STDEV(IF(data!$B$2:$B$3404=2003,IF(data!$I$2:$I$3404&lt;&gt;"",IF(data!$K$2:$K$3404="male",IF(data!$N$2:$N$3404&lt;&gt;"headless",data!$I$2:$I$3404)))))</f>
        <v>3.5809216690679002</v>
      </c>
      <c r="M134" s="68">
        <f>AVERAGEIFS(data!$I$453:$I$3404,data!$B$453:$B$3404,A134,data!$L$453:$L$3404,N134)</f>
        <v>13.542857142857143</v>
      </c>
      <c r="N134" s="68" t="s">
        <v>30</v>
      </c>
      <c r="O134" s="8"/>
      <c r="P134" s="51"/>
      <c r="Q134" s="51"/>
      <c r="R134" s="51"/>
      <c r="S134" s="8"/>
      <c r="U134" s="8"/>
    </row>
    <row r="135" spans="1:21" ht="12.75" customHeight="1" x14ac:dyDescent="0.2">
      <c r="A135" s="98">
        <v>2003</v>
      </c>
      <c r="B135" s="8" t="s">
        <v>41</v>
      </c>
      <c r="C135" s="8"/>
      <c r="D135" s="51"/>
      <c r="E135" s="118"/>
      <c r="F135" s="51"/>
      <c r="G135" s="118"/>
      <c r="H135" s="8">
        <f>COUNTIFS(data!$B$453:$B$3404,A135,data!$K$453:$K$3404,B135,data!$N$453:$N$3404,"headless")</f>
        <v>0</v>
      </c>
      <c r="I135" s="84"/>
      <c r="J135" s="200"/>
      <c r="K135" s="76"/>
      <c r="L135" s="204"/>
      <c r="M135" s="68">
        <f>AVERAGEIFS(data!$I$453:$I$3404,data!$B$453:$B$3404,A135,data!$L$453:$L$3404,N135)</f>
        <v>13.542857142857143</v>
      </c>
      <c r="N135" s="68" t="s">
        <v>30</v>
      </c>
      <c r="O135" s="8"/>
      <c r="P135" s="51"/>
      <c r="Q135" s="51"/>
      <c r="R135" s="51"/>
      <c r="S135" s="8"/>
      <c r="U135" s="8"/>
    </row>
    <row r="136" spans="1:21" ht="12.75" customHeight="1" x14ac:dyDescent="0.2">
      <c r="A136" s="99">
        <v>2003</v>
      </c>
      <c r="B136" s="49" t="s">
        <v>20</v>
      </c>
      <c r="C136" s="49" t="s">
        <v>30</v>
      </c>
      <c r="D136" s="73">
        <f>AVERAGEIFS(data!$G$236:$G$3404,data!$B$236:$B$3404,A136,data!$L$236:$L$3404,C136,data!$K$236:$K$3404,B136)</f>
        <v>137.85454545454544</v>
      </c>
      <c r="E136" s="73">
        <f t="array" ref="E136">STDEV(IF(data!$B$2:$B$3404=2003,IF(data!$G$2:$G$3404&lt;&gt;"",IF(data!$K$2:$K$3404="female",IF(data!$L$2:$L$3404="gravid",data!$G$2:$G$3404)))))</f>
        <v>12.263191207261615</v>
      </c>
      <c r="F136" s="73">
        <f>AVERAGEIFS(data!$I$236:$I$3404,data!$L$236:$L$3404,C136,data!$B$236:$B$3404,A136,data!$K$236:$K$3404,B136)</f>
        <v>13.542857142857143</v>
      </c>
      <c r="G136" s="73">
        <f t="array" ref="G136">STDEV(IF(data!$B$2:$B$3404=2003,IF(data!$I$2:$I$3404&lt;&gt;"",IF(data!$K$2:$K$3404="female",IF(data!$L$2:$L$3404="gravid",data!$I$2:$I$3404)))))</f>
        <v>3.2312596554654958</v>
      </c>
      <c r="H136" s="74">
        <f>COUNTIFS(data!$B$236:$B$3404,A136,data!$L$236:$L$3404,C136,data!$K$236:$K$3404,B136,data!$N$236:$N$3404,"headless")</f>
        <v>1</v>
      </c>
      <c r="I136" s="75">
        <f>AVERAGEIFS(data!$G$236:$G$3404,data!$B$236:$B$3404,A136,data!$L$236:$L$3404,C136,data!$K$236:$K$3404,B136,data!$N$236:$N$3404,"&lt;&gt;headless")</f>
        <v>137.85454545454544</v>
      </c>
      <c r="J136" s="204">
        <f t="array" ref="J136">STDEV(IF(data!$B$2:$B$3404=2003,IF(data!$G$2:$G$3404&lt;&gt;"",IF(data!$K$2:$K$3404="female",IF(data!$L$2:$L$3404="gravid",IF(data!$N$2:$N$3404&lt;&gt;"headless",data!$G$2:$G$3404))))))</f>
        <v>12.263191207261615</v>
      </c>
      <c r="K136" s="76">
        <f>AVERAGEIFS(data!$I$236:$I$3404,data!$B$236:$B$3404,A136,data!$L$236:$L$3404,C136,data!$K$236:$K$3404,B136,data!$N$236:$N$3404,"&lt;&gt;headless")</f>
        <v>13.534545454545453</v>
      </c>
      <c r="L136" s="73">
        <f t="array" ref="L136">STDEV(IF(data!$B$2:$B$3404=2003,IF(data!$I$2:$I$3404&lt;&gt;"",IF(data!$K$2:$K$3404="female",IF(data!$L$2:$L$3404="gravid",IF(data!$N$2:$N$3404&lt;&gt;"headless",data!$I$2:$I$3404))))))</f>
        <v>3.2604372679828044</v>
      </c>
      <c r="M136" s="68"/>
      <c r="N136" s="68"/>
      <c r="O136" s="8"/>
      <c r="P136" s="51"/>
      <c r="Q136" s="51"/>
      <c r="R136" s="51"/>
      <c r="S136" s="8"/>
      <c r="U136" s="8"/>
    </row>
    <row r="137" spans="1:21" ht="12.75" customHeight="1" x14ac:dyDescent="0.2">
      <c r="A137" s="99">
        <v>2003</v>
      </c>
      <c r="B137" s="49" t="s">
        <v>20</v>
      </c>
      <c r="C137" s="49" t="s">
        <v>21</v>
      </c>
      <c r="D137" s="73">
        <f>AVERAGEIFS(data!$G$236:$G$3404,data!$B$236:$B$3404,A137,data!$L$236:$L$3404,C137,data!$K$236:$K$3404,B137)</f>
        <v>143</v>
      </c>
      <c r="E137" s="73">
        <f t="array" ref="E137">STDEV(IF(data!$B$2:$B$3404=2003,IF(data!$G$2:$G$3404&lt;&gt;"",IF(data!$K$2:$K$3404="female",IF(data!$L$2:$L$3404="spent",data!$G$2:$G$3404)))))</f>
        <v>8.0383695246850042</v>
      </c>
      <c r="F137" s="73">
        <f>AVERAGEIFS(data!$I$236:$I$3404,data!$L$236:$L$3404,C137,data!$B$236:$B$3404,A137,data!$K$236:$K$3404,B137)</f>
        <v>10.653846153846153</v>
      </c>
      <c r="G137" s="201">
        <f t="array" ref="G137">STDEV(IF(data!$B$2:$B$3404=2003,IF(data!$I$2:$I$3404&lt;&gt;"",IF(data!$K$2:$K$3404="female",IF(data!$L$2:$L$3404="spent",data!$I$2:$I$3404)))))</f>
        <v>2.1446116138730034</v>
      </c>
      <c r="H137" s="74">
        <f>COUNTIFS(data!$B$236:$B$3404,A137,data!$L$236:$L$3404,C137,data!$K$236:$K$3404,B137,data!$N$236:$N$3404,"headless")</f>
        <v>0</v>
      </c>
      <c r="I137" s="75">
        <f>AVERAGEIFS(data!$G$236:$G$3404,data!$B$236:$B$3404,A137,data!$L$236:$L$3404,C137,data!$K$236:$K$3404,B137,data!$N$236:$N$3404,"&lt;&gt;headless")</f>
        <v>143</v>
      </c>
      <c r="J137" s="201">
        <f t="array" ref="J137">STDEV(IF(data!$B$2:$B$3404=2003,IF(data!$G$2:$G$3404&lt;&gt;"",IF(data!$K$2:$K$3404="female",IF(data!$L$2:$L$3404="spent",IF(data!$N$2:$N$3404&lt;&gt;"headless",data!$G$2:$G$3404))))))</f>
        <v>8.0383695246850042</v>
      </c>
      <c r="K137" s="76">
        <f>AVERAGEIFS(data!$I$236:$I$3404,data!$B$236:$B$3404,A137,data!$L$236:$L$3404,C137,data!$K$236:$K$3404,B137,data!$N$236:$N$3404,"&lt;&gt;headless")</f>
        <v>10.653846153846153</v>
      </c>
      <c r="L137" s="73">
        <f t="array" ref="L137">STDEV(IF(data!$B$2:$B$3404=2003,IF(data!$I$2:$I$3404&lt;&gt;"",IF(data!$K$2:$K$3404="female",IF(data!$L$2:$L$3404="spent",IF(data!$N$2:$N$3404&lt;&gt;"headless",data!$I$2:$I$3404))))))</f>
        <v>2.1446116138730034</v>
      </c>
      <c r="M137" s="68"/>
      <c r="N137" s="68"/>
      <c r="O137" s="8"/>
      <c r="P137" s="51"/>
      <c r="Q137" s="51"/>
      <c r="R137" s="51"/>
      <c r="S137" s="8"/>
      <c r="U137" s="8"/>
    </row>
    <row r="138" spans="1:21" ht="12.75" customHeight="1" x14ac:dyDescent="0.2">
      <c r="A138" s="96">
        <v>2002</v>
      </c>
      <c r="B138" s="97" t="s">
        <v>20</v>
      </c>
      <c r="C138" s="66" t="s">
        <v>272</v>
      </c>
      <c r="D138" s="68">
        <f>AVERAGEIFS(data!$G$453:$G$3404,data!$B$453:$B$3404,A138,data!$K$453:$K$3404,B138)</f>
        <v>141.51028806584361</v>
      </c>
      <c r="E138" s="214">
        <f t="array" ref="E138">STDEV(IF(data!$B$2:$B$3404=2002,IF(data!$G$2:$G$3404&lt;&gt;"",IF(data!$K$2:$K$3404="female",data!$G$2:$G$3404))))</f>
        <v>12.236431899011835</v>
      </c>
      <c r="F138" s="68">
        <f>AVERAGEIFS(data!$I$453:$I$3404,data!$B$453:$B$3404,A138,data!$K$453:$K$3404,B138)</f>
        <v>12.021400778210117</v>
      </c>
      <c r="G138" s="214">
        <f t="array" ref="G138">STDEV(IF(data!$B$2:$B$3404=2002,IF(data!$I$2:$I$3404&lt;&gt;"",IF(data!$K$2:$K$3404="female",data!$I$2:$I$3404))))</f>
        <v>3.423341464148097</v>
      </c>
      <c r="H138" s="97">
        <f>COUNTIFS(data!$B$453:$B$3404,A138,data!$K$453:$K$3404,B138,data!$N$453:$N$3404,"headless")</f>
        <v>76</v>
      </c>
      <c r="I138" s="82">
        <f>AVERAGEIFS(data!$G$236:$G$3404,data!$B$236:$B$3404,A138,data!$K$236:$K$3404,B138,data!$N$236:$N$3404,"&lt;&gt;headless")</f>
        <v>142.82558139534885</v>
      </c>
      <c r="J138" s="214">
        <f t="array" ref="J138">STDEV(IF(data!$B$2:$B$3404=2002,IF(data!$G$2:$G$3404&lt;&gt;"",IF(data!$K$2:$K$3404="female",IF(data!$N$2:$N$3404&lt;&gt;"headless",data!$G$2:$G$3404)))))</f>
        <v>12.646976256478565</v>
      </c>
      <c r="K138" s="83">
        <f>AVERAGEIFS(data!$I$236:$I$3404,data!$B$236:$B$3404,A138,data!$K$236:$K$3404,B138,data!$N$236:$N$3404,"&lt;&gt;headless")</f>
        <v>12.23076923076923</v>
      </c>
      <c r="L138" s="214">
        <f t="array" ref="L138">STDEV(IF(data!$B$2:$B$3404=2002,IF(data!$I$2:$I$3404&lt;&gt;"",IF(data!$K$2:$K$3404="female",IF(data!$N$2:$N$3404&lt;&gt;"headless",data!$I$2:$I$3404)))))</f>
        <v>3.5757838782903799</v>
      </c>
      <c r="M138" s="68">
        <f>AVERAGEIFS(data!$I$453:$I$3404,data!$B$453:$B$3404,A138,data!$L$453:$L$3404,N138)</f>
        <v>12.489864864864865</v>
      </c>
      <c r="N138" s="68" t="s">
        <v>30</v>
      </c>
      <c r="O138" s="8"/>
      <c r="P138" s="51"/>
      <c r="Q138" s="51"/>
      <c r="R138" s="51"/>
      <c r="S138" s="8"/>
      <c r="U138" s="8"/>
    </row>
    <row r="139" spans="1:21" ht="12.75" customHeight="1" x14ac:dyDescent="0.2">
      <c r="A139" s="98">
        <v>2002</v>
      </c>
      <c r="B139" s="8" t="s">
        <v>34</v>
      </c>
      <c r="C139" s="8"/>
      <c r="D139" s="51">
        <f>AVERAGEIFS(data!$G$453:$G$3404,data!$B$453:$B$3404,A139,data!$K$453:$K$3404,B139)</f>
        <v>151.75</v>
      </c>
      <c r="E139" s="204">
        <f t="array" ref="E139">STDEV(IF(data!$B$2:$B$3404=2002,IF(data!$G$2:$G$3404&lt;&gt;"",IF(data!$K$2:$K$3404="male",data!$G$2:$G$3404))))</f>
        <v>10.23648935356816</v>
      </c>
      <c r="F139" s="51">
        <f>AVERAGEIFS(data!$I$453:$I$3404,data!$B$453:$B$3404,A139,data!$K$453:$K$3404,B139)</f>
        <v>17.777777777777779</v>
      </c>
      <c r="G139" s="204">
        <f t="array" ref="G139">STDEV(IF(data!$B$2:$B$3404=2002,IF(data!$I$2:$I$3404&lt;&gt;"",IF(data!$K$2:$K$3404="male",data!$I$2:$I$3404))))</f>
        <v>3.8738797663898215</v>
      </c>
      <c r="H139" s="8">
        <f>COUNTIFS(data!$B$453:$B$3404,A139,data!$K$453:$K$3404,B139,data!$N$453:$N$3404,"headless")</f>
        <v>1</v>
      </c>
      <c r="I139" s="75">
        <f>AVERAGEIFS(data!$G$236:$G$3404,data!$B$236:$B$3404,A139,data!$K$236:$K$3404,B139,data!$N$236:$N$3404,"&lt;&gt;headless")</f>
        <v>151.75</v>
      </c>
      <c r="J139" s="204">
        <f t="array" ref="J139">STDEV(IF(data!$B$2:$B$3404=2002,IF(data!$G$2:$G$3404&lt;&gt;"",IF(data!$K$2:$K$3404="male",IF(data!$N$2:$N$3404&lt;&gt;"headless",data!$G$2:$G$3404)))))</f>
        <v>10.23648935356816</v>
      </c>
      <c r="K139" s="76">
        <f>AVERAGEIFS(data!$I$236:$I$3404,data!$B$236:$B$3404,A139,data!$K$236:$K$3404,B139,data!$N$236:$N$3404,"&lt;&gt;headless")</f>
        <v>17.9375</v>
      </c>
      <c r="L139" s="227">
        <f t="array" ref="L139">STDEV(IF(data!$B$2:$B$3404=2002,IF(data!$I$2:$I$3404&lt;&gt;"",IF(data!$K$2:$K$3404="male",IF(data!$N$2:$N$3404&lt;&gt;"headless",data!$I$2:$I$3404)))))</f>
        <v>4.109548984638443</v>
      </c>
      <c r="M139" s="68">
        <f>AVERAGEIFS(data!$I$453:$I$3404,data!$B$453:$B$3404,A139,data!$L$453:$L$3404,N139)</f>
        <v>12.489864864864865</v>
      </c>
      <c r="N139" s="68" t="s">
        <v>30</v>
      </c>
      <c r="O139" s="8"/>
      <c r="P139" s="51"/>
      <c r="Q139" s="51"/>
      <c r="R139" s="51"/>
      <c r="S139" s="8"/>
      <c r="U139" s="8"/>
    </row>
    <row r="140" spans="1:21" ht="12.75" customHeight="1" x14ac:dyDescent="0.2">
      <c r="A140" s="98">
        <v>2002</v>
      </c>
      <c r="B140" s="8" t="s">
        <v>41</v>
      </c>
      <c r="C140" s="8"/>
      <c r="D140" s="51"/>
      <c r="E140" s="118"/>
      <c r="F140" s="51"/>
      <c r="G140" s="118"/>
      <c r="H140" s="8">
        <f>COUNTIFS(data!$B$453:$B$3404,A140,data!$K$453:$K$3404,B140,data!$N$453:$N$3404,"headless")</f>
        <v>0</v>
      </c>
      <c r="I140" s="84"/>
      <c r="J140" s="200"/>
      <c r="K140" s="76"/>
      <c r="L140" s="204"/>
      <c r="M140" s="68">
        <f>AVERAGEIFS(data!$I$453:$I$3404,data!$B$453:$B$3404,A140,data!$L$453:$L$3404,N140)</f>
        <v>12.489864864864865</v>
      </c>
      <c r="N140" s="68" t="s">
        <v>30</v>
      </c>
      <c r="O140" s="8"/>
      <c r="P140" s="51"/>
      <c r="Q140" s="51"/>
      <c r="R140" s="51"/>
      <c r="S140" s="8"/>
      <c r="U140" s="8"/>
    </row>
    <row r="141" spans="1:21" ht="12.75" customHeight="1" x14ac:dyDescent="0.2">
      <c r="A141" s="99">
        <v>2002</v>
      </c>
      <c r="B141" s="49" t="s">
        <v>20</v>
      </c>
      <c r="C141" s="49" t="s">
        <v>30</v>
      </c>
      <c r="D141" s="73">
        <f>AVERAGEIFS(data!$G$236:$G$3404,data!$B$236:$B$3404,A141,data!$L$236:$L$3404,C141,data!$K$236:$K$3404,B141)</f>
        <v>138</v>
      </c>
      <c r="E141" s="73">
        <f t="array" ref="E141">STDEV(IF(data!$B$2:$B$3404=2002,IF(data!$G$2:$G$3404&lt;&gt;"",IF(data!$K$2:$K$3404="female",IF(data!$L$2:$L$3404="gravid",data!$G$2:$G$3404)))))</f>
        <v>10.546232577690187</v>
      </c>
      <c r="F141" s="73">
        <f>AVERAGEIFS(data!$I$236:$I$3404,data!$L$236:$L$3404,C141,data!$B$236:$B$3404,A141,data!$K$236:$K$3404,B141)</f>
        <v>12.489864864864865</v>
      </c>
      <c r="G141" s="73">
        <f t="array" ref="G141">STDEV(IF(data!$B$2:$B$3404=2002,IF(data!$I$2:$I$3404&lt;&gt;"",IF(data!$K$2:$K$3404="female",IF(data!$L$2:$L$3404="gravid",data!$I$2:$I$3404)))))</f>
        <v>3.2390420156109698</v>
      </c>
      <c r="H141" s="74">
        <f>COUNTIFS(data!$B$236:$B$3404,A141,data!$L$236:$L$3404,C141,data!$K$236:$K$3404,B141,data!$N$236:$N$3404,"headless")</f>
        <v>48</v>
      </c>
      <c r="I141" s="75">
        <f>AVERAGEIFS(data!$G$236:$G$3404,data!$B$236:$B$3404,A141,data!$L$236:$L$3404,C141,data!$K$236:$K$3404,B141,data!$N$236:$N$3404,"&lt;&gt;headless")</f>
        <v>138.69148936170214</v>
      </c>
      <c r="J141" s="204">
        <f t="array" ref="J141">STDEV(IF(data!$B$2:$B$3404=2002,IF(data!$G$2:$G$3404&lt;&gt;"",IF(data!$K$2:$K$3404="female",IF(data!$L$2:$L$3404="gravid",IF(data!$N$2:$N$3404&lt;&gt;"headless",data!$G$2:$G$3404))))))</f>
        <v>10.89246222127124</v>
      </c>
      <c r="K141" s="76">
        <f>AVERAGEIFS(data!$I$236:$I$3404,data!$B$236:$B$3404,A141,data!$L$236:$L$3404,C141,data!$K$236:$K$3404,B141,data!$N$236:$N$3404,"&lt;&gt;headless")</f>
        <v>12.625</v>
      </c>
      <c r="L141" s="73">
        <f t="array" ref="L141">STDEV(IF(data!$B$2:$B$3404=2002,IF(data!$I$2:$I$3404&lt;&gt;"",IF(data!$K$2:$K$3404="female",IF(data!$L$2:$L$3404="gravid",IF(data!$N$2:$N$3404&lt;&gt;"headless",data!$I$2:$I$3404))))))</f>
        <v>3.3973957643757049</v>
      </c>
      <c r="M141" s="68"/>
      <c r="N141" s="68"/>
      <c r="O141" s="8"/>
      <c r="P141" s="51"/>
      <c r="Q141" s="51"/>
      <c r="R141" s="51"/>
      <c r="S141" s="8"/>
      <c r="U141" s="8"/>
    </row>
    <row r="142" spans="1:21" ht="12.75" customHeight="1" x14ac:dyDescent="0.2">
      <c r="A142" s="99">
        <v>2002</v>
      </c>
      <c r="B142" s="49" t="s">
        <v>20</v>
      </c>
      <c r="C142" s="49" t="s">
        <v>21</v>
      </c>
      <c r="D142" s="73">
        <f>AVERAGEIFS(data!$G$236:$G$3404,data!$B$236:$B$3404,A142,data!$L$236:$L$3404,C142,data!$K$236:$K$3404,B142)</f>
        <v>146.98989898989899</v>
      </c>
      <c r="E142" s="73">
        <f t="array" ref="E142">STDEV(IF(data!$B$2:$B$3404=2002,IF(data!$G$2:$G$3404&lt;&gt;"",IF(data!$K$2:$K$3404="female",IF(data!$L$2:$L$3404="spent",data!$G$2:$G$3404)))))</f>
        <v>12.268671692230324</v>
      </c>
      <c r="F142" s="73">
        <f>AVERAGEIFS(data!$I$236:$I$3404,data!$L$236:$L$3404,C142,data!$B$236:$B$3404,A142,data!$K$236:$K$3404,B142)</f>
        <v>11.661764705882353</v>
      </c>
      <c r="G142" s="201">
        <f t="array" ref="G142">STDEV(IF(data!$B$2:$B$3404=2002,IF(data!$I$2:$I$3404&lt;&gt;"",IF(data!$K$2:$K$3404="female",IF(data!$L$2:$L$3404="spent",data!$I$2:$I$3404)))))</f>
        <v>3.4763427954126205</v>
      </c>
      <c r="H142" s="74">
        <f>COUNTIFS(data!$B$236:$B$3404,A142,data!$L$236:$L$3404,C142,data!$K$236:$K$3404,B142,data!$N$236:$N$3404,"headless")</f>
        <v>28</v>
      </c>
      <c r="I142" s="75">
        <f>AVERAGEIFS(data!$G$236:$G$3404,data!$B$236:$B$3404,A142,data!$L$236:$L$3404,C142,data!$K$236:$K$3404,B142,data!$N$236:$N$3404,"&lt;&gt;headless")</f>
        <v>148.83783783783784</v>
      </c>
      <c r="J142" s="201">
        <f t="array" ref="J142">STDEV(IF(data!$B$2:$B$3404=2002,IF(data!$G$2:$G$3404&lt;&gt;"",IF(data!$K$2:$K$3404="female",IF(data!$L$2:$L$3404="spent",IF(data!$N$2:$N$3404&lt;&gt;"headless",data!$G$2:$G$3404))))))</f>
        <v>12.031951784900286</v>
      </c>
      <c r="K142" s="76">
        <f>AVERAGEIFS(data!$I$236:$I$3404,data!$B$236:$B$3404,A142,data!$L$236:$L$3404,C142,data!$K$236:$K$3404,B142,data!$N$236:$N$3404,"&lt;&gt;headless")</f>
        <v>12.16</v>
      </c>
      <c r="L142" s="73">
        <f t="array" ref="L142">STDEV(IF(data!$B$2:$B$3404=2002,IF(data!$I$2:$I$3404&lt;&gt;"",IF(data!$K$2:$K$3404="female",IF(data!$L$2:$L$3404="spent",IF(data!$N$2:$N$3404&lt;&gt;"headless",data!$I$2:$I$3404))))))</f>
        <v>3.5831437201037466</v>
      </c>
      <c r="M142" s="68"/>
      <c r="N142" s="68"/>
      <c r="O142" s="8"/>
      <c r="P142" s="51"/>
      <c r="Q142" s="51"/>
      <c r="R142" s="51"/>
      <c r="S142" s="8"/>
      <c r="U142" s="8"/>
    </row>
    <row r="143" spans="1:21" ht="12.75" customHeight="1" x14ac:dyDescent="0.2">
      <c r="A143" s="96">
        <v>2001</v>
      </c>
      <c r="B143" s="97" t="s">
        <v>20</v>
      </c>
      <c r="C143" s="66" t="s">
        <v>272</v>
      </c>
      <c r="D143" s="68">
        <f>AVERAGEIFS(data!$G$453:$G$3404,data!$B$453:$B$3404,A143,data!$K$453:$K$3404,B143)</f>
        <v>147.2882882882883</v>
      </c>
      <c r="E143" s="214">
        <f t="array" ref="E143">STDEV(IF(data!$B$2:$B$3404=2001,IF(data!$G$2:$G$3404&lt;&gt;"",IF(data!$K$2:$K$3404="female",data!$G$2:$G$3404))))</f>
        <v>12.15235658955787</v>
      </c>
      <c r="F143" s="68">
        <f>AVERAGEIFS(data!$I$453:$I$3404,data!$B$453:$B$3404,A143,data!$K$453:$K$3404,B143)</f>
        <v>12.438181818181819</v>
      </c>
      <c r="G143" s="214">
        <f t="array" ref="G143">STDEV(IF(data!$B$2:$B$3404=2001,IF(data!$I$2:$I$3404&lt;&gt;"",IF(data!$K$2:$K$3404="female",data!$I$2:$I$3404))))</f>
        <v>3.2920527551644176</v>
      </c>
      <c r="H143" s="97">
        <f>COUNTIFS(data!$B$453:$B$3404,A143,data!$K$453:$K$3404,B143,data!$N$453:$N$3404,"headless")</f>
        <v>24</v>
      </c>
      <c r="I143" s="82">
        <f>AVERAGEIFS(data!$G$236:$G$3404,data!$B$236:$B$3404,A143,data!$K$236:$K$3404,B143,data!$N$236:$N$3404,"&lt;&gt;headless")</f>
        <v>147.94252873563218</v>
      </c>
      <c r="J143" s="214">
        <f t="array" ref="J143">STDEV(IF(data!$B$2:$B$3404=2001,IF(data!$G$2:$G$3404&lt;&gt;"",IF(data!$K$2:$K$3404="female",IF(data!$N$2:$N$3404&lt;&gt;"headless",data!$G$2:$G$3404)))))</f>
        <v>11.416385940819719</v>
      </c>
      <c r="K143" s="83">
        <f>AVERAGEIFS(data!$I$236:$I$3404,data!$B$236:$B$3404,A143,data!$K$236:$K$3404,B143,data!$N$236:$N$3404,"&lt;&gt;headless")</f>
        <v>12.726436781609197</v>
      </c>
      <c r="L143" s="214">
        <f t="array" ref="L143">STDEV(IF(data!$B$2:$B$3404=2001,IF(data!$I$2:$I$3404&lt;&gt;"",IF(data!$K$2:$K$3404="female",IF(data!$N$2:$N$3404&lt;&gt;"headless",data!$I$2:$I$3404)))))</f>
        <v>3.3480455864375478</v>
      </c>
      <c r="M143" s="68">
        <f>AVERAGEIFS(data!$I$453:$I$3404,data!$B$453:$B$3404,A143,data!$L$453:$L$3404,N143)</f>
        <v>13.652380952380952</v>
      </c>
      <c r="N143" s="68" t="s">
        <v>30</v>
      </c>
      <c r="O143" s="8"/>
      <c r="P143" s="51"/>
      <c r="Q143" s="51"/>
      <c r="R143" s="51"/>
      <c r="S143" s="8"/>
      <c r="U143" s="8"/>
    </row>
    <row r="144" spans="1:21" ht="12.75" customHeight="1" x14ac:dyDescent="0.2">
      <c r="A144" s="98">
        <v>2001</v>
      </c>
      <c r="B144" s="8" t="s">
        <v>34</v>
      </c>
      <c r="C144" s="8"/>
      <c r="D144" s="51">
        <f>AVERAGEIFS(data!$G$453:$G$3404,data!$B$453:$B$3404,A144,data!$K$453:$K$3404,B144)</f>
        <v>168</v>
      </c>
      <c r="E144" s="118" t="s">
        <v>498</v>
      </c>
      <c r="F144" s="51">
        <f>AVERAGEIFS(data!$I$453:$I$3404,data!$B$453:$B$3404,A144,data!$K$453:$K$3404,B144)</f>
        <v>19.5</v>
      </c>
      <c r="G144" s="118"/>
      <c r="H144" s="8">
        <f>COUNTIFS(data!$B$453:$B$3404,A144,data!$K$453:$K$3404,B144,data!$N$453:$N$3404,"headless")</f>
        <v>0</v>
      </c>
      <c r="I144" s="75">
        <f>AVERAGEIFS(data!$G$236:$G$3404,data!$B$236:$B$3404,A144,data!$K$236:$K$3404,B144,data!$N$236:$N$3404,"&lt;&gt;headless")</f>
        <v>168</v>
      </c>
      <c r="J144" s="204"/>
      <c r="K144" s="76">
        <f>AVERAGEIFS(data!$I$236:$I$3404,data!$B$236:$B$3404,A144,data!$K$236:$K$3404,B144,data!$N$236:$N$3404,"&lt;&gt;headless")</f>
        <v>19.5</v>
      </c>
      <c r="L144" s="204"/>
      <c r="M144" s="68">
        <f>AVERAGEIFS(data!$I$453:$I$3404,data!$B$453:$B$3404,A144,data!$L$453:$L$3404,N144)</f>
        <v>13.652380952380952</v>
      </c>
      <c r="N144" s="68" t="s">
        <v>30</v>
      </c>
      <c r="O144" s="8"/>
      <c r="P144" s="51"/>
      <c r="Q144" s="51"/>
      <c r="R144" s="51"/>
      <c r="S144" s="8"/>
      <c r="U144" s="8"/>
    </row>
    <row r="145" spans="1:21" ht="12.75" customHeight="1" x14ac:dyDescent="0.2">
      <c r="A145" s="98">
        <v>2001</v>
      </c>
      <c r="B145" s="8" t="s">
        <v>41</v>
      </c>
      <c r="C145" s="8"/>
      <c r="D145" s="51"/>
      <c r="E145" s="118"/>
      <c r="F145" s="51"/>
      <c r="G145" s="118"/>
      <c r="H145" s="8">
        <f>COUNTIFS(data!$B$453:$B$3404,A145,data!$K$453:$K$3404,B145,data!$N$453:$N$3404,"headless")</f>
        <v>0</v>
      </c>
      <c r="I145" s="84"/>
      <c r="J145" s="200"/>
      <c r="K145" s="78"/>
      <c r="L145" s="200"/>
      <c r="M145" s="68">
        <f>AVERAGEIFS(data!$I$453:$I$3404,data!$B$453:$B$3404,A145,data!$L$453:$L$3404,N145)</f>
        <v>13.652380952380952</v>
      </c>
      <c r="N145" s="68" t="s">
        <v>30</v>
      </c>
      <c r="O145" s="8"/>
      <c r="P145" s="51"/>
      <c r="Q145" s="51"/>
      <c r="R145" s="51"/>
      <c r="S145" s="8"/>
      <c r="U145" s="8"/>
    </row>
    <row r="146" spans="1:21" ht="12.75" customHeight="1" x14ac:dyDescent="0.2">
      <c r="A146" s="99">
        <v>2001</v>
      </c>
      <c r="B146" s="49" t="s">
        <v>20</v>
      </c>
      <c r="C146" s="49" t="s">
        <v>30</v>
      </c>
      <c r="D146" s="73">
        <f>AVERAGEIFS(data!$G$236:$G$3404,data!$B$236:$B$3404,A146,data!$L$236:$L$3404,C146,data!$K$236:$K$3404,B146)</f>
        <v>139.85714285714286</v>
      </c>
      <c r="E146" s="73">
        <f t="array" ref="E146">STDEV(IF(data!$B$2:$B$3404=2001,IF(data!$G$2:$G$3404&lt;&gt;"",IF(data!$K$2:$K$3404="female",IF(data!$L$2:$L$3404="gravid",data!$G$2:$G$3404)))))</f>
        <v>10.321267917681984</v>
      </c>
      <c r="F146" s="73">
        <f>AVERAGEIFS(data!$I$236:$I$3404,data!$L$236:$L$3404,C146,data!$B$236:$B$3404,A146,data!$K$236:$K$3404,B146)</f>
        <v>13.652380952380952</v>
      </c>
      <c r="G146" s="73">
        <f t="array" ref="G146">STDEV(IF(data!$B$2:$B$3404=2001,IF(data!$I$2:$I$3404&lt;&gt;"",IF(data!$K$2:$K$3404="female",IF(data!$L$2:$L$3404="gravid",data!$I$2:$I$3404)))))</f>
        <v>3.0891129871888858</v>
      </c>
      <c r="H146" s="74">
        <f>COUNTIFS(data!$B$236:$B$3404,A146,data!$L$236:$L$3404,C146,data!$K$236:$K$3404,B146,data!$N$236:$N$3404,"headless")</f>
        <v>4</v>
      </c>
      <c r="I146" s="75">
        <f>AVERAGEIFS(data!$G$236:$G$3404,data!$B$236:$B$3404,A146,data!$L$236:$L$3404,C146,data!$K$236:$K$3404,B146,data!$N$236:$N$3404,"&lt;&gt;headless")</f>
        <v>140.35294117647058</v>
      </c>
      <c r="J146" s="204">
        <f t="array" ref="J146">STDEV(IF(data!$B$2:$B$3404=2001,IF(data!$G$2:$G$3404&lt;&gt;"",IF(data!$K$2:$K$3404="female",IF(data!$L$2:$L$3404="gravid",IF(data!$N$2:$N$3404&lt;&gt;"headless",data!$G$2:$G$3404))))))</f>
        <v>10.653292780113741</v>
      </c>
      <c r="K146" s="76">
        <f>AVERAGEIFS(data!$I$236:$I$3404,data!$B$236:$B$3404,A146,data!$L$236:$L$3404,C146,data!$K$236:$K$3404,B146,data!$N$236:$N$3404,"&lt;&gt;headless")</f>
        <v>14.129411764705882</v>
      </c>
      <c r="L146" s="73">
        <f t="array" ref="L146">STDEV(IF(data!$B$2:$B$3404=2001,IF(data!$I$2:$I$3404&lt;&gt;"",IF(data!$K$2:$K$3404="female",IF(data!$L$2:$L$3404="gravid",IF(data!$N$2:$N$3404&lt;&gt;"headless",data!$I$2:$I$3404))))))</f>
        <v>3.1805590518575424</v>
      </c>
      <c r="M146" s="68"/>
      <c r="N146" s="68"/>
      <c r="O146" s="8"/>
      <c r="P146" s="51"/>
      <c r="Q146" s="51"/>
      <c r="R146" s="51"/>
      <c r="S146" s="8"/>
      <c r="U146" s="8"/>
    </row>
    <row r="147" spans="1:21" ht="12.75" customHeight="1" x14ac:dyDescent="0.2">
      <c r="A147" s="99">
        <v>2001</v>
      </c>
      <c r="B147" s="49" t="s">
        <v>20</v>
      </c>
      <c r="C147" s="49" t="s">
        <v>21</v>
      </c>
      <c r="D147" s="73">
        <f>AVERAGEIFS(data!$G$236:$G$3404,data!$B$236:$B$3404,A147,data!$L$236:$L$3404,C147,data!$K$236:$K$3404,B147)</f>
        <v>149.02222222222221</v>
      </c>
      <c r="E147" s="73">
        <f t="array" ref="E147">STDEV(IF(data!$B$2:$B$3404=2001,IF(data!$G$2:$G$3404&lt;&gt;"",IF(data!$K$2:$K$3404="female",IF(data!$L$2:$L$3404="spent",data!$G$2:$G$3404)))))</f>
        <v>11.938021383663376</v>
      </c>
      <c r="F147" s="73">
        <f>AVERAGEIFS(data!$I$236:$I$3404,data!$L$236:$L$3404,C147,data!$B$236:$B$3404,A147,data!$K$236:$K$3404,B147)</f>
        <v>12.151685393258427</v>
      </c>
      <c r="G147" s="201">
        <f t="array" ref="G147">STDEV(IF(data!$B$2:$B$3404=2001,IF(data!$I$2:$I$3404&lt;&gt;"",IF(data!$K$2:$K$3404="female",IF(data!$L$2:$L$3404="spent",data!$I$2:$I$3404)))))</f>
        <v>3.289415268552875</v>
      </c>
      <c r="H147" s="74">
        <f>COUNTIFS(data!$B$236:$B$3404,A147,data!$L$236:$L$3404,C147,data!$K$236:$K$3404,B147,data!$N$236:$N$3404,"headless")</f>
        <v>20</v>
      </c>
      <c r="I147" s="75">
        <f>AVERAGEIFS(data!$G$236:$G$3404,data!$B$236:$B$3404,A147,data!$L$236:$L$3404,C147,data!$K$236:$K$3404,B147,data!$N$236:$N$3404,"&lt;&gt;headless")</f>
        <v>149.78571428571428</v>
      </c>
      <c r="J147" s="201">
        <f t="array" ref="J147">STDEV(IF(data!$B$2:$B$3404=2001,IF(data!$G$2:$G$3404&lt;&gt;"",IF(data!$K$2:$K$3404="female",IF(data!$L$2:$L$3404="spent",IF(data!$N$2:$N$3404&lt;&gt;"headless",data!$G$2:$G$3404))))))</f>
        <v>10.885295036567738</v>
      </c>
      <c r="K147" s="76">
        <f>AVERAGEIFS(data!$I$236:$I$3404,data!$B$236:$B$3404,A147,data!$L$236:$L$3404,C147,data!$K$236:$K$3404,B147,data!$N$236:$N$3404,"&lt;&gt;headless")</f>
        <v>12.385714285714286</v>
      </c>
      <c r="L147" s="73">
        <f t="array" ref="L147">STDEV(IF(data!$B$2:$B$3404=2001,IF(data!$I$2:$I$3404&lt;&gt;"",IF(data!$K$2:$K$3404="female",IF(data!$L$2:$L$3404="spent",IF(data!$N$2:$N$3404&lt;&gt;"headless",data!$I$2:$I$3404))))))</f>
        <v>3.3200439020270789</v>
      </c>
      <c r="M147" s="68"/>
      <c r="N147" s="68"/>
      <c r="O147" s="8"/>
      <c r="P147" s="51"/>
      <c r="Q147" s="51"/>
      <c r="R147" s="51"/>
      <c r="S147" s="8"/>
      <c r="U147" s="8"/>
    </row>
    <row r="148" spans="1:21" ht="12.75" customHeight="1" x14ac:dyDescent="0.2">
      <c r="A148" s="96">
        <v>2000</v>
      </c>
      <c r="B148" s="97" t="s">
        <v>20</v>
      </c>
      <c r="C148" s="66" t="s">
        <v>272</v>
      </c>
      <c r="D148" s="68">
        <f>AVERAGEIFS(data!$G$453:$G$3404,data!$B$453:$B$3404,A148,data!$K$453:$K$3404,B148)</f>
        <v>155.85714285714286</v>
      </c>
      <c r="E148" s="214">
        <f t="array" ref="E148">STDEV(IF(data!$B$2:$B$3404=2000,IF(data!$G$2:$G$3404&lt;&gt;"",IF(data!$K$2:$K$3404="female",data!$G$2:$G$3404))))</f>
        <v>13.006232656387779</v>
      </c>
      <c r="F148" s="68">
        <f>AVERAGEIFS(data!$I$453:$I$3404,data!$B$453:$B$3404,A148,data!$K$453:$K$3404,B148)</f>
        <v>12.083554292929291</v>
      </c>
      <c r="G148" s="214">
        <f t="array" ref="G148">STDEV(IF(data!$B$2:$B$3404=2000,IF(data!$I$2:$I$3404&lt;&gt;"",IF(data!$K$2:$K$3404="female",data!$I$2:$I$3404))))</f>
        <v>3.8231626162604759</v>
      </c>
      <c r="H148" s="97">
        <f>COUNTIFS(data!$B$453:$B$3404,A148,data!$K$453:$K$3404,B148,data!$N$453:$N$3404,"headless")</f>
        <v>49</v>
      </c>
      <c r="I148" s="82">
        <f>AVERAGEIFS(data!$G$236:$G$3404,data!$B$236:$B$3404,A148,data!$K$236:$K$3404,B148,data!$N$236:$N$3404,"&lt;&gt;headless")</f>
        <v>156.35</v>
      </c>
      <c r="J148" s="214">
        <f t="array" ref="J148">STDEV(IF(data!$B$2:$B$3404=2000,IF(data!$G$2:$G$3404&lt;&gt;"",IF(data!$K$2:$K$3404="female",IF(data!$N$2:$N$3404&lt;&gt;"headless",data!$G$2:$G$3404)))))</f>
        <v>12.602089438971939</v>
      </c>
      <c r="K148" s="83">
        <f>AVERAGEIFS(data!$I$236:$I$3404,data!$B$236:$B$3404,A148,data!$K$236:$K$3404,B148,data!$N$236:$N$3404,"&lt;&gt;headless")</f>
        <v>12.957831325301202</v>
      </c>
      <c r="L148" s="214">
        <f t="array" ref="L148">STDEV(IF(data!$B$2:$B$3404=2000,IF(data!$I$2:$I$3404&lt;&gt;"",IF(data!$K$2:$K$3404="female",IF(data!$N$2:$N$3404&lt;&gt;"headless",data!$I$2:$I$3404)))))</f>
        <v>3.6231006961066901</v>
      </c>
      <c r="M148" s="68">
        <f>AVERAGEIFS(data!$I$453:$I$3404,data!$B$453:$B$3404,A148,data!$L$453:$L$3404,N148)</f>
        <v>13.5625</v>
      </c>
      <c r="N148" s="68" t="s">
        <v>30</v>
      </c>
      <c r="O148" s="8"/>
      <c r="P148" s="51"/>
      <c r="Q148" s="51"/>
      <c r="R148" s="51"/>
      <c r="S148" s="8"/>
      <c r="U148" s="8"/>
    </row>
    <row r="149" spans="1:21" ht="12.75" customHeight="1" x14ac:dyDescent="0.2">
      <c r="A149" s="98">
        <v>2000</v>
      </c>
      <c r="B149" s="8" t="s">
        <v>34</v>
      </c>
      <c r="C149" s="8"/>
      <c r="D149" s="51">
        <f>AVERAGEIFS(data!$G$453:$G$3404,data!$B$453:$B$3404,A149,data!$K$453:$K$3404,B149)</f>
        <v>161</v>
      </c>
      <c r="E149" s="204">
        <f t="array" ref="E149">STDEV(IF(data!$B$2:$B$3404=2000,IF(data!$G$2:$G$3404&lt;&gt;"",IF(data!$K$2:$K$3404="male",data!$G$2:$G$3404))))</f>
        <v>0</v>
      </c>
      <c r="F149" s="51">
        <f>AVERAGEIFS(data!$I$453:$I$3404,data!$B$453:$B$3404,A149,data!$K$453:$K$3404,B149)</f>
        <v>17.5</v>
      </c>
      <c r="G149" s="204">
        <f t="array" ref="G149">STDEV(IF(data!$B$2:$B$3404=2000,IF(data!$I$2:$I$3404&lt;&gt;"",IF(data!$K$2:$K$3404="male",data!$I$2:$I$3404))))</f>
        <v>2.2912878474779199</v>
      </c>
      <c r="H149" s="8">
        <f>COUNTIFS(data!$B$453:$B$3404,A149,data!$K$453:$K$3404,B149,data!$N$453:$N$3404,"headless")</f>
        <v>1</v>
      </c>
      <c r="I149" s="75">
        <f>AVERAGEIFS(data!$G$236:$G$3404,data!$B$236:$B$3404,A149,data!$K$236:$K$3404,B149,data!$N$236:$N$3404,"&lt;&gt;headless")</f>
        <v>161</v>
      </c>
      <c r="J149" s="204">
        <f t="array" ref="J149">STDEV(IF(data!$B$2:$B$3404=2000,IF(data!$G$2:$G$3404&lt;&gt;"",IF(data!$K$2:$K$3404="male",IF(data!$N$2:$N$3404&lt;&gt;"headless",data!$G$2:$G$3404)))))</f>
        <v>0</v>
      </c>
      <c r="K149" s="76">
        <f>AVERAGEIFS(data!$I$236:$I$3404,data!$B$236:$B$3404,A149,data!$K$236:$K$3404,B149,data!$N$236:$N$3404,"&lt;&gt;headless")</f>
        <v>18.5</v>
      </c>
      <c r="L149" s="227">
        <f t="array" ref="L149">STDEV(IF(data!$B$2:$B$3404=2000,IF(data!$I$2:$I$3404&lt;&gt;"",IF(data!$K$2:$K$3404="male",IF(data!$N$2:$N$3404&lt;&gt;"headless",data!$I$2:$I$3404)))))</f>
        <v>2.1213203435596424</v>
      </c>
      <c r="M149" s="68">
        <f>AVERAGEIFS(data!$I$453:$I$3404,data!$B$453:$B$3404,A149,data!$L$453:$L$3404,N149)</f>
        <v>13.5625</v>
      </c>
      <c r="N149" s="68" t="s">
        <v>30</v>
      </c>
      <c r="O149" s="8"/>
      <c r="P149" s="51"/>
      <c r="Q149" s="51"/>
      <c r="R149" s="51"/>
      <c r="S149" s="8"/>
      <c r="U149" s="8"/>
    </row>
    <row r="150" spans="1:21" ht="12.75" customHeight="1" x14ac:dyDescent="0.2">
      <c r="A150" s="98">
        <v>2000</v>
      </c>
      <c r="B150" s="8" t="s">
        <v>41</v>
      </c>
      <c r="C150" s="8"/>
      <c r="D150" s="51">
        <f>AVERAGEIFS(data!$G$453:$G$3404,data!$B$453:$B$3404,A150,data!$K$453:$K$3404,B150)</f>
        <v>137.4</v>
      </c>
      <c r="E150" s="118"/>
      <c r="F150" s="51">
        <f>AVERAGEIFS(data!$I$453:$I$3404,data!$B$453:$B$3404,A150,data!$K$453:$K$3404,B150)</f>
        <v>8.8055555555555554</v>
      </c>
      <c r="G150" s="118"/>
      <c r="H150" s="8">
        <f>COUNTIFS(data!$B$453:$B$3404,A150,data!$K$453:$K$3404,B150,data!$N$453:$N$3404,"headless")</f>
        <v>6</v>
      </c>
      <c r="I150" s="75">
        <f>AVERAGEIFS(data!$G$236:$G$3404,data!$B$236:$B$3404,A150,data!$K$236:$K$3404,B150,data!$N$236:$N$3404,"&lt;&gt;headless")</f>
        <v>137</v>
      </c>
      <c r="J150" s="204"/>
      <c r="K150" s="76">
        <f>AVERAGEIFS(data!$I$236:$I$3404,data!$B$236:$B$3404,A150,data!$K$236:$K$3404,B150,data!$N$236:$N$3404,"&lt;&gt;headless")</f>
        <v>8.9583333333333339</v>
      </c>
      <c r="L150" s="204"/>
      <c r="M150" s="68">
        <f>AVERAGEIFS(data!$I$453:$I$3404,data!$B$453:$B$3404,A150,data!$L$453:$L$3404,N150)</f>
        <v>13.5625</v>
      </c>
      <c r="N150" s="68" t="s">
        <v>30</v>
      </c>
      <c r="O150" s="8"/>
      <c r="P150" s="51"/>
      <c r="Q150" s="51"/>
      <c r="R150" s="51"/>
      <c r="U150" s="8"/>
    </row>
    <row r="151" spans="1:21" ht="12.75" customHeight="1" x14ac:dyDescent="0.2">
      <c r="A151" s="99">
        <v>2000</v>
      </c>
      <c r="B151" s="49" t="s">
        <v>20</v>
      </c>
      <c r="C151" s="49" t="s">
        <v>30</v>
      </c>
      <c r="D151" s="73">
        <f>AVERAGEIFS(data!$G$236:$G$3404,data!$B$236:$B$3404,A151,data!$L$236:$L$3404,C151,data!$K$236:$K$3404,B151)</f>
        <v>147.16666666666666</v>
      </c>
      <c r="E151" s="73">
        <f t="array" ref="E151">STDEV(IF(data!$B$2:$B$3404=2000,IF(data!$G$2:$G$3404&lt;&gt;"",IF(data!$K$2:$K$3404="female",IF(data!$L$2:$L$3404="gravid",data!$G$2:$G$3404)))))</f>
        <v>11.771434350437787</v>
      </c>
      <c r="F151" s="73">
        <f>AVERAGEIFS(data!$I$236:$I$3404,data!$L$236:$L$3404,C151,data!$B$236:$B$3404,A151,data!$K$236:$K$3404,B151)</f>
        <v>13.5625</v>
      </c>
      <c r="G151" s="73">
        <f t="array" ref="G151">STDEV(IF(data!$B$2:$B$3404=2000,IF(data!$I$2:$I$3404&lt;&gt;"",IF(data!$K$2:$K$3404="female",IF(data!$L$2:$L$3404="gravid",data!$I$2:$I$3404)))))</f>
        <v>3.2120031577995509</v>
      </c>
      <c r="H151" s="74">
        <f>COUNTIFS(data!$B$236:$B$3404,A151,data!$L$236:$L$3404,C151,data!$K$236:$K$3404,B151,data!$N$236:$N$3404,"headless")</f>
        <v>5</v>
      </c>
      <c r="I151" s="75">
        <f>AVERAGEIFS(data!$G$236:$G$3404,data!$B$236:$B$3404,A151,data!$L$236:$L$3404,C151,data!$K$236:$K$3404,B151,data!$N$236:$N$3404,"&lt;&gt;headless")</f>
        <v>140.33333333333334</v>
      </c>
      <c r="J151" s="204">
        <f t="array" ref="J151">STDEV(IF(data!$B$2:$B$3404=2000,IF(data!$G$2:$G$3404&lt;&gt;"",IF(data!$K$2:$K$3404="female",IF(data!$L$2:$L$3404="gravid",IF(data!$N$2:$N$3404&lt;&gt;"headless",data!$G$2:$G$3404))))))</f>
        <v>9.7125348562223106</v>
      </c>
      <c r="K151" s="76">
        <f>AVERAGEIFS(data!$I$236:$I$3404,data!$B$236:$B$3404,A151,data!$L$236:$L$3404,C151,data!$K$236:$K$3404,B151,data!$N$236:$N$3404,"&lt;&gt;headless")</f>
        <v>15.333333333333334</v>
      </c>
      <c r="L151" s="73">
        <f t="array" ref="L151">STDEV(IF(data!$B$2:$B$3404=2000,IF(data!$I$2:$I$3404&lt;&gt;"",IF(data!$K$2:$K$3404="female",IF(data!$L$2:$L$3404="gravid",IF(data!$N$2:$N$3404&lt;&gt;"headless",data!$I$2:$I$3404))))))</f>
        <v>3.6855573979159941</v>
      </c>
      <c r="M151" s="68"/>
      <c r="N151" s="68"/>
      <c r="O151" s="8"/>
      <c r="P151" s="51"/>
      <c r="Q151" s="51"/>
      <c r="R151" s="51"/>
      <c r="U151" s="8"/>
    </row>
    <row r="152" spans="1:21" ht="12.75" customHeight="1" x14ac:dyDescent="0.2">
      <c r="A152" s="99">
        <v>2000</v>
      </c>
      <c r="B152" s="49" t="s">
        <v>20</v>
      </c>
      <c r="C152" s="49" t="s">
        <v>21</v>
      </c>
      <c r="D152" s="73">
        <f>AVERAGEIFS(data!$G$236:$G$3404,data!$B$236:$B$3404,A152,data!$L$236:$L$3404,C152,data!$K$236:$K$3404,B152)</f>
        <v>157.52173913043478</v>
      </c>
      <c r="E152" s="73">
        <f t="array" ref="E152">STDEV(IF(data!$B$2:$B$3404=2000,IF(data!$G$2:$G$3404&lt;&gt;"",IF(data!$K$2:$K$3404="female",IF(data!$L$2:$L$3404="spent",data!$G$2:$G$3404)))))</f>
        <v>12.654737427531662</v>
      </c>
      <c r="F152" s="73">
        <f>AVERAGEIFS(data!$I$236:$I$3404,data!$L$236:$L$3404,C152,data!$B$236:$B$3404,A152,data!$K$236:$K$3404,B152)</f>
        <v>12.171189458689456</v>
      </c>
      <c r="G152" s="201">
        <f t="array" ref="G152">STDEV(IF(data!$B$2:$B$3404=2000,IF(data!$I$2:$I$3404&lt;&gt;"",IF(data!$K$2:$K$3404="female",IF(data!$L$2:$L$3404="spent",data!$I$2:$I$3404)))))</f>
        <v>3.8832795142604106</v>
      </c>
      <c r="H152" s="74">
        <f>COUNTIFS(data!$B$236:$B$3404,A152,data!$L$236:$L$3404,C152,data!$K$236:$K$3404,B152,data!$N$236:$N$3404,"headless")</f>
        <v>41</v>
      </c>
      <c r="I152" s="75">
        <f>AVERAGEIFS(data!$G$236:$G$3404,data!$B$236:$B$3404,A152,data!$L$236:$L$3404,C152,data!$K$236:$K$3404,B152,data!$N$236:$N$3404,"&lt;&gt;headless")</f>
        <v>157.65753424657535</v>
      </c>
      <c r="J152" s="201">
        <f t="array" ref="J152">STDEV(IF(data!$B$2:$B$3404=2000,IF(data!$G$2:$G$3404&lt;&gt;"",IF(data!$K$2:$K$3404="female",IF(data!$L$2:$L$3404="spent",IF(data!$N$2:$N$3404&lt;&gt;"headless",data!$G$2:$G$3404))))))</f>
        <v>12.28167014755706</v>
      </c>
      <c r="K152" s="76">
        <f>AVERAGEIFS(data!$I$236:$I$3404,data!$B$236:$B$3404,A152,data!$L$236:$L$3404,C152,data!$K$236:$K$3404,B152,data!$N$236:$N$3404,"&lt;&gt;headless")</f>
        <v>13.07894736842105</v>
      </c>
      <c r="L152" s="73">
        <f t="array" ref="L152">STDEV(IF(data!$B$2:$B$3404=2000,IF(data!$I$2:$I$3404&lt;&gt;"",IF(data!$K$2:$K$3404="female",IF(data!$L$2:$L$3404="spent",IF(data!$N$2:$N$3404&lt;&gt;"headless",data!$I$2:$I$3404))))))</f>
        <v>3.5764532072794908</v>
      </c>
      <c r="M152" s="68"/>
      <c r="N152" s="68"/>
      <c r="O152" s="8"/>
      <c r="P152" s="51"/>
      <c r="Q152" s="51"/>
      <c r="R152" s="51"/>
      <c r="U152" s="8"/>
    </row>
    <row r="153" spans="1:21" ht="12.75" customHeight="1" x14ac:dyDescent="0.2">
      <c r="A153" s="96">
        <v>1999</v>
      </c>
      <c r="B153" s="97" t="s">
        <v>20</v>
      </c>
      <c r="C153" s="66" t="s">
        <v>272</v>
      </c>
      <c r="D153" s="68">
        <f>AVERAGEIFS(data!$G$453:$G$3404,data!$B$453:$B$3404,A153,data!$K$453:$K$3404,B153)</f>
        <v>144.80357142857142</v>
      </c>
      <c r="E153" s="214">
        <f t="array" ref="E153">STDEV(IF(data!$B$2:$B$3404=1999,IF(data!$G$2:$G$3404&lt;&gt;"",IF(data!$K$2:$K$3404="female",data!$G$2:$G$3404))))</f>
        <v>11.829730870460768</v>
      </c>
      <c r="F153" s="68">
        <f>AVERAGEIFS(data!$I$453:$I$3404,data!$B$453:$B$3404,A153,data!$K$453:$K$3404,B153)</f>
        <v>12.728070175438596</v>
      </c>
      <c r="G153" s="214">
        <f t="array" ref="G153">STDEV(IF(data!$B$2:$B$3404=1999,IF(data!$I$2:$I$3404&lt;&gt;"",IF(data!$K$2:$K$3404="female",data!$I$2:$I$3404))))</f>
        <v>3.8336738434359021</v>
      </c>
      <c r="H153" s="97">
        <f>COUNTIFS(data!$B$453:$B$3404,A153,data!$K$453:$K$3404,B153,data!$N$453:$N$3404,"headless")</f>
        <v>12</v>
      </c>
      <c r="I153" s="82">
        <f>AVERAGEIFS(data!$G$236:$G$3404,data!$B$236:$B$3404,A153,data!$K$236:$K$3404,B153,data!$N$236:$N$3404,"&lt;&gt;headless")</f>
        <v>145.59574468085106</v>
      </c>
      <c r="J153" s="214">
        <f t="array" ref="J153">STDEV(IF(data!$B$2:$B$3404=1999,IF(data!$G$2:$G$3404&lt;&gt;"",IF(data!$K$2:$K$3404="female",IF(data!$N$2:$N$3404&lt;&gt;"headless",data!$G$2:$G$3404)))))</f>
        <v>11.822343574163664</v>
      </c>
      <c r="K153" s="83">
        <f>AVERAGEIFS(data!$I$236:$I$3404,data!$B$236:$B$3404,A153,data!$K$236:$K$3404,B153,data!$N$236:$N$3404,"&lt;&gt;headless")</f>
        <v>13.233333333333333</v>
      </c>
      <c r="L153" s="214">
        <f t="array" ref="L153">STDEV(IF(data!$B$2:$B$3404=1999,IF(data!$I$2:$I$3404&lt;&gt;"",IF(data!$K$2:$K$3404="female",IF(data!$N$2:$N$3404&lt;&gt;"headless",data!$I$2:$I$3404)))))</f>
        <v>3.7697962327377379</v>
      </c>
      <c r="M153" s="68">
        <f>AVERAGEIFS(data!$I$453:$I$3404,data!$B$453:$B$3404,A153,data!$L$453:$L$3404,N153)</f>
        <v>14.25</v>
      </c>
      <c r="N153" s="68" t="s">
        <v>30</v>
      </c>
      <c r="O153" s="8"/>
      <c r="P153" s="51"/>
      <c r="Q153" s="51"/>
      <c r="R153" s="11"/>
      <c r="S153" s="8"/>
      <c r="U153" s="8"/>
    </row>
    <row r="154" spans="1:21" ht="12.75" customHeight="1" x14ac:dyDescent="0.2">
      <c r="A154" s="98">
        <v>1999</v>
      </c>
      <c r="B154" s="8" t="s">
        <v>34</v>
      </c>
      <c r="C154" s="8"/>
      <c r="D154" s="51"/>
      <c r="E154" s="204"/>
      <c r="F154" s="51"/>
      <c r="G154" s="118"/>
      <c r="H154" s="8">
        <f>COUNTIFS(data!$B$453:$B$3404,A154,data!$K$453:$K$3404,B154,data!$N$453:$N$3404,"headless")</f>
        <v>0</v>
      </c>
      <c r="I154" s="84"/>
      <c r="J154" s="200"/>
      <c r="K154" s="78"/>
      <c r="L154" s="200"/>
      <c r="M154" s="68">
        <f>AVERAGEIFS(data!$I$453:$I$3404,data!$B$453:$B$3404,A154,data!$L$453:$L$3404,N154)</f>
        <v>14.25</v>
      </c>
      <c r="N154" s="68" t="s">
        <v>30</v>
      </c>
      <c r="O154" s="8"/>
      <c r="P154" s="51"/>
      <c r="Q154" s="51"/>
      <c r="R154" s="51"/>
      <c r="S154" s="8"/>
      <c r="U154" s="8"/>
    </row>
    <row r="155" spans="1:21" ht="12.75" customHeight="1" x14ac:dyDescent="0.2">
      <c r="A155" s="98">
        <v>1999</v>
      </c>
      <c r="B155" s="8" t="s">
        <v>41</v>
      </c>
      <c r="C155" s="8"/>
      <c r="D155" s="51">
        <f>AVERAGEIFS(data!$G$453:$G$3404,data!$B$453:$B$3404,A155,data!$K$453:$K$3404,B155)</f>
        <v>123</v>
      </c>
      <c r="E155" s="118"/>
      <c r="F155" s="51">
        <f>AVERAGEIFS(data!$I$453:$I$3404,data!$B$453:$B$3404,A155,data!$K$453:$K$3404,B155)</f>
        <v>6.5</v>
      </c>
      <c r="G155" s="118"/>
      <c r="H155" s="8">
        <f>COUNTIFS(data!$B$453:$B$3404,A155,data!$K$453:$K$3404,B155,data!$N$453:$N$3404,"headless")</f>
        <v>0</v>
      </c>
      <c r="I155" s="75">
        <f>AVERAGEIFS(data!$G$236:$G$3404,data!$B$236:$B$3404,A155,data!$K$236:$K$3404,B155,data!$N$236:$N$3404,"&lt;&gt;headless")</f>
        <v>123</v>
      </c>
      <c r="J155" s="204"/>
      <c r="K155" s="76">
        <f>AVERAGEIFS(data!$I$236:$I$3404,data!$B$236:$B$3404,A155,data!$K$236:$K$3404,B155,data!$N$236:$N$3404,"&lt;&gt;headless")</f>
        <v>6.5</v>
      </c>
      <c r="L155" s="204"/>
      <c r="M155" s="68">
        <f>AVERAGEIFS(data!$I$453:$I$3404,data!$B$453:$B$3404,A155,data!$L$453:$L$3404,N155)</f>
        <v>14.25</v>
      </c>
      <c r="N155" s="68" t="s">
        <v>30</v>
      </c>
      <c r="O155" s="8"/>
      <c r="P155" s="51"/>
      <c r="Q155" s="51"/>
      <c r="R155" s="51"/>
      <c r="S155" s="8"/>
      <c r="U155" s="8"/>
    </row>
    <row r="156" spans="1:21" ht="12.75" customHeight="1" x14ac:dyDescent="0.2">
      <c r="A156" s="99">
        <v>1999</v>
      </c>
      <c r="B156" s="49" t="s">
        <v>269</v>
      </c>
      <c r="C156" s="49" t="s">
        <v>30</v>
      </c>
      <c r="D156" s="73">
        <f>AVERAGE(data!G2098,data!G2115,data!G2118,data!G2126,data!G2139,data!G2140,data!G2141,data!G2142,data!G2153)</f>
        <v>144.66666666666666</v>
      </c>
      <c r="E156" s="73">
        <f t="array" ref="E156">STDEV(IF(data!$B$2:$B$3404=1999,IF(data!$G$2:$G$3404&lt;&gt;"",IF(data!$K$2:$K$3404="female",IF(data!$L$2:$L$3404="gravid",data!$G$2:$G$3404)))))</f>
        <v>11.202678251204039</v>
      </c>
      <c r="F156" s="73">
        <f>AVERAGE(data!I2098,data!I2115,data!I2118,data!I2126,data!I2139,data!I2140,data!I2141,data!I2142,data!I2153,data!I2154)</f>
        <v>14.25</v>
      </c>
      <c r="G156" s="73">
        <f t="array" ref="G156">STDEV(IF(data!$B$2:$B$3404=1999,IF(data!$I$2:$I$3404&lt;&gt;"",IF(data!$K$2:$K$3404="female",IF(data!$L$2:$L$3404="gravid",data!$I$2:$I$3404)))))</f>
        <v>4.0017357345143232</v>
      </c>
      <c r="H156" s="74">
        <f>COUNTIFS(data!$B$236:$B$3404,A156,data!$L$236:$L$3404,C156,data!$K$236:$K$3404,B156,data!$N$236:$N$3404,"headless")</f>
        <v>0</v>
      </c>
      <c r="I156" s="52">
        <f>AVERAGE(data!G2098,data!G2115,data!G2118,data!G2118,data!G2126,data!G2139,data!G2140,data!G2142,data!G2153)</f>
        <v>141.88888888888889</v>
      </c>
      <c r="J156" s="204">
        <f t="array" ref="J156">STDEV(IF(data!$B$2:$B$3404=1999,IF(data!$G$2:$G$3404&lt;&gt;"",IF(data!$K$2:$K$3404="female",IF(data!$L$2:$L$3404="gravid",IF(data!$N$2:$N$3404&lt;&gt;"headless",data!$G$2:$G$3404))))))</f>
        <v>10.507650274238969</v>
      </c>
      <c r="K156" s="76">
        <f>AVERAGE(data!I2098,data!I2115,data!I2118,data!I2126,data!I2139,data!I2140,data!I2142,data!I2153,data!I2154)</f>
        <v>13.722222222222221</v>
      </c>
      <c r="L156" s="73">
        <f t="array" ref="L156">STDEV(IF(data!$B$2:$B$3404=1999,IF(data!$I$2:$I$3404&lt;&gt;"",IF(data!$K$2:$K$3404="female",IF(data!$L$2:$L$3404="gravid",IF(data!$N$2:$N$3404&lt;&gt;"headless",data!$I$2:$I$3404))))))</f>
        <v>4.1138919702463195</v>
      </c>
      <c r="M156" s="68"/>
      <c r="N156" s="68"/>
      <c r="O156" s="8"/>
      <c r="P156" s="51"/>
      <c r="Q156" s="51"/>
      <c r="R156" s="51"/>
      <c r="S156" s="8"/>
      <c r="U156" s="8"/>
    </row>
    <row r="157" spans="1:21" ht="12.75" customHeight="1" x14ac:dyDescent="0.2">
      <c r="A157" s="99">
        <v>1999</v>
      </c>
      <c r="B157" s="49" t="s">
        <v>20</v>
      </c>
      <c r="C157" s="49" t="s">
        <v>21</v>
      </c>
      <c r="D157" s="73">
        <f>AVERAGEIFS(data!$G$236:$G$3404,data!$B$236:$B$3404,A157,data!$L$236:$L$3404,C157,data!$K$236:$K$3404,B157)</f>
        <v>144.82978723404256</v>
      </c>
      <c r="E157" s="73">
        <f t="array" ref="E157">STDEV(IF(data!$B$2:$B$3404=1999,IF(data!$G$2:$G$3404&lt;&gt;"",IF(data!$K$2:$K$3404="female",IF(data!$L$2:$L$3404="spent",data!$G$2:$G$3404)))))</f>
        <v>12.062012141855448</v>
      </c>
      <c r="F157" s="73">
        <f>AVERAGEIFS(data!$I$236:$I$3404,data!$L$236:$L$3404,C157,data!$B$236:$B$3404,A157,data!$K$236:$K$3404,B157)</f>
        <v>12.404255319148936</v>
      </c>
      <c r="G157" s="201">
        <f t="array" ref="G157">STDEV(IF(data!$B$2:$B$3404=1999,IF(data!$I$2:$I$3404&lt;&gt;"",IF(data!$K$2:$K$3404="female",IF(data!$L$2:$L$3404="spent",data!$I$2:$I$3404)))))</f>
        <v>3.7614149423026442</v>
      </c>
      <c r="H157" s="74">
        <f>COUNTIFS(data!$B$236:$B$3404,A157,data!$L$236:$L$3404,C157,data!$K$236:$K$3404,B157,data!$N$236:$N$3404,"headless")</f>
        <v>10</v>
      </c>
      <c r="I157" s="75">
        <f>AVERAGEIFS(data!$G$236:$G$3404,data!$B$236:$B$3404,A157,data!$L$236:$L$3404,C157,data!$K$236:$K$3404,B157,data!$N$236:$N$3404,"&lt;&gt;headless")</f>
        <v>146.15384615384616</v>
      </c>
      <c r="J157" s="201">
        <f t="array" ref="J157">STDEV(IF(data!$B$2:$B$3404=1999,IF(data!$G$2:$G$3404&lt;&gt;"",IF(data!$K$2:$K$3404="female",IF(data!$L$2:$L$3404="spent",IF(data!$N$2:$N$3404&lt;&gt;"headless",data!$G$2:$G$3404))))))</f>
        <v>12.123353847101233</v>
      </c>
      <c r="K157" s="76">
        <f>AVERAGEIFS(data!$I$236:$I$3404,data!$B$236:$B$3404,A157,data!$L$236:$L$3404,C157,data!$K$236:$K$3404,B157,data!$N$236:$N$3404,"&lt;&gt;headless")</f>
        <v>13.108108108108109</v>
      </c>
      <c r="L157" s="73">
        <f t="array" ref="L157">STDEV(IF(data!$B$2:$B$3404=1999,IF(data!$I$2:$I$3404&lt;&gt;"",IF(data!$K$2:$K$3404="female",IF(data!$L$2:$L$3404="spent",IF(data!$N$2:$N$3404&lt;&gt;"headless",data!$I$2:$I$3404))))))</f>
        <v>3.7400518696921821</v>
      </c>
      <c r="M157" s="68"/>
      <c r="N157" s="68"/>
      <c r="O157" s="8"/>
      <c r="P157" s="51"/>
      <c r="Q157" s="51"/>
      <c r="R157" s="51"/>
      <c r="S157" s="8"/>
      <c r="U157" s="8"/>
    </row>
    <row r="158" spans="1:21" ht="12.75" customHeight="1" x14ac:dyDescent="0.2">
      <c r="A158" s="96">
        <v>1998</v>
      </c>
      <c r="B158" s="97" t="s">
        <v>20</v>
      </c>
      <c r="C158" s="100" t="s">
        <v>272</v>
      </c>
      <c r="D158" s="68">
        <f>AVERAGEIFS(data!$G$453:$G$3404,data!$B$453:$B$3404,A158,data!$K$453:$K$3404,B158)</f>
        <v>137.65384615384616</v>
      </c>
      <c r="E158" s="214">
        <f t="array" ref="E158">STDEV(IF(data!$B$2:$B$3404=1998,IF(data!$G$2:$G$3404&lt;&gt;"",IF(data!$K$2:$K$3404="female",data!$G$2:$G$3404))))</f>
        <v>12.086084004896977</v>
      </c>
      <c r="F158" s="68">
        <f>AVERAGEIFS(data!$I$453:$I$3404,data!$B$453:$B$3404,A158,data!$K$453:$K$3404,B158)</f>
        <v>10.981176470588235</v>
      </c>
      <c r="G158" s="214">
        <f t="array" ref="G158">STDEV(IF(data!$B$2:$B$3404=1998,IF(data!$I$2:$I$3404&lt;&gt;"",IF(data!$K$2:$K$3404="female",data!$I$2:$I$3404))))</f>
        <v>3.4213090685141165</v>
      </c>
      <c r="H158" s="97">
        <f>COUNTIFS(data!$B$453:$B$3404,A158,data!$K$453:$K$3404,B158,data!$N$453:$N$3404,"headless")</f>
        <v>30</v>
      </c>
      <c r="I158" s="82">
        <f>AVERAGEIFS(data!$G$236:$G$3404,data!$B$236:$B$3404,A158,data!$K$236:$K$3404,B158,data!$N$236:$N$3404,"&lt;&gt;headless")</f>
        <v>139.60377358490567</v>
      </c>
      <c r="J158" s="214">
        <f t="array" ref="J158">STDEV(IF(data!$B$2:$B$3404=1998,IF(data!$G$2:$G$3404&lt;&gt;"",IF(data!$K$2:$K$3404="female",IF(data!$N$2:$N$3404&lt;&gt;"headless",data!$G$2:$G$3404)))))</f>
        <v>11.795272231901787</v>
      </c>
      <c r="K158" s="83">
        <f>AVERAGEIFS(data!$I$236:$I$3404,data!$B$236:$B$3404,A158,data!$K$236:$K$3404,B158,data!$N$236:$N$3404,"&lt;&gt;headless")</f>
        <v>11.716363636363637</v>
      </c>
      <c r="L158" s="214">
        <f t="array" ref="L158">STDEV(IF(data!$B$2:$B$3404=1998,IF(data!$I$2:$I$3404&lt;&gt;"",IF(data!$K$2:$K$3404="female",IF(data!$N$2:$N$3404&lt;&gt;"headless",data!$I$2:$I$3404)))))</f>
        <v>3.1833341266062805</v>
      </c>
      <c r="M158" s="68">
        <f>AVERAGEIFS(data!$I$453:$I$3404,data!$B$453:$B$3404,A158,data!$L$453:$L$3404,N158)</f>
        <v>11.804761904761905</v>
      </c>
      <c r="N158" s="68" t="s">
        <v>30</v>
      </c>
      <c r="O158" s="8"/>
      <c r="P158" s="51"/>
      <c r="Q158" s="51"/>
      <c r="R158" s="51"/>
      <c r="S158" s="8"/>
      <c r="U158" s="8"/>
    </row>
    <row r="159" spans="1:21" ht="12.75" customHeight="1" x14ac:dyDescent="0.2">
      <c r="A159" s="98">
        <v>1998</v>
      </c>
      <c r="B159" s="8" t="s">
        <v>34</v>
      </c>
      <c r="C159" s="8"/>
      <c r="D159" s="51">
        <f>AVERAGEIFS(data!$G$453:$G$3404,data!$B$453:$B$3404,A159,data!$K$453:$K$3404,B159)</f>
        <v>156.5</v>
      </c>
      <c r="E159" s="204">
        <f t="array" ref="E159">STDEV(IF(data!$B$2:$B$3404=1998,IF(data!$G$2:$G$3404&lt;&gt;"",IF(data!$K$2:$K$3404="male",data!$G$2:$G$3404))))</f>
        <v>7.7244201508376449</v>
      </c>
      <c r="F159" s="51">
        <f>AVERAGEIFS(data!$I$453:$I$3404,data!$B$453:$B$3404,A159,data!$K$453:$K$3404,B159)</f>
        <v>16.05</v>
      </c>
      <c r="G159" s="204">
        <f t="array" ref="G159">STDEV(IF(data!$B$2:$B$3404=1998,IF(data!$I$2:$I$3404&lt;&gt;"",IF(data!$K$2:$K$3404="male",data!$I$2:$I$3404))))</f>
        <v>5.2703573566378443</v>
      </c>
      <c r="H159" s="8">
        <f>COUNTIFS(data!$B$453:$B$3404,A159,data!$K$453:$K$3404,B159,data!$N$453:$N$3404,"headless")</f>
        <v>1</v>
      </c>
      <c r="I159" s="75">
        <f>AVERAGEIFS(data!$G$236:$G$3404,data!$B$236:$B$3404,A159,data!$K$236:$K$3404,B159,data!$N$236:$N$3404,"&lt;&gt;headless")</f>
        <v>155.33333333333334</v>
      </c>
      <c r="J159" s="204">
        <f t="array" ref="J159">STDEV(IF(data!$B$2:$B$3404=1998,IF(data!$G$2:$G$3404&lt;&gt;"",IF(data!$K$2:$K$3404="male",IF(data!$N$2:$N$3404&lt;&gt;"headless",data!$G$2:$G$3404)))))</f>
        <v>9.0184995056457886</v>
      </c>
      <c r="K159" s="76">
        <f>AVERAGEIFS(data!$I$236:$I$3404,data!$B$236:$B$3404,A159,data!$K$236:$K$3404,B159,data!$N$236:$N$3404,"&lt;&gt;headless")</f>
        <v>13.9</v>
      </c>
      <c r="L159" s="227">
        <f t="array" ref="L159">STDEV(IF(data!$B$2:$B$3404=1998,IF(data!$I$2:$I$3404&lt;&gt;"",IF(data!$K$2:$K$3404="male",IF(data!$N$2:$N$3404&lt;&gt;"headless",data!$I$2:$I$3404)))))</f>
        <v>3.732291521304298</v>
      </c>
      <c r="M159" s="68">
        <f>AVERAGEIFS(data!$I$453:$I$3404,data!$B$453:$B$3404,A159,data!$L$453:$L$3404,N159)</f>
        <v>11.804761904761905</v>
      </c>
      <c r="N159" s="68" t="s">
        <v>30</v>
      </c>
      <c r="O159" s="8"/>
      <c r="P159" s="51"/>
      <c r="Q159" s="51"/>
      <c r="R159" s="51"/>
      <c r="S159" s="8"/>
      <c r="U159" s="8"/>
    </row>
    <row r="160" spans="1:21" ht="12.75" customHeight="1" x14ac:dyDescent="0.2">
      <c r="A160" s="98">
        <v>1998</v>
      </c>
      <c r="B160" s="8" t="s">
        <v>41</v>
      </c>
      <c r="C160" s="8"/>
      <c r="D160" s="51">
        <f>AVERAGEIFS(data!$G$453:$G$3404,data!$B$453:$B$3404,A160,data!$K$453:$K$3404,B160)</f>
        <v>138.19999999999999</v>
      </c>
      <c r="E160" s="118"/>
      <c r="F160" s="51">
        <f>AVERAGEIFS(data!$I$453:$I$3404,data!$B$453:$B$3404,A160,data!$K$453:$K$3404,B160)</f>
        <v>9.2200000000000006</v>
      </c>
      <c r="G160" s="118"/>
      <c r="H160" s="8">
        <f>COUNTIFS(data!$B$453:$B$3404,A160,data!$K$453:$K$3404,B160,data!$N$453:$N$3404,"headless")</f>
        <v>1</v>
      </c>
      <c r="I160" s="75">
        <f>AVERAGEIFS(data!$G$236:$G$3404,data!$B$236:$B$3404,A160,data!$K$236:$K$3404,B160,data!$N$236:$N$3404,"&lt;&gt;headless")</f>
        <v>135.5</v>
      </c>
      <c r="J160" s="204"/>
      <c r="K160" s="76">
        <f>AVERAGEIFS(data!$I$236:$I$3404,data!$B$236:$B$3404,A160,data!$K$236:$K$3404,B160,data!$N$236:$N$3404,"&lt;&gt;headless")</f>
        <v>8.875</v>
      </c>
      <c r="L160" s="204"/>
      <c r="M160" s="68">
        <f>AVERAGEIFS(data!$I$453:$I$3404,data!$B$453:$B$3404,A160,data!$L$453:$L$3404,N160)</f>
        <v>11.804761904761905</v>
      </c>
      <c r="N160" s="68" t="s">
        <v>30</v>
      </c>
      <c r="O160" s="8"/>
      <c r="P160" s="51"/>
      <c r="Q160" s="51"/>
      <c r="R160" s="51"/>
      <c r="S160" s="8"/>
      <c r="U160" s="8"/>
    </row>
    <row r="161" spans="1:21" ht="12.75" customHeight="1" x14ac:dyDescent="0.2">
      <c r="A161" s="99">
        <v>1998</v>
      </c>
      <c r="B161" s="49" t="s">
        <v>20</v>
      </c>
      <c r="C161" s="49" t="s">
        <v>30</v>
      </c>
      <c r="D161" s="73">
        <f>AVERAGEIFS(data!$G$236:$G$3404,data!$B$236:$B$3404,A161,data!$L$236:$L$3404,C161,data!$K$236:$K$3404,B161)</f>
        <v>137.19999999999999</v>
      </c>
      <c r="E161" s="73">
        <f t="array" ref="E161">STDEV(IF(data!$B$2:$B$3404=1998,IF(data!$G$2:$G$3404&lt;&gt;"",IF(data!$K$2:$K$3404="female",IF(data!$L$2:$L$3404="gravid",data!$G$2:$G$3404)))))</f>
        <v>7.1789164993934254</v>
      </c>
      <c r="F161" s="73">
        <f>AVERAGEIFS(data!$I$236:$I$3404,data!$L$236:$L$3404,C161,data!$B$236:$B$3404,A161,data!$K$236:$K$3404,B161)</f>
        <v>11.804761904761905</v>
      </c>
      <c r="G161" s="73">
        <f t="array" ref="G161">STDEV(IF(data!$B$2:$B$3404=1998,IF(data!$I$2:$I$3404&lt;&gt;"",IF(data!$K$2:$K$3404="female",IF(data!$L$2:$L$3404="gravid",data!$I$2:$I$3404)))))</f>
        <v>2.2132501418674271</v>
      </c>
      <c r="H161" s="74">
        <f>COUNTIFS(data!$B$236:$B$3404,A161,data!$L$236:$L$3404,C161,data!$K$236:$K$3404,B161,data!$N$236:$N$3404,"headless")</f>
        <v>7</v>
      </c>
      <c r="I161" s="75">
        <f>AVERAGEIFS(data!$G$236:$G$3404,data!$B$236:$B$3404,A161,data!$L$236:$L$3404,C161,data!$K$236:$K$3404,B161,data!$N$236:$N$3404,"&lt;&gt;headless")</f>
        <v>136.23076923076923</v>
      </c>
      <c r="J161" s="204">
        <f t="array" ref="J161">STDEV(IF(data!$B$2:$B$3404=1998,IF(data!$G$2:$G$3404&lt;&gt;"",IF(data!$K$2:$K$3404="female",IF(data!$L$2:$L$3404="gravid",IF(data!$N$2:$N$3404&lt;&gt;"headless",data!$G$2:$G$3404))))))</f>
        <v>6.2603760024704345</v>
      </c>
      <c r="K161" s="76">
        <f>AVERAGEIFS(data!$I$236:$I$3404,data!$B$236:$B$3404,A161,data!$L$236:$L$3404,C161,data!$K$236:$K$3404,B161,data!$N$236:$N$3404,"&lt;&gt;headless")</f>
        <v>11.607142857142858</v>
      </c>
      <c r="L161" s="73">
        <f t="array" ref="L161">STDEV(IF(data!$B$2:$B$3404=1998,IF(data!$I$2:$I$3404&lt;&gt;"",IF(data!$K$2:$K$3404="female",IF(data!$L$2:$L$3404="gravid",IF(data!$N$2:$N$3404&lt;&gt;"headless",data!$I$2:$I$3404))))))</f>
        <v>2.0730743746034213</v>
      </c>
      <c r="M161" s="68"/>
      <c r="N161" s="68"/>
      <c r="O161" s="8"/>
      <c r="P161" s="51"/>
      <c r="Q161" s="51"/>
      <c r="R161" s="51"/>
      <c r="S161" s="8"/>
      <c r="U161" s="8"/>
    </row>
    <row r="162" spans="1:21" ht="12.75" customHeight="1" x14ac:dyDescent="0.2">
      <c r="A162" s="99">
        <v>1998</v>
      </c>
      <c r="B162" s="49" t="s">
        <v>20</v>
      </c>
      <c r="C162" s="49" t="s">
        <v>21</v>
      </c>
      <c r="D162" s="73">
        <f>AVERAGEIFS(data!$G$236:$G$3404,data!$B$236:$B$3404,A162,data!$L$236:$L$3404,C162,data!$K$236:$K$3404,B162)</f>
        <v>141.72727272727272</v>
      </c>
      <c r="E162" s="73">
        <f t="array" ref="E162">STDEV(IF(data!$B$2:$B$3404=1998,IF(data!$G$2:$G$3404&lt;&gt;"",IF(data!$K$2:$K$3404="female",IF(data!$L$2:$L$3404="spent",data!$G$2:$G$3404)))))</f>
        <v>11.803357102987027</v>
      </c>
      <c r="F162" s="73">
        <f>AVERAGEIFS(data!$I$236:$I$3404,data!$L$236:$L$3404,C162,data!$B$236:$B$3404,A162,data!$K$236:$K$3404,B162)</f>
        <v>11.446</v>
      </c>
      <c r="G162" s="201">
        <f t="array" ref="G162">STDEV(IF(data!$B$2:$B$3404=1998,IF(data!$I$2:$I$3404&lt;&gt;"",IF(data!$K$2:$K$3404="female",IF(data!$L$2:$L$3404="spent",data!$I$2:$I$3404)))))</f>
        <v>3.7168787651875435</v>
      </c>
      <c r="H162" s="74">
        <f>COUNTIFS(data!$B$236:$B$3404,A162,data!$L$236:$L$3404,C162,data!$K$236:$K$3404,B162,data!$N$236:$N$3404,"headless")</f>
        <v>18</v>
      </c>
      <c r="I162" s="75">
        <f>AVERAGEIFS(data!$G$236:$G$3404,data!$B$236:$B$3404,A162,data!$L$236:$L$3404,C162,data!$K$236:$K$3404,B162,data!$N$236:$N$3404,"&lt;&gt;headless")</f>
        <v>144.16129032258064</v>
      </c>
      <c r="J162" s="201">
        <f t="array" ref="J162">STDEV(IF(data!$B$2:$B$3404=1998,IF(data!$G$2:$G$3404&lt;&gt;"",IF(data!$K$2:$K$3404="female",IF(data!$L$2:$L$3404="spent",IF(data!$N$2:$N$3404&lt;&gt;"headless",data!$G$2:$G$3404))))))</f>
        <v>11.381554592683573</v>
      </c>
      <c r="K162" s="76">
        <f>AVERAGEIFS(data!$I$236:$I$3404,data!$B$236:$B$3404,A162,data!$L$236:$L$3404,C162,data!$K$236:$K$3404,B162,data!$N$236:$N$3404,"&lt;&gt;headless")</f>
        <v>12.559375000000001</v>
      </c>
      <c r="L162" s="73">
        <f t="array" ref="L162">STDEV(IF(data!$B$2:$B$3404=1998,IF(data!$I$2:$I$3404&lt;&gt;"",IF(data!$K$2:$K$3404="female",IF(data!$L$2:$L$3404="spent",IF(data!$N$2:$N$3404&lt;&gt;"headless",data!$I$2:$I$3404))))))</f>
        <v>3.355386557702841</v>
      </c>
      <c r="M162" s="68"/>
      <c r="N162" s="68"/>
      <c r="O162" s="8"/>
      <c r="P162" s="51"/>
      <c r="Q162" s="51"/>
      <c r="R162" s="51"/>
      <c r="S162" s="8"/>
      <c r="U162" s="8"/>
    </row>
    <row r="163" spans="1:21" ht="12.75" customHeight="1" x14ac:dyDescent="0.2">
      <c r="A163" s="96">
        <v>1997</v>
      </c>
      <c r="B163" s="97" t="s">
        <v>20</v>
      </c>
      <c r="C163" s="66" t="s">
        <v>272</v>
      </c>
      <c r="D163" s="68">
        <f>AVERAGEIFS(data!$G$453:$G$3404,data!$B$453:$B$3404,A163,data!$K$453:$K$3404,B163)</f>
        <v>139.41434262948206</v>
      </c>
      <c r="E163" s="214">
        <f t="array" ref="E163">STDEV(IF(data!$B$2:$B$3404=1997,IF(data!$G$2:$G$3404&lt;&gt;"",IF(data!$K$2:$K$3404="female",data!$G$2:$G$3404))))</f>
        <v>13.219819721393153</v>
      </c>
      <c r="F163" s="68">
        <f>AVERAGEIFS(data!$I$453:$I$3404,data!$B$453:$B$3404,A163,data!$K$453:$K$3404,B163)</f>
        <v>12.077430555555555</v>
      </c>
      <c r="G163" s="214">
        <f t="array" ref="G163">STDEV(IF(data!$B$2:$B$3404=1997,IF(data!$I$2:$I$3404&lt;&gt;"",IF(data!$K$2:$K$3404="female",data!$I$2:$I$3404))))</f>
        <v>3.8704830023033154</v>
      </c>
      <c r="H163" s="97">
        <f>COUNTIFS(data!$B$453:$B$3404,A163,data!$K$453:$K$3404,B163,data!$N$453:$N$3404,"headless")</f>
        <v>52</v>
      </c>
      <c r="I163" s="82">
        <f>AVERAGEIFS(data!$G$236:$G$3404,data!$B$236:$B$3404,A163,data!$K$236:$K$3404,B163,data!$N$236:$N$3404,"&lt;&gt;headless")</f>
        <v>139.28899082568807</v>
      </c>
      <c r="J163" s="214">
        <f t="array" ref="J163">STDEV(IF(data!$B$2:$B$3404=1997,IF(data!$G$2:$G$3404&lt;&gt;"",IF(data!$K$2:$K$3404="female",IF(data!$N$2:$N$3404&lt;&gt;"headless",data!$G$2:$G$3404)))))</f>
        <v>13.221054563441628</v>
      </c>
      <c r="K163" s="83">
        <f>AVERAGEIFS(data!$I$236:$I$3404,data!$B$236:$B$3404,A163,data!$K$236:$K$3404,B163,data!$N$236:$N$3404,"&lt;&gt;headless")</f>
        <v>12.276694915254238</v>
      </c>
      <c r="L163" s="214">
        <f t="array" ref="L163">STDEV(IF(data!$B$2:$B$3404=1997,IF(data!$I$2:$I$3404&lt;&gt;"",IF(data!$K$2:$K$3404="female",IF(data!$N$2:$N$3404&lt;&gt;"headless",data!$I$2:$I$3404)))))</f>
        <v>3.9459657944802395</v>
      </c>
      <c r="M163" s="68">
        <f>AVERAGEIFS(data!$I$453:$I$3404,data!$B$453:$B$3404,A163,data!$L$453:$L$3404,N163)</f>
        <v>12.688646288209606</v>
      </c>
      <c r="N163" s="68" t="s">
        <v>30</v>
      </c>
      <c r="O163" s="8"/>
      <c r="P163" s="51"/>
      <c r="Q163" s="51"/>
      <c r="R163" s="51"/>
      <c r="S163" s="8"/>
      <c r="U163" s="8"/>
    </row>
    <row r="164" spans="1:21" ht="12.75" customHeight="1" x14ac:dyDescent="0.2">
      <c r="A164" s="98">
        <v>1997</v>
      </c>
      <c r="B164" s="8" t="s">
        <v>34</v>
      </c>
      <c r="C164" s="8"/>
      <c r="D164" s="51">
        <f>AVERAGEIFS(data!$G$453:$G$3404,data!$B$453:$B$3404,A164,data!$K$453:$K$3404,B164)</f>
        <v>155.52173913043478</v>
      </c>
      <c r="E164" s="204">
        <f t="array" ref="E164">STDEV(IF(data!$B$2:$B$3404=1997,IF(data!$G$2:$G$3404&lt;&gt;"",IF(data!$K$2:$K$3404="male",data!$G$2:$G$3404))))</f>
        <v>7.2855371376034608</v>
      </c>
      <c r="F164" s="51">
        <f>AVERAGEIFS(data!$I$453:$I$3404,data!$B$453:$B$3404,A164,data!$K$453:$K$3404,B164)</f>
        <v>18.109375</v>
      </c>
      <c r="G164" s="204">
        <f t="array" ref="G164">STDEV(IF(data!$B$2:$B$3404=1997,IF(data!$I$2:$I$3404&lt;&gt;"",IF(data!$K$2:$K$3404="male",data!$I$2:$I$3404))))</f>
        <v>4.3970928354113479</v>
      </c>
      <c r="H164" s="8">
        <f>COUNTIFS(data!$B$453:$B$3404,A164,data!$K$453:$K$3404,B164,data!$N$453:$N$3404,"headless")</f>
        <v>10</v>
      </c>
      <c r="I164" s="75">
        <f>AVERAGEIFS(data!$G$236:$G$3404,data!$B$236:$B$3404,A164,data!$K$236:$K$3404,B164,data!$N$236:$N$3404,"&lt;&gt;headless")</f>
        <v>155.52631578947367</v>
      </c>
      <c r="J164" s="204">
        <f t="array" ref="J164">STDEV(IF(data!$B$2:$B$3404=1997,IF(data!$G$2:$G$3404&lt;&gt;"",IF(data!$K$2:$K$3404="male",IF(data!$N$2:$N$3404&lt;&gt;"headless",data!$G$2:$G$3404)))))</f>
        <v>7.4786245099886859</v>
      </c>
      <c r="K164" s="76">
        <f>AVERAGEIFS(data!$I$236:$I$3404,data!$B$236:$B$3404,A164,data!$K$236:$K$3404,B164,data!$N$236:$N$3404,"&lt;&gt;headless")</f>
        <v>18.636363636363637</v>
      </c>
      <c r="L164" s="227">
        <f t="array" ref="L164">STDEV(IF(data!$B$2:$B$3404=1997,IF(data!$I$2:$I$3404&lt;&gt;"",IF(data!$K$2:$K$3404="male",IF(data!$N$2:$N$3404&lt;&gt;"headless",data!$I$2:$I$3404)))))</f>
        <v>4.875062437162601</v>
      </c>
      <c r="M164" s="68">
        <f>AVERAGEIFS(data!$I$453:$I$3404,data!$B$453:$B$3404,A164,data!$L$453:$L$3404,N164)</f>
        <v>12.688646288209606</v>
      </c>
      <c r="N164" s="68" t="s">
        <v>30</v>
      </c>
      <c r="O164" s="8"/>
      <c r="P164" s="51"/>
      <c r="Q164" s="51"/>
      <c r="R164" s="51"/>
      <c r="S164" s="8"/>
      <c r="U164" s="8"/>
    </row>
    <row r="165" spans="1:21" ht="12.75" customHeight="1" x14ac:dyDescent="0.2">
      <c r="A165" s="98">
        <v>1997</v>
      </c>
      <c r="B165" s="8" t="s">
        <v>41</v>
      </c>
      <c r="C165" s="8"/>
      <c r="D165" s="51">
        <f>AVERAGEIFS(data!$G$453:$G$3404,data!$B$453:$B$3404,A165,data!$K$453:$K$3404,B165)</f>
        <v>131</v>
      </c>
      <c r="E165" s="118"/>
      <c r="F165" s="51">
        <f>AVERAGEIFS(data!$I$453:$I$3404,data!$B$453:$B$3404,A165,data!$K$453:$K$3404,B165)</f>
        <v>8.5</v>
      </c>
      <c r="G165" s="118"/>
      <c r="H165" s="8">
        <f>COUNTIFS(data!$B$453:$B$3404,A165,data!$K$453:$K$3404,B165,data!$N$453:$N$3404,"headless")</f>
        <v>0</v>
      </c>
      <c r="I165" s="75">
        <f>AVERAGEIFS(data!$G$236:$G$3404,data!$B$236:$B$3404,A165,data!$K$236:$K$3404,B165,data!$N$236:$N$3404,"&lt;&gt;headless")</f>
        <v>131</v>
      </c>
      <c r="J165" s="204"/>
      <c r="K165" s="76">
        <f>AVERAGEIFS(data!$I$236:$I$3404,data!$B$236:$B$3404,A165,data!$K$236:$K$3404,B165,data!$N$236:$N$3404,"&lt;&gt;headless")</f>
        <v>8.5</v>
      </c>
      <c r="L165" s="204"/>
      <c r="M165" s="68">
        <f>AVERAGEIFS(data!$I$453:$I$3404,data!$B$453:$B$3404,A165,data!$L$453:$L$3404,N165)</f>
        <v>12.688646288209606</v>
      </c>
      <c r="N165" s="68" t="s">
        <v>30</v>
      </c>
      <c r="O165" s="8"/>
      <c r="P165" s="51"/>
      <c r="Q165" s="51"/>
      <c r="R165" s="51"/>
      <c r="S165" s="8"/>
      <c r="U165" s="8"/>
    </row>
    <row r="166" spans="1:21" ht="12.75" customHeight="1" x14ac:dyDescent="0.2">
      <c r="A166" s="99">
        <v>1997</v>
      </c>
      <c r="B166" s="49" t="s">
        <v>20</v>
      </c>
      <c r="C166" s="49" t="s">
        <v>30</v>
      </c>
      <c r="D166" s="73">
        <f>AVERAGEIFS(data!$G$236:$G$3404,data!$B$236:$B$3404,A166,data!$L$236:$L$3404,C166,data!$K$236:$K$3404,B166)</f>
        <v>139.57487922705315</v>
      </c>
      <c r="E166" s="73">
        <f t="array" ref="E166">STDEV(IF(data!$B$2:$B$3404=1997,IF(data!$G$2:$G$3404&lt;&gt;"",IF(data!$K$2:$K$3404="female",IF(data!$L$2:$L$3404="gravid",data!$G$2:$G$3404)))))</f>
        <v>13.430618072364776</v>
      </c>
      <c r="F166" s="73">
        <f>AVERAGEIFS(data!$I$236:$I$3404,data!$L$236:$L$3404,C166,data!$B$236:$B$3404,A166,data!$K$236:$K$3404,B166)</f>
        <v>12.688646288209606</v>
      </c>
      <c r="G166" s="73">
        <f t="array" ref="G166">STDEV(IF(data!$B$2:$B$3404=1997,IF(data!$I$2:$I$3404&lt;&gt;"",IF(data!$K$2:$K$3404="female",IF(data!$L$2:$L$3404="gravid",data!$I$2:$I$3404)))))</f>
        <v>3.8978573063260802</v>
      </c>
      <c r="H166" s="74">
        <f>COUNTIFS(data!$B$236:$B$3404,A166,data!$L$236:$L$3404,C166,data!$K$236:$K$3404,B166,data!$N$236:$N$3404,"headless")</f>
        <v>39</v>
      </c>
      <c r="I166" s="75">
        <f>AVERAGEIFS(data!$G$236:$G$3404,data!$B$236:$B$3404,A166,data!$L$236:$L$3404,C166,data!$K$236:$K$3404,B166,data!$N$236:$N$3404,"&lt;&gt;headless")</f>
        <v>139.88202247191012</v>
      </c>
      <c r="J166" s="204">
        <f t="array" ref="J166">STDEV(IF(data!$B$2:$B$3404=1997,IF(data!$G$2:$G$3404&lt;&gt;"",IF(data!$K$2:$K$3404="female",IF(data!$L$2:$L$3404="gravid",IF(data!$N$2:$N$3404&lt;&gt;"headless",data!$G$2:$G$3404))))))</f>
        <v>13.706059213476861</v>
      </c>
      <c r="K166" s="76">
        <f>AVERAGEIFS(data!$I$236:$I$3404,data!$B$236:$B$3404,A166,data!$L$236:$L$3404,C166,data!$K$236:$K$3404,B166,data!$N$236:$N$3404,"&lt;&gt;headless")</f>
        <v>12.969473684210525</v>
      </c>
      <c r="L166" s="73">
        <f t="array" ref="L166">STDEV(IF(data!$B$2:$B$3404=1997,IF(data!$I$2:$I$3404&lt;&gt;"",IF(data!$K$2:$K$3404="female",IF(data!$L$2:$L$3404="gravid",IF(data!$N$2:$N$3404&lt;&gt;"headless",data!$I$2:$I$3404))))))</f>
        <v>3.905187804065017</v>
      </c>
      <c r="M166" s="68"/>
      <c r="N166" s="68"/>
      <c r="O166" s="8"/>
      <c r="P166" s="51"/>
      <c r="Q166" s="51"/>
      <c r="R166" s="51"/>
      <c r="S166" s="8"/>
      <c r="U166" s="8"/>
    </row>
    <row r="167" spans="1:21" ht="12.75" customHeight="1" x14ac:dyDescent="0.2">
      <c r="A167" s="99">
        <v>1997</v>
      </c>
      <c r="B167" s="49" t="s">
        <v>20</v>
      </c>
      <c r="C167" s="49" t="s">
        <v>21</v>
      </c>
      <c r="D167" s="73">
        <f>AVERAGEIFS(data!$G$236:$G$3404,data!$B$236:$B$3404,A167,data!$L$236:$L$3404,C167,data!$K$236:$K$3404,B167)</f>
        <v>139.46341463414635</v>
      </c>
      <c r="E167" s="73">
        <f t="array" ref="E167">STDEV(IF(data!$B$2:$B$3404=1997,IF(data!$G$2:$G$3404&lt;&gt;"",IF(data!$K$2:$K$3404="female",IF(data!$L$2:$L$3404="spent",data!$G$2:$G$3404)))))</f>
        <v>11.878757428653069</v>
      </c>
      <c r="F167" s="73">
        <f>AVERAGEIFS(data!$I$236:$I$3404,data!$L$236:$L$3404,C167,data!$B$236:$B$3404,A167,data!$K$236:$K$3404,B167)</f>
        <v>9.8962962962962955</v>
      </c>
      <c r="G167" s="201">
        <f t="array" ref="G167">STDEV(IF(data!$B$2:$B$3404=1997,IF(data!$I$2:$I$3404&lt;&gt;"",IF(data!$K$2:$K$3404="female",IF(data!$L$2:$L$3404="spent",data!$I$2:$I$3404)))))</f>
        <v>2.6392511061128903</v>
      </c>
      <c r="H167" s="74">
        <f>COUNTIFS(data!$B$236:$B$3404,A167,data!$L$236:$L$3404,C167,data!$K$236:$K$3404,B167,data!$N$236:$N$3404,"headless")</f>
        <v>13</v>
      </c>
      <c r="I167" s="75">
        <f>AVERAGEIFS(data!$G$236:$G$3404,data!$B$236:$B$3404,A167,data!$L$236:$L$3404,C167,data!$K$236:$K$3404,B167,data!$N$236:$N$3404,"&lt;&gt;headless")</f>
        <v>137.37837837837839</v>
      </c>
      <c r="J167" s="201">
        <f t="array" ref="J167">STDEV(IF(data!$B$2:$B$3404=1997,IF(data!$G$2:$G$3404&lt;&gt;"",IF(data!$K$2:$K$3404="female",IF(data!$L$2:$L$3404="spent",IF(data!$N$2:$N$3404&lt;&gt;"headless",data!$G$2:$G$3404))))))</f>
        <v>10.012079791019532</v>
      </c>
      <c r="K167" s="76">
        <f>AVERAGEIFS(data!$I$236:$I$3404,data!$B$236:$B$3404,A167,data!$L$236:$L$3404,C167,data!$K$236:$K$3404,B167,data!$N$236:$N$3404,"&lt;&gt;headless")</f>
        <v>9.63170731707317</v>
      </c>
      <c r="L167" s="73">
        <f t="array" ref="L167">STDEV(IF(data!$B$2:$B$3404=1997,IF(data!$I$2:$I$3404&lt;&gt;"",IF(data!$K$2:$K$3404="female",IF(data!$L$2:$L$3404="spent",IF(data!$N$2:$N$3404&lt;&gt;"headless",data!$I$2:$I$3404))))))</f>
        <v>2.5785111037564166</v>
      </c>
      <c r="M167" s="68"/>
      <c r="N167" s="68"/>
      <c r="O167" s="8"/>
      <c r="P167" s="51"/>
      <c r="Q167" s="51"/>
      <c r="R167" s="51"/>
      <c r="S167" s="8"/>
      <c r="U167" s="8"/>
    </row>
    <row r="168" spans="1:21" ht="12.75" customHeight="1" x14ac:dyDescent="0.2">
      <c r="A168" s="96">
        <v>1996</v>
      </c>
      <c r="B168" s="97" t="s">
        <v>20</v>
      </c>
      <c r="C168" s="66" t="s">
        <v>272</v>
      </c>
      <c r="D168" s="68">
        <f>AVERAGEIFS(data!$G$453:$G$3404,data!$B$453:$B$3404,A168,data!$K$453:$K$3404,B168)</f>
        <v>149.47058823529412</v>
      </c>
      <c r="E168" s="214">
        <f t="array" ref="E168">STDEV(IF(data!$B$2:$B$3404=1996,IF(data!$G$2:$G$3404&lt;&gt;"",IF(data!$K$2:$K$3404="female",data!$G$2:$G$3404))))</f>
        <v>8.8207194823397597</v>
      </c>
      <c r="F168" s="68">
        <f>AVERAGEIFS(data!$I$453:$I$3404,data!$B$453:$B$3404,A168,data!$K$453:$K$3404,B168)</f>
        <v>11.857142857142858</v>
      </c>
      <c r="G168" s="214">
        <f t="array" ref="G168">STDEV(IF(data!$B$2:$B$3404=1996,IF(data!$I$2:$I$3404&lt;&gt;"",IF(data!$K$2:$K$3404="female",data!$I$2:$I$3404))))</f>
        <v>3.1336681024635533</v>
      </c>
      <c r="H168" s="97">
        <f>COUNTIFS(data!$B$453:$B$3404,A168,data!$K$453:$K$3404,B168,data!$N$453:$N$3404,"headless")</f>
        <v>23</v>
      </c>
      <c r="I168" s="82">
        <f>AVERAGEIFS(data!$G$236:$G$3404,data!$B$236:$B$3404,A168,data!$K$236:$K$3404,B168,data!$N$236:$N$3404,"&lt;&gt;headless")</f>
        <v>151.18367346938774</v>
      </c>
      <c r="J168" s="214">
        <f t="array" ref="J168">STDEV(IF(data!$B$2:$B$3404=1996,IF(data!$G$2:$G$3404&lt;&gt;"",IF(data!$K$2:$K$3404="female",IF(data!$N$2:$N$3404&lt;&gt;"headless",data!$G$2:$G$3404)))))</f>
        <v>7.6992247158067686</v>
      </c>
      <c r="K168" s="83">
        <f>AVERAGEIFS(data!$I$236:$I$3404,data!$B$236:$B$3404,A168,data!$K$236:$K$3404,B168,data!$N$236:$N$3404,"&lt;&gt;headless")</f>
        <v>12.635416666666666</v>
      </c>
      <c r="L168" s="214">
        <f t="array" ref="L168">STDEV(IF(data!$B$2:$B$3404=1996,IF(data!$I$2:$I$3404&lt;&gt;"",IF(data!$K$2:$K$3404="female",IF(data!$N$2:$N$3404&lt;&gt;"headless",data!$I$2:$I$3404)))))</f>
        <v>2.8448153350929739</v>
      </c>
      <c r="M168" s="68">
        <f>AVERAGEIFS(data!$I$453:$I$3404,data!$B$453:$B$3404,A168,data!$L$453:$L$3404,N168)</f>
        <v>16.3</v>
      </c>
      <c r="N168" s="68" t="s">
        <v>30</v>
      </c>
      <c r="O168" s="8"/>
      <c r="P168" s="51"/>
      <c r="Q168" s="51"/>
      <c r="R168" s="51"/>
      <c r="S168" s="8"/>
      <c r="U168" s="8"/>
    </row>
    <row r="169" spans="1:21" ht="12.75" customHeight="1" x14ac:dyDescent="0.2">
      <c r="A169" s="98">
        <v>1996</v>
      </c>
      <c r="B169" s="8" t="s">
        <v>34</v>
      </c>
      <c r="C169" s="8"/>
      <c r="D169" s="51">
        <f>AVERAGEIFS(data!$G$453:$G$3404,data!$B$453:$B$3404,A169,data!$K$453:$K$3404,B169)</f>
        <v>161</v>
      </c>
      <c r="E169" s="118" t="s">
        <v>498</v>
      </c>
      <c r="F169" s="51">
        <f>AVERAGEIFS(data!$I$453:$I$3404,data!$B$453:$B$3404,A169,data!$K$453:$K$3404,B169)</f>
        <v>21</v>
      </c>
      <c r="G169" s="118"/>
      <c r="H169" s="8">
        <f>COUNTIFS(data!$B$453:$B$3404,A169,data!$K$453:$K$3404,B169,data!$N$453:$N$3404,"headless")</f>
        <v>0</v>
      </c>
      <c r="I169" s="77">
        <v>152</v>
      </c>
      <c r="J169" s="204"/>
      <c r="K169" s="76">
        <f>AVERAGEIFS(data!$I$236:$I$3404,data!$B$236:$B$3404,A169,data!$K$236:$K$3404,B169,data!$N$236:$N$3404,"&lt;&gt;headless")</f>
        <v>21</v>
      </c>
      <c r="L169" s="204"/>
      <c r="M169" s="68">
        <f>AVERAGEIFS(data!$I$453:$I$3404,data!$B$453:$B$3404,A169,data!$L$453:$L$3404,N169)</f>
        <v>16.3</v>
      </c>
      <c r="N169" s="68" t="s">
        <v>30</v>
      </c>
      <c r="O169" s="8"/>
      <c r="P169" s="51"/>
      <c r="Q169" s="51"/>
      <c r="R169" s="51"/>
      <c r="S169" s="8"/>
      <c r="U169" s="8"/>
    </row>
    <row r="170" spans="1:21" ht="12.75" customHeight="1" x14ac:dyDescent="0.2">
      <c r="A170" s="98">
        <v>1996</v>
      </c>
      <c r="B170" s="8" t="s">
        <v>41</v>
      </c>
      <c r="C170" s="8"/>
      <c r="D170" s="51"/>
      <c r="E170" s="118"/>
      <c r="F170" s="51"/>
      <c r="G170" s="118"/>
      <c r="H170" s="8">
        <f>COUNTIFS(data!$B$453:$B$3404,A170,data!$K$453:$K$3404,B170,data!$N$453:$N$3404,"headless")</f>
        <v>0</v>
      </c>
      <c r="I170" s="84"/>
      <c r="J170" s="200"/>
      <c r="K170" s="78"/>
      <c r="L170" s="200"/>
      <c r="M170" s="68">
        <f>AVERAGEIFS(data!$I$453:$I$3404,data!$B$453:$B$3404,A170,data!$L$453:$L$3404,N170)</f>
        <v>16.3</v>
      </c>
      <c r="N170" s="68" t="s">
        <v>30</v>
      </c>
      <c r="O170" s="45"/>
      <c r="P170" s="45"/>
      <c r="Q170" s="45"/>
      <c r="R170" s="11"/>
      <c r="S170" s="8"/>
      <c r="U170" s="8"/>
    </row>
    <row r="171" spans="1:21" ht="12.75" customHeight="1" x14ac:dyDescent="0.2">
      <c r="A171" s="99">
        <v>1996</v>
      </c>
      <c r="B171" s="49" t="s">
        <v>20</v>
      </c>
      <c r="C171" s="49" t="s">
        <v>30</v>
      </c>
      <c r="D171" s="73">
        <f>AVERAGEIFS(data!$G$236:$G$3404,data!$B$236:$B$3404,A171,data!$L$236:$L$3404,C171,data!$K$236:$K$3404,B171)</f>
        <v>148.19999999999999</v>
      </c>
      <c r="E171" s="73">
        <f t="array" ref="E171">STDEV(IF(data!$B$2:$B$3404=1996,IF(data!$G$2:$G$3404&lt;&gt;"",IF(data!$K$2:$K$3404="female",IF(data!$L$2:$L$3404="gravid",data!$G$2:$G$3404)))))</f>
        <v>6.099180272790762</v>
      </c>
      <c r="F171" s="73">
        <f>AVERAGEIFS(data!$I$236:$I$3404,data!$L$236:$L$3404,C171,data!$B$236:$B$3404,A171,data!$K$236:$K$3404,B171)</f>
        <v>16.3</v>
      </c>
      <c r="G171" s="73">
        <f t="array" ref="G171">STDEV(IF(data!$B$2:$B$3404=1996,IF(data!$I$2:$I$3404&lt;&gt;"",IF(data!$K$2:$K$3404="female",IF(data!$L$2:$L$3404="gravid",data!$I$2:$I$3404)))))</f>
        <v>3.898717737923584</v>
      </c>
      <c r="H171" s="74">
        <f>COUNTIFS(data!$B$236:$B$3404,A171,data!$L$236:$L$3404,C171,data!$K$236:$K$3404,B171,data!$N$236:$N$3404,"headless")</f>
        <v>2</v>
      </c>
      <c r="I171" s="75">
        <f>AVERAGEIFS(data!$G$236:$G$3404,data!$B$236:$B$3404,A171,data!$L$236:$L$3404,C171,data!$K$236:$K$3404,B171,data!$N$236:$N$3404,"&lt;&gt;headless")</f>
        <v>149.66666666666666</v>
      </c>
      <c r="J171" s="204">
        <f t="array" ref="J171">STDEV(IF(data!$B$2:$B$3404=1996,IF(data!$G$2:$G$3404&lt;&gt;"",IF(data!$K$2:$K$3404="female",IF(data!$L$2:$L$3404="gravid",IF(data!$N$2:$N$3404&lt;&gt;"headless",data!$G$2:$G$3404))))))</f>
        <v>8.0829037686547611</v>
      </c>
      <c r="K171" s="76">
        <f>AVERAGEIFS(data!$I$236:$I$3404,data!$B$236:$B$3404,A171,data!$L$236:$L$3404,C171,data!$K$236:$K$3404,B171,data!$N$236:$N$3404,"&lt;&gt;headless")</f>
        <v>18.666666666666668</v>
      </c>
      <c r="L171" s="73">
        <f t="array" ref="L171">STDEV(IF(data!$B$2:$B$3404=1996,IF(data!$I$2:$I$3404&lt;&gt;"",IF(data!$K$2:$K$3404="female",IF(data!$L$2:$L$3404="gravid",IF(data!$N$2:$N$3404&lt;&gt;"headless",data!$I$2:$I$3404))))))</f>
        <v>3.0550504633038997</v>
      </c>
      <c r="M171" s="68"/>
      <c r="N171" s="68"/>
      <c r="O171" s="45"/>
      <c r="P171" s="45"/>
      <c r="Q171" s="45"/>
      <c r="R171" s="11"/>
      <c r="S171" s="8"/>
      <c r="U171" s="8"/>
    </row>
    <row r="172" spans="1:21" ht="12.75" customHeight="1" x14ac:dyDescent="0.2">
      <c r="A172" s="99">
        <v>1996</v>
      </c>
      <c r="B172" s="49" t="s">
        <v>20</v>
      </c>
      <c r="C172" s="49" t="s">
        <v>21</v>
      </c>
      <c r="D172" s="73">
        <f>AVERAGEIFS(data!$G$236:$G$3404,data!$B$236:$B$3404,A172,data!$L$236:$L$3404,C172,data!$K$236:$K$3404,B172)</f>
        <v>149.57142857142858</v>
      </c>
      <c r="E172" s="73">
        <f t="array" ref="E172">STDEV(IF(data!$B$2:$B$3404=1996,IF(data!$G$2:$G$3404&lt;&gt;"",IF(data!$K$2:$K$3404="female",IF(data!$L$2:$L$3404="spent",data!$G$2:$G$3404)))))</f>
        <v>9.0299042357553532</v>
      </c>
      <c r="F172" s="73">
        <f>AVERAGEIFS(data!$I$236:$I$3404,data!$L$236:$L$3404,C172,data!$B$236:$B$3404,A172,data!$K$236:$K$3404,B172)</f>
        <v>11.515384615384615</v>
      </c>
      <c r="G172" s="201">
        <f t="array" ref="G172">STDEV(IF(data!$B$2:$B$3404=1996,IF(data!$I$2:$I$3404&lt;&gt;"",IF(data!$K$2:$K$3404="female",IF(data!$L$2:$L$3404="spent",data!$I$2:$I$3404)))))</f>
        <v>2.8242383248204495</v>
      </c>
      <c r="H172" s="74">
        <f>COUNTIFS(data!$B$236:$B$3404,A172,data!$L$236:$L$3404,C172,data!$K$236:$K$3404,B172,data!$N$236:$N$3404,"headless")</f>
        <v>21</v>
      </c>
      <c r="I172" s="75">
        <f>AVERAGEIFS(data!$G$236:$G$3404,data!$B$236:$B$3404,A172,data!$L$236:$L$3404,C172,data!$K$236:$K$3404,B172,data!$N$236:$N$3404,"&lt;&gt;headless")</f>
        <v>151.28260869565219</v>
      </c>
      <c r="J172" s="201">
        <f t="array" ref="J172">STDEV(IF(data!$B$2:$B$3404=1996,IF(data!$G$2:$G$3404&lt;&gt;"",IF(data!$K$2:$K$3404="female",IF(data!$L$2:$L$3404="spent",IF(data!$N$2:$N$3404&lt;&gt;"headless",data!$G$2:$G$3404))))))</f>
        <v>7.7564683930489382</v>
      </c>
      <c r="K172" s="76">
        <f>AVERAGEIFS(data!$I$236:$I$3404,data!$B$236:$B$3404,A172,data!$L$236:$L$3404,C172,data!$K$236:$K$3404,B172,data!$N$236:$N$3404,"&lt;&gt;headless")</f>
        <v>12.233333333333333</v>
      </c>
      <c r="L172" s="73">
        <f t="array" ref="L172">STDEV(IF(data!$B$2:$B$3404=1996,IF(data!$I$2:$I$3404&lt;&gt;"",IF(data!$K$2:$K$3404="female",IF(data!$L$2:$L$3404="spent",IF(data!$N$2:$N$3404&lt;&gt;"headless",data!$I$2:$I$3404))))))</f>
        <v>2.3611437906235198</v>
      </c>
      <c r="M172" s="68"/>
      <c r="N172" s="68"/>
      <c r="O172" s="45"/>
      <c r="P172" s="45"/>
      <c r="Q172" s="45"/>
      <c r="R172" s="11"/>
      <c r="S172" s="8"/>
      <c r="U172" s="8"/>
    </row>
    <row r="173" spans="1:21" ht="12.75" customHeight="1" x14ac:dyDescent="0.2">
      <c r="A173" s="96">
        <v>1995</v>
      </c>
      <c r="B173" s="97" t="s">
        <v>20</v>
      </c>
      <c r="C173" s="66" t="s">
        <v>272</v>
      </c>
      <c r="D173" s="68">
        <f>AVERAGEIFS(data!$G$453:$G$3404,data!$B$453:$B$3404,A173,data!$K$453:$K$3404,B173)</f>
        <v>138.67777777777778</v>
      </c>
      <c r="E173" s="214">
        <f t="array" ref="E173">STDEV(IF(data!$B$2:$B$3404=1995,IF(data!$G$2:$G$3404&lt;&gt;"",IF(data!$K$2:$K$3404="female",data!$G$2:$G$3404))))</f>
        <v>10.878106843076523</v>
      </c>
      <c r="F173" s="68">
        <f>AVERAGEIFS(data!$I$453:$I$3404,data!$B$453:$B$3404,A173,data!$K$453:$K$3404,B173)</f>
        <v>11.96129032258065</v>
      </c>
      <c r="G173" s="214">
        <f t="array" ref="G173">STDEV(IF(data!$B$2:$B$3404=1995,IF(data!$I$2:$I$3404&lt;&gt;"",IF(data!$K$2:$K$3404="female",data!$I$2:$I$3404))))</f>
        <v>3.1231962536333655</v>
      </c>
      <c r="H173" s="97">
        <f>COUNTIFS(data!$B$453:$B$3404,A173,data!$K$453:$K$3404,B173,data!$N$453:$N$3404,"headless")</f>
        <v>31</v>
      </c>
      <c r="I173" s="82">
        <f>AVERAGEIFS(data!$G$236:$G$3404,data!$B$236:$B$3404,A173,data!$K$236:$K$3404,B173,data!$N$236:$N$3404,"&lt;&gt;headless")</f>
        <v>138.96825396825398</v>
      </c>
      <c r="J173" s="214">
        <f t="array" ref="J173">STDEV(IF(data!$B$2:$B$3404=1995,IF(data!$G$2:$G$3404&lt;&gt;"",IF(data!$K$2:$K$3404="female",IF(data!$N$2:$N$3404&lt;&gt;"headless",data!$G$2:$G$3404)))))</f>
        <v>11.112283604291319</v>
      </c>
      <c r="K173" s="83">
        <f>AVERAGEIFS(data!$I$236:$I$3404,data!$B$236:$B$3404,A173,data!$K$236:$K$3404,B173,data!$N$236:$N$3404,"&lt;&gt;headless")</f>
        <v>12.53809523809525</v>
      </c>
      <c r="L173" s="214">
        <f t="array" ref="L173">STDEV(IF(data!$B$2:$B$3404=1995,IF(data!$I$2:$I$3404&lt;&gt;"",IF(data!$K$2:$K$3404="female",IF(data!$N$2:$N$3404&lt;&gt;"headless",data!$I$2:$I$3404)))))</f>
        <v>3.0628591202964408</v>
      </c>
      <c r="M173" s="68">
        <f>AVERAGEIFS(data!$I$453:$I$3404,data!$B$453:$B$3404,A173,data!$L$453:$L$3404,N173)</f>
        <v>12.60757575757577</v>
      </c>
      <c r="N173" s="68" t="s">
        <v>30</v>
      </c>
      <c r="O173" s="45"/>
      <c r="P173" s="45"/>
      <c r="Q173" s="45"/>
      <c r="R173" s="11"/>
      <c r="S173" s="8"/>
      <c r="U173" s="8"/>
    </row>
    <row r="174" spans="1:21" ht="12.75" customHeight="1" x14ac:dyDescent="0.2">
      <c r="A174" s="98">
        <v>1995</v>
      </c>
      <c r="B174" s="8" t="s">
        <v>34</v>
      </c>
      <c r="C174" s="8"/>
      <c r="D174" s="51">
        <f>AVERAGEIFS(data!$G$453:$G$3404,data!$B$453:$B$3404,A174,data!$K$453:$K$3404,B174)</f>
        <v>151</v>
      </c>
      <c r="E174" s="204">
        <f t="array" ref="E174">STDEV(IF(data!$B$2:$B$3404=1995,IF(data!$G$2:$G$3404&lt;&gt;"",IF(data!$K$2:$K$3404="male",data!$G$2:$G$3404))))</f>
        <v>11.241158141563366</v>
      </c>
      <c r="F174" s="51">
        <f>AVERAGEIFS(data!$I$453:$I$3404,data!$B$453:$B$3404,A174,data!$K$453:$K$3404,B174)</f>
        <v>17.783333333333331</v>
      </c>
      <c r="G174" s="204">
        <f t="array" ref="G174">STDEV(IF(data!$B$2:$B$3404=1995,IF(data!$I$2:$I$3404&lt;&gt;"",IF(data!$K$2:$K$3404="male",data!$I$2:$I$3404))))</f>
        <v>2.6350205565295779</v>
      </c>
      <c r="H174" s="8">
        <f>COUNTIFS(data!$B$453:$B$3404,A174,data!$K$453:$K$3404,B174,data!$N$453:$N$3404,"headless")</f>
        <v>3</v>
      </c>
      <c r="I174" s="75">
        <f>AVERAGEIFS(data!$G$236:$G$3404,data!$B$236:$B$3404,A174,data!$K$236:$K$3404,B174,data!$N$236:$N$3404,"&lt;&gt;headless")</f>
        <v>152.30000000000001</v>
      </c>
      <c r="J174" s="204">
        <f t="array" ref="J174">STDEV(IF(data!$B$2:$B$3404=1995,IF(data!$G$2:$G$3404&lt;&gt;"",IF(data!$K$2:$K$3404="male",IF(data!$N$2:$N$3404&lt;&gt;"headless",data!$G$2:$G$3404)))))</f>
        <v>10.667187487284965</v>
      </c>
      <c r="K174" s="76">
        <f>AVERAGEIFS(data!$I$236:$I$3404,data!$B$236:$B$3404,A174,data!$K$236:$K$3404,B174,data!$N$236:$N$3404,"&lt;&gt;headless")</f>
        <v>17.869999999999997</v>
      </c>
      <c r="L174" s="227">
        <f t="array" ref="L174">STDEV(IF(data!$B$2:$B$3404=1995,IF(data!$I$2:$I$3404&lt;&gt;"",IF(data!$K$2:$K$3404="male",IF(data!$N$2:$N$3404&lt;&gt;"headless",data!$I$2:$I$3404)))))</f>
        <v>2.9021256577435315</v>
      </c>
      <c r="M174" s="68">
        <f>AVERAGEIFS(data!$I$453:$I$3404,data!$B$453:$B$3404,A174,data!$L$453:$L$3404,N174)</f>
        <v>12.60757575757577</v>
      </c>
      <c r="N174" s="68" t="s">
        <v>30</v>
      </c>
      <c r="O174" s="45"/>
      <c r="P174" s="45"/>
      <c r="Q174" s="45"/>
      <c r="R174" s="11"/>
      <c r="S174" s="8"/>
      <c r="U174" s="8"/>
    </row>
    <row r="175" spans="1:21" ht="12.75" customHeight="1" x14ac:dyDescent="0.2">
      <c r="A175" s="98">
        <v>1995</v>
      </c>
      <c r="B175" s="8" t="s">
        <v>41</v>
      </c>
      <c r="C175" s="8"/>
      <c r="D175" s="51">
        <f>AVERAGEIFS(data!$G$453:$G$3404,data!$B$453:$B$3404,A175,data!$K$453:$K$3404,B175)</f>
        <v>121.5</v>
      </c>
      <c r="E175" s="118"/>
      <c r="F175" s="51">
        <f>AVERAGEIFS(data!$I$453:$I$3404,data!$B$453:$B$3404,A175,data!$K$453:$K$3404,B175)</f>
        <v>6.8500000000000005</v>
      </c>
      <c r="G175" s="118"/>
      <c r="H175" s="8">
        <f>COUNTIFS(data!$B$453:$B$3404,A175,data!$K$453:$K$3404,B175,data!$N$453:$N$3404,"headless")</f>
        <v>3</v>
      </c>
      <c r="I175" s="75">
        <f>AVERAGEIFS(data!$G$236:$G$3404,data!$B$236:$B$3404,A175,data!$K$236:$K$3404,B175,data!$N$236:$N$3404,"&lt;&gt;headless")</f>
        <v>119.33333333333333</v>
      </c>
      <c r="J175" s="204"/>
      <c r="K175" s="76">
        <f>AVERAGEIFS(data!$I$236:$I$3404,data!$B$236:$B$3404,A175,data!$K$236:$K$3404,B175,data!$N$236:$N$3404,"&lt;&gt;headless")</f>
        <v>6.6166666666666663</v>
      </c>
      <c r="L175" s="204"/>
      <c r="M175" s="68">
        <f>AVERAGEIFS(data!$I$453:$I$3404,data!$B$453:$B$3404,A175,data!$L$453:$L$3404,N175)</f>
        <v>12.60757575757577</v>
      </c>
      <c r="N175" s="68" t="s">
        <v>30</v>
      </c>
      <c r="O175" s="45"/>
      <c r="P175" s="45"/>
      <c r="Q175" s="45"/>
      <c r="R175" s="11"/>
      <c r="S175" s="8"/>
      <c r="U175" s="8"/>
    </row>
    <row r="176" spans="1:21" ht="12.75" customHeight="1" x14ac:dyDescent="0.2">
      <c r="A176" s="99">
        <v>1995</v>
      </c>
      <c r="B176" s="49" t="s">
        <v>20</v>
      </c>
      <c r="C176" s="49" t="s">
        <v>30</v>
      </c>
      <c r="D176" s="73">
        <f>AVERAGEIFS(data!$G$236:$G$3404,data!$B$236:$B$3404,A176,data!$L$236:$L$3404,C176,data!$K$236:$K$3404,B176)</f>
        <v>137.65151515151516</v>
      </c>
      <c r="E176" s="73">
        <f t="array" ref="E176">STDEV(IF(data!$B$2:$B$3404=1995,IF(data!$G$2:$G$3404&lt;&gt;"",IF(data!$K$2:$K$3404="female",IF(data!$L$2:$L$3404="gravid",data!$G$2:$G$3404)))))</f>
        <v>11.172070153519069</v>
      </c>
      <c r="F176" s="73">
        <f>AVERAGEIFS(data!$I$236:$I$3404,data!$L$236:$L$3404,C176,data!$B$236:$B$3404,A176,data!$K$236:$K$3404,B176)</f>
        <v>12.60757575757577</v>
      </c>
      <c r="G176" s="73">
        <f t="array" ref="G176">STDEV(IF(data!$B$2:$B$3404=1995,IF(data!$I$2:$I$3404&lt;&gt;"",IF(data!$K$2:$K$3404="female",IF(data!$L$2:$L$3404="gravid",data!$I$2:$I$3404)))))</f>
        <v>3.011276785482786</v>
      </c>
      <c r="H176" s="74">
        <f>COUNTIFS(data!$B$236:$B$3404,A176,data!$L$236:$L$3404,C176,data!$K$236:$K$3404,B176,data!$N$236:$N$3404,"headless")</f>
        <v>17</v>
      </c>
      <c r="I176" s="75">
        <f>AVERAGEIFS(data!$G$236:$G$3404,data!$B$236:$B$3404,A176,data!$L$236:$L$3404,C176,data!$K$236:$K$3404,B176,data!$N$236:$N$3404,"&lt;&gt;headless")</f>
        <v>138.22448979591837</v>
      </c>
      <c r="J176" s="204">
        <f t="array" ref="J176">STDEV(IF(data!$B$2:$B$3404=1995,IF(data!$G$2:$G$3404&lt;&gt;"",IF(data!$K$2:$K$3404="female",IF(data!$L$2:$L$3404="gravid",IF(data!$N$2:$N$3404&lt;&gt;"headless",data!$G$2:$G$3404))))))</f>
        <v>11.489606364961713</v>
      </c>
      <c r="K176" s="76">
        <f>AVERAGEIFS(data!$I$236:$I$3404,data!$B$236:$B$3404,A176,data!$L$236:$L$3404,C176,data!$K$236:$K$3404,B176,data!$N$236:$N$3404,"&lt;&gt;headless")</f>
        <v>12.897959183673478</v>
      </c>
      <c r="L176" s="73">
        <f t="array" ref="L176">STDEV(IF(data!$B$2:$B$3404=1995,IF(data!$I$2:$I$3404&lt;&gt;"",IF(data!$K$2:$K$3404="female",IF(data!$L$2:$L$3404="gravid",IF(data!$N$2:$N$3404&lt;&gt;"headless",data!$I$2:$I$3404))))))</f>
        <v>3.0636640506043933</v>
      </c>
      <c r="M176" s="68"/>
      <c r="N176" s="68"/>
      <c r="O176" s="45"/>
      <c r="P176" s="45"/>
      <c r="Q176" s="45"/>
      <c r="R176" s="11"/>
      <c r="S176" s="8"/>
      <c r="U176" s="8"/>
    </row>
    <row r="177" spans="1:21" ht="12.75" customHeight="1" x14ac:dyDescent="0.2">
      <c r="A177" s="99">
        <v>1995</v>
      </c>
      <c r="B177" s="49" t="s">
        <v>20</v>
      </c>
      <c r="C177" s="49" t="s">
        <v>21</v>
      </c>
      <c r="D177" s="73">
        <f>AVERAGEIFS(data!$G$236:$G$3404,data!$B$236:$B$3404,A177,data!$L$236:$L$3404,C177,data!$K$236:$K$3404,B177)</f>
        <v>142</v>
      </c>
      <c r="E177" s="73">
        <f t="array" ref="E177">STDEV(IF(data!$B$2:$B$3404=1995,IF(data!$G$2:$G$3404&lt;&gt;"",IF(data!$K$2:$K$3404="female",IF(data!$L$2:$L$3404="spent",data!$G$2:$G$3404)))))</f>
        <v>9.9379024327020211</v>
      </c>
      <c r="F177" s="73">
        <f>AVERAGEIFS(data!$I$236:$I$3404,data!$L$236:$L$3404,C177,data!$B$236:$B$3404,A177,data!$K$236:$K$3404,B177)</f>
        <v>10.673913043478256</v>
      </c>
      <c r="G177" s="201">
        <f t="array" ref="G177">STDEV(IF(data!$B$2:$B$3404=1995,IF(data!$I$2:$I$3404&lt;&gt;"",IF(data!$K$2:$K$3404="female",IF(data!$L$2:$L$3404="spent",data!$I$2:$I$3404)))))</f>
        <v>2.911921794545568</v>
      </c>
      <c r="H177" s="74">
        <f>COUNTIFS(data!$B$236:$B$3404,A177,data!$L$236:$L$3404,C177,data!$K$236:$K$3404,B177,data!$N$236:$N$3404,"headless")</f>
        <v>11</v>
      </c>
      <c r="I177" s="75">
        <f>AVERAGEIFS(data!$G$236:$G$3404,data!$B$236:$B$3404,A177,data!$L$236:$L$3404,C177,data!$K$236:$K$3404,B177,data!$N$236:$N$3404,"&lt;&gt;headless")</f>
        <v>142.23076923076923</v>
      </c>
      <c r="J177" s="201">
        <f t="array" ref="J177">STDEV(IF(data!$B$2:$B$3404=1995,IF(data!$G$2:$G$3404&lt;&gt;"",IF(data!$K$2:$K$3404="female",IF(data!$L$2:$L$3404="spent",IF(data!$N$2:$N$3404&lt;&gt;"headless",data!$G$2:$G$3404))))))</f>
        <v>9.6536163012783813</v>
      </c>
      <c r="K177" s="76">
        <f>AVERAGEIFS(data!$I$236:$I$3404,data!$B$236:$B$3404,A177,data!$L$236:$L$3404,C177,data!$K$236:$K$3404,B177,data!$N$236:$N$3404,"&lt;&gt;headless")</f>
        <v>11.446153846153845</v>
      </c>
      <c r="L177" s="73">
        <f t="array" ref="L177">STDEV(IF(data!$B$2:$B$3404=1995,IF(data!$I$2:$I$3404&lt;&gt;"",IF(data!$K$2:$K$3404="female",IF(data!$L$2:$L$3404="spent",IF(data!$N$2:$N$3404&lt;&gt;"headless",data!$I$2:$I$3404))))))</f>
        <v>2.8494488895853189</v>
      </c>
      <c r="M177" s="68"/>
      <c r="N177" s="68"/>
      <c r="O177" s="45"/>
      <c r="P177" s="45"/>
      <c r="Q177" s="45"/>
      <c r="R177" s="11"/>
      <c r="S177" s="8"/>
      <c r="U177" s="8"/>
    </row>
    <row r="178" spans="1:21" ht="12.75" customHeight="1" x14ac:dyDescent="0.2">
      <c r="A178" s="96">
        <v>1994</v>
      </c>
      <c r="B178" s="97" t="s">
        <v>20</v>
      </c>
      <c r="C178" s="66" t="s">
        <v>272</v>
      </c>
      <c r="D178" s="68">
        <f>AVERAGEIFS(data!$G$453:$G$3404,data!$B$453:$B$3404,A178,data!$K$453:$K$3404,B178)</f>
        <v>149.09722222222223</v>
      </c>
      <c r="E178" s="214">
        <f t="array" ref="E178">STDEV(IF(data!$B$2:$B$3404=1994,IF(data!$G$2:$G$3404&lt;&gt;"",IF(data!$K$2:$K$3404="female",data!$G$2:$G$3404))))</f>
        <v>15.358770235965837</v>
      </c>
      <c r="F178" s="68">
        <f>AVERAGEIFS(data!$I$453:$I$3404,data!$B$453:$B$3404,A178,data!$K$453:$K$3404,B178)</f>
        <v>12.49259259259259</v>
      </c>
      <c r="G178" s="214">
        <f t="array" ref="G178">STDEV(IF(data!$B$2:$B$3404=1994,IF(data!$I$2:$I$3404&lt;&gt;"",IF(data!$K$2:$K$3404="female",data!$I$2:$I$3404))))</f>
        <v>3.842063707046091</v>
      </c>
      <c r="H178" s="97">
        <f>COUNTIFS(data!$B$453:$B$3404,A178,data!$K$453:$K$3404,B178,data!$N$453:$N$3404,"headless")</f>
        <v>20</v>
      </c>
      <c r="I178" s="82">
        <f>AVERAGEIFS(data!$G$236:$G$3404,data!$B$236:$B$3404,A178,data!$K$236:$K$3404,B178,data!$N$236:$N$3404,"&lt;&gt;headless")</f>
        <v>147.47169811320754</v>
      </c>
      <c r="J178" s="214">
        <f t="array" ref="J178">STDEV(IF(data!$B$2:$B$3404=1994,IF(data!$G$2:$G$3404&lt;&gt;"",IF(data!$K$2:$K$3404="female",IF(data!$N$2:$N$3404&lt;&gt;"headless",data!$G$2:$G$3404)))))</f>
        <v>15.985093745766997</v>
      </c>
      <c r="K178" s="83">
        <f>AVERAGEIFS(data!$I$236:$I$3404,data!$B$236:$B$3404,A178,data!$K$236:$K$3404,B178,data!$N$236:$N$3404,"&lt;&gt;headless")</f>
        <v>12.430952380952382</v>
      </c>
      <c r="L178" s="214">
        <f t="array" ref="L178">STDEV(IF(data!$B$2:$B$3404=1994,IF(data!$I$2:$I$3404&lt;&gt;"",IF(data!$K$2:$K$3404="female",IF(data!$N$2:$N$3404&lt;&gt;"headless",data!$I$2:$I$3404)))))</f>
        <v>3.9009372291758035</v>
      </c>
      <c r="M178" s="68">
        <f>AVERAGEIFS(data!$I$453:$I$3404,data!$B$453:$B$3404,A178,data!$L$453:$L$3404,N178)</f>
        <v>14.100000000000001</v>
      </c>
      <c r="N178" s="68" t="s">
        <v>30</v>
      </c>
      <c r="O178" s="45"/>
      <c r="P178" s="45"/>
      <c r="Q178" s="45"/>
      <c r="R178" s="11"/>
      <c r="S178" s="8"/>
      <c r="U178" s="8"/>
    </row>
    <row r="179" spans="1:21" ht="12.75" customHeight="1" x14ac:dyDescent="0.2">
      <c r="A179" s="98">
        <v>1994</v>
      </c>
      <c r="B179" s="8" t="s">
        <v>34</v>
      </c>
      <c r="C179" s="8"/>
      <c r="D179" s="51">
        <f>AVERAGEIFS(data!$G$453:$G$3404,data!$B$453:$B$3404,A179,data!$K$453:$K$3404,B179)</f>
        <v>160.92307692307693</v>
      </c>
      <c r="E179" s="204">
        <f t="array" ref="E179">STDEV(IF(data!$B$2:$B$3404=1994,IF(data!$G$2:$G$3404&lt;&gt;"",IF(data!$K$2:$K$3404="male",data!$G$2:$G$3404))))</f>
        <v>8.4109208618075666</v>
      </c>
      <c r="F179" s="51">
        <f>AVERAGEIFS(data!$I$453:$I$3404,data!$B$453:$B$3404,A179,data!$K$453:$K$3404,B179)</f>
        <v>19.25</v>
      </c>
      <c r="G179" s="204">
        <f t="array" ref="G179">STDEV(IF(data!$B$2:$B$3404=1994,IF(data!$I$2:$I$3404&lt;&gt;"",IF(data!$K$2:$K$3404="male",data!$I$2:$I$3404))))</f>
        <v>3.9528470752104741</v>
      </c>
      <c r="H179" s="8">
        <f>COUNTIFS(data!$B$453:$B$3404,A179,data!$K$453:$K$3404,B179,data!$N$453:$N$3404,"headless")</f>
        <v>6</v>
      </c>
      <c r="I179" s="75">
        <f>AVERAGEIFS(data!$G$236:$G$3404,data!$B$236:$B$3404,A179,data!$K$236:$K$3404,B179,data!$N$236:$N$3404,"&lt;&gt;headless")</f>
        <v>163.14285714285714</v>
      </c>
      <c r="J179" s="204">
        <f t="array" ref="J179">STDEV(IF(data!$B$2:$B$3404=1994,IF(data!$G$2:$G$3404&lt;&gt;"",IF(data!$K$2:$K$3404="male",IF(data!$N$2:$N$3404&lt;&gt;"headless",data!$G$2:$G$3404)))))</f>
        <v>6.8417485929785382</v>
      </c>
      <c r="K179" s="76">
        <f>AVERAGEIFS(data!$I$236:$I$3404,data!$B$236:$B$3404,A179,data!$K$236:$K$3404,B179,data!$N$236:$N$3404,"&lt;&gt;headless")</f>
        <v>20.75</v>
      </c>
      <c r="L179" s="227">
        <f t="array" ref="L179">STDEV(IF(data!$B$2:$B$3404=1994,IF(data!$I$2:$I$3404&lt;&gt;"",IF(data!$K$2:$K$3404="male",IF(data!$N$2:$N$3404&lt;&gt;"headless",data!$I$2:$I$3404)))))</f>
        <v>4.0218155104380413</v>
      </c>
      <c r="M179" s="68">
        <f>AVERAGEIFS(data!$I$453:$I$3404,data!$B$453:$B$3404,A179,data!$L$453:$L$3404,N179)</f>
        <v>14.100000000000001</v>
      </c>
      <c r="N179" s="68" t="s">
        <v>30</v>
      </c>
      <c r="O179" s="45"/>
      <c r="P179" s="45"/>
      <c r="Q179" s="45"/>
      <c r="R179" s="11"/>
      <c r="S179" s="8"/>
      <c r="U179" s="8"/>
    </row>
    <row r="180" spans="1:21" ht="12.75" customHeight="1" x14ac:dyDescent="0.2">
      <c r="A180" s="98">
        <v>1994</v>
      </c>
      <c r="B180" s="8" t="s">
        <v>41</v>
      </c>
      <c r="C180" s="8"/>
      <c r="D180" s="51">
        <f>AVERAGEIFS(data!$G$453:$G$3404,data!$B$453:$B$3404,A180,data!$K$453:$K$3404,B180)</f>
        <v>97</v>
      </c>
      <c r="E180" s="118"/>
      <c r="F180" s="51">
        <f>AVERAGEIFS(data!$I$453:$I$3404,data!$B$453:$B$3404,A180,data!$K$453:$K$3404,B180)</f>
        <v>4.833333333333333</v>
      </c>
      <c r="G180" s="118"/>
      <c r="H180" s="8">
        <f>COUNTIFS(data!$B$453:$B$3404,A180,data!$K$453:$K$3404,B180,data!$N$453:$N$3404,"headless")</f>
        <v>0</v>
      </c>
      <c r="I180" s="75">
        <f>AVERAGEIFS(data!$G$236:$G$3404,data!$B$236:$B$3404,A180,data!$K$236:$K$3404,B180,data!$N$236:$N$3404,"&lt;&gt;headless")</f>
        <v>97</v>
      </c>
      <c r="J180" s="204"/>
      <c r="K180" s="76">
        <f>AVERAGEIFS(data!$I$236:$I$3404,data!$B$236:$B$3404,A180,data!$K$236:$K$3404,B180,data!$N$236:$N$3404,"&lt;&gt;headless")</f>
        <v>4.833333333333333</v>
      </c>
      <c r="L180" s="204"/>
      <c r="M180" s="68">
        <f>AVERAGEIFS(data!$I$453:$I$3404,data!$B$453:$B$3404,A180,data!$L$453:$L$3404,N180)</f>
        <v>14.100000000000001</v>
      </c>
      <c r="N180" s="68" t="s">
        <v>30</v>
      </c>
      <c r="O180" s="45"/>
      <c r="P180" s="45"/>
      <c r="Q180" s="45"/>
      <c r="R180" s="11"/>
      <c r="S180" s="8"/>
      <c r="U180" s="8"/>
    </row>
    <row r="181" spans="1:21" ht="12.75" customHeight="1" x14ac:dyDescent="0.2">
      <c r="A181" s="99">
        <v>1994</v>
      </c>
      <c r="B181" s="49" t="s">
        <v>20</v>
      </c>
      <c r="C181" s="49" t="s">
        <v>30</v>
      </c>
      <c r="D181" s="73">
        <f>AVERAGEIFS(data!$G$236:$G$3404,data!$B$236:$B$3404,A181,data!$L$236:$L$3404,C181,data!$K$236:$K$3404,B181)</f>
        <v>149.02500000000001</v>
      </c>
      <c r="E181" s="73">
        <f t="array" ref="E181">STDEV(IF(data!$B$2:$B$3404=1994,IF(data!$G$2:$G$3404&lt;&gt;"",IF(data!$K$2:$K$3404="female",IF(data!$L$2:$L$3404="gravid",data!$G$2:$G$3404)))))</f>
        <v>15.570332572243144</v>
      </c>
      <c r="F181" s="73">
        <f>AVERAGEIFS(data!$I$236:$I$3404,data!$L$236:$L$3404,C181,data!$B$236:$B$3404,A181,data!$K$236:$K$3404,B181)</f>
        <v>14.100000000000001</v>
      </c>
      <c r="G181" s="73">
        <f t="array" ref="G181">STDEV(IF(data!$B$2:$B$3404=1994,IF(data!$I$2:$I$3404&lt;&gt;"",IF(data!$K$2:$K$3404="female",IF(data!$L$2:$L$3404="gravid",data!$I$2:$I$3404)))))</f>
        <v>3.511613385814071</v>
      </c>
      <c r="H181" s="74">
        <f>COUNTIFS(data!$B$236:$B$3404,A181,data!$L$236:$L$3404,C181,data!$K$236:$K$3404,B181,data!$N$236:$N$3404,"headless")</f>
        <v>12</v>
      </c>
      <c r="I181" s="75">
        <f>AVERAGEIFS(data!$G$236:$G$3404,data!$B$236:$B$3404,A181,data!$L$236:$L$3404,C181,data!$K$236:$K$3404,B181,data!$N$236:$N$3404,"&lt;&gt;headless")</f>
        <v>147</v>
      </c>
      <c r="J181" s="204">
        <f t="array" ref="J181">STDEV(IF(data!$B$2:$B$3404=1994,IF(data!$G$2:$G$3404&lt;&gt;"",IF(data!$K$2:$K$3404="female",IF(data!$L$2:$L$3404="gravid",IF(data!$N$2:$N$3404&lt;&gt;"headless",data!$G$2:$G$3404))))))</f>
        <v>16.26402528645718</v>
      </c>
      <c r="K181" s="76">
        <f>AVERAGEIFS(data!$I$236:$I$3404,data!$B$236:$B$3404,A181,data!$L$236:$L$3404,C181,data!$K$236:$K$3404,B181,data!$N$236:$N$3404,"&lt;&gt;headless")</f>
        <v>13.836363636363638</v>
      </c>
      <c r="L181" s="73">
        <f t="array" ref="L181">STDEV(IF(data!$B$2:$B$3404=1994,IF(data!$I$2:$I$3404&lt;&gt;"",IF(data!$K$2:$K$3404="female",IF(data!$L$2:$L$3404="gravid",IF(data!$N$2:$N$3404&lt;&gt;"headless",data!$I$2:$I$3404))))))</f>
        <v>3.7335729669536426</v>
      </c>
      <c r="M181" s="68"/>
      <c r="N181" s="68"/>
      <c r="O181" s="45"/>
      <c r="P181" s="45"/>
      <c r="Q181" s="45"/>
      <c r="R181" s="11"/>
      <c r="S181" s="8"/>
      <c r="U181" s="8"/>
    </row>
    <row r="182" spans="1:21" ht="12.75" customHeight="1" x14ac:dyDescent="0.2">
      <c r="A182" s="99">
        <v>1994</v>
      </c>
      <c r="B182" s="49" t="s">
        <v>20</v>
      </c>
      <c r="C182" s="49" t="s">
        <v>21</v>
      </c>
      <c r="D182" s="73">
        <f>AVERAGEIFS(data!$G$236:$G$3404,data!$B$236:$B$3404,A182,data!$L$236:$L$3404,C182,data!$K$236:$K$3404,B182)</f>
        <v>152.52000000000001</v>
      </c>
      <c r="E182" s="73">
        <f t="array" ref="E182">STDEV(IF(data!$B$2:$B$3404=1994,IF(data!$G$2:$G$3404&lt;&gt;"",IF(data!$K$2:$K$3404="female",IF(data!$L$2:$L$3404="spent",data!$G$2:$G$3404)))))</f>
        <v>13.732928796630869</v>
      </c>
      <c r="F182" s="73">
        <f>AVERAGEIFS(data!$I$236:$I$3404,data!$L$236:$L$3404,C182,data!$B$236:$B$3404,A182,data!$K$236:$K$3404,B182)</f>
        <v>11.104761904761904</v>
      </c>
      <c r="G182" s="201">
        <f t="array" ref="G182">STDEV(IF(data!$B$2:$B$3404=1994,IF(data!$I$2:$I$3404&lt;&gt;"",IF(data!$K$2:$K$3404="female",IF(data!$L$2:$L$3404="spent",data!$I$2:$I$3404)))))</f>
        <v>3.4402726912958799</v>
      </c>
      <c r="H182" s="74">
        <f>COUNTIFS(data!$B$236:$B$3404,A182,data!$L$236:$L$3404,C182,data!$K$236:$K$3404,B182,data!$N$236:$N$3404,"headless")</f>
        <v>7</v>
      </c>
      <c r="I182" s="75">
        <f>AVERAGEIFS(data!$G$236:$G$3404,data!$B$236:$B$3404,A182,data!$L$236:$L$3404,C182,data!$K$236:$K$3404,B182,data!$N$236:$N$3404,"&lt;&gt;headless")</f>
        <v>152.16666666666666</v>
      </c>
      <c r="J182" s="201">
        <f t="array" ref="J182">STDEV(IF(data!$B$2:$B$3404=1994,IF(data!$G$2:$G$3404&lt;&gt;"",IF(data!$K$2:$K$3404="female",IF(data!$L$2:$L$3404="spent",IF(data!$N$2:$N$3404&lt;&gt;"headless",data!$G$2:$G$3404))))))</f>
        <v>14.386472404147382</v>
      </c>
      <c r="K182" s="76">
        <f>AVERAGEIFS(data!$I$236:$I$3404,data!$B$236:$B$3404,A182,data!$L$236:$L$3404,C182,data!$K$236:$K$3404,B182,data!$N$236:$N$3404,"&lt;&gt;headless")</f>
        <v>11.574999999999999</v>
      </c>
      <c r="L182" s="73">
        <f t="array" ref="L182">STDEV(IF(data!$B$2:$B$3404=1994,IF(data!$I$2:$I$3404&lt;&gt;"",IF(data!$K$2:$K$3404="female",IF(data!$L$2:$L$3404="spent",IF(data!$N$2:$N$3404&lt;&gt;"headless",data!$I$2:$I$3404))))))</f>
        <v>3.5884072604244217</v>
      </c>
      <c r="M182" s="68"/>
      <c r="N182" s="68"/>
      <c r="O182" s="45"/>
      <c r="P182" s="45"/>
      <c r="Q182" s="45"/>
      <c r="R182" s="11"/>
      <c r="S182" s="8"/>
      <c r="U182" s="8"/>
    </row>
    <row r="183" spans="1:21" ht="12.75" customHeight="1" x14ac:dyDescent="0.2">
      <c r="A183" s="96">
        <v>1993</v>
      </c>
      <c r="B183" s="97" t="s">
        <v>20</v>
      </c>
      <c r="C183" s="66" t="s">
        <v>272</v>
      </c>
      <c r="D183" s="68">
        <f>AVERAGEIFS(data!$G$453:$G$3404,data!$B$453:$B$3404,A183,data!$K$453:$K$3404,B183)</f>
        <v>149.69354838709677</v>
      </c>
      <c r="E183" s="214">
        <f t="array" ref="E183">STDEV(IF(data!$B$2:$B$3404=1993,IF(data!$G$2:$G$3404&lt;&gt;"",IF(data!$K$2:$K$3404="female",data!$G$2:$G$3404))))</f>
        <v>8.812571784270709</v>
      </c>
      <c r="F183" s="68">
        <f>AVERAGEIFS(data!$I$453:$I$3404,data!$B$453:$B$3404,A183,data!$K$453:$K$3404,B183)</f>
        <v>15.338461538461537</v>
      </c>
      <c r="G183" s="214">
        <f t="array" ref="G183">STDEV(IF(data!$B$2:$B$3404=1993,IF(data!$I$2:$I$3404&lt;&gt;"",IF(data!$K$2:$K$3404="female",data!$I$2:$I$3404))))</f>
        <v>3.0318381289769349</v>
      </c>
      <c r="H183" s="97">
        <f>COUNTIFS(data!$B$453:$B$3404,A183,data!$K$453:$K$3404,B183,data!$N$453:$N$3404,"headless")</f>
        <v>28</v>
      </c>
      <c r="I183" s="82">
        <f>AVERAGEIFS(data!$G$236:$G$3404,data!$B$236:$B$3404,A183,data!$K$236:$K$3404,B183,data!$N$236:$N$3404,"&lt;&gt;headless")</f>
        <v>149.04950495049505</v>
      </c>
      <c r="J183" s="214">
        <f t="array" ref="J183">STDEV(IF(data!$B$2:$B$3404=1993,IF(data!$G$2:$G$3404&lt;&gt;"",IF(data!$K$2:$K$3404="female",IF(data!$N$2:$N$3404&lt;&gt;"headless",data!$G$2:$G$3404)))))</f>
        <v>8.7617078673324453</v>
      </c>
      <c r="K183" s="83">
        <f>AVERAGEIFS(data!$I$236:$I$3404,data!$B$236:$B$3404,A183,data!$K$236:$K$3404,B183,data!$N$236:$N$3404,"&lt;&gt;headless")</f>
        <v>15.181632653061222</v>
      </c>
      <c r="L183" s="214">
        <f t="array" ref="L183">STDEV(IF(data!$B$2:$B$3404=1993,IF(data!$I$2:$I$3404&lt;&gt;"",IF(data!$K$2:$K$3404="female",IF(data!$N$2:$N$3404&lt;&gt;"headless",data!$I$2:$I$3404)))))</f>
        <v>3.070153860907388</v>
      </c>
      <c r="M183" s="68">
        <f>AVERAGEIFS(data!$I$453:$I$3404,data!$B$453:$B$3404,A183,data!$L$453:$L$3404,N183)</f>
        <v>15.632692307692306</v>
      </c>
      <c r="N183" s="68" t="s">
        <v>30</v>
      </c>
      <c r="O183" s="45"/>
      <c r="P183" s="45"/>
      <c r="Q183" s="45"/>
      <c r="R183" s="11"/>
      <c r="S183" s="8"/>
      <c r="U183" s="8"/>
    </row>
    <row r="184" spans="1:21" ht="12.75" customHeight="1" x14ac:dyDescent="0.2">
      <c r="A184" s="98">
        <v>1993</v>
      </c>
      <c r="B184" s="8" t="s">
        <v>34</v>
      </c>
      <c r="C184" s="8"/>
      <c r="D184" s="51">
        <f>AVERAGEIFS(data!$G$453:$G$3404,data!$B$453:$B$3404,A184,data!$K$453:$K$3404,B184)</f>
        <v>164.33333333333334</v>
      </c>
      <c r="E184" s="204">
        <f t="array" ref="E184">STDEV(IF(data!$B$2:$B$3404=1993,IF(data!$G$2:$G$3404&lt;&gt;"",IF(data!$K$2:$K$3404="male",data!$G$2:$G$3404))))</f>
        <v>4.8492423650660639</v>
      </c>
      <c r="F184" s="51">
        <f>AVERAGEIFS(data!$I$453:$I$3404,data!$B$453:$B$3404,A184,data!$K$453:$K$3404,B184)</f>
        <v>21.509090909090908</v>
      </c>
      <c r="G184" s="204">
        <f t="array" ref="G184">STDEV(IF(data!$B$2:$B$3404=1993,IF(data!$I$2:$I$3404&lt;&gt;"",IF(data!$K$2:$K$3404="male",data!$I$2:$I$3404))))</f>
        <v>2.7409686409933851</v>
      </c>
      <c r="H184" s="8">
        <f>COUNTIFS(data!$B$453:$B$3404,A184,data!$K$453:$K$3404,B184,data!$N$453:$N$3404,"headless")</f>
        <v>3</v>
      </c>
      <c r="I184" s="75">
        <f>AVERAGEIFS(data!$G$236:$G$3404,data!$B$236:$B$3404,A184,data!$K$236:$K$3404,B184,data!$N$236:$N$3404,"&lt;&gt;headless")</f>
        <v>164.44444444444446</v>
      </c>
      <c r="J184" s="204">
        <f t="array" ref="J184">STDEV(IF(data!$B$2:$B$3404=1993,IF(data!$G$2:$G$3404&lt;&gt;"",IF(data!$K$2:$K$3404="male",IF(data!$N$2:$N$3404&lt;&gt;"headless",data!$G$2:$G$3404)))))</f>
        <v>5.6149601759743391</v>
      </c>
      <c r="K184" s="76">
        <f>AVERAGEIFS(data!$I$236:$I$3404,data!$B$236:$B$3404,A184,data!$K$236:$K$3404,B184,data!$N$236:$N$3404,"&lt;&gt;headless")</f>
        <v>21.455555555555556</v>
      </c>
      <c r="L184" s="227">
        <f t="array" ref="L184">STDEV(IF(data!$B$2:$B$3404=1993,IF(data!$I$2:$I$3404&lt;&gt;"",IF(data!$K$2:$K$3404="male",IF(data!$N$2:$N$3404&lt;&gt;"headless",data!$I$2:$I$3404)))))</f>
        <v>3.0590485085689236</v>
      </c>
      <c r="M184" s="68">
        <f>AVERAGEIFS(data!$I$453:$I$3404,data!$B$453:$B$3404,A184,data!$L$453:$L$3404,N184)</f>
        <v>15.632692307692306</v>
      </c>
      <c r="N184" s="68" t="s">
        <v>30</v>
      </c>
      <c r="O184" s="45"/>
      <c r="P184" s="45"/>
      <c r="Q184" s="45"/>
      <c r="R184" s="11"/>
      <c r="S184" s="8"/>
      <c r="U184" s="8"/>
    </row>
    <row r="185" spans="1:21" ht="12.75" customHeight="1" x14ac:dyDescent="0.2">
      <c r="A185" s="98">
        <v>1993</v>
      </c>
      <c r="B185" s="8" t="s">
        <v>41</v>
      </c>
      <c r="C185" s="8"/>
      <c r="D185" s="51">
        <f>AVERAGEIFS(data!$G$453:$G$3404,data!$B$453:$B$3404,A185,data!$K$453:$K$3404,B185)</f>
        <v>140.5</v>
      </c>
      <c r="E185" s="118"/>
      <c r="F185" s="51">
        <f>AVERAGEIFS(data!$I$453:$I$3404,data!$B$453:$B$3404,A185,data!$K$453:$K$3404,B185)</f>
        <v>9.5</v>
      </c>
      <c r="G185" s="118"/>
      <c r="H185" s="8">
        <f>COUNTIFS(data!$B$453:$B$3404,A185,data!$K$453:$K$3404,B185,data!$N$453:$N$3404,"headless")</f>
        <v>0</v>
      </c>
      <c r="I185" s="75">
        <f>AVERAGEIFS(data!$G$236:$G$3404,data!$B$236:$B$3404,A185,data!$K$236:$K$3404,B185,data!$N$236:$N$3404,"&lt;&gt;headless")</f>
        <v>140.5</v>
      </c>
      <c r="J185" s="204"/>
      <c r="K185" s="76">
        <f>AVERAGEIFS(data!$I$236:$I$3404,data!$B$236:$B$3404,A185,data!$K$236:$K$3404,B185,data!$N$236:$N$3404,"&lt;&gt;headless")</f>
        <v>9.5</v>
      </c>
      <c r="L185" s="204"/>
      <c r="M185" s="68">
        <f>AVERAGEIFS(data!$I$453:$I$3404,data!$B$453:$B$3404,A185,data!$L$453:$L$3404,N185)</f>
        <v>15.632692307692306</v>
      </c>
      <c r="N185" s="68" t="s">
        <v>30</v>
      </c>
      <c r="O185" s="45"/>
      <c r="P185" s="45"/>
      <c r="Q185" s="45"/>
      <c r="R185" s="11"/>
      <c r="S185" s="8"/>
      <c r="U185" s="8"/>
    </row>
    <row r="186" spans="1:21" ht="12.75" customHeight="1" x14ac:dyDescent="0.2">
      <c r="A186" s="99">
        <v>1993</v>
      </c>
      <c r="B186" s="49" t="s">
        <v>20</v>
      </c>
      <c r="C186" s="49" t="s">
        <v>30</v>
      </c>
      <c r="D186" s="73">
        <f>AVERAGEIFS(data!$G$236:$G$3404,data!$B$236:$B$3404,A186,data!$L$236:$L$3404,C186,data!$K$236:$K$3404,B186)</f>
        <v>149.21621621621622</v>
      </c>
      <c r="E186" s="73">
        <f t="array" ref="E186">STDEV(IF(data!$B$2:$B$3404=1993,IF(data!$G$2:$G$3404&lt;&gt;"",IF(data!$K$2:$K$3404="female",IF(data!$L$2:$L$3404="gravid",data!$G$2:$G$3404)))))</f>
        <v>8.4588903263268236</v>
      </c>
      <c r="F186" s="73">
        <f>AVERAGEIFS(data!$I$236:$I$3404,data!$L$236:$L$3404,C186,data!$B$236:$B$3404,A186,data!$K$236:$K$3404,B186)</f>
        <v>15.632692307692306</v>
      </c>
      <c r="G186" s="73">
        <f t="array" ref="G186">STDEV(IF(data!$B$2:$B$3404=1993,IF(data!$I$2:$I$3404&lt;&gt;"",IF(data!$K$2:$K$3404="female",IF(data!$L$2:$L$3404="gravid",data!$I$2:$I$3404)))))</f>
        <v>2.7973788809232678</v>
      </c>
      <c r="H186" s="74">
        <f>COUNTIFS(data!$B$236:$B$3404,A186,data!$L$236:$L$3404,C186,data!$K$236:$K$3404,B186,data!$N$236:$N$3404,"headless")</f>
        <v>24</v>
      </c>
      <c r="I186" s="75">
        <f>AVERAGEIFS(data!$G$236:$G$3404,data!$B$236:$B$3404,A186,data!$L$236:$L$3404,C186,data!$K$236:$K$3404,B186,data!$N$236:$N$3404,"&lt;&gt;headless")</f>
        <v>148.61538461538461</v>
      </c>
      <c r="J186" s="204">
        <f t="array" ref="J186">STDEV(IF(data!$B$2:$B$3404=1993,IF(data!$G$2:$G$3404&lt;&gt;"",IF(data!$K$2:$K$3404="female",IF(data!$L$2:$L$3404="gravid",IF(data!$N$2:$N$3404&lt;&gt;"headless",data!$G$2:$G$3404))))))</f>
        <v>8.3396898833486208</v>
      </c>
      <c r="K186" s="76">
        <f>AVERAGEIFS(data!$I$236:$I$3404,data!$B$236:$B$3404,A186,data!$L$236:$L$3404,C186,data!$K$236:$K$3404,B186,data!$N$236:$N$3404,"&lt;&gt;headless")</f>
        <v>15.465909090909092</v>
      </c>
      <c r="L186" s="73">
        <f t="array" ref="L186">STDEV(IF(data!$B$2:$B$3404=1993,IF(data!$I$2:$I$3404&lt;&gt;"",IF(data!$K$2:$K$3404="female",IF(data!$L$2:$L$3404="gravid",IF(data!$N$2:$N$3404&lt;&gt;"headless",data!$I$2:$I$3404))))))</f>
        <v>2.8514923039448457</v>
      </c>
      <c r="M186" s="68"/>
      <c r="N186" s="68"/>
      <c r="O186" s="45"/>
      <c r="P186" s="45"/>
      <c r="Q186" s="45"/>
      <c r="R186" s="11"/>
      <c r="S186" s="8"/>
      <c r="U186" s="8"/>
    </row>
    <row r="187" spans="1:21" ht="12.75" customHeight="1" x14ac:dyDescent="0.2">
      <c r="A187" s="99">
        <v>1993</v>
      </c>
      <c r="B187" s="49" t="s">
        <v>20</v>
      </c>
      <c r="C187" s="49" t="s">
        <v>21</v>
      </c>
      <c r="D187" s="73">
        <f>AVERAGEIFS(data!$G$236:$G$3404,data!$B$236:$B$3404,A187,data!$L$236:$L$3404,C187,data!$K$236:$K$3404,B187)</f>
        <v>153.76923076923077</v>
      </c>
      <c r="E187" s="73">
        <f t="array" ref="E187">STDEV(IF(data!$B$2:$B$3404=1993,IF(data!$G$2:$G$3404&lt;&gt;"",IF(data!$K$2:$K$3404="female",IF(data!$L$2:$L$3404="spent",data!$G$2:$G$3404)))))</f>
        <v>10.955621434936543</v>
      </c>
      <c r="F187" s="73">
        <f>AVERAGEIFS(data!$I$236:$I$3404,data!$L$236:$L$3404,C187,data!$B$236:$B$3404,A187,data!$K$236:$K$3404,B187)</f>
        <v>12.984615384615385</v>
      </c>
      <c r="G187" s="201">
        <f t="array" ref="G187">STDEV(IF(data!$B$2:$B$3404=1993,IF(data!$I$2:$I$3404&lt;&gt;"",IF(data!$K$2:$K$3404="female",IF(data!$L$2:$L$3404="spent",data!$I$2:$I$3404)))))</f>
        <v>3.8647652265577825</v>
      </c>
      <c r="H187" s="74">
        <f>COUNTIFS(data!$B$236:$B$3404,A187,data!$L$236:$L$3404,C187,data!$K$236:$K$3404,B187,data!$N$236:$N$3404,"headless")</f>
        <v>4</v>
      </c>
      <c r="I187" s="75">
        <f>AVERAGEIFS(data!$G$236:$G$3404,data!$B$236:$B$3404,A187,data!$L$236:$L$3404,C187,data!$K$236:$K$3404,B187,data!$N$236:$N$3404,"&lt;&gt;headless")</f>
        <v>153</v>
      </c>
      <c r="J187" s="201">
        <f t="array" ref="J187">STDEV(IF(data!$B$2:$B$3404=1993,IF(data!$G$2:$G$3404&lt;&gt;"",IF(data!$K$2:$K$3404="female",IF(data!$L$2:$L$3404="spent",IF(data!$N$2:$N$3404&lt;&gt;"headless",data!$G$2:$G$3404))))))</f>
        <v>11.756794725698931</v>
      </c>
      <c r="K187" s="76">
        <f>AVERAGEIFS(data!$I$236:$I$3404,data!$B$236:$B$3404,A187,data!$L$236:$L$3404,C187,data!$K$236:$K$3404,B187,data!$N$236:$N$3404,"&lt;&gt;headless")</f>
        <v>12.68</v>
      </c>
      <c r="L187" s="73">
        <f t="array" ref="L187">STDEV(IF(data!$B$2:$B$3404=1993,IF(data!$I$2:$I$3404&lt;&gt;"",IF(data!$K$2:$K$3404="female",IF(data!$L$2:$L$3404="spent",IF(data!$N$2:$N$3404&lt;&gt;"headless",data!$I$2:$I$3404))))))</f>
        <v>3.9046411131142653</v>
      </c>
      <c r="M187" s="68"/>
      <c r="N187" s="68"/>
      <c r="O187" s="45"/>
      <c r="P187" s="45"/>
      <c r="Q187" s="45"/>
      <c r="R187" s="11"/>
      <c r="S187" s="8"/>
      <c r="U187" s="8"/>
    </row>
    <row r="188" spans="1:21" ht="12.75" customHeight="1" x14ac:dyDescent="0.2">
      <c r="A188" s="96">
        <v>1992</v>
      </c>
      <c r="B188" s="97" t="s">
        <v>20</v>
      </c>
      <c r="C188" s="66" t="s">
        <v>272</v>
      </c>
      <c r="D188" s="68">
        <f>AVERAGEIFS(data!$G$453:$G$3404,data!$B$453:$B$3404,A188,data!$K$453:$K$3404,B188)</f>
        <v>137.44545454545454</v>
      </c>
      <c r="E188" s="214">
        <f t="array" ref="E188">STDEV(IF(data!$B$2:$B$3404=1992,IF(data!$G$2:$G$3404&lt;&gt;"",IF(data!$K$2:$K$3404="female",data!$G$2:$G$3404))))</f>
        <v>11.450400709014401</v>
      </c>
      <c r="F188" s="68">
        <f>AVERAGEIFS(data!$I$453:$I$3404,data!$B$453:$B$3404,A188,data!$K$453:$K$3404,B188)</f>
        <v>13.875454545454547</v>
      </c>
      <c r="G188" s="214">
        <f t="array" ref="G188">STDEV(IF(data!$B$2:$B$3404=1992,IF(data!$I$2:$I$3404&lt;&gt;"",IF(data!$K$2:$K$3404="female",data!$I$2:$I$3404))))</f>
        <v>3.7680254572572491</v>
      </c>
      <c r="H188" s="97">
        <f>COUNTIFS(data!$B$453:$B$3404,A188,data!$K$453:$K$3404,B188,data!$N$453:$N$3404,"headless")</f>
        <v>7</v>
      </c>
      <c r="I188" s="82">
        <f>AVERAGEIFS(data!$G$236:$G$3404,data!$B$236:$B$3404,A188,data!$K$236:$K$3404,B188,data!$N$236:$N$3404,"&lt;&gt;headless")</f>
        <v>137.52884615384616</v>
      </c>
      <c r="J188" s="214">
        <f t="array" ref="J188">STDEV(IF(data!$B$2:$B$3404=1992,IF(data!$G$2:$G$3404&lt;&gt;"",IF(data!$K$2:$K$3404="female",IF(data!$N$2:$N$3404&lt;&gt;"headless",data!$G$2:$G$3404)))))</f>
        <v>11.507664588733073</v>
      </c>
      <c r="K188" s="83">
        <f>AVERAGEIFS(data!$I$236:$I$3404,data!$B$236:$B$3404,A188,data!$K$236:$K$3404,B188,data!$N$236:$N$3404,"&lt;&gt;headless")</f>
        <v>14.025000000000004</v>
      </c>
      <c r="L188" s="214">
        <f t="array" ref="L188">STDEV(IF(data!$B$2:$B$3404=1992,IF(data!$I$2:$I$3404&lt;&gt;"",IF(data!$K$2:$K$3404="female",IF(data!$N$2:$N$3404&lt;&gt;"headless",data!$I$2:$I$3404)))))</f>
        <v>3.7965684557024426</v>
      </c>
      <c r="M188" s="68">
        <f>AVERAGEIFS(data!$I$453:$I$3404,data!$B$453:$B$3404,A188,data!$L$453:$L$3404,N188)</f>
        <v>14.141584158415844</v>
      </c>
      <c r="N188" s="68" t="s">
        <v>30</v>
      </c>
      <c r="O188" s="45"/>
      <c r="P188" s="45"/>
      <c r="Q188" s="45"/>
      <c r="R188" s="11"/>
      <c r="S188" s="8"/>
      <c r="U188" s="8"/>
    </row>
    <row r="189" spans="1:21" ht="12.75" customHeight="1" x14ac:dyDescent="0.2">
      <c r="A189" s="98">
        <v>1992</v>
      </c>
      <c r="B189" s="8" t="s">
        <v>34</v>
      </c>
      <c r="C189" s="8"/>
      <c r="D189" s="51">
        <f>AVERAGEIFS(data!$G$453:$G$3404,data!$B$453:$B$3404,A189,data!$K$453:$K$3404,B189)</f>
        <v>151.31578947368422</v>
      </c>
      <c r="E189" s="204">
        <f t="array" ref="E189">STDEV(IF(data!$B$2:$B$3404=1992,IF(data!$G$2:$G$3404&lt;&gt;"",IF(data!$K$2:$K$3404="male",data!$G$2:$G$3404))))</f>
        <v>12.027988801952015</v>
      </c>
      <c r="F189" s="51">
        <f>AVERAGEIFS(data!$I$453:$I$3404,data!$B$453:$B$3404,A189,data!$K$453:$K$3404,B189)</f>
        <v>20.963157894736845</v>
      </c>
      <c r="G189" s="204">
        <f t="array" ref="G189">STDEV(IF(data!$B$2:$B$3404=1992,IF(data!$I$2:$I$3404&lt;&gt;"",IF(data!$K$2:$K$3404="male",data!$I$2:$I$3404))))</f>
        <v>3.0173959572076368</v>
      </c>
      <c r="H189" s="8">
        <f>COUNTIFS(data!$B$453:$B$3404,A189,data!$K$453:$K$3404,B189,data!$N$453:$N$3404,"headless")</f>
        <v>4</v>
      </c>
      <c r="I189" s="75">
        <f>AVERAGEIFS(data!$G$236:$G$3404,data!$B$236:$B$3404,A189,data!$K$236:$K$3404,B189,data!$N$236:$N$3404,"&lt;&gt;headless")</f>
        <v>151.66666666666666</v>
      </c>
      <c r="J189" s="204">
        <f t="array" ref="J189">STDEV(IF(data!$B$2:$B$3404=1992,IF(data!$G$2:$G$3404&lt;&gt;"",IF(data!$K$2:$K$3404="male",IF(data!$N$2:$N$3404&lt;&gt;"headless",data!$G$2:$G$3404)))))</f>
        <v>13.51542328847553</v>
      </c>
      <c r="K189" s="76">
        <f>AVERAGEIFS(data!$I$236:$I$3404,data!$B$236:$B$3404,A189,data!$K$236:$K$3404,B189,data!$N$236:$N$3404,"&lt;&gt;headless")</f>
        <v>21.126666666666669</v>
      </c>
      <c r="L189" s="227">
        <f t="array" ref="L189">STDEV(IF(data!$B$2:$B$3404=1992,IF(data!$I$2:$I$3404&lt;&gt;"",IF(data!$K$2:$K$3404="male",IF(data!$N$2:$N$3404&lt;&gt;"headless",data!$I$2:$I$3404)))))</f>
        <v>2.9649058444858869</v>
      </c>
      <c r="M189" s="68">
        <f>AVERAGEIFS(data!$I$453:$I$3404,data!$B$453:$B$3404,A189,data!$L$453:$L$3404,N189)</f>
        <v>14.141584158415844</v>
      </c>
      <c r="N189" s="68" t="s">
        <v>30</v>
      </c>
      <c r="O189" s="45"/>
      <c r="P189" s="45"/>
      <c r="Q189" s="45"/>
      <c r="R189" s="11"/>
      <c r="S189" s="8"/>
      <c r="U189" s="8"/>
    </row>
    <row r="190" spans="1:21" ht="12.75" customHeight="1" x14ac:dyDescent="0.2">
      <c r="A190" s="98">
        <v>1992</v>
      </c>
      <c r="B190" s="8" t="s">
        <v>41</v>
      </c>
      <c r="C190" s="8"/>
      <c r="D190" s="51">
        <f>AVERAGEIFS(data!$G$453:$G$3404,data!$B$453:$B$3404,A190,data!$K$453:$K$3404,B190)</f>
        <v>110.77777777777777</v>
      </c>
      <c r="E190" s="118"/>
      <c r="F190" s="51">
        <f>AVERAGEIFS(data!$I$453:$I$3404,data!$B$453:$B$3404,A190,data!$K$453:$K$3404,B190)</f>
        <v>6.1789473684210527</v>
      </c>
      <c r="G190" s="118"/>
      <c r="H190" s="8">
        <f>COUNTIFS(data!$B$453:$B$3404,A190,data!$K$453:$K$3404,B190,data!$N$453:$N$3404,"headless")</f>
        <v>3</v>
      </c>
      <c r="I190" s="75">
        <f>AVERAGEIFS(data!$G$236:$G$3404,data!$B$236:$B$3404,A190,data!$K$236:$K$3404,B190,data!$N$236:$N$3404,"&lt;&gt;headless")</f>
        <v>111.2</v>
      </c>
      <c r="J190" s="204"/>
      <c r="K190" s="76">
        <f>AVERAGEIFS(data!$I$236:$I$3404,data!$B$236:$B$3404,A190,data!$K$236:$K$3404,B190,data!$N$236:$N$3404,"&lt;&gt;headless")</f>
        <v>6.2624999999999993</v>
      </c>
      <c r="L190" s="204"/>
      <c r="M190" s="68">
        <f>AVERAGEIFS(data!$I$453:$I$3404,data!$B$453:$B$3404,A190,data!$L$453:$L$3404,N190)</f>
        <v>14.141584158415844</v>
      </c>
      <c r="N190" s="68" t="s">
        <v>30</v>
      </c>
      <c r="O190" s="45"/>
      <c r="P190" s="45"/>
      <c r="Q190" s="45"/>
      <c r="R190" s="11"/>
      <c r="S190" s="8"/>
      <c r="U190" s="8"/>
    </row>
    <row r="191" spans="1:21" ht="12.75" customHeight="1" x14ac:dyDescent="0.2">
      <c r="A191" s="99">
        <v>1992</v>
      </c>
      <c r="B191" s="49" t="s">
        <v>20</v>
      </c>
      <c r="C191" s="49" t="s">
        <v>30</v>
      </c>
      <c r="D191" s="73">
        <f>AVERAGEIFS(data!$G$236:$G$3404,data!$B$236:$B$3404,A191,data!$L$236:$L$3404,C191,data!$K$236:$K$3404,B191)</f>
        <v>137.55445544554456</v>
      </c>
      <c r="E191" s="73">
        <f t="array" ref="E191">STDEV(IF(data!$B$2:$B$3404=1992,IF(data!$G$2:$G$3404&lt;&gt;"",IF(data!$K$2:$K$3404="female",IF(data!$L$2:$L$3404="gravid",data!$G$2:$G$3404)))))</f>
        <v>11.325612784767765</v>
      </c>
      <c r="F191" s="73">
        <f>AVERAGEIFS(data!$I$236:$I$3404,data!$L$236:$L$3404,C191,data!$B$236:$B$3404,A191,data!$K$236:$K$3404,B191)</f>
        <v>14.141584158415844</v>
      </c>
      <c r="G191" s="73">
        <f t="array" ref="G191">STDEV(IF(data!$B$2:$B$3404=1992,IF(data!$I$2:$I$3404&lt;&gt;"",IF(data!$K$2:$K$3404="female",IF(data!$L$2:$L$3404="gravid",data!$I$2:$I$3404)))))</f>
        <v>3.7440423963072877</v>
      </c>
      <c r="H191" s="74">
        <f>COUNTIFS(data!$B$236:$B$3404,A191,data!$L$236:$L$3404,C191,data!$K$236:$K$3404,B191,data!$N$236:$N$3404,"headless")</f>
        <v>6</v>
      </c>
      <c r="I191" s="75">
        <f>AVERAGEIFS(data!$G$236:$G$3404,data!$B$236:$B$3404,A191,data!$L$236:$L$3404,C191,data!$K$236:$K$3404,B191,data!$N$236:$N$3404,"&lt;&gt;headless")</f>
        <v>137.78125</v>
      </c>
      <c r="J191" s="204">
        <f t="array" ref="J191">STDEV(IF(data!$B$2:$B$3404=1992,IF(data!$G$2:$G$3404&lt;&gt;"",IF(data!$K$2:$K$3404="female",IF(data!$L$2:$L$3404="gravid",IF(data!$N$2:$N$3404&lt;&gt;"headless",data!$G$2:$G$3404))))))</f>
        <v>11.389933806008846</v>
      </c>
      <c r="K191" s="76">
        <f>AVERAGEIFS(data!$I$236:$I$3404,data!$B$236:$B$3404,A191,data!$L$236:$L$3404,C191,data!$K$236:$K$3404,B191,data!$N$236:$N$3404,"&lt;&gt;headless")</f>
        <v>14.313541666666671</v>
      </c>
      <c r="L191" s="73">
        <f t="array" ref="L191">STDEV(IF(data!$B$2:$B$3404=1992,IF(data!$I$2:$I$3404&lt;&gt;"",IF(data!$K$2:$K$3404="female",IF(data!$L$2:$L$3404="gravid",IF(data!$N$2:$N$3404&lt;&gt;"headless",data!$I$2:$I$3404))))))</f>
        <v>3.7417029557103807</v>
      </c>
      <c r="M191" s="68"/>
      <c r="N191" s="68"/>
      <c r="O191" s="45"/>
      <c r="P191" s="45"/>
      <c r="Q191" s="45"/>
      <c r="R191" s="11"/>
      <c r="S191" s="8"/>
      <c r="U191" s="8"/>
    </row>
    <row r="192" spans="1:21" ht="12.75" customHeight="1" x14ac:dyDescent="0.2">
      <c r="A192" s="99">
        <v>1992</v>
      </c>
      <c r="B192" s="49" t="s">
        <v>20</v>
      </c>
      <c r="C192" s="49" t="s">
        <v>21</v>
      </c>
      <c r="D192" s="73">
        <f>AVERAGEIFS(data!$G$236:$G$3404,data!$B$236:$B$3404,A192,data!$L$236:$L$3404,C192,data!$K$236:$K$3404,B192)</f>
        <v>136.22222222222223</v>
      </c>
      <c r="E192" s="73">
        <f t="array" ref="E192">STDEV(IF(data!$B$2:$B$3404=1992,IF(data!$G$2:$G$3404&lt;&gt;"",IF(data!$K$2:$K$3404="female",IF(data!$L$2:$L$3404="spent",data!$G$2:$G$3404)))))</f>
        <v>13.460848578170859</v>
      </c>
      <c r="F192" s="73">
        <f>AVERAGEIFS(data!$I$236:$I$3404,data!$L$236:$L$3404,C192,data!$B$236:$B$3404,A192,data!$K$236:$K$3404,B192)</f>
        <v>10.888888888888889</v>
      </c>
      <c r="G192" s="201">
        <f t="array" ref="G192">STDEV(IF(data!$B$2:$B$3404=1992,IF(data!$I$2:$I$3404&lt;&gt;"",IF(data!$K$2:$K$3404="female",IF(data!$L$2:$L$3404="spent",data!$I$2:$I$3404)))))</f>
        <v>2.701131450172523</v>
      </c>
      <c r="H192" s="74">
        <f>COUNTIFS(data!$B$236:$B$3404,A192,data!$L$236:$L$3404,C192,data!$K$236:$K$3404,B192,data!$N$236:$N$3404,"headless")</f>
        <v>1</v>
      </c>
      <c r="I192" s="75">
        <f>AVERAGEIFS(data!$G$236:$G$3404,data!$B$236:$B$3404,A192,data!$L$236:$L$3404,C192,data!$K$236:$K$3404,B192,data!$N$236:$N$3404,"&lt;&gt;headless")</f>
        <v>134.5</v>
      </c>
      <c r="J192" s="201">
        <f t="array" ref="J192">STDEV(IF(data!$B$2:$B$3404=1992,IF(data!$G$2:$G$3404&lt;&gt;"",IF(data!$K$2:$K$3404="female",IF(data!$L$2:$L$3404="spent",IF(data!$N$2:$N$3404&lt;&gt;"headless",data!$G$2:$G$3404))))))</f>
        <v>13.288018233409698</v>
      </c>
      <c r="K192" s="76">
        <f>AVERAGEIFS(data!$I$236:$I$3404,data!$B$236:$B$3404,A192,data!$L$236:$L$3404,C192,data!$K$236:$K$3404,B192,data!$N$236:$N$3404,"&lt;&gt;headless")</f>
        <v>10.5625</v>
      </c>
      <c r="L192" s="73">
        <f t="array" ref="L192">STDEV(IF(data!$B$2:$B$3404=1992,IF(data!$I$2:$I$3404&lt;&gt;"",IF(data!$K$2:$K$3404="female",IF(data!$L$2:$L$3404="spent",IF(data!$N$2:$N$3404&lt;&gt;"headless",data!$I$2:$I$3404))))))</f>
        <v>2.6912225050018765</v>
      </c>
      <c r="M192" s="68"/>
      <c r="N192" s="68"/>
      <c r="O192" s="45"/>
      <c r="P192" s="45"/>
      <c r="Q192" s="45"/>
      <c r="R192" s="11"/>
      <c r="S192" s="8"/>
      <c r="U192" s="8"/>
    </row>
    <row r="193" spans="1:28" ht="12.75" customHeight="1" x14ac:dyDescent="0.2">
      <c r="A193" s="96">
        <v>1991</v>
      </c>
      <c r="B193" s="97" t="s">
        <v>20</v>
      </c>
      <c r="C193" s="66" t="s">
        <v>272</v>
      </c>
      <c r="D193" s="68">
        <f>AVERAGEIFS(data!$G$453:$G$3404,data!$B$453:$B$3404,A193,data!$K$453:$K$3404,B193)</f>
        <v>147.97142857142856</v>
      </c>
      <c r="E193" s="214">
        <f t="array" ref="E193">STDEV(IF(data!$B$2:$B$3404=1991,IF(data!$G$2:$G$3404&lt;&gt;"",IF(data!$K$2:$K$3404="female",data!$G$2:$G$3404))))</f>
        <v>17.525167976514254</v>
      </c>
      <c r="F193" s="68">
        <f>AVERAGEIFS(data!$I$453:$I$3404,data!$B$453:$B$3404,A193,data!$K$453:$K$3404,B193)</f>
        <v>18.2</v>
      </c>
      <c r="G193" s="214">
        <f t="array" ref="G193">STDEV(IF(data!$B$2:$B$3404=1991,IF(data!$I$2:$I$3404&lt;&gt;"",IF(data!$K$2:$K$3404="female",data!$I$2:$I$3404))))</f>
        <v>4.6614256283768913</v>
      </c>
      <c r="H193" s="97">
        <f>COUNTIFS(data!$B$453:$B$3404,A193,data!$K$453:$K$3404,B193,data!$N$453:$N$3404,"headless")</f>
        <v>5</v>
      </c>
      <c r="I193" s="82">
        <f>AVERAGEIFS(data!$G$236:$G$3404,data!$B$236:$B$3404,A193,data!$K$236:$K$3404,B193,data!$N$236:$N$3404,"&lt;&gt;headless")</f>
        <v>148.38235294117646</v>
      </c>
      <c r="J193" s="214">
        <f t="array" ref="J193">STDEV(IF(data!$B$2:$B$3404=1991,IF(data!$G$2:$G$3404&lt;&gt;"",IF(data!$K$2:$K$3404="female",IF(data!$N$2:$N$3404&lt;&gt;"headless",data!$G$2:$G$3404)))))</f>
        <v>17.616735682699044</v>
      </c>
      <c r="K193" s="83">
        <f>AVERAGEIFS(data!$I$236:$I$3404,data!$B$236:$B$3404,A193,data!$K$236:$K$3404,B193,data!$N$236:$N$3404,"&lt;&gt;headless")</f>
        <v>18.25925925925926</v>
      </c>
      <c r="L193" s="214">
        <f t="array" ref="L193">STDEV(IF(data!$B$2:$B$3404=1991,IF(data!$I$2:$I$3404&lt;&gt;"",IF(data!$K$2:$K$3404="female",IF(data!$N$2:$N$3404&lt;&gt;"headless",data!$I$2:$I$3404)))))</f>
        <v>4.7394627461883374</v>
      </c>
      <c r="M193" s="68">
        <f>AVERAGEIFS(data!$I$453:$I$3404,data!$B$453:$B$3404,A193,data!$L$453:$L$3404,N193)</f>
        <v>21.321428571428573</v>
      </c>
      <c r="N193" s="68" t="s">
        <v>30</v>
      </c>
      <c r="O193" s="45"/>
      <c r="P193" s="45"/>
      <c r="Q193" s="45"/>
      <c r="R193" s="11"/>
      <c r="S193" s="8"/>
      <c r="U193" s="8"/>
    </row>
    <row r="194" spans="1:28" ht="12.75" customHeight="1" x14ac:dyDescent="0.2">
      <c r="A194" s="98">
        <v>1991</v>
      </c>
      <c r="B194" s="8" t="s">
        <v>34</v>
      </c>
      <c r="C194" s="8"/>
      <c r="D194" s="51">
        <f>AVERAGEIFS(data!$G$453:$G$3404,data!$B$453:$B$3404,A194,data!$K$453:$K$3404,B194)</f>
        <v>156</v>
      </c>
      <c r="E194" s="204">
        <f t="array" ref="E194">STDEV(IF(data!$B$2:$B$3404=1991,IF(data!$G$2:$G$3404&lt;&gt;"",IF(data!$K$2:$K$3404="male",data!$G$2:$G$3404))))</f>
        <v>1.4142135623730951</v>
      </c>
      <c r="F194" s="51">
        <f>AVERAGEIFS(data!$I$453:$I$3404,data!$B$453:$B$3404,A194,data!$K$453:$K$3404,B194)</f>
        <v>21.5</v>
      </c>
      <c r="G194" s="200"/>
      <c r="H194" s="8">
        <f>COUNTIFS(data!$B$453:$B$3404,A194,data!$K$453:$K$3404,B194,data!$N$453:$N$3404,"headless")</f>
        <v>1</v>
      </c>
      <c r="I194" s="75">
        <f>AVERAGEIFS(data!$G$236:$G$3404,data!$B$236:$B$3404,A194,data!$K$236:$K$3404,B194,data!$N$236:$N$3404,"&lt;&gt;headless")</f>
        <v>157</v>
      </c>
      <c r="J194" s="200" t="s">
        <v>498</v>
      </c>
      <c r="K194" s="101" t="s">
        <v>29</v>
      </c>
      <c r="L194" s="207"/>
      <c r="M194" s="68">
        <f>AVERAGEIFS(data!$I$453:$I$3404,data!$B$453:$B$3404,A194,data!$L$453:$L$3404,N194)</f>
        <v>21.321428571428573</v>
      </c>
      <c r="N194" s="68" t="s">
        <v>30</v>
      </c>
      <c r="O194" s="45"/>
      <c r="P194" s="45"/>
      <c r="Q194" s="45"/>
      <c r="R194" s="11"/>
      <c r="S194" s="8"/>
      <c r="U194" s="8"/>
    </row>
    <row r="195" spans="1:28" ht="12.75" customHeight="1" x14ac:dyDescent="0.2">
      <c r="A195" s="98">
        <v>1991</v>
      </c>
      <c r="B195" s="8" t="s">
        <v>41</v>
      </c>
      <c r="C195" s="8"/>
      <c r="D195" s="51"/>
      <c r="E195" s="118"/>
      <c r="F195" s="51"/>
      <c r="G195" s="118"/>
      <c r="H195" s="8">
        <f>COUNTIFS(data!$B$453:$B$3404,A195,data!$K$453:$K$3404,B195,data!$N$453:$N$3404,"headless")</f>
        <v>0</v>
      </c>
      <c r="I195" s="84"/>
      <c r="J195" s="200"/>
      <c r="K195" s="78"/>
      <c r="L195" s="200"/>
      <c r="M195" s="68">
        <f>AVERAGEIFS(data!$I$453:$I$3404,data!$B$453:$B$3404,A195,data!$L$453:$L$3404,N195)</f>
        <v>21.321428571428573</v>
      </c>
      <c r="N195" s="68" t="s">
        <v>30</v>
      </c>
      <c r="O195" s="45"/>
      <c r="P195" s="45"/>
      <c r="Q195" s="45"/>
      <c r="R195" s="11"/>
      <c r="S195" s="8"/>
      <c r="U195" s="8"/>
    </row>
    <row r="196" spans="1:28" ht="12.75" customHeight="1" x14ac:dyDescent="0.2">
      <c r="A196" s="99">
        <v>1991</v>
      </c>
      <c r="B196" s="49" t="s">
        <v>20</v>
      </c>
      <c r="C196" s="49" t="s">
        <v>30</v>
      </c>
      <c r="D196" s="73">
        <f>AVERAGEIFS(data!$G$236:$G$3404,data!$B$236:$B$3404,A196,data!$L$236:$L$3404,C196,data!$K$236:$K$3404,B196)</f>
        <v>153.375</v>
      </c>
      <c r="E196" s="73">
        <f t="array" ref="E196">STDEV(IF(data!$B$2:$B$3404=1991,IF(data!$G$2:$G$3404&lt;&gt;"",IF(data!$K$2:$K$3404="female",IF(data!$L$2:$L$3404="gravid",data!$G$2:$G$3404)))))</f>
        <v>9.8242896265667312</v>
      </c>
      <c r="F196" s="73">
        <f>AVERAGEIFS(data!$I$236:$I$3404,data!$L$236:$L$3404,C196,data!$B$236:$B$3404,A196,data!$K$236:$K$3404,B196)</f>
        <v>21.321428571428573</v>
      </c>
      <c r="G196" s="73">
        <f t="array" ref="G196">STDEV(IF(data!$B$2:$B$3404=1991,IF(data!$I$2:$I$3404&lt;&gt;"",IF(data!$K$2:$K$3404="female",IF(data!$L$2:$L$3404="gravid",data!$I$2:$I$3404)))))</f>
        <v>3.6179421629574939</v>
      </c>
      <c r="H196" s="74">
        <f>COUNTIFS(data!$B$236:$B$3404,A196,data!$L$236:$L$3404,C196,data!$K$236:$K$3404,B196,data!$N$236:$N$3404,"headless")</f>
        <v>4</v>
      </c>
      <c r="I196" s="75">
        <f>AVERAGEIFS(data!$G$236:$G$3404,data!$B$236:$B$3404,A196,data!$L$236:$L$3404,C196,data!$K$236:$K$3404,B196,data!$N$236:$N$3404,"&lt;&gt;headless")</f>
        <v>154.66666666666666</v>
      </c>
      <c r="J196" s="204">
        <f t="array" ref="J196">STDEV(IF(data!$B$2:$B$3404=1991,IF(data!$G$2:$G$3404&lt;&gt;"",IF(data!$K$2:$K$3404="female",IF(data!$L$2:$L$3404="gravid",IF(data!$N$2:$N$3404&lt;&gt;"headless",data!$G$2:$G$3404))))))</f>
        <v>8.6492498986631094</v>
      </c>
      <c r="K196" s="76">
        <f>AVERAGEIFS(data!$I$236:$I$3404,data!$B$236:$B$3404,A196,data!$L$236:$L$3404,C196,data!$K$236:$K$3404,B196,data!$N$236:$N$3404,"&lt;&gt;headless")</f>
        <v>21.684615384615384</v>
      </c>
      <c r="L196" s="73">
        <f t="array" ref="L196">STDEV(IF(data!$B$2:$B$3404=1991,IF(data!$I$2:$I$3404&lt;&gt;"",IF(data!$K$2:$K$3404="female",IF(data!$L$2:$L$3404="gravid",IF(data!$N$2:$N$3404&lt;&gt;"headless",data!$I$2:$I$3404))))))</f>
        <v>3.4899489379851558</v>
      </c>
      <c r="M196" s="68"/>
      <c r="N196" s="68"/>
      <c r="O196" s="45"/>
      <c r="P196" s="45"/>
      <c r="Q196" s="45"/>
      <c r="R196" s="11"/>
      <c r="S196" s="8"/>
      <c r="U196" s="8"/>
    </row>
    <row r="197" spans="1:28" ht="12.75" customHeight="1" x14ac:dyDescent="0.2">
      <c r="A197" s="99">
        <v>1991</v>
      </c>
      <c r="B197" s="49" t="s">
        <v>20</v>
      </c>
      <c r="C197" s="49" t="s">
        <v>21</v>
      </c>
      <c r="D197" s="73">
        <f>AVERAGEIFS(data!$G$236:$G$3404,data!$B$236:$B$3404,A197,data!$L$236:$L$3404,C197,data!$K$236:$K$3404,B197)</f>
        <v>143.42105263157896</v>
      </c>
      <c r="E197" s="73">
        <f t="array" ref="E197">STDEV(IF(data!$B$2:$B$3404=1991,IF(data!$G$2:$G$3404&lt;&gt;"",IF(data!$K$2:$K$3404="female",IF(data!$L$2:$L$3404="spent",data!$G$2:$G$3404)))))</f>
        <v>21.25785028713884</v>
      </c>
      <c r="F197" s="73">
        <f>AVERAGEIFS(data!$I$236:$I$3404,data!$L$236:$L$3404,C197,data!$B$236:$B$3404,A197,data!$K$236:$K$3404,B197)</f>
        <v>15.078571428571431</v>
      </c>
      <c r="G197" s="201">
        <f t="array" ref="G197">STDEV(IF(data!$B$2:$B$3404=1991,IF(data!$I$2:$I$3404&lt;&gt;"",IF(data!$K$2:$K$3404="female",IF(data!$L$2:$L$3404="spent",data!$I$2:$I$3404)))))</f>
        <v>3.3247738087155385</v>
      </c>
      <c r="H197" s="74">
        <f>COUNTIFS(data!$B$236:$B$3404,A197,data!$L$236:$L$3404,C197,data!$K$236:$K$3404,B197,data!$N$236:$N$3404,"headless")</f>
        <v>1</v>
      </c>
      <c r="I197" s="75">
        <f>AVERAGEIFS(data!$G$236:$G$3404,data!$B$236:$B$3404,A197,data!$L$236:$L$3404,C197,data!$K$236:$K$3404,B197,data!$N$236:$N$3404,"&lt;&gt;headless")</f>
        <v>143.42105263157896</v>
      </c>
      <c r="J197" s="201">
        <f t="array" ref="J197">STDEV(IF(data!$B$2:$B$3404=1991,IF(data!$G$2:$G$3404&lt;&gt;"",IF(data!$K$2:$K$3404="female",IF(data!$L$2:$L$3404="spent",IF(data!$N$2:$N$3404&lt;&gt;"headless",data!$G$2:$G$3404))))))</f>
        <v>21.25785028713884</v>
      </c>
      <c r="K197" s="76">
        <f>AVERAGEIFS(data!$I$236:$I$3404,data!$B$236:$B$3404,A197,data!$L$236:$L$3404,C197,data!$K$236:$K$3404,B197,data!$N$236:$N$3404,"&lt;&gt;headless")</f>
        <v>15.078571428571431</v>
      </c>
      <c r="L197" s="73">
        <f t="array" ref="L197">STDEV(IF(data!$B$2:$B$3404=1991,IF(data!$I$2:$I$3404&lt;&gt;"",IF(data!$K$2:$K$3404="female",IF(data!$L$2:$L$3404="spent",IF(data!$N$2:$N$3404&lt;&gt;"headless",data!$I$2:$I$3404))))))</f>
        <v>3.3247738087155385</v>
      </c>
      <c r="M197" s="68"/>
      <c r="N197" s="68"/>
      <c r="O197" s="45"/>
      <c r="P197" s="45"/>
      <c r="Q197" s="45"/>
      <c r="R197" s="11"/>
      <c r="S197" s="8"/>
      <c r="U197" s="8"/>
    </row>
    <row r="198" spans="1:28" ht="12.75" customHeight="1" x14ac:dyDescent="0.2">
      <c r="A198" s="96">
        <v>1990</v>
      </c>
      <c r="B198" s="97" t="s">
        <v>20</v>
      </c>
      <c r="C198" s="66" t="s">
        <v>272</v>
      </c>
      <c r="D198" s="68">
        <f>AVERAGEIFS(data!$G$453:$G$3404,data!$B$453:$B$3404,A198,data!$K$453:$K$3404,B198)</f>
        <v>143.03846153846155</v>
      </c>
      <c r="E198" s="214">
        <f t="array" ref="E198">STDEV(IF(data!$B$2:$B$3404=1990,IF(data!$G$2:$G$3404&lt;&gt;"",IF(data!$K$2:$K$3404="female",data!$G$2:$G$3404))))</f>
        <v>11.057959194103654</v>
      </c>
      <c r="F198" s="68">
        <f>AVERAGEIFS(data!$I$453:$I$3404,data!$B$453:$B$3404,A198,data!$K$453:$K$3404,B198)</f>
        <v>11.942105263157897</v>
      </c>
      <c r="G198" s="214">
        <f t="array" ref="G198">STDEV(IF(data!$B$2:$B$3404=1990,IF(data!$I$2:$I$3404&lt;&gt;"",IF(data!$K$2:$K$3404="female",data!$I$2:$I$3404))))</f>
        <v>3.0175994486923661</v>
      </c>
      <c r="H198" s="97">
        <f>COUNTIFS(data!$B$453:$B$3404,A198,data!$K$453:$K$3404,B198,data!$N$453:$N$3404,"headless")</f>
        <v>3</v>
      </c>
      <c r="I198" s="82">
        <f>AVERAGEIFS(data!$G$236:$G$3404,data!$B$236:$B$3404,A198,data!$K$236:$K$3404,B198,data!$N$236:$N$3404,"&lt;&gt;headless")</f>
        <v>143.47826086956522</v>
      </c>
      <c r="J198" s="214">
        <f t="array" ref="J198">STDEV(IF(data!$B$2:$B$3404=1990,IF(data!$G$2:$G$3404&lt;&gt;"",IF(data!$K$2:$K$3404="female",IF(data!$N$2:$N$3404&lt;&gt;"headless",data!$G$2:$G$3404)))))</f>
        <v>11.614526817807992</v>
      </c>
      <c r="K198" s="83">
        <f>AVERAGEIFS(data!$I$236:$I$3404,data!$B$236:$B$3404,A198,data!$K$236:$K$3404,B198,data!$N$236:$N$3404,"&lt;&gt;headless")</f>
        <v>12.282352941176471</v>
      </c>
      <c r="L198" s="214">
        <f t="array" ref="L198">STDEV(IF(data!$B$2:$B$3404=1990,IF(data!$I$2:$I$3404&lt;&gt;"",IF(data!$K$2:$K$3404="female",IF(data!$N$2:$N$3404&lt;&gt;"headless",data!$I$2:$I$3404)))))</f>
        <v>3.0008822232215353</v>
      </c>
      <c r="M198" s="68">
        <f>AVERAGEIFS(data!$I$453:$I$3404,data!$B$453:$B$3404,A198,data!$L$453:$L$3404,N198)</f>
        <v>9</v>
      </c>
      <c r="N198" s="68" t="s">
        <v>30</v>
      </c>
      <c r="O198" s="45"/>
      <c r="P198" s="45"/>
      <c r="Q198" s="45"/>
      <c r="R198" s="11"/>
      <c r="S198" s="8"/>
      <c r="U198" s="8"/>
    </row>
    <row r="199" spans="1:28" ht="12.75" customHeight="1" x14ac:dyDescent="0.2">
      <c r="A199" s="98">
        <v>1990</v>
      </c>
      <c r="B199" s="8" t="s">
        <v>34</v>
      </c>
      <c r="C199" s="8"/>
      <c r="D199" s="51">
        <f>AVERAGEIFS(data!$G$453:$G$3404,data!$B$453:$B$3404,A199,data!$K$453:$K$3404,B199)</f>
        <v>137.4</v>
      </c>
      <c r="E199" s="204">
        <f t="array" ref="E199">STDEV(IF(data!$B$2:$B$3404=1990,IF(data!$G$2:$G$3404&lt;&gt;"",IF(data!$K$2:$K$3404="male",data!$G$2:$G$3404))))</f>
        <v>21.030929603800192</v>
      </c>
      <c r="F199" s="51">
        <f>AVERAGEIFS(data!$I$453:$I$3404,data!$B$453:$B$3404,A199,data!$K$453:$K$3404,B199)</f>
        <v>14.033333333333333</v>
      </c>
      <c r="G199" s="204">
        <f t="array" ref="G199">STDEV(IF(data!$B$2:$B$3404=1990,IF(data!$I$2:$I$3404&lt;&gt;"",IF(data!$K$2:$K$3404="male",data!$I$2:$I$3404))))</f>
        <v>3.9068316233660902</v>
      </c>
      <c r="H199" s="8">
        <f>COUNTIFS(data!$B$453:$B$3404,A199,data!$K$453:$K$3404,B199,data!$N$453:$N$3404,"headless")</f>
        <v>0</v>
      </c>
      <c r="I199" s="75">
        <f>AVERAGEIFS(data!$G$236:$G$3404,data!$B$236:$B$3404,A199,data!$K$236:$K$3404,B199,data!$N$236:$N$3404,"&lt;&gt;headless")</f>
        <v>137.4</v>
      </c>
      <c r="J199" s="204">
        <f t="array" ref="J199">STDEV(IF(data!$B$2:$B$3404=1990,IF(data!$G$2:$G$3404&lt;&gt;"",IF(data!$K$2:$K$3404="male",IF(data!$N$2:$N$3404&lt;&gt;"headless",data!$G$2:$G$3404)))))</f>
        <v>21.030929603800192</v>
      </c>
      <c r="K199" s="76">
        <f>AVERAGEIFS(data!$I$236:$I$3404,data!$B$236:$B$3404,A199,data!$K$236:$K$3404,B199,data!$N$236:$N$3404,"&lt;&gt;headless")</f>
        <v>14.033333333333333</v>
      </c>
      <c r="L199" s="227">
        <f t="array" ref="L199">STDEV(IF(data!$B$2:$B$3404=1990,IF(data!$I$2:$I$3404&lt;&gt;"",IF(data!$K$2:$K$3404="male",IF(data!$N$2:$N$3404&lt;&gt;"headless",data!$I$2:$I$3404)))))</f>
        <v>3.9068316233660902</v>
      </c>
      <c r="M199" s="68" t="e">
        <f>AVERAGEIFS(data!$I$453:$I$3404,data!$B$453:$B$3404,A199,data!$L$453:$L$3404,N199)</f>
        <v>#DIV/0!</v>
      </c>
      <c r="N199" s="68"/>
      <c r="O199" s="45"/>
      <c r="P199" s="45"/>
      <c r="Q199" s="45"/>
      <c r="R199" s="11"/>
      <c r="S199" s="8"/>
      <c r="U199" s="8"/>
    </row>
    <row r="200" spans="1:28" ht="12.75" customHeight="1" x14ac:dyDescent="0.2">
      <c r="A200" s="98">
        <v>1990</v>
      </c>
      <c r="B200" s="8" t="s">
        <v>41</v>
      </c>
      <c r="C200" s="8"/>
      <c r="D200" s="51">
        <f>AVERAGEIFS(data!$G$453:$G$3404,data!$B$453:$B$3404,A200,data!$K$453:$K$3404,B200)</f>
        <v>139.20833333333334</v>
      </c>
      <c r="E200" s="118"/>
      <c r="F200" s="51">
        <f>AVERAGEIFS(data!$I$453:$I$3404,data!$B$453:$B$3404,A200,data!$K$453:$K$3404,B200)</f>
        <v>10.71111111111111</v>
      </c>
      <c r="G200" s="118"/>
      <c r="H200" s="8">
        <f>COUNTIFS(data!$B$453:$B$3404,A200,data!$K$453:$K$3404,B200,data!$N$453:$N$3404,"headless")</f>
        <v>2</v>
      </c>
      <c r="I200" s="75">
        <f>AVERAGEIFS(data!$G$236:$G$3404,data!$B$236:$B$3404,A200,data!$K$236:$K$3404,B200,data!$N$236:$N$3404,"&lt;&gt;headless")</f>
        <v>138.72727272727272</v>
      </c>
      <c r="J200" s="204"/>
      <c r="K200" s="76">
        <f>AVERAGEIFS(data!$I$236:$I$3404,data!$B$236:$B$3404,A200,data!$K$236:$K$3404,B200,data!$N$236:$N$3404,"&lt;&gt;headless")</f>
        <v>10.414285714285713</v>
      </c>
      <c r="L200" s="204"/>
      <c r="M200" s="68" t="e">
        <f>AVERAGEIFS(data!$I$453:$I$3404,data!$B$453:$B$3404,A200,data!$L$453:$L$3404,N200)</f>
        <v>#DIV/0!</v>
      </c>
      <c r="N200" s="68"/>
      <c r="O200" s="45"/>
      <c r="P200" s="45"/>
      <c r="Q200" s="45"/>
      <c r="R200" s="11"/>
      <c r="S200" s="8"/>
      <c r="U200" s="8"/>
    </row>
    <row r="201" spans="1:28" ht="12.75" customHeight="1" x14ac:dyDescent="0.2">
      <c r="A201" s="99">
        <v>1990</v>
      </c>
      <c r="B201" s="49" t="s">
        <v>20</v>
      </c>
      <c r="C201" s="49" t="s">
        <v>30</v>
      </c>
      <c r="D201" s="73">
        <f>AVERAGEIFS(data!$G$236:$G$3404,data!$B$236:$B$3404,A201,data!$L$236:$L$3404,C201,data!$K$236:$K$3404,B201)</f>
        <v>135</v>
      </c>
      <c r="E201" s="118" t="s">
        <v>498</v>
      </c>
      <c r="F201" s="73">
        <f>AVERAGEIFS(data!$I$236:$I$3404,data!$L$236:$L$3404,C201,data!$B$236:$B$3404,A201,data!$K$236:$K$3404,B201)</f>
        <v>9</v>
      </c>
      <c r="G201" s="73"/>
      <c r="H201" s="74">
        <f>COUNTIFS(data!$B$236:$B$3404,A201,data!$L$236:$L$3404,C201,data!$K$236:$K$3404,B201,data!$N$236:$N$3404,"headless")</f>
        <v>0</v>
      </c>
      <c r="I201" s="75">
        <f>AVERAGEIFS(data!$G$236:$G$3404,data!$B$236:$B$3404,A201,data!$L$236:$L$3404,C201,data!$K$236:$K$3404,B201,data!$N$236:$N$3404,"&lt;&gt;headless")</f>
        <v>135</v>
      </c>
      <c r="J201" s="204"/>
      <c r="K201" s="76">
        <f>AVERAGEIFS(data!$I$236:$I$3404,data!$B$236:$B$3404,A201,data!$L$236:$L$3404,C201,data!$K$236:$K$3404,B201,data!$N$236:$N$3404,"&lt;&gt;headless")</f>
        <v>9</v>
      </c>
      <c r="L201" s="204"/>
      <c r="M201" s="51"/>
      <c r="N201" s="51"/>
      <c r="O201" s="45"/>
      <c r="P201" s="45"/>
      <c r="Q201" s="45"/>
      <c r="R201" s="11"/>
      <c r="S201" s="8"/>
      <c r="U201" s="8"/>
    </row>
    <row r="202" spans="1:28" ht="12.75" customHeight="1" x14ac:dyDescent="0.2">
      <c r="A202" s="102">
        <v>1990</v>
      </c>
      <c r="B202" s="103" t="s">
        <v>20</v>
      </c>
      <c r="C202" s="103" t="s">
        <v>21</v>
      </c>
      <c r="D202" s="86"/>
      <c r="E202" s="86"/>
      <c r="F202" s="86"/>
      <c r="G202" s="86"/>
      <c r="H202" s="79">
        <f>COUNTIFS(data!$B$236:$B$3404,A202,data!$L$236:$L$3404,C202,data!$K$236:$K$3404,B202,data!$N$236:$N$3404,"headless")</f>
        <v>0</v>
      </c>
      <c r="I202" s="80"/>
      <c r="J202" s="86"/>
      <c r="K202" s="81"/>
      <c r="L202" s="227"/>
      <c r="M202" s="51"/>
      <c r="N202" s="51"/>
      <c r="O202" s="45"/>
      <c r="P202" s="45"/>
      <c r="Q202" s="45"/>
      <c r="R202" s="11"/>
      <c r="S202" s="8"/>
      <c r="U202" s="8"/>
    </row>
    <row r="203" spans="1:28" ht="12.75" customHeight="1" x14ac:dyDescent="0.2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1"/>
      <c r="P203" s="8"/>
      <c r="R203" s="8"/>
    </row>
    <row r="204" spans="1:28" ht="12.75" customHeight="1" x14ac:dyDescent="0.2">
      <c r="A204" s="45" t="s">
        <v>275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11"/>
      <c r="O204" s="8"/>
      <c r="Q204" s="8"/>
    </row>
    <row r="205" spans="1:28" ht="12.75" customHeight="1" x14ac:dyDescent="0.2">
      <c r="A205" s="10" t="s">
        <v>243</v>
      </c>
      <c r="B205" s="10" t="s">
        <v>276</v>
      </c>
      <c r="C205" s="10"/>
      <c r="D205" s="10" t="s">
        <v>277</v>
      </c>
      <c r="E205" s="10" t="s">
        <v>278</v>
      </c>
      <c r="F205" s="10" t="s">
        <v>279</v>
      </c>
      <c r="G205" s="10" t="s">
        <v>280</v>
      </c>
      <c r="H205" s="10"/>
      <c r="I205" s="10" t="s">
        <v>259</v>
      </c>
      <c r="J205" s="10" t="s">
        <v>260</v>
      </c>
      <c r="L205" s="204"/>
      <c r="M205" s="45"/>
      <c r="N205" s="1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1:28" s="230" customFormat="1" ht="12.75" customHeight="1" x14ac:dyDescent="0.2">
      <c r="A206" s="45">
        <v>2017</v>
      </c>
      <c r="B206" s="154">
        <f>COUNTIFS(data!$B$2:$B$3404,$A206,data!$J$2:$J$3404,"capelin",data!$K$2:$K$3404,"female")</f>
        <v>204</v>
      </c>
      <c r="C206" s="10"/>
      <c r="D206" s="230">
        <f>COUNTIFS(data!$B$2:$B$3404,$A206,data!$J$2:$J$3404,"capelin",data!$K$2:$K$3404,"female",data!$L$2:$L$3404,"gravid")</f>
        <v>101</v>
      </c>
      <c r="E206" s="118">
        <f>$D206/$B206*100</f>
        <v>49.509803921568633</v>
      </c>
      <c r="F206" s="230">
        <f t="array" ref="F206">COUNTIFS(data!$B$2:$B$3404,$A206,data!$J$2:$J$3404,"capelin",data!$K$2:$K$3404,"female",data!$L$2:$L$3404,"spent")</f>
        <v>99</v>
      </c>
      <c r="G206" s="118">
        <f t="shared" ref="G206:G232" si="6">$F206/$B206*100</f>
        <v>48.529411764705884</v>
      </c>
      <c r="H206" s="10"/>
      <c r="I206" s="230">
        <f>COUNTIFS(data!$B$236:$B$3404,$A206,data!$J$236:$J$3404,"capelin",data!$K$236:$K$3404,"female",data!$L$236:$L$3404,"unknown")+COUNTIFS(data!$B$236:$B$3404,$A206,data!$J$236:$J$3404,"capelin",data!$K$236:$K$3404,"female",data!$L$236:$L$3404,"immature")</f>
        <v>0</v>
      </c>
      <c r="J206" s="118">
        <f t="shared" ref="J206:J232" si="7">$I206/$B206*100</f>
        <v>0</v>
      </c>
      <c r="L206" s="204"/>
      <c r="M206" s="45"/>
      <c r="N206" s="1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1:28" ht="12.75" customHeight="1" x14ac:dyDescent="0.2">
      <c r="A207" s="49">
        <v>2016</v>
      </c>
      <c r="B207" s="57">
        <f>COUNTIFS(data!$B$236:$B$3404,$A207,data!$J$236:$J$3404,"capelin",data!$K$236:$K$3404,"female")</f>
        <v>36</v>
      </c>
      <c r="C207" s="10"/>
      <c r="D207">
        <f>COUNTIFS(data!$B$236:$B$3404,$A207,data!$J$236:$J$3404,"capelin",data!$K$236:$K$3404,"female",data!$L$236:$L$3404,"gravid")</f>
        <v>8</v>
      </c>
      <c r="E207" s="51">
        <f>$D207/$B207*100</f>
        <v>22.222222222222221</v>
      </c>
      <c r="F207">
        <f>COUNTIFS(data!$B$236:$B$3404,$A207,data!$J$236:$J$3404,"capelin",data!$K$236:$K$3404,"female",data!$L$236:$L$3404,"spent")</f>
        <v>28</v>
      </c>
      <c r="G207" s="51">
        <f t="shared" si="6"/>
        <v>77.777777777777786</v>
      </c>
      <c r="H207" s="10"/>
      <c r="I207">
        <f>COUNTIFS(data!$B$236:$B$3404,$A207,data!$J$236:$J$3404,"capelin",data!$K$236:$K$3404,"female",data!$L$236:$L$3404,"unknown")+COUNTIFS(data!$B$236:$B$3404,$A207,data!$J$236:$J$3404,"capelin",data!$K$236:$K$3404,"female",data!$L$236:$L$3404,"immature")</f>
        <v>0</v>
      </c>
      <c r="J207" s="51">
        <f t="shared" si="7"/>
        <v>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1:28" ht="12.75" customHeight="1" x14ac:dyDescent="0.2">
      <c r="A208" s="49">
        <v>2014</v>
      </c>
      <c r="B208" s="57">
        <f>COUNTIFS(data!$B$281:$B$3404,$A208,data!$J$281:$J$3404,"capelin",data!$K$281:$K$3404,"female")</f>
        <v>90</v>
      </c>
      <c r="C208" s="10"/>
      <c r="D208">
        <f>COUNTIFS(data!$B$281:$B$3404,$A208,data!$J$281:$J$3404,"capelin",data!$K$281:$K$3404,"female",data!$L$281:$L$3404,"gravid")</f>
        <v>8</v>
      </c>
      <c r="E208" s="51">
        <f>$D208/$B208*100</f>
        <v>8.8888888888888893</v>
      </c>
      <c r="F208">
        <f>COUNTIFS(data!$B$281:$B$3404,$A208,data!$J$281:$J$3404,"capelin",data!$K$281:$K$3404,"female",data!$L$281:$L$3404,"spent")</f>
        <v>81</v>
      </c>
      <c r="G208" s="51">
        <f t="shared" si="6"/>
        <v>90</v>
      </c>
      <c r="H208" s="10"/>
      <c r="I208">
        <f>COUNTIFS(data!$B$281:$B$3404,$A208,data!$J$281:$J$3404,"capelin",data!$K$281:$K$3404,"female",data!$L$281:$L$3404,"unknown")+COUNTIFS(data!$B$281:$B$3404,$A208,data!$J$281:$J$3404,"capelin",data!$K$281:$K$3404,"female",data!$L$281:$L$3404,"immature")</f>
        <v>0</v>
      </c>
      <c r="J208" s="51">
        <f t="shared" si="7"/>
        <v>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1:28" ht="12.75" customHeight="1" x14ac:dyDescent="0.2">
      <c r="A209" s="8">
        <v>2013</v>
      </c>
      <c r="B209" s="11">
        <f>COUNTIFS(data!$B$373:$B$3404,$A209,data!$J$373:$J$3404,"capelin",data!$K$373:$K$3404,"female")</f>
        <v>70</v>
      </c>
      <c r="C209" s="10"/>
      <c r="D209" s="45">
        <f>COUNTIFS(data!$B$373:$B$3404,$A209,data!$J$373:$J$3404,"capelin",data!$K$373:$K$3404,"female",data!$L$373:$L$3404,"gravid")</f>
        <v>17</v>
      </c>
      <c r="E209" s="51">
        <f t="shared" ref="E209:E232" si="8">$D209/$B209*100</f>
        <v>24.285714285714285</v>
      </c>
      <c r="F209" s="45">
        <f>COUNTIFS(data!$B$373:$B$3404,$A209,data!$J$373:$J$3404,"capelin",data!$K$373:$K$3404,"female",data!$L$373:$L$3404,"spent")</f>
        <v>51</v>
      </c>
      <c r="G209" s="51">
        <f t="shared" si="6"/>
        <v>72.857142857142847</v>
      </c>
      <c r="H209" s="10"/>
      <c r="I209" s="45">
        <f>COUNTIFS(data!$B$373:$B$3404,$A209,data!$J$373:$J$3404,"capelin",data!$K$373:$K$3404,"female",data!$L$373:$L$3404,"unknown")+COUNTIFS(data!$B$373:$B$3404,$A209,data!$J$373:$J$3404,"capelin",data!$K$373:$K$3404,"female",data!$L$373:$L$3404,"immature")</f>
        <v>2</v>
      </c>
      <c r="J209" s="51">
        <f t="shared" si="7"/>
        <v>2.8571428571428572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1:28" ht="12.75" customHeight="1" x14ac:dyDescent="0.2">
      <c r="A210" s="8">
        <v>2012</v>
      </c>
      <c r="B210" s="11">
        <f>COUNTIFS(data!$B$453:$B$3404,$A210,data!$J$453:$J$3404,"capelin",data!$K$453:$K$3404,"female")</f>
        <v>104</v>
      </c>
      <c r="C210" s="11"/>
      <c r="D210" s="45">
        <f>COUNTIFS(data!$B$453:$B$3404,$A210,data!$J$453:$J$3404,"capelin",data!$K$453:$K$3404,"female",data!$L$453:$L$3404,"gravid")</f>
        <v>35</v>
      </c>
      <c r="E210" s="51">
        <f t="shared" si="8"/>
        <v>33.653846153846153</v>
      </c>
      <c r="F210" s="45">
        <f>COUNTIFS(data!$B$453:$B$3404,$A210,data!$J$453:$J$3404,"capelin",data!$K$453:$K$3404,"female",data!$L$453:$L$3404,"spent")</f>
        <v>54</v>
      </c>
      <c r="G210" s="51">
        <f t="shared" si="6"/>
        <v>51.923076923076927</v>
      </c>
      <c r="H210" s="51"/>
      <c r="I210" s="45">
        <f>COUNTIFS(data!$B$453:$B$3404,$A210,data!$J$453:$J$3404,"capelin",data!$K$453:$K$3404,"female",data!$L$453:$L$3404,"unknown")+COUNTIFS(data!$B$453:$B$3404,$A210,data!$J$453:$J$3404,"capelin",data!$K$453:$K$3404,"female",data!$L$453:$L$3404,"immature")</f>
        <v>15</v>
      </c>
      <c r="J210" s="51">
        <f t="shared" si="7"/>
        <v>14.423076923076922</v>
      </c>
      <c r="M210" s="10"/>
      <c r="N210" s="10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2.75" customHeight="1" x14ac:dyDescent="0.2">
      <c r="A211" s="45">
        <v>2011</v>
      </c>
      <c r="B211" s="11">
        <f>COUNTIFS(data!$B$453:$B$3404,$A211,data!$J$453:$J$3404,"capelin",data!$K$453:$K$3404,"female")</f>
        <v>91</v>
      </c>
      <c r="C211" s="11"/>
      <c r="D211" s="45">
        <f>COUNTIFS(data!$B$453:$B$3404,$A211,data!$J$453:$J$3404,"capelin",data!$K$453:$K$3404,"female",data!$L$453:$L$3404,"gravid")</f>
        <v>46</v>
      </c>
      <c r="E211" s="51">
        <f t="shared" si="8"/>
        <v>50.549450549450547</v>
      </c>
      <c r="F211" s="45">
        <f>COUNTIFS(data!$B$453:$B$3404,$A211,data!$J$453:$J$3404,"capelin",data!$K$453:$K$3404,"female",data!$L$453:$L$3404,"spent")</f>
        <v>42</v>
      </c>
      <c r="G211" s="51">
        <f t="shared" si="6"/>
        <v>46.153846153846153</v>
      </c>
      <c r="H211" s="51"/>
      <c r="I211" s="45">
        <f>COUNTIFS(data!$B$453:$B$3404,$A211,data!$J$453:$J$3404,"capelin",data!$K$453:$K$3404,"female",data!$L$453:$L$3404,"unknown")+COUNTIFS(data!$B$453:$B$3404,$A211,data!$J$453:$J$3404,"capelin",data!$K$453:$K$3404,"female",data!$L$453:$L$3404,"immature")</f>
        <v>3</v>
      </c>
      <c r="J211" s="51">
        <f t="shared" si="7"/>
        <v>3.296703296703297</v>
      </c>
      <c r="M211" s="8"/>
      <c r="N211" s="8"/>
      <c r="O211" s="8"/>
    </row>
    <row r="212" spans="1:28" ht="12.75" customHeight="1" x14ac:dyDescent="0.2">
      <c r="A212" s="45">
        <v>2010</v>
      </c>
      <c r="B212" s="11">
        <f>COUNTIFS(data!$B$453:$B$3404,$A212,data!$J$453:$J$3404,"capelin",data!$K$453:$K$3404,"female")</f>
        <v>27</v>
      </c>
      <c r="C212" s="11"/>
      <c r="D212" s="45">
        <f>COUNTIFS(data!$B$453:$B$3404,$A212,data!$J$453:$J$3404,"capelin",data!$K$453:$K$3404,"female",data!$L$453:$L$3404,"gravid")</f>
        <v>24</v>
      </c>
      <c r="E212" s="51">
        <f t="shared" si="8"/>
        <v>88.888888888888886</v>
      </c>
      <c r="F212" s="45">
        <f>COUNTIFS(data!$B$453:$B$3404,$A212,data!$J$453:$J$3404,"capelin",data!$K$453:$K$3404,"female",data!$L$453:$L$3404,"spent")</f>
        <v>3</v>
      </c>
      <c r="G212" s="51">
        <f t="shared" si="6"/>
        <v>11.111111111111111</v>
      </c>
      <c r="H212" s="51"/>
      <c r="I212" s="45">
        <f>COUNTIFS(data!$B$453:$B$3404,$A212,data!$J$453:$J$3404,"capelin",data!$K$453:$K$3404,"female",data!$L$453:$L$3404,"unknown")+COUNTIFS(data!$B$453:$B$3404,$A212,data!$J$453:$J$3404,"capelin",data!$K$453:$K$3404,"female",data!$L$453:$L$3404,"immature")</f>
        <v>0</v>
      </c>
      <c r="J212" s="51">
        <f t="shared" si="7"/>
        <v>0</v>
      </c>
      <c r="M212" s="8"/>
      <c r="N212" s="45"/>
      <c r="O212" s="8"/>
    </row>
    <row r="213" spans="1:28" ht="12.75" customHeight="1" x14ac:dyDescent="0.2">
      <c r="A213" s="45">
        <v>2009</v>
      </c>
      <c r="B213" s="11">
        <f>COUNTIFS(data!$B$453:$B$3404,$A213,data!$J$453:$J$3404,"capelin",data!$K$453:$K$3404,"female")</f>
        <v>58</v>
      </c>
      <c r="C213" s="11"/>
      <c r="D213" s="45">
        <f>COUNTIFS(data!$B$453:$B$3404,$A213,data!$J$453:$J$3404,"capelin",data!$K$453:$K$3404,"female",data!$L$453:$L$3404,"gravid")</f>
        <v>42</v>
      </c>
      <c r="E213" s="51">
        <f t="shared" si="8"/>
        <v>72.41379310344827</v>
      </c>
      <c r="F213" s="45">
        <f>COUNTIFS(data!$B$453:$B$3404,$A213,data!$J$453:$J$3404,"capelin",data!$K$453:$K$3404,"female",data!$L$453:$L$3404,"spent")</f>
        <v>16</v>
      </c>
      <c r="G213" s="51">
        <f t="shared" si="6"/>
        <v>27.586206896551722</v>
      </c>
      <c r="H213" s="51"/>
      <c r="I213" s="45">
        <f>COUNTIFS(data!$B$453:$B$3404,$A213,data!$J$453:$J$3404,"capelin",data!$K$453:$K$3404,"female",data!$L$453:$L$3404,"unknown")+COUNTIFS(data!$B$453:$B$3404,$A213,data!$J$453:$J$3404,"capelin",data!$K$453:$K$3404,"female",data!$L$453:$L$3404,"immature")</f>
        <v>0</v>
      </c>
      <c r="J213" s="51">
        <f t="shared" si="7"/>
        <v>0</v>
      </c>
      <c r="M213" s="8"/>
      <c r="N213" s="45"/>
      <c r="O213" s="8"/>
    </row>
    <row r="214" spans="1:28" ht="12.75" customHeight="1" x14ac:dyDescent="0.2">
      <c r="A214" s="45">
        <v>2008</v>
      </c>
      <c r="B214" s="11">
        <f>COUNTIFS(data!$B$453:$B$3404,$A214,data!$J$453:$J$3404,"capelin",data!$K$453:$K$3404,"female")</f>
        <v>101</v>
      </c>
      <c r="C214" s="11"/>
      <c r="D214" s="45">
        <f>COUNTIFS(data!$B$453:$B$3404,$A214,data!$J$453:$J$3404,"capelin",data!$K$453:$K$3404,"female",data!$L$453:$L$3404,"gravid")</f>
        <v>40</v>
      </c>
      <c r="E214" s="51">
        <f t="shared" si="8"/>
        <v>39.603960396039604</v>
      </c>
      <c r="F214" s="45">
        <f>COUNTIFS(data!$B$453:$B$3404,$A214,data!$J$453:$J$3404,"capelin",data!$K$453:$K$3404,"female",data!$L$453:$L$3404,"spent")</f>
        <v>60</v>
      </c>
      <c r="G214" s="51">
        <f t="shared" si="6"/>
        <v>59.405940594059402</v>
      </c>
      <c r="H214" s="51"/>
      <c r="I214" s="45">
        <f>COUNTIFS(data!$B$453:$B$3404,$A214,data!$J$453:$J$3404,"capelin",data!$K$453:$K$3404,"female",data!$L$453:$L$3404,"unknown")+COUNTIFS(data!$B$453:$B$3404,$A214,data!$J$453:$J$3404,"capelin",data!$K$453:$K$3404,"female",data!$L$453:$L$3404,"immature")</f>
        <v>1</v>
      </c>
      <c r="J214" s="51">
        <f t="shared" si="7"/>
        <v>0.99009900990099009</v>
      </c>
      <c r="M214" s="8"/>
      <c r="N214" s="45"/>
      <c r="O214" s="8"/>
    </row>
    <row r="215" spans="1:28" ht="12.75" customHeight="1" x14ac:dyDescent="0.2">
      <c r="A215" s="45">
        <v>2007</v>
      </c>
      <c r="B215" s="11">
        <f>COUNTIFS(data!$B$453:$B$3404,$A215,data!$J$453:$J$3404,"capelin",data!$K$453:$K$3404,"female")</f>
        <v>149</v>
      </c>
      <c r="C215" s="11"/>
      <c r="D215" s="45">
        <f>COUNTIFS(data!$B$453:$B$3404,$A215,data!$J$453:$J$3404,"capelin",data!$K$453:$K$3404,"female",data!$L$453:$L$3404,"gravid")</f>
        <v>49</v>
      </c>
      <c r="E215" s="51">
        <f t="shared" si="8"/>
        <v>32.885906040268459</v>
      </c>
      <c r="F215" s="45">
        <f>COUNTIFS(data!$B$453:$B$3404,$A215,data!$J$453:$J$3404,"capelin",data!$K$453:$K$3404,"female",data!$L$453:$L$3404,"spent")</f>
        <v>86</v>
      </c>
      <c r="G215" s="51">
        <f t="shared" si="6"/>
        <v>57.718120805369132</v>
      </c>
      <c r="H215" s="51"/>
      <c r="I215" s="45">
        <f>COUNTIFS(data!$B$453:$B$3404,$A215,data!$J$453:$J$3404,"capelin",data!$K$453:$K$3404,"female",data!$L$453:$L$3404,"unknown")+COUNTIFS(data!$B$453:$B$3404,$A215,data!$J$453:$J$3404,"capelin",data!$K$453:$K$3404,"female",data!$L$453:$L$3404,"immature")</f>
        <v>14</v>
      </c>
      <c r="J215" s="51">
        <f t="shared" si="7"/>
        <v>9.3959731543624159</v>
      </c>
      <c r="M215" s="8"/>
      <c r="N215" s="45"/>
      <c r="O215" s="8"/>
    </row>
    <row r="216" spans="1:28" ht="12.75" customHeight="1" x14ac:dyDescent="0.2">
      <c r="A216" s="45">
        <v>2006</v>
      </c>
      <c r="B216" s="11">
        <f>COUNTIFS(data!$B$453:$B$3404,$A216,data!$J$453:$J$3404,"capelin",data!$K$453:$K$3404,"female")</f>
        <v>24</v>
      </c>
      <c r="C216" s="11"/>
      <c r="D216" s="45">
        <f>COUNTIFS(data!$B$453:$B$3404,$A216,data!$J$453:$J$3404,"capelin",data!$K$453:$K$3404,"female",data!$L$453:$L$3404,"gravid")</f>
        <v>1</v>
      </c>
      <c r="E216" s="51">
        <f t="shared" si="8"/>
        <v>4.1666666666666661</v>
      </c>
      <c r="F216" s="45">
        <f>COUNTIFS(data!$B$453:$B$3404,$A216,data!$J$453:$J$3404,"capelin",data!$K$453:$K$3404,"female",data!$L$453:$L$3404,"spent")</f>
        <v>19</v>
      </c>
      <c r="G216" s="51">
        <f t="shared" si="6"/>
        <v>79.166666666666657</v>
      </c>
      <c r="H216" s="51"/>
      <c r="I216" s="45">
        <f>COUNTIFS(data!$B$453:$B$3404,$A216,data!$J$453:$J$3404,"capelin",data!$K$453:$K$3404,"female",data!$L$453:$L$3404,"unknown")+COUNTIFS(data!$B$453:$B$3404,$A216,data!$J$453:$J$3404,"capelin",data!$K$453:$K$3404,"female",data!$L$453:$L$3404,"immature")</f>
        <v>4</v>
      </c>
      <c r="J216" s="51">
        <f t="shared" si="7"/>
        <v>16.666666666666664</v>
      </c>
      <c r="M216" s="8"/>
      <c r="N216" s="45"/>
      <c r="O216" s="8"/>
    </row>
    <row r="217" spans="1:28" ht="12.75" customHeight="1" x14ac:dyDescent="0.2">
      <c r="A217" s="45">
        <v>2005</v>
      </c>
      <c r="B217" s="11">
        <f>COUNTIFS(data!$B$453:$B$3404,$A217,data!$J$453:$J$3404,"capelin",data!$K$453:$K$3404,"female")</f>
        <v>104</v>
      </c>
      <c r="C217" s="11"/>
      <c r="D217" s="45">
        <f>COUNTIFS(data!$B$453:$B$3404,$A217,data!$J$453:$J$3404,"capelin",data!$K$453:$K$3404,"female",data!$L$453:$L$3404,"gravid")</f>
        <v>5</v>
      </c>
      <c r="E217" s="51">
        <f t="shared" si="8"/>
        <v>4.8076923076923084</v>
      </c>
      <c r="F217" s="45">
        <f>COUNTIFS(data!$B$453:$B$3404,$A217,data!$J$453:$J$3404,"capelin",data!$K$453:$K$3404,"female",data!$L$453:$L$3404,"spent")</f>
        <v>76</v>
      </c>
      <c r="G217" s="51">
        <f t="shared" si="6"/>
        <v>73.076923076923066</v>
      </c>
      <c r="H217" s="51"/>
      <c r="I217" s="45">
        <f>COUNTIFS(data!$B$453:$B$3404,$A217,data!$J$453:$J$3404,"capelin",data!$K$453:$K$3404,"female",data!$L$453:$L$3404,"unknown")+COUNTIFS(data!$B$453:$B$3404,$A217,data!$J$453:$J$3404,"capelin",data!$K$453:$K$3404,"female",data!$L$453:$L$3404,"immature")</f>
        <v>23</v>
      </c>
      <c r="J217" s="51">
        <f t="shared" si="7"/>
        <v>22.115384615384613</v>
      </c>
      <c r="M217" s="8"/>
      <c r="N217" s="45"/>
      <c r="O217" s="8"/>
    </row>
    <row r="218" spans="1:28" ht="12.75" customHeight="1" x14ac:dyDescent="0.2">
      <c r="A218" s="45">
        <v>2004</v>
      </c>
      <c r="B218" s="11">
        <f>COUNTIFS(data!$B$453:$B$3404,$A218,data!$J$453:$J$3404,"capelin",data!$K$453:$K$3404,"female")</f>
        <v>158</v>
      </c>
      <c r="C218" s="11"/>
      <c r="D218" s="45">
        <f>COUNTIFS(data!$B$453:$B$3404,$A218,data!$J$453:$J$3404,"capelin",data!$K$453:$K$3404,"female",data!$L$453:$L$3404,"gravid")</f>
        <v>62</v>
      </c>
      <c r="E218" s="51">
        <f t="shared" si="8"/>
        <v>39.24050632911392</v>
      </c>
      <c r="F218" s="45">
        <f>COUNTIFS(data!$B$453:$B$3404,$A218,data!$J$453:$J$3404,"capelin",data!$K$453:$K$3404,"female",data!$L$453:$L$3404,"spent")</f>
        <v>80</v>
      </c>
      <c r="G218" s="51">
        <f t="shared" si="6"/>
        <v>50.632911392405063</v>
      </c>
      <c r="H218" s="51"/>
      <c r="I218" s="45">
        <f>COUNTIFS(data!$B$453:$B$3404,$A218,data!$J$453:$J$3404,"capelin",data!$K$453:$K$3404,"female",data!$L$453:$L$3404,"unknown")+COUNTIFS(data!$B$453:$B$3404,$A218,data!$J$453:$J$3404,"capelin",data!$K$453:$K$3404,"female",data!$L$453:$L$3404,"immature")</f>
        <v>16</v>
      </c>
      <c r="J218" s="51">
        <f t="shared" si="7"/>
        <v>10.126582278481013</v>
      </c>
      <c r="M218" s="8"/>
      <c r="N218" s="45"/>
      <c r="O218" s="8"/>
    </row>
    <row r="219" spans="1:28" ht="12.75" customHeight="1" x14ac:dyDescent="0.2">
      <c r="A219" s="45">
        <v>2003</v>
      </c>
      <c r="B219" s="11">
        <f>COUNTIFS(data!$B$453:$B$3404,$A219,data!$J$453:$J$3404,"capelin",data!$K$453:$K$3404,"female")</f>
        <v>73</v>
      </c>
      <c r="C219" s="11"/>
      <c r="D219" s="45">
        <f>COUNTIFS(data!$B$453:$B$3404,$A219,data!$J$453:$J$3404,"capelin",data!$K$453:$K$3404,"female",data!$L$453:$L$3404,"gravid")</f>
        <v>58</v>
      </c>
      <c r="E219" s="51">
        <f t="shared" si="8"/>
        <v>79.452054794520549</v>
      </c>
      <c r="F219" s="45">
        <f>COUNTIFS(data!$B$453:$B$3404,$A219,data!$J$453:$J$3404,"capelin",data!$K$453:$K$3404,"female",data!$L$453:$L$3404,"spent")</f>
        <v>15</v>
      </c>
      <c r="G219" s="51">
        <f t="shared" si="6"/>
        <v>20.547945205479451</v>
      </c>
      <c r="H219" s="51"/>
      <c r="I219" s="45">
        <f>COUNTIFS(data!$B$453:$B$3404,$A219,data!$J$453:$J$3404,"capelin",data!$K$453:$K$3404,"female",data!$L$453:$L$3404,"unknown")+COUNTIFS(data!$B$453:$B$3404,$A219,data!$J$453:$J$3404,"capelin",data!$K$453:$K$3404,"female",data!$L$453:$L$3404,"immature")</f>
        <v>0</v>
      </c>
      <c r="J219" s="51">
        <f t="shared" si="7"/>
        <v>0</v>
      </c>
      <c r="M219" s="8"/>
      <c r="N219" s="45"/>
      <c r="O219" s="8"/>
    </row>
    <row r="220" spans="1:28" ht="12.75" customHeight="1" x14ac:dyDescent="0.2">
      <c r="A220" s="45">
        <v>2002</v>
      </c>
      <c r="B220" s="11">
        <f>COUNTIFS(data!$B$453:$B$3404,$A220,data!$J$453:$J$3404,"capelin",data!$K$453:$K$3404,"female")</f>
        <v>261</v>
      </c>
      <c r="C220" s="11"/>
      <c r="D220" s="45">
        <f>COUNTIFS(data!$B$453:$B$3404,$A220,data!$J$453:$J$3404,"capelin",data!$K$453:$K$3404,"female",data!$L$453:$L$3404,"gravid")</f>
        <v>150</v>
      </c>
      <c r="E220" s="51">
        <f t="shared" si="8"/>
        <v>57.47126436781609</v>
      </c>
      <c r="F220" s="45">
        <f>COUNTIFS(data!$B$453:$B$3404,$A220,data!$J$453:$J$3404,"capelin",data!$K$453:$K$3404,"female",data!$L$453:$L$3404,"spent")</f>
        <v>103</v>
      </c>
      <c r="G220" s="51">
        <f t="shared" si="6"/>
        <v>39.463601532567047</v>
      </c>
      <c r="H220" s="51"/>
      <c r="I220" s="45">
        <f>COUNTIFS(data!$B$453:$B$3404,$A220,data!$J$453:$J$3404,"capelin",data!$K$453:$K$3404,"female",data!$L$453:$L$3404,"unknown")+COUNTIFS(data!$B$453:$B$3404,$A220,data!$J$453:$J$3404,"capelin",data!$K$453:$K$3404,"female",data!$L$453:$L$3404,"immature")</f>
        <v>8</v>
      </c>
      <c r="J220" s="51">
        <f t="shared" si="7"/>
        <v>3.0651340996168579</v>
      </c>
      <c r="M220" s="8"/>
      <c r="N220" s="45"/>
      <c r="O220" s="8"/>
    </row>
    <row r="221" spans="1:28" ht="12.75" customHeight="1" x14ac:dyDescent="0.2">
      <c r="A221" s="45">
        <v>2001</v>
      </c>
      <c r="B221" s="11">
        <f>COUNTIFS(data!$B$453:$B$3404,$A221,data!$J$453:$J$3404,"capelin",data!$K$453:$K$3404,"female")</f>
        <v>116</v>
      </c>
      <c r="C221" s="11"/>
      <c r="D221" s="45">
        <f>COUNTIFS(data!$B$453:$B$3404,$A221,data!$J$453:$J$3404,"capelin",data!$K$453:$K$3404,"female",data!$L$453:$L$3404,"gravid")</f>
        <v>21</v>
      </c>
      <c r="E221" s="51">
        <f t="shared" si="8"/>
        <v>18.103448275862068</v>
      </c>
      <c r="F221" s="45">
        <f>COUNTIFS(data!$B$453:$B$3404,$A221,data!$J$453:$J$3404,"capelin",data!$K$453:$K$3404,"female",data!$L$453:$L$3404,"spent")</f>
        <v>93</v>
      </c>
      <c r="G221" s="51">
        <f t="shared" si="6"/>
        <v>80.172413793103445</v>
      </c>
      <c r="H221" s="51"/>
      <c r="I221" s="45">
        <f>COUNTIFS(data!$B$453:$B$3404,$A221,data!$J$453:$J$3404,"capelin",data!$K$453:$K$3404,"female",data!$L$453:$L$3404,"unknown")+COUNTIFS(data!$B$453:$B$3404,$A221,data!$J$453:$J$3404,"capelin",data!$K$453:$K$3404,"female",data!$L$453:$L$3404,"immature")</f>
        <v>2</v>
      </c>
      <c r="J221" s="51">
        <f t="shared" si="7"/>
        <v>1.7241379310344827</v>
      </c>
      <c r="M221" s="8"/>
      <c r="N221" s="45"/>
      <c r="O221" s="8"/>
    </row>
    <row r="222" spans="1:28" ht="12.75" customHeight="1" x14ac:dyDescent="0.2">
      <c r="A222" s="45">
        <v>2000</v>
      </c>
      <c r="B222" s="11">
        <f>COUNTIFS(data!$B$453:$B$3404,$A222,data!$J$453:$J$3404,"capelin",data!$K$453:$K$3404,"female")</f>
        <v>135</v>
      </c>
      <c r="C222" s="11"/>
      <c r="D222" s="45">
        <f>COUNTIFS(data!$B$453:$B$3404,$A222,data!$J$453:$J$3404,"capelin",data!$K$453:$K$3404,"female",data!$L$453:$L$3404,"gravid")</f>
        <v>9</v>
      </c>
      <c r="E222" s="51">
        <f t="shared" si="8"/>
        <v>6.666666666666667</v>
      </c>
      <c r="F222" s="45">
        <f>COUNTIFS(data!$B$453:$B$3404,$A222,data!$J$453:$J$3404,"capelin",data!$K$453:$K$3404,"female",data!$L$453:$L$3404,"spent")</f>
        <v>118</v>
      </c>
      <c r="G222" s="51">
        <f t="shared" si="6"/>
        <v>87.407407407407405</v>
      </c>
      <c r="H222" s="51"/>
      <c r="I222" s="45">
        <f>COUNTIFS(data!$B$453:$B$3404,$A222,data!$J$453:$J$3404,"capelin",data!$K$453:$K$3404,"female",data!$L$453:$L$3404,"unknown")+COUNTIFS(data!$B$453:$B$3404,$A222,data!$J$453:$J$3404,"capelin",data!$K$453:$K$3404,"female",data!$L$453:$L$3404,"immature")</f>
        <v>8</v>
      </c>
      <c r="J222" s="51">
        <f t="shared" si="7"/>
        <v>5.9259259259259265</v>
      </c>
      <c r="M222" s="8"/>
      <c r="N222" s="45"/>
      <c r="O222" s="8"/>
    </row>
    <row r="223" spans="1:28" ht="12.75" customHeight="1" x14ac:dyDescent="0.2">
      <c r="A223" s="45">
        <v>1999</v>
      </c>
      <c r="B223" s="11">
        <f>COUNTIFS(data!$B$453:$B$3404,$A223,data!$J$453:$J$3404,"capelin",data!$K$453:$K$3404,"female")</f>
        <v>60</v>
      </c>
      <c r="C223" s="11"/>
      <c r="D223" s="45">
        <f>COUNTIFS(data!$B$453:$B$3404,$A223,data!$J$453:$J$3404,"capelin",data!$K$453:$K$3404,"female",data!$L$453:$L$3404,"gravid")</f>
        <v>10</v>
      </c>
      <c r="E223" s="51">
        <f t="shared" si="8"/>
        <v>16.666666666666664</v>
      </c>
      <c r="F223" s="45">
        <f>COUNTIFS(data!$B$453:$B$3404,$A223,data!$J$453:$J$3404,"capelin",data!$K$453:$K$3404,"female",data!$L$453:$L$3404,"spent")</f>
        <v>50</v>
      </c>
      <c r="G223" s="51">
        <f t="shared" si="6"/>
        <v>83.333333333333343</v>
      </c>
      <c r="H223" s="51"/>
      <c r="I223" s="45">
        <f>COUNTIFS(data!$B$453:$B$3404,$A223,data!$J$453:$J$3404,"capelin",data!$K$453:$K$3404,"female",data!$L$453:$L$3404,"unknown")+COUNTIFS(data!$B$453:$B$3404,$A223,data!$J$453:$J$3404,"capelin",data!$K$453:$K$3404,"female",data!$L$453:$L$3404,"immature")</f>
        <v>0</v>
      </c>
      <c r="J223" s="51">
        <f t="shared" si="7"/>
        <v>0</v>
      </c>
      <c r="M223" s="8"/>
      <c r="N223" s="45"/>
      <c r="O223" s="8"/>
    </row>
    <row r="224" spans="1:28" ht="12.75" customHeight="1" x14ac:dyDescent="0.2">
      <c r="A224" s="45">
        <v>1998</v>
      </c>
      <c r="B224" s="11">
        <f>COUNTIFS(data!$B$453:$B$3404,$A224,data!$J$453:$J$3404,"capelin",data!$K$453:$K$3404,"female")</f>
        <v>87</v>
      </c>
      <c r="C224" s="11"/>
      <c r="D224" s="45">
        <f>COUNTIFS(data!$B$453:$B$3404,$A224,data!$J$453:$J$3404,"capelin",data!$K$453:$K$3404,"female",data!$L$453:$L$3404,"gravid")</f>
        <v>21</v>
      </c>
      <c r="E224" s="51">
        <f t="shared" si="8"/>
        <v>24.137931034482758</v>
      </c>
      <c r="F224" s="45">
        <f>COUNTIFS(data!$B$453:$B$3404,$A224,data!$J$453:$J$3404,"capelin",data!$K$453:$K$3404,"female",data!$L$453:$L$3404,"spent")</f>
        <v>51</v>
      </c>
      <c r="G224" s="51">
        <f t="shared" si="6"/>
        <v>58.620689655172406</v>
      </c>
      <c r="H224" s="51"/>
      <c r="I224" s="45">
        <f>COUNTIFS(data!$B$453:$B$3404,$A224,data!$J$453:$J$3404,"capelin",data!$K$453:$K$3404,"female",data!$L$453:$L$3404,"unknown")+COUNTIFS(data!$B$453:$B$3404,$A224,data!$J$453:$J$3404,"capelin",data!$K$453:$K$3404,"female",data!$L$453:$L$3404,"immature")</f>
        <v>15</v>
      </c>
      <c r="J224" s="51">
        <f t="shared" si="7"/>
        <v>17.241379310344829</v>
      </c>
      <c r="M224" s="8"/>
      <c r="N224" s="45"/>
      <c r="O224" s="8"/>
    </row>
    <row r="225" spans="1:17" ht="12.75" customHeight="1" x14ac:dyDescent="0.2">
      <c r="A225" s="45">
        <v>1997</v>
      </c>
      <c r="B225" s="11">
        <f>COUNTIFS(data!$B$453:$B$3404,$A225,data!$J$453:$J$3404,"capelin",data!$K$453:$K$3404,"female")</f>
        <v>290</v>
      </c>
      <c r="C225" s="11"/>
      <c r="D225" s="45">
        <f>COUNTIFS(data!$B$453:$B$3404,$A225,data!$J$453:$J$3404,"capelin",data!$K$453:$K$3404,"female",data!$L$453:$L$3404,"gravid")</f>
        <v>229</v>
      </c>
      <c r="E225" s="51">
        <f t="shared" si="8"/>
        <v>78.965517241379317</v>
      </c>
      <c r="F225" s="45">
        <f>COUNTIFS(data!$B$453:$B$3404,$A225,data!$J$453:$J$3404,"capelin",data!$K$453:$K$3404,"female",data!$L$453:$L$3404,"spent")</f>
        <v>56</v>
      </c>
      <c r="G225" s="51">
        <f t="shared" si="6"/>
        <v>19.310344827586206</v>
      </c>
      <c r="H225" s="51"/>
      <c r="I225" s="45">
        <f>COUNTIFS(data!$B$453:$B$3404,$A225,data!$J$453:$J$3404,"capelin",data!$K$453:$K$3404,"female",data!$L$453:$L$3404,"unknown")+COUNTIFS(data!$B$453:$B$3404,$A225,data!$J$453:$J$3404,"capelin",data!$K$453:$K$3404,"female",data!$L$453:$L$3404,"immature")</f>
        <v>5</v>
      </c>
      <c r="J225" s="51">
        <f t="shared" si="7"/>
        <v>1.7241379310344827</v>
      </c>
      <c r="M225" s="8"/>
      <c r="N225" s="45"/>
      <c r="O225" s="8"/>
    </row>
    <row r="226" spans="1:17" ht="12.75" customHeight="1" x14ac:dyDescent="0.2">
      <c r="A226" s="45">
        <v>1996</v>
      </c>
      <c r="B226" s="11">
        <f>COUNTIFS(data!$B$453:$B$3404,$A226,data!$J$453:$J$3404,"capelin",data!$K$453:$K$3404,"female")</f>
        <v>78</v>
      </c>
      <c r="C226" s="11"/>
      <c r="D226" s="45">
        <f>COUNTIFS(data!$B$453:$B$3404,$A226,data!$J$453:$J$3404,"capelin",data!$K$453:$K$3404,"female",data!$L$453:$L$3404,"gravid")</f>
        <v>6</v>
      </c>
      <c r="E226" s="51">
        <f t="shared" si="8"/>
        <v>7.6923076923076925</v>
      </c>
      <c r="F226" s="45">
        <f>COUNTIFS(data!$B$453:$B$3404,$A226,data!$J$453:$J$3404,"capelin",data!$K$453:$K$3404,"female",data!$L$453:$L$3404,"spent")</f>
        <v>70</v>
      </c>
      <c r="G226" s="51">
        <f t="shared" si="6"/>
        <v>89.743589743589752</v>
      </c>
      <c r="H226" s="51"/>
      <c r="I226" s="45">
        <f>COUNTIFS(data!$B$453:$B$3404,$A226,data!$J$453:$J$3404,"capelin",data!$K$453:$K$3404,"female",data!$L$453:$L$3404,"unknown")+COUNTIFS(data!$B$453:$B$3404,$A226,data!$J$453:$J$3404,"capelin",data!$K$453:$K$3404,"female",data!$L$453:$L$3404,"immature")</f>
        <v>2</v>
      </c>
      <c r="J226" s="51">
        <f t="shared" si="7"/>
        <v>2.5641025641025639</v>
      </c>
      <c r="M226" s="8"/>
      <c r="N226" s="45"/>
      <c r="O226" s="8"/>
    </row>
    <row r="227" spans="1:17" ht="12.75" customHeight="1" x14ac:dyDescent="0.2">
      <c r="A227" s="45">
        <v>1995</v>
      </c>
      <c r="B227" s="11">
        <f>COUNTIFS(data!$B$453:$B$3404,$A227,data!$J$453:$J$3404,"capelin",data!$K$453:$K$3404,"female")</f>
        <v>118</v>
      </c>
      <c r="C227" s="11"/>
      <c r="D227" s="45">
        <f>COUNTIFS(data!$B$453:$B$3404,$A227,data!$J$453:$J$3404,"capelin",data!$K$453:$K$3404,"female",data!$L$453:$L$3404,"gravid")</f>
        <v>83</v>
      </c>
      <c r="E227" s="51">
        <f t="shared" si="8"/>
        <v>70.33898305084746</v>
      </c>
      <c r="F227" s="45">
        <f>COUNTIFS(data!$B$453:$B$3404,$A227,data!$J$453:$J$3404,"capelin",data!$K$453:$K$3404,"female",data!$L$453:$L$3404,"spent")</f>
        <v>31</v>
      </c>
      <c r="G227" s="51">
        <f t="shared" si="6"/>
        <v>26.271186440677969</v>
      </c>
      <c r="H227" s="51"/>
      <c r="I227" s="45">
        <f>COUNTIFS(data!$B$453:$B$3404,$A227,data!$J$453:$J$3404,"capelin",data!$K$453:$K$3404,"female",data!$L$453:$L$3404,"unknown")+COUNTIFS(data!$B$453:$B$3404,$A227,data!$J$453:$J$3404,"capelin",data!$K$453:$K$3404,"female",data!$L$453:$L$3404,"immature")</f>
        <v>4</v>
      </c>
      <c r="J227" s="51">
        <f t="shared" si="7"/>
        <v>3.3898305084745761</v>
      </c>
      <c r="M227" s="8"/>
      <c r="N227" s="45"/>
      <c r="O227" s="8"/>
    </row>
    <row r="228" spans="1:17" ht="12.75" customHeight="1" x14ac:dyDescent="0.2">
      <c r="A228" s="45">
        <v>1994</v>
      </c>
      <c r="B228" s="11">
        <f>COUNTIFS(data!$B$453:$B$3404,$A228,data!$J$453:$J$3404,"capelin",data!$K$453:$K$3404,"female")</f>
        <v>77</v>
      </c>
      <c r="C228" s="11"/>
      <c r="D228" s="45">
        <f>COUNTIFS(data!$B$453:$B$3404,$A228,data!$J$453:$J$3404,"capelin",data!$K$453:$K$3404,"female",data!$L$453:$L$3404,"gravid")</f>
        <v>43</v>
      </c>
      <c r="E228" s="51">
        <f t="shared" si="8"/>
        <v>55.844155844155843</v>
      </c>
      <c r="F228" s="45">
        <f>COUNTIFS(data!$B$453:$B$3404,$A228,data!$J$453:$J$3404,"capelin",data!$K$453:$K$3404,"female",data!$L$453:$L$3404,"spent")</f>
        <v>25</v>
      </c>
      <c r="G228" s="51">
        <f t="shared" si="6"/>
        <v>32.467532467532465</v>
      </c>
      <c r="H228" s="51"/>
      <c r="I228" s="45">
        <f>COUNTIFS(data!$B$453:$B$3404,$A228,data!$J$453:$J$3404,"capelin",data!$K$453:$K$3404,"female",data!$L$453:$L$3404,"unknown")+COUNTIFS(data!$B$453:$B$3404,$A228,data!$J$453:$J$3404,"capelin",data!$K$453:$K$3404,"female",data!$L$453:$L$3404,"immature")</f>
        <v>9</v>
      </c>
      <c r="J228" s="51">
        <f t="shared" si="7"/>
        <v>11.688311688311687</v>
      </c>
      <c r="M228" s="8"/>
      <c r="N228" s="45"/>
      <c r="O228" s="8"/>
    </row>
    <row r="229" spans="1:17" ht="12.75" customHeight="1" x14ac:dyDescent="0.2">
      <c r="A229" s="45">
        <v>1993</v>
      </c>
      <c r="B229" s="11">
        <f>COUNTIFS(data!$B$453:$B$3404,$A229,data!$J$453:$J$3404,"capelin",data!$K$453:$K$3404,"female")</f>
        <v>136</v>
      </c>
      <c r="C229" s="11"/>
      <c r="D229" s="45">
        <f>COUNTIFS(data!$B$453:$B$3404,$A229,data!$J$453:$J$3404,"capelin",data!$K$453:$K$3404,"female",data!$L$453:$L$3404,"gravid")</f>
        <v>122</v>
      </c>
      <c r="E229" s="51">
        <f t="shared" si="8"/>
        <v>89.705882352941174</v>
      </c>
      <c r="F229" s="45">
        <f>COUNTIFS(data!$B$453:$B$3404,$A229,data!$J$453:$J$3404,"capelin",data!$K$453:$K$3404,"female",data!$L$453:$L$3404,"spent")</f>
        <v>14</v>
      </c>
      <c r="G229" s="51">
        <f t="shared" si="6"/>
        <v>10.294117647058822</v>
      </c>
      <c r="H229" s="51"/>
      <c r="I229" s="45">
        <f>COUNTIFS(data!$B$453:$B$3404,$A229,data!$J$453:$J$3404,"capelin",data!$K$453:$K$3404,"female",data!$L$453:$L$3404,"unknown")+COUNTIFS(data!$B$453:$B$3404,$A229,data!$J$453:$J$3404,"capelin",data!$K$453:$K$3404,"female",data!$L$453:$L$3404,"immature")</f>
        <v>0</v>
      </c>
      <c r="J229" s="51">
        <f t="shared" si="7"/>
        <v>0</v>
      </c>
      <c r="M229" s="8"/>
      <c r="N229" s="45"/>
      <c r="O229" s="8"/>
    </row>
    <row r="230" spans="1:17" ht="12.75" customHeight="1" x14ac:dyDescent="0.2">
      <c r="A230" s="45">
        <v>1992</v>
      </c>
      <c r="B230" s="11">
        <f>COUNTIFS(data!$B$453:$B$3404,$A230,data!$J$453:$J$3404,"capelin",data!$K$453:$K$3404,"female")</f>
        <v>119</v>
      </c>
      <c r="C230" s="11"/>
      <c r="D230" s="45">
        <f>COUNTIFS(data!$B$453:$B$3404,$A230,data!$J$453:$J$3404,"capelin",data!$K$453:$K$3404,"female",data!$L$453:$L$3404,"gravid")</f>
        <v>110</v>
      </c>
      <c r="E230" s="51">
        <f t="shared" si="8"/>
        <v>92.436974789915965</v>
      </c>
      <c r="F230" s="45">
        <f>COUNTIFS(data!$B$453:$B$3404,$A230,data!$J$453:$J$3404,"capelin",data!$K$453:$K$3404,"female",data!$L$453:$L$3404,"spent")</f>
        <v>9</v>
      </c>
      <c r="G230" s="51">
        <f t="shared" si="6"/>
        <v>7.5630252100840334</v>
      </c>
      <c r="H230" s="51"/>
      <c r="I230" s="45">
        <f>COUNTIFS(data!$B$453:$B$3404,$A230,data!$J$453:$J$3404,"capelin",data!$K$453:$K$3404,"female",data!$L$453:$L$3404,"unknown")+COUNTIFS(data!$B$453:$B$3404,$A230,data!$J$453:$J$3404,"capelin",data!$K$453:$K$3404,"female",data!$L$453:$L$3404,"immature")</f>
        <v>0</v>
      </c>
      <c r="J230" s="51">
        <f t="shared" si="7"/>
        <v>0</v>
      </c>
      <c r="M230" s="8"/>
      <c r="N230" s="45"/>
      <c r="O230" s="8"/>
    </row>
    <row r="231" spans="1:17" ht="12.75" customHeight="1" x14ac:dyDescent="0.2">
      <c r="A231" s="45">
        <v>1991</v>
      </c>
      <c r="B231" s="11">
        <f>COUNTIFS(data!$B$453:$B$3404,$A231,data!$J$453:$J$3404,"capelin",data!$K$453:$K$3404,"female")</f>
        <v>45</v>
      </c>
      <c r="C231" s="11"/>
      <c r="D231" s="45">
        <f>COUNTIFS(data!$B$453:$B$3404,$A231,data!$J$453:$J$3404,"capelin",data!$K$453:$K$3404,"female",data!$L$453:$L$3404,"gravid")</f>
        <v>21</v>
      </c>
      <c r="E231" s="51">
        <f t="shared" si="8"/>
        <v>46.666666666666664</v>
      </c>
      <c r="F231" s="45">
        <f>COUNTIFS(data!$B$453:$B$3404,$A231,data!$J$453:$J$3404,"capelin",data!$K$453:$K$3404,"female",data!$L$453:$L$3404,"spent")</f>
        <v>24</v>
      </c>
      <c r="G231" s="51">
        <f t="shared" si="6"/>
        <v>53.333333333333336</v>
      </c>
      <c r="H231" s="51"/>
      <c r="I231" s="45">
        <f>COUNTIFS(data!$B$453:$B$3404,$A231,data!$J$453:$J$3404,"capelin",data!$K$453:$K$3404,"female",data!$L$453:$L$3404,"unknown")+COUNTIFS(data!$B$453:$B$3404,$A231,data!$J$453:$J$3404,"capelin",data!$K$453:$K$3404,"female",data!$L$453:$L$3404,"immature")</f>
        <v>0</v>
      </c>
      <c r="J231" s="51">
        <f t="shared" si="7"/>
        <v>0</v>
      </c>
      <c r="M231" s="8"/>
      <c r="N231" s="45"/>
      <c r="O231" s="8"/>
    </row>
    <row r="232" spans="1:17" ht="12.75" customHeight="1" x14ac:dyDescent="0.2">
      <c r="A232" s="45">
        <v>1990</v>
      </c>
      <c r="B232" s="11">
        <f>COUNTIFS(data!$B$453:$B$3404,$A232,data!$J$453:$J$3404,"capelin",data!$K$453:$K$3404,"female")</f>
        <v>26</v>
      </c>
      <c r="C232" s="11"/>
      <c r="D232" s="45">
        <f>COUNTIFS(data!$B$453:$B$3404,$A232,data!$J$453:$J$3404,"capelin",data!$K$453:$K$3404,"female",data!$L$453:$L$3404,"gravid")</f>
        <v>1</v>
      </c>
      <c r="E232" s="51">
        <f t="shared" si="8"/>
        <v>3.8461538461538463</v>
      </c>
      <c r="F232" s="45">
        <f>COUNTIFS(data!$B$453:$B$3404,$A232,data!$J$453:$J$3404,"capelin",data!$K$453:$K$3404,"female",data!$L$453:$L$3404,"spent")</f>
        <v>0</v>
      </c>
      <c r="G232" s="51">
        <f t="shared" si="6"/>
        <v>0</v>
      </c>
      <c r="H232" s="51"/>
      <c r="I232" s="45">
        <f>COUNTIFS(data!$B$453:$B$3404,$A232,data!$J$453:$J$3404,"capelin",data!$K$453:$K$3404,"female",data!$L$453:$L$3404,"unknown")+COUNTIFS(data!$B$453:$B$3404,$A232,data!$J$453:$J$3404,"capelin",data!$K$453:$K$3404,"female",data!$L$453:$L$3404,"immature")</f>
        <v>25</v>
      </c>
      <c r="J232" s="51">
        <f t="shared" si="7"/>
        <v>96.15384615384616</v>
      </c>
      <c r="M232" s="8"/>
      <c r="N232" s="45"/>
      <c r="O232" s="8"/>
    </row>
    <row r="233" spans="1:17" ht="12.75" customHeight="1" x14ac:dyDescent="0.2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8"/>
      <c r="N233" s="45"/>
      <c r="O233" s="8"/>
      <c r="Q233" s="8"/>
    </row>
    <row r="234" spans="1:17" ht="15.95" customHeight="1" x14ac:dyDescent="0.25">
      <c r="A234" s="45"/>
      <c r="B234" s="272" t="s">
        <v>281</v>
      </c>
      <c r="C234" s="273"/>
      <c r="D234" s="273"/>
      <c r="E234" s="273"/>
      <c r="F234" s="45"/>
      <c r="H234" s="272" t="s">
        <v>282</v>
      </c>
      <c r="I234" s="273"/>
      <c r="J234" s="273"/>
      <c r="K234" s="45"/>
      <c r="M234" s="45"/>
      <c r="N234" s="11"/>
      <c r="O234" s="8"/>
      <c r="Q234" s="8"/>
    </row>
    <row r="235" spans="1:17" ht="12.75" customHeight="1" x14ac:dyDescent="0.2">
      <c r="A235" s="8"/>
      <c r="B235" s="105" t="s">
        <v>283</v>
      </c>
      <c r="E235" s="45"/>
      <c r="G235" s="8"/>
      <c r="H235" s="105" t="s">
        <v>283</v>
      </c>
      <c r="K235" s="45"/>
      <c r="L235" s="11"/>
      <c r="M235" s="8"/>
      <c r="O235" s="8"/>
    </row>
    <row r="236" spans="1:17" ht="12.75" customHeight="1" x14ac:dyDescent="0.2">
      <c r="A236" s="105" t="s">
        <v>1</v>
      </c>
      <c r="B236" s="105" t="s">
        <v>284</v>
      </c>
      <c r="C236" s="106" t="s">
        <v>285</v>
      </c>
      <c r="D236" s="106" t="s">
        <v>286</v>
      </c>
      <c r="E236" s="233" t="s">
        <v>500</v>
      </c>
      <c r="G236" s="105" t="s">
        <v>1</v>
      </c>
      <c r="H236" s="105" t="s">
        <v>287</v>
      </c>
      <c r="I236" s="106" t="s">
        <v>285</v>
      </c>
      <c r="J236" s="107" t="s">
        <v>286</v>
      </c>
      <c r="K236" s="233" t="s">
        <v>501</v>
      </c>
      <c r="L236" s="11"/>
      <c r="M236" s="8"/>
      <c r="O236" s="8"/>
    </row>
    <row r="237" spans="1:17" ht="12.75" customHeight="1" x14ac:dyDescent="0.2">
      <c r="A237" s="8">
        <v>1990</v>
      </c>
      <c r="B237" s="108">
        <v>143.47999999999999</v>
      </c>
      <c r="C237" s="109" t="s">
        <v>288</v>
      </c>
      <c r="D237" s="73">
        <f>AVERAGEIFS(data!$V$2:$V$3404,data!$K$2:$K$3404,"female",data!$B$2:$B$3404,SumTbl!A237,data!$N$2:$N$3404,"&lt;&gt;headless")</f>
        <v>133.86956521739131</v>
      </c>
      <c r="E237" s="73">
        <f t="array" ref="E237">STDEV(IF(data!$B$2:$B$3404=A237,IF(data!$V$2:$V$3404&lt;&gt;"",IF(data!$K$2:$K$3404="female",IF(data!$N$2:$N$3404&lt;&gt;"headless",data!$V$2:$V$3404)))))</f>
        <v>10.826332997188288</v>
      </c>
      <c r="G237" s="8">
        <v>1990</v>
      </c>
      <c r="H237" s="110">
        <v>137.4</v>
      </c>
      <c r="I237" s="109" t="s">
        <v>288</v>
      </c>
      <c r="J237" s="73">
        <f>AVERAGEIFS(data!$V$2:$V$3404,data!$K$2:$K$3404,"male",data!$B$2:$B$3404,SumTbl!G237,data!$N$2:$N$3404,"&lt;&gt;headless")</f>
        <v>128.19999999999999</v>
      </c>
      <c r="K237" s="73">
        <f t="array" ref="K237">STDEV(IF(data!$B$2:$B$3404=G237,IF(data!$V$2:$V$3404&lt;&gt;"",IF(data!$K$2:$K$3404="male",IF(data!$N$2:$N$3404&lt;&gt;"headless",data!$V$2:$V$3404)))))</f>
        <v>19.728152473052329</v>
      </c>
      <c r="L237" s="11"/>
      <c r="M237" s="8"/>
      <c r="O237" s="8"/>
    </row>
    <row r="238" spans="1:17" ht="12.75" customHeight="1" x14ac:dyDescent="0.2">
      <c r="A238" s="8">
        <v>1991</v>
      </c>
      <c r="B238" s="77">
        <v>148.38</v>
      </c>
      <c r="C238" s="109" t="s">
        <v>288</v>
      </c>
      <c r="D238" s="73">
        <f>AVERAGEIFS(data!V:V,data!K:K,"female",data!B:B,SumTbl!A238,data!N:N,"&lt;&gt;headless")</f>
        <v>138.38235294117646</v>
      </c>
      <c r="E238" s="73">
        <f t="array" ref="E238">STDEV(IF(data!$B$2:$B$3404=A238,IF(data!$V$2:$V$3404&lt;&gt;"",IF(data!$K$2:$K$3404="female",IF(data!$N$2:$N$3404&lt;&gt;"headless",data!$V$2:$V$3404)))))</f>
        <v>16.450135314691412</v>
      </c>
      <c r="G238" s="8">
        <v>1991</v>
      </c>
      <c r="H238" s="110">
        <v>157</v>
      </c>
      <c r="I238" s="109" t="s">
        <v>288</v>
      </c>
      <c r="J238" s="73">
        <f>AVERAGEIFS(data!$V$2:$V$3404,data!$K$2:$K$3404,"male",data!$B$2:$B$3404,SumTbl!G238,data!$N$2:$N$3404,"&lt;&gt;headless")</f>
        <v>146</v>
      </c>
      <c r="K238" s="73"/>
      <c r="L238" s="11"/>
      <c r="M238" s="8"/>
      <c r="O238" s="8"/>
    </row>
    <row r="239" spans="1:17" ht="12.75" customHeight="1" x14ac:dyDescent="0.2">
      <c r="A239" s="8">
        <v>1992</v>
      </c>
      <c r="B239" s="77">
        <v>137.53</v>
      </c>
      <c r="C239" s="109" t="s">
        <v>288</v>
      </c>
      <c r="D239" s="73">
        <f>AVERAGEIFS(data!V:V,data!K:K,"female",data!B:B,SumTbl!A239,data!N:N,"&lt;&gt;headless")</f>
        <v>128.28846153846155</v>
      </c>
      <c r="E239" s="73">
        <f t="array" ref="E239">STDEV(IF(data!$B$2:$B$3404=A239,IF(data!$V$2:$V$3404&lt;&gt;"",IF(data!$K$2:$K$3404="female",IF(data!$N$2:$N$3404&lt;&gt;"headless",data!$V$2:$V$3404)))))</f>
        <v>10.724867280888894</v>
      </c>
      <c r="G239" s="8">
        <v>1992</v>
      </c>
      <c r="H239" s="110">
        <v>151.66999999999999</v>
      </c>
      <c r="I239" s="109" t="s">
        <v>288</v>
      </c>
      <c r="J239" s="73">
        <f>AVERAGEIFS(data!$V$2:$V$3404,data!$K$2:$K$3404,"male",data!$B$2:$B$3404,SumTbl!G239,data!$N$2:$N$3404,"&lt;&gt;headless")</f>
        <v>141.4</v>
      </c>
      <c r="K239" s="73">
        <f t="array" ref="K239">STDEV(IF(data!$B$2:$B$3404=G239,IF(data!$V$2:$V$3404&lt;&gt;"",IF(data!$K$2:$K$3404="male",IF(data!$N$2:$N$3404&lt;&gt;"headless",data!$V$2:$V$3404)))))</f>
        <v>12.528823910145301</v>
      </c>
      <c r="L239" s="11"/>
      <c r="M239" s="8"/>
      <c r="O239" s="8"/>
    </row>
    <row r="240" spans="1:17" ht="12.75" customHeight="1" x14ac:dyDescent="0.2">
      <c r="A240" s="8">
        <v>1993</v>
      </c>
      <c r="B240" s="77">
        <v>149.05000000000001</v>
      </c>
      <c r="C240" s="109" t="s">
        <v>288</v>
      </c>
      <c r="D240" s="73">
        <f>AVERAGEIFS(data!V:V,data!K:K,"female",data!B:B,SumTbl!A240,data!N:N,"&lt;&gt;headless")</f>
        <v>139.05940594059405</v>
      </c>
      <c r="E240" s="73">
        <f t="array" ref="E240">STDEV(IF(data!$B$2:$B$3404=A240,IF(data!$V$2:$V$3404&lt;&gt;"",IF(data!$K$2:$K$3404="female",IF(data!$N$2:$N$3404&lt;&gt;"headless",data!$V$2:$V$3404)))))</f>
        <v>8.1973432064031773</v>
      </c>
      <c r="G240" s="8">
        <v>1993</v>
      </c>
      <c r="H240" s="110">
        <v>164.44</v>
      </c>
      <c r="I240" s="109" t="s">
        <v>288</v>
      </c>
      <c r="J240" s="73">
        <f>AVERAGEIFS(data!$V$2:$V$3404,data!$K$2:$K$3404,"male",data!$B$2:$B$3404,SumTbl!G240,data!$N$2:$N$3404,"&lt;&gt;headless")</f>
        <v>153.22222222222223</v>
      </c>
      <c r="K240" s="73">
        <f t="array" ref="K240">STDEV(IF(data!$B$2:$B$3404=G240,IF(data!$V$2:$V$3404&lt;&gt;"",IF(data!$K$2:$K$3404="male",IF(data!$N$2:$N$3404&lt;&gt;"headless",data!$V$2:$V$3404)))))</f>
        <v>5.2625511346156486</v>
      </c>
      <c r="L240" s="11"/>
      <c r="M240" s="8"/>
      <c r="O240" s="8"/>
    </row>
    <row r="241" spans="1:15" ht="12.75" customHeight="1" x14ac:dyDescent="0.2">
      <c r="A241" s="8">
        <v>1994</v>
      </c>
      <c r="B241" s="77">
        <v>147.47</v>
      </c>
      <c r="C241" s="109" t="s">
        <v>288</v>
      </c>
      <c r="D241" s="73">
        <f>AVERAGEIFS(data!V:V,data!K:K,"female",data!B:B,SumTbl!A241,data!N:N,"&lt;&gt;headless")</f>
        <v>137.62264150943398</v>
      </c>
      <c r="E241" s="73">
        <f t="array" ref="E241">STDEV(IF(data!$B$2:$B$3404=A241,IF(data!$V$2:$V$3404&lt;&gt;"",IF(data!$K$2:$K$3404="female",IF(data!$N$2:$N$3404&lt;&gt;"headless",data!$V$2:$V$3404)))))</f>
        <v>14.928324156415313</v>
      </c>
      <c r="G241" s="8">
        <v>1994</v>
      </c>
      <c r="H241" s="110">
        <v>163.13999999999999</v>
      </c>
      <c r="I241" s="109" t="s">
        <v>288</v>
      </c>
      <c r="J241" s="73">
        <f>AVERAGEIFS(data!$V$2:$V$3404,data!$K$2:$K$3404,"male",data!$B$2:$B$3404,SumTbl!G241,data!$N$2:$N$3404,"&lt;&gt;headless")</f>
        <v>152.28571428571428</v>
      </c>
      <c r="K241" s="73">
        <f t="array" ref="K241">STDEV(IF(data!$B$2:$B$3404=G241,IF(data!$V$2:$V$3404&lt;&gt;"",IF(data!$K$2:$K$3404="male",IF(data!$N$2:$N$3404&lt;&gt;"headless",data!$V$2:$V$3404)))))</f>
        <v>6.5246784266681335</v>
      </c>
      <c r="L241" s="11"/>
      <c r="M241" s="8"/>
      <c r="O241" s="8"/>
    </row>
    <row r="242" spans="1:15" ht="12.75" customHeight="1" x14ac:dyDescent="0.2">
      <c r="A242" s="8">
        <v>1995</v>
      </c>
      <c r="B242" s="77">
        <v>138.97</v>
      </c>
      <c r="C242" s="109" t="s">
        <v>288</v>
      </c>
      <c r="D242" s="73">
        <f>AVERAGEIFS(data!V:V,data!K:K,"female",data!B:B,SumTbl!A242,data!N:N,"&lt;&gt;headless")</f>
        <v>129.66666666666666</v>
      </c>
      <c r="E242" s="73">
        <f t="array" ref="E242">STDEV(IF(data!$B$2:$B$3404=A242,IF(data!$V$2:$V$3404&lt;&gt;"",IF(data!$K$2:$K$3404="female",IF(data!$N$2:$N$3404&lt;&gt;"headless",data!$V$2:$V$3404)))))</f>
        <v>10.35187375901487</v>
      </c>
      <c r="G242" s="8">
        <v>1995</v>
      </c>
      <c r="H242" s="110">
        <v>152.30000000000001</v>
      </c>
      <c r="I242" s="109" t="s">
        <v>288</v>
      </c>
      <c r="J242" s="73">
        <f>AVERAGEIFS(data!$V$2:$V$3404,data!$K$2:$K$3404,"male",data!$B$2:$B$3404,SumTbl!G242,data!$N$2:$N$3404,"&lt;&gt;headless")</f>
        <v>142</v>
      </c>
      <c r="K242" s="73">
        <f t="array" ref="K242">STDEV(IF(data!$B$2:$B$3404=G242,IF(data!$V$2:$V$3404&lt;&gt;"",IF(data!$K$2:$K$3404="male",IF(data!$N$2:$N$3404&lt;&gt;"headless",data!$V$2:$V$3404)))))</f>
        <v>9.7638790105845388</v>
      </c>
      <c r="L242" s="11"/>
      <c r="M242" s="8"/>
      <c r="O242" s="8"/>
    </row>
    <row r="243" spans="1:15" ht="12.75" customHeight="1" x14ac:dyDescent="0.2">
      <c r="A243" s="8">
        <v>1996</v>
      </c>
      <c r="B243" s="77">
        <v>151.18</v>
      </c>
      <c r="C243" s="109" t="s">
        <v>288</v>
      </c>
      <c r="D243" s="73">
        <f>AVERAGEIFS(data!V:V,data!K:K,"female",data!B:B,SumTbl!A243,data!N:N,"&lt;&gt;headless")</f>
        <v>141.0612244897959</v>
      </c>
      <c r="E243" s="73">
        <f t="array" ref="E243">STDEV(IF(data!$B$2:$B$3404=A243,IF(data!$V$2:$V$3404&lt;&gt;"",IF(data!$K$2:$K$3404="female",IF(data!$N$2:$N$3404&lt;&gt;"headless",data!$V$2:$V$3404)))))</f>
        <v>7.2468618589511635</v>
      </c>
      <c r="G243" s="8">
        <v>1996</v>
      </c>
      <c r="H243" s="110">
        <v>152</v>
      </c>
      <c r="I243" s="109" t="s">
        <v>288</v>
      </c>
      <c r="J243" s="73">
        <f>AVERAGEIFS(data!$V$2:$V$3404,data!$K$2:$K$3404,"male",data!$B$2:$B$3404,SumTbl!G243,data!$N$2:$N$3404,"&lt;&gt;headless")</f>
        <v>150</v>
      </c>
      <c r="K243" s="73"/>
      <c r="L243" s="11"/>
      <c r="M243" s="8"/>
      <c r="O243" s="8"/>
    </row>
    <row r="244" spans="1:15" ht="12.75" customHeight="1" x14ac:dyDescent="0.2">
      <c r="A244" s="8">
        <v>1997</v>
      </c>
      <c r="B244" s="77">
        <v>139.29</v>
      </c>
      <c r="C244" s="109" t="s">
        <v>288</v>
      </c>
      <c r="D244" s="73">
        <f>AVERAGEIFS(data!V:V,data!K:K,"female",data!B:B,SumTbl!A244,data!N:N,"&lt;&gt;headless")</f>
        <v>129.87557603686636</v>
      </c>
      <c r="E244" s="73">
        <f t="array" ref="E244">STDEV(IF(data!$B$2:$B$3404=A244,IF(data!$V$2:$V$3404&lt;&gt;"",IF(data!$K$2:$K$3404="female",IF(data!$N$2:$N$3404&lt;&gt;"headless",data!$V$2:$V$3404)))))</f>
        <v>12.305080355697147</v>
      </c>
      <c r="G244" s="8">
        <v>1997</v>
      </c>
      <c r="H244" s="110">
        <v>155.53</v>
      </c>
      <c r="I244" s="109" t="s">
        <v>288</v>
      </c>
      <c r="J244" s="73">
        <f>AVERAGEIFS(data!$V$2:$V$3404,data!$K$2:$K$3404,"male",data!$B$2:$B$3404,SumTbl!G244,data!$N$2:$N$3404,"&lt;&gt;headless")</f>
        <v>145.10526315789474</v>
      </c>
      <c r="K244" s="73">
        <f t="array" ref="K244">STDEV(IF(data!$B$2:$B$3404=G244,IF(data!$V$2:$V$3404&lt;&gt;"",IF(data!$K$2:$K$3404="male",IF(data!$N$2:$N$3404&lt;&gt;"headless",data!$V$2:$V$3404)))))</f>
        <v>7.03873991912777</v>
      </c>
      <c r="L244" s="11"/>
      <c r="M244" s="8"/>
      <c r="O244" s="8"/>
    </row>
    <row r="245" spans="1:15" ht="12.75" customHeight="1" x14ac:dyDescent="0.2">
      <c r="A245" s="8">
        <v>1998</v>
      </c>
      <c r="B245" s="77">
        <v>139.6</v>
      </c>
      <c r="C245" s="109" t="s">
        <v>288</v>
      </c>
      <c r="D245" s="73">
        <f>AVERAGEIFS(data!V:V,data!K:K,"female",data!B:B,SumTbl!A245,data!N:N,"&lt;&gt;headless")</f>
        <v>130.20754716981133</v>
      </c>
      <c r="E245" s="73">
        <f t="array" ref="E245">STDEV(IF(data!$B$2:$B$3404=A245,IF(data!$V$2:$V$3404&lt;&gt;"",IF(data!$K$2:$K$3404="female",IF(data!$N$2:$N$3404&lt;&gt;"headless",data!$V$2:$V$3404)))))</f>
        <v>11.042502661162038</v>
      </c>
      <c r="G245" s="8">
        <v>1998</v>
      </c>
      <c r="H245" s="110">
        <v>155.33000000000001</v>
      </c>
      <c r="I245" s="109" t="s">
        <v>288</v>
      </c>
      <c r="J245" s="73">
        <f>AVERAGEIFS(data!$V$2:$V$3404,data!$K$2:$K$3404,"male",data!$B$2:$B$3404,SumTbl!G245,data!$N$2:$N$3404,"&lt;&gt;headless")</f>
        <v>145</v>
      </c>
      <c r="K245" s="73">
        <f t="array" ref="K245">STDEV(IF(data!$B$2:$B$3404=G245,IF(data!$V$2:$V$3404&lt;&gt;"",IF(data!$K$2:$K$3404="male",IF(data!$N$2:$N$3404&lt;&gt;"headless",data!$V$2:$V$3404)))))</f>
        <v>8.5440037453175304</v>
      </c>
      <c r="L245" s="11"/>
      <c r="M245" s="8"/>
      <c r="O245" s="8"/>
    </row>
    <row r="246" spans="1:15" ht="12.75" customHeight="1" x14ac:dyDescent="0.2">
      <c r="A246" s="8">
        <v>1999</v>
      </c>
      <c r="B246" s="77">
        <v>145.6</v>
      </c>
      <c r="C246" s="109" t="s">
        <v>288</v>
      </c>
      <c r="D246" s="73">
        <f>AVERAGEIFS(data!V:V,data!K:K,"female",data!B:B,SumTbl!A246,data!N:N,"&lt;&gt;headless")</f>
        <v>135.87234042553192</v>
      </c>
      <c r="E246" s="73">
        <f t="array" ref="E246">STDEV(IF(data!$B$2:$B$3404=A246,IF(data!$V$2:$V$3404&lt;&gt;"",IF(data!$K$2:$K$3404="female",IF(data!$N$2:$N$3404&lt;&gt;"headless",data!$V$2:$V$3404)))))</f>
        <v>10.981440907427872</v>
      </c>
      <c r="G246" s="8">
        <v>1999</v>
      </c>
      <c r="H246" s="73"/>
      <c r="I246" s="142" t="s">
        <v>288</v>
      </c>
      <c r="J246" s="73"/>
      <c r="K246" s="73"/>
      <c r="L246" s="11"/>
      <c r="M246" s="8"/>
      <c r="O246" s="8"/>
    </row>
    <row r="247" spans="1:15" ht="12.75" customHeight="1" x14ac:dyDescent="0.2">
      <c r="A247" s="8">
        <v>2000</v>
      </c>
      <c r="B247" s="77">
        <v>156.35</v>
      </c>
      <c r="C247" s="109" t="s">
        <v>288</v>
      </c>
      <c r="D247" s="73">
        <f>AVERAGEIFS(data!V:V,data!K:K,"female",data!B:B,SumTbl!A247,data!N:N,"&lt;&gt;headless")</f>
        <v>145.82499999999999</v>
      </c>
      <c r="E247" s="73">
        <f t="array" ref="E247">STDEV(IF(data!$B$2:$B$3404=A247,IF(data!$V$2:$V$3404&lt;&gt;"",IF(data!$K$2:$K$3404="female",IF(data!$N$2:$N$3404&lt;&gt;"headless",data!$V$2:$V$3404)))))</f>
        <v>11.74494235345904</v>
      </c>
      <c r="G247" s="8">
        <v>2000</v>
      </c>
      <c r="H247" s="110">
        <v>161</v>
      </c>
      <c r="I247" s="109" t="s">
        <v>288</v>
      </c>
      <c r="J247" s="73">
        <f>AVERAGEIFS(data!$V$2:$V$3404,data!$K$2:$K$3404,"male",data!$B$2:$B$3404,SumTbl!G247,data!$N$2:$N$3404,"&lt;&gt;headless")</f>
        <v>150</v>
      </c>
      <c r="K247" s="73">
        <f t="array" ref="K247">STDEV(IF(data!$B$2:$B$3404=G247,IF(data!$V$2:$V$3404&lt;&gt;"",IF(data!$K$2:$K$3404="male",IF(data!$N$2:$N$3404&lt;&gt;"headless",data!$V$2:$V$3404)))))</f>
        <v>0</v>
      </c>
      <c r="L247" s="11"/>
      <c r="M247" s="8"/>
      <c r="O247" s="8"/>
    </row>
    <row r="248" spans="1:15" ht="12.75" customHeight="1" x14ac:dyDescent="0.2">
      <c r="A248" s="8">
        <v>2001</v>
      </c>
      <c r="B248" s="77">
        <v>147.94</v>
      </c>
      <c r="C248" s="109" t="s">
        <v>288</v>
      </c>
      <c r="D248" s="73">
        <f>AVERAGEIFS(data!V:V,data!K:K,"female",data!B:B,SumTbl!A248,data!N:N,"&lt;&gt;headless")</f>
        <v>137.98850574712642</v>
      </c>
      <c r="E248" s="73">
        <f t="array" ref="E248">STDEV(IF(data!$B$2:$B$3404=A248,IF(data!$V$2:$V$3404&lt;&gt;"",IF(data!$K$2:$K$3404="female",IF(data!$N$2:$N$3404&lt;&gt;"headless",data!$V$2:$V$3404)))))</f>
        <v>10.666720963507887</v>
      </c>
      <c r="G248" s="8">
        <v>2001</v>
      </c>
      <c r="H248" s="110">
        <v>168</v>
      </c>
      <c r="I248" s="109" t="s">
        <v>288</v>
      </c>
      <c r="J248" s="73">
        <f>AVERAGEIFS(data!$V$2:$V$3404,data!$K$2:$K$3404,"male",data!$B$2:$B$3404,SumTbl!G248,data!$N$2:$N$3404,"&lt;&gt;headless")</f>
        <v>157</v>
      </c>
      <c r="K248" s="73"/>
      <c r="L248" s="11"/>
      <c r="M248" s="8"/>
      <c r="O248" s="8"/>
    </row>
    <row r="249" spans="1:15" ht="12.75" customHeight="1" x14ac:dyDescent="0.2">
      <c r="A249" s="8">
        <v>2002</v>
      </c>
      <c r="B249" s="77">
        <v>142.83000000000001</v>
      </c>
      <c r="C249" s="109" t="s">
        <v>288</v>
      </c>
      <c r="D249" s="73">
        <f>AVERAGEIFS(data!V:V,data!K:K,"female",data!B:B,SumTbl!A249,data!N:N,"&lt;&gt;headless")</f>
        <v>133.22674418604652</v>
      </c>
      <c r="E249" s="73">
        <f t="array" ref="E249">STDEV(IF(data!$B$2:$B$3404=A249,IF(data!$V$2:$V$3404&lt;&gt;"",IF(data!$K$2:$K$3404="female",IF(data!$N$2:$N$3404&lt;&gt;"headless",data!$V$2:$V$3404)))))</f>
        <v>11.793088712651535</v>
      </c>
      <c r="G249" s="8">
        <v>2002</v>
      </c>
      <c r="H249" s="110">
        <v>151.75</v>
      </c>
      <c r="I249" s="109" t="s">
        <v>288</v>
      </c>
      <c r="J249" s="73">
        <f>AVERAGEIFS(data!$V$2:$V$3404,data!$K$2:$K$3404,"male",data!$B$2:$B$3404,SumTbl!G249,data!$N$2:$N$3404,"&lt;&gt;headless")</f>
        <v>141.5</v>
      </c>
      <c r="K249" s="73">
        <f t="array" ref="K249">STDEV(IF(data!$B$2:$B$3404=G249,IF(data!$V$2:$V$3404&lt;&gt;"",IF(data!$K$2:$K$3404="male",IF(data!$N$2:$N$3404&lt;&gt;"headless",data!$V$2:$V$3404)))))</f>
        <v>9.5767575783396399</v>
      </c>
      <c r="L249" s="11"/>
      <c r="M249" s="8"/>
      <c r="O249" s="8"/>
    </row>
    <row r="250" spans="1:15" ht="12.75" customHeight="1" x14ac:dyDescent="0.2">
      <c r="A250" s="8">
        <v>2003</v>
      </c>
      <c r="B250" s="77">
        <v>138.9</v>
      </c>
      <c r="C250" s="109" t="s">
        <v>288</v>
      </c>
      <c r="D250" s="73">
        <f>AVERAGEIFS(data!V:V,data!K:K,"female",data!B:B,SumTbl!A250,data!N:N,"&lt;&gt;headless")</f>
        <v>129.55072463768116</v>
      </c>
      <c r="E250" s="73">
        <f t="array" ref="E250">STDEV(IF(data!$B$2:$B$3404=A250,IF(data!$V$2:$V$3404&lt;&gt;"",IF(data!$K$2:$K$3404="female",IF(data!$N$2:$N$3404&lt;&gt;"headless",data!$V$2:$V$3404)))))</f>
        <v>10.864860021680336</v>
      </c>
      <c r="G250" s="8">
        <v>2003</v>
      </c>
      <c r="H250" s="110">
        <v>163.4</v>
      </c>
      <c r="I250" s="109" t="s">
        <v>288</v>
      </c>
      <c r="J250" s="73">
        <f>AVERAGEIFS(data!$V$2:$V$3404,data!$K$2:$K$3404,"male",data!$B$2:$B$3404,SumTbl!G250,data!$N$2:$N$3404,"&lt;&gt;headless")</f>
        <v>152.4</v>
      </c>
      <c r="K250" s="73">
        <f t="array" ref="K250">STDEV(IF(data!$B$2:$B$3404=G250,IF(data!$V$2:$V$3404&lt;&gt;"",IF(data!$K$2:$K$3404="male",IF(data!$N$2:$N$3404&lt;&gt;"headless",data!$V$2:$V$3404)))))</f>
        <v>14.99333185119305</v>
      </c>
      <c r="L250" s="11"/>
      <c r="M250" s="8"/>
      <c r="O250" s="8"/>
    </row>
    <row r="251" spans="1:15" ht="12.75" customHeight="1" x14ac:dyDescent="0.2">
      <c r="A251" s="8">
        <v>2004</v>
      </c>
      <c r="B251" s="77">
        <v>142.26</v>
      </c>
      <c r="C251" s="109" t="s">
        <v>288</v>
      </c>
      <c r="D251" s="73">
        <f>AVERAGEIFS(data!V:V,data!K:K,"female",data!B:B,SumTbl!A251,data!N:N,"&lt;&gt;headless")</f>
        <v>132.7248888888889</v>
      </c>
      <c r="E251" s="73">
        <f t="array" ref="E251">STDEV(IF(data!$B$2:$B$3404=A251,IF(data!$V$2:$V$3404&lt;&gt;"",IF(data!$K$2:$K$3404="female",IF(data!$N$2:$N$3404&lt;&gt;"headless",data!$V$2:$V$3404)))))</f>
        <v>10.015359467758236</v>
      </c>
      <c r="G251" s="8">
        <v>2004</v>
      </c>
      <c r="H251" s="110">
        <v>161</v>
      </c>
      <c r="I251" s="109" t="s">
        <v>288</v>
      </c>
      <c r="J251" s="73">
        <f>AVERAGEIFS(data!$V$2:$V$3404,data!$K$2:$K$3404,"male",data!$B$2:$B$3404,SumTbl!G251,data!$N$2:$N$3404,"&lt;&gt;headless")</f>
        <v>150.21</v>
      </c>
      <c r="K251" s="73"/>
      <c r="L251" s="11"/>
      <c r="M251" s="8"/>
      <c r="O251" s="8"/>
    </row>
    <row r="252" spans="1:15" ht="12.75" customHeight="1" x14ac:dyDescent="0.2">
      <c r="A252" s="8">
        <v>2005</v>
      </c>
      <c r="B252" s="77">
        <v>144.38</v>
      </c>
      <c r="C252" s="109" t="s">
        <v>288</v>
      </c>
      <c r="D252" s="73">
        <f>AVERAGEIFS(data!V:V,data!K:K,"female",data!B:B,SumTbl!A252,data!N:N,"&lt;&gt;headless")</f>
        <v>134.70522222222215</v>
      </c>
      <c r="E252" s="73">
        <f t="array" ref="E252">STDEV(IF(data!$B$2:$B$3404=A252,IF(data!$V$2:$V$3404&lt;&gt;"",IF(data!$K$2:$K$3404="female",IF(data!$N$2:$N$3404&lt;&gt;"headless",data!$V$2:$V$3404)))))</f>
        <v>12.071708519479582</v>
      </c>
      <c r="G252" s="8">
        <v>2005</v>
      </c>
      <c r="H252" s="110">
        <v>152</v>
      </c>
      <c r="I252" s="109" t="s">
        <v>288</v>
      </c>
      <c r="J252" s="73">
        <f>AVERAGEIFS(data!$V$2:$V$3404,data!$K$2:$K$3404,"male",data!$B$2:$B$3404,SumTbl!G252,data!$N$2:$N$3404,"&lt;&gt;headless")</f>
        <v>141.81666666666666</v>
      </c>
      <c r="K252" s="73">
        <f t="array" ref="K252">STDEV(IF(data!$B$2:$B$3404=G252,IF(data!$V$2:$V$3404&lt;&gt;"",IF(data!$K$2:$K$3404="male",IF(data!$N$2:$N$3404&lt;&gt;"headless",data!$V$2:$V$3404)))))</f>
        <v>15.692279418023796</v>
      </c>
      <c r="L252" s="11"/>
      <c r="M252" s="8"/>
      <c r="O252" s="8"/>
    </row>
    <row r="253" spans="1:15" ht="12.75" customHeight="1" x14ac:dyDescent="0.2">
      <c r="A253" s="8">
        <v>2006</v>
      </c>
      <c r="B253" s="77">
        <v>144.1</v>
      </c>
      <c r="C253" s="109" t="s">
        <v>288</v>
      </c>
      <c r="D253" s="73">
        <f>AVERAGEIFS(data!V:V,data!K:K,"female",data!B:B,SumTbl!A253,data!N:N,"&lt;&gt;headless")</f>
        <v>134.44599999999997</v>
      </c>
      <c r="E253" s="73">
        <f t="array" ref="E253">STDEV(IF(data!$B$2:$B$3404=A253,IF(data!$V$2:$V$3404&lt;&gt;"",IF(data!$K$2:$K$3404="female",IF(data!$N$2:$N$3404&lt;&gt;"headless",data!$V$2:$V$3404)))))</f>
        <v>10.624859330338152</v>
      </c>
      <c r="G253" s="8">
        <v>2006</v>
      </c>
      <c r="H253" s="110">
        <v>163</v>
      </c>
      <c r="I253" s="109" t="s">
        <v>288</v>
      </c>
      <c r="J253" s="73">
        <f>AVERAGEIFS(data!$V$2:$V$3404,data!$K$2:$K$3404,"male",data!$B$2:$B$3404,SumTbl!G253,data!$N$2:$N$3404,"&lt;&gt;headless")</f>
        <v>152.08000000000001</v>
      </c>
      <c r="K253" s="73"/>
      <c r="L253" s="11"/>
      <c r="M253" s="8"/>
      <c r="O253" s="8"/>
    </row>
    <row r="254" spans="1:15" ht="12.75" customHeight="1" x14ac:dyDescent="0.2">
      <c r="A254" s="8">
        <v>2007</v>
      </c>
      <c r="B254" s="77">
        <v>144.03</v>
      </c>
      <c r="C254" s="109" t="s">
        <v>288</v>
      </c>
      <c r="D254" s="73">
        <f>AVERAGEIFS(data!V:V,data!K:K,"female",data!B:B,SumTbl!A254,data!N:N,"&lt;&gt;headless")</f>
        <v>134.37576576576581</v>
      </c>
      <c r="E254" s="73">
        <f t="array" ref="E254">STDEV(IF(data!$B$2:$B$3404=A254,IF(data!$V$2:$V$3404&lt;&gt;"",IF(data!$K$2:$K$3404="female",IF(data!$N$2:$N$3404&lt;&gt;"headless",data!$V$2:$V$3404)))))</f>
        <v>11.92275940830276</v>
      </c>
      <c r="G254" s="8">
        <v>2007</v>
      </c>
      <c r="H254" s="110">
        <v>166</v>
      </c>
      <c r="I254" s="109" t="s">
        <v>288</v>
      </c>
      <c r="J254" s="73">
        <f>AVERAGEIFS(data!$V$2:$V$3404,data!$K$2:$K$3404,"male",data!$B$2:$B$3404,SumTbl!G254,data!$N$2:$N$3404,"&lt;&gt;headless")</f>
        <v>154.88</v>
      </c>
      <c r="K254" s="73"/>
      <c r="L254" s="11"/>
      <c r="M254" s="8"/>
      <c r="O254" s="8"/>
    </row>
    <row r="255" spans="1:15" ht="12.75" customHeight="1" x14ac:dyDescent="0.2">
      <c r="A255" s="8">
        <v>2008</v>
      </c>
      <c r="B255" s="77">
        <v>148.41999999999999</v>
      </c>
      <c r="C255" s="109" t="s">
        <v>288</v>
      </c>
      <c r="D255" s="73">
        <f>AVERAGEIFS(data!V:V,data!K:K,"female",data!B:B,SumTbl!A255,data!N:N,"&lt;&gt;headless")</f>
        <v>138.47600000000003</v>
      </c>
      <c r="E255" s="73">
        <f t="array" ref="E255">STDEV(IF(data!$B$2:$B$3404=A255,IF(data!$V$2:$V$3404&lt;&gt;"",IF(data!$K$2:$K$3404="female",IF(data!$N$2:$N$3404&lt;&gt;"headless",data!$V$2:$V$3404)))))</f>
        <v>9.5477493875440089</v>
      </c>
      <c r="G255" s="8">
        <v>2008</v>
      </c>
      <c r="H255" s="73"/>
      <c r="I255" s="113"/>
      <c r="J255" s="73"/>
      <c r="K255" s="73"/>
      <c r="L255" s="11"/>
      <c r="M255" s="8"/>
      <c r="O255" s="8"/>
    </row>
    <row r="256" spans="1:15" ht="12.75" customHeight="1" x14ac:dyDescent="0.2">
      <c r="A256" s="8">
        <v>2009</v>
      </c>
      <c r="B256" s="77">
        <v>159.47</v>
      </c>
      <c r="C256" s="109" t="s">
        <v>288</v>
      </c>
      <c r="D256" s="73">
        <f>AVERAGEIFS(data!V:V,data!K:K,"female",data!B:B,SumTbl!A256,data!N:N,"&lt;&gt;headless")</f>
        <v>148.78162790697669</v>
      </c>
      <c r="E256" s="73">
        <f t="array" ref="E256">STDEV(IF(data!$B$2:$B$3404=A256,IF(data!$V$2:$V$3404&lt;&gt;"",IF(data!$K$2:$K$3404="female",IF(data!$N$2:$N$3404&lt;&gt;"headless",data!$V$2:$V$3404)))))</f>
        <v>12.234733525078463</v>
      </c>
      <c r="G256" s="8">
        <v>2009</v>
      </c>
      <c r="H256" s="73"/>
      <c r="I256" s="113"/>
      <c r="J256" s="73"/>
      <c r="K256" s="73"/>
      <c r="L256" s="11"/>
      <c r="M256" s="8"/>
      <c r="O256" s="8"/>
    </row>
    <row r="257" spans="1:18" ht="12.75" customHeight="1" x14ac:dyDescent="0.2">
      <c r="A257" s="8">
        <v>2010</v>
      </c>
      <c r="B257" s="77">
        <v>157.32</v>
      </c>
      <c r="C257" s="109" t="s">
        <v>288</v>
      </c>
      <c r="D257" s="73">
        <f>AVERAGEIFS(data!V:V,data!K:K,"female",data!B:B,SumTbl!A257,data!N:N,"&lt;&gt;headless")</f>
        <v>146.77526315789473</v>
      </c>
      <c r="E257" s="73">
        <f t="array" ref="E257">STDEV(IF(data!$B$2:$B$3404=A257,IF(data!$V$2:$V$3404&lt;&gt;"",IF(data!$K$2:$K$3404="female",IF(data!$N$2:$N$3404&lt;&gt;"headless",data!$V$2:$V$3404)))))</f>
        <v>7.2677631958770537</v>
      </c>
      <c r="G257" s="8">
        <v>2010</v>
      </c>
      <c r="H257" s="110">
        <v>177.67</v>
      </c>
      <c r="I257" s="109" t="s">
        <v>288</v>
      </c>
      <c r="J257" s="73">
        <f>AVERAGEIFS(data!$V$2:$V$3404,data!$K$2:$K$3404,"male",data!$B$2:$B$3404,SumTbl!G257,data!$N$2:$N$3404,"&lt;&gt;headless")</f>
        <v>165.76</v>
      </c>
      <c r="K257" s="73">
        <f t="array" ref="K257">STDEV(IF(data!$B$2:$B$3404=G257,IF(data!$V$2:$V$3404&lt;&gt;"",IF(data!$K$2:$K$3404="male",IF(data!$N$2:$N$3404&lt;&gt;"headless",data!$V$2:$V$3404)))))</f>
        <v>6.0709389718559992</v>
      </c>
      <c r="L257" s="11"/>
      <c r="M257" s="8"/>
      <c r="O257" s="8"/>
    </row>
    <row r="258" spans="1:18" ht="12.75" customHeight="1" x14ac:dyDescent="0.2">
      <c r="A258" s="8">
        <v>2011</v>
      </c>
      <c r="B258" s="77">
        <v>141.47</v>
      </c>
      <c r="C258" s="109" t="s">
        <v>288</v>
      </c>
      <c r="D258" s="73">
        <f>AVERAGEIFS(data!V:V,data!K:K,"female",data!B:B,SumTbl!A258,data!N:N,"&lt;&gt;headless")</f>
        <v>131.65228070175436</v>
      </c>
      <c r="E258" s="73">
        <f t="array" ref="E258">STDEV(IF(data!$B$2:$B$3404=A258,IF(data!$V$2:$V$3404&lt;&gt;"",IF(data!$K$2:$K$3404="female",IF(data!$N$2:$N$3404&lt;&gt;"headless",data!$V$2:$V$3404)))))</f>
        <v>12.4333626668538</v>
      </c>
      <c r="G258" s="8">
        <v>2011</v>
      </c>
      <c r="H258" s="110">
        <v>146.66999999999999</v>
      </c>
      <c r="I258" s="109" t="s">
        <v>288</v>
      </c>
      <c r="J258" s="73">
        <f>AVERAGEIFS(data!$V$2:$V$3404,data!$K$2:$K$3404,"male",data!$B$2:$B$3404,SumTbl!G258,data!$N$2:$N$3404,"&lt;&gt;headless")</f>
        <v>137.00807692307691</v>
      </c>
      <c r="K258" s="73">
        <f t="array" ref="K258">STDEV(IF(data!$B$2:$B$3404=G258,IF(data!$V$2:$V$3404&lt;&gt;"",IF(data!$K$2:$K$3404="male",IF(data!$N$2:$N$3404&lt;&gt;"headless",data!$V$2:$V$3404)))))</f>
        <v>8.8697666346892206</v>
      </c>
      <c r="L258" s="114"/>
      <c r="M258" s="8"/>
      <c r="O258" s="8"/>
    </row>
    <row r="259" spans="1:18" ht="12.75" customHeight="1" x14ac:dyDescent="0.2">
      <c r="A259" s="8">
        <v>2012</v>
      </c>
      <c r="B259" s="77">
        <v>154.16</v>
      </c>
      <c r="C259" s="109" t="s">
        <v>288</v>
      </c>
      <c r="D259" s="73">
        <f>AVERAGEIFS(data!V:V,data!K:K,"female",data!B:B,SumTbl!A259,data!N:N,"&lt;&gt;headless")</f>
        <v>143.83632911392408</v>
      </c>
      <c r="E259" s="73">
        <f t="array" ref="E259">STDEV(IF(data!$B$2:$B$3404=A259,IF(data!$V$2:$V$3404&lt;&gt;"",IF(data!$K$2:$K$3404="female",IF(data!$N$2:$N$3404&lt;&gt;"headless",data!$V$2:$V$3404)))))</f>
        <v>13.152096369626262</v>
      </c>
      <c r="G259" s="8">
        <v>2012</v>
      </c>
      <c r="H259" s="110">
        <v>177</v>
      </c>
      <c r="I259" s="109" t="s">
        <v>288</v>
      </c>
      <c r="J259" s="73">
        <f>AVERAGEIFS(data!$V$2:$V$3404,data!$K$2:$K$3404,"male",data!$B$2:$B$3404,SumTbl!G259,data!$N$2:$N$3404,"&lt;&gt;headless")</f>
        <v>165.14</v>
      </c>
      <c r="K259" s="73"/>
      <c r="L259" s="114"/>
      <c r="M259" s="8"/>
      <c r="O259" s="8"/>
    </row>
    <row r="260" spans="1:18" ht="12.75" customHeight="1" x14ac:dyDescent="0.2">
      <c r="A260" s="8">
        <v>2013</v>
      </c>
      <c r="B260" s="77">
        <v>153.25</v>
      </c>
      <c r="C260" s="109" t="s">
        <v>288</v>
      </c>
      <c r="D260" s="73">
        <f>AVERAGEIFS(data!V:V,data!K:K,"female",data!B:B,SumTbl!A260,data!N:N,"&lt;&gt;headless")</f>
        <v>142.97354166666665</v>
      </c>
      <c r="E260" s="73">
        <f t="array" ref="E260">STDEV(IF(data!$B$2:$B$3404=A260,IF(data!$V$2:$V$3404&lt;&gt;"",IF(data!$K$2:$K$3404="female",IF(data!$N$2:$N$3404&lt;&gt;"headless",data!$V$2:$V$3404)))))</f>
        <v>14.541484674936939</v>
      </c>
      <c r="G260" s="8">
        <v>2013</v>
      </c>
      <c r="H260" s="110">
        <v>152</v>
      </c>
      <c r="I260" s="109" t="s">
        <v>288</v>
      </c>
      <c r="J260" s="73">
        <f>AVERAGEIFS(data!$V$2:$V$3404,data!$K$2:$K$3404,"male",data!$B$2:$B$3404,SumTbl!G260,data!$N$2:$N$3404,"&lt;&gt;headless")</f>
        <v>141.82</v>
      </c>
      <c r="K260" s="73"/>
      <c r="L260" s="114"/>
      <c r="M260" s="8"/>
      <c r="O260" s="8"/>
    </row>
    <row r="261" spans="1:18" ht="12.75" customHeight="1" x14ac:dyDescent="0.2">
      <c r="A261" s="115">
        <v>2014</v>
      </c>
      <c r="B261" s="116">
        <v>146.97999999999999</v>
      </c>
      <c r="C261" s="117" t="s">
        <v>288</v>
      </c>
      <c r="D261" s="73">
        <f>AVERAGEIFS(data!V:V,data!K:K,"female",data!B:B,SumTbl!A261,data!N:N,"&lt;&gt;headless")</f>
        <v>137.13133333333332</v>
      </c>
      <c r="E261" s="73">
        <f t="array" ref="E261">STDEV(IF(data!$B$2:$B$3404=A261,IF(data!$V$2:$V$3404&lt;&gt;"",IF(data!$K$2:$K$3404="female",IF(data!$N$2:$N$3404&lt;&gt;"headless",data!$V$2:$V$3404)))))</f>
        <v>16.12787558573989</v>
      </c>
      <c r="F261" s="104" t="s">
        <v>522</v>
      </c>
      <c r="G261" s="115">
        <v>2014</v>
      </c>
      <c r="H261" s="119"/>
      <c r="I261" s="113"/>
      <c r="J261" s="73"/>
      <c r="K261" s="73"/>
      <c r="L261" s="114"/>
      <c r="M261" s="8"/>
      <c r="O261" s="8"/>
    </row>
    <row r="262" spans="1:18" ht="12.75" customHeight="1" x14ac:dyDescent="0.2">
      <c r="A262" s="49">
        <v>2014</v>
      </c>
      <c r="B262" s="116">
        <v>137.88999999999999</v>
      </c>
      <c r="C262" s="117" t="s">
        <v>289</v>
      </c>
      <c r="D262" s="55">
        <v>137.88999999999999</v>
      </c>
      <c r="E262" s="73">
        <f t="array" ref="E262">STDEV(IF(data!$B$2:$B$3404=A262,IF(data!$H$2:$H$3404&lt;&gt;"",IF(data!$K$2:$K$3404="female",IF(data!$N$2:$N$3404&lt;&gt;"headless",data!$H$2:$H$3404)))))</f>
        <v>18.938188159384048</v>
      </c>
      <c r="F262" s="195">
        <f>AVERAGE(D261:D262)</f>
        <v>137.51066666666665</v>
      </c>
      <c r="G262" s="49">
        <v>2015</v>
      </c>
      <c r="H262" s="119"/>
      <c r="I262" s="113"/>
      <c r="J262" s="73"/>
      <c r="K262" s="73"/>
      <c r="L262" s="114"/>
      <c r="M262" s="8"/>
      <c r="O262" s="8"/>
    </row>
    <row r="263" spans="1:18" ht="12.75" customHeight="1" x14ac:dyDescent="0.2">
      <c r="A263" s="55">
        <v>2015</v>
      </c>
      <c r="C263" s="113"/>
      <c r="E263" s="73"/>
      <c r="G263" s="104">
        <v>2016</v>
      </c>
      <c r="H263" s="234">
        <v>134</v>
      </c>
      <c r="I263" s="109" t="s">
        <v>289</v>
      </c>
      <c r="J263" s="234">
        <v>134</v>
      </c>
      <c r="K263" s="73"/>
      <c r="L263" s="114"/>
      <c r="M263" s="8"/>
      <c r="O263" s="8"/>
    </row>
    <row r="264" spans="1:18" ht="12.75" customHeight="1" x14ac:dyDescent="0.2">
      <c r="A264" s="104">
        <v>2016</v>
      </c>
      <c r="B264" s="205">
        <v>140.47999999999999</v>
      </c>
      <c r="C264" s="109" t="s">
        <v>289</v>
      </c>
      <c r="D264" s="55">
        <v>140.47999999999999</v>
      </c>
      <c r="E264" s="73">
        <f t="array" ref="E264">STDEV(IF(data!$B$2:$B$3404=A264,IF(data!$H$2:$H$3404&lt;&gt;"",IF(data!$K$2:$K$3404="female",IF(data!$N$2:$N$3404&lt;&gt;"headless",data!$H$2:$H$3404)))))</f>
        <v>9.1739797668135683</v>
      </c>
      <c r="F264" s="104"/>
      <c r="G264" s="235">
        <v>2017</v>
      </c>
      <c r="H264" s="55">
        <v>142.5</v>
      </c>
      <c r="I264" s="142" t="s">
        <v>289</v>
      </c>
      <c r="J264" s="55">
        <v>142.5</v>
      </c>
      <c r="K264" s="73"/>
      <c r="L264" s="114"/>
      <c r="M264" s="8"/>
      <c r="O264" s="8"/>
    </row>
    <row r="265" spans="1:18" s="230" customFormat="1" ht="12.75" customHeight="1" x14ac:dyDescent="0.2">
      <c r="A265" s="104">
        <v>2017</v>
      </c>
      <c r="B265" s="230">
        <v>127.96</v>
      </c>
      <c r="C265" s="142" t="s">
        <v>289</v>
      </c>
      <c r="D265" s="230">
        <v>127.96</v>
      </c>
      <c r="E265" s="73">
        <f t="array" ref="E265">STDEV(IF(data!$B$2:$B$3404=A265,IF(data!$H$2:$H$3404&lt;&gt;"",IF(data!$K$2:$K$3404="female",IF(data!$N$2:$N$3404&lt;&gt;"headless",data!$H$2:$H$3404)))))</f>
        <v>13.146557502860242</v>
      </c>
      <c r="F265" s="104"/>
      <c r="G265" s="110"/>
      <c r="H265" s="55"/>
      <c r="I265" s="123"/>
      <c r="J265" s="123"/>
      <c r="K265" s="123"/>
      <c r="L265" s="45"/>
      <c r="M265" s="114"/>
      <c r="N265" s="45"/>
      <c r="P265" s="45"/>
    </row>
    <row r="266" spans="1:18" ht="12.75" customHeight="1" x14ac:dyDescent="0.2">
      <c r="A266" s="104"/>
      <c r="B266" s="52"/>
      <c r="C266" s="110"/>
      <c r="E266" s="45"/>
      <c r="F266" s="112"/>
      <c r="G266" s="112"/>
      <c r="H266" s="112"/>
      <c r="I266" s="112"/>
      <c r="J266" s="112"/>
      <c r="K266" s="112"/>
      <c r="L266" s="45"/>
      <c r="M266" s="114"/>
      <c r="N266" s="8"/>
      <c r="P266" s="8"/>
    </row>
    <row r="267" spans="1:18" ht="12.75" customHeight="1" x14ac:dyDescent="0.2">
      <c r="A267" s="45"/>
      <c r="B267" s="123" t="s">
        <v>290</v>
      </c>
      <c r="C267" s="123" t="s">
        <v>290</v>
      </c>
      <c r="D267" s="123" t="s">
        <v>290</v>
      </c>
      <c r="E267"/>
      <c r="F267" s="45"/>
      <c r="G267" s="45"/>
      <c r="H267" s="45"/>
      <c r="I267" s="45"/>
      <c r="J267" s="45"/>
      <c r="M267" s="45"/>
      <c r="N267" s="114"/>
      <c r="O267" s="8"/>
      <c r="Q267" s="8"/>
    </row>
    <row r="268" spans="1:18" ht="12.75" customHeight="1" x14ac:dyDescent="0.2">
      <c r="A268" s="45"/>
      <c r="B268" s="124">
        <v>0.26948113699999998</v>
      </c>
      <c r="C268" s="124">
        <v>0.233763581</v>
      </c>
      <c r="D268" s="124">
        <v>0.57112826400000005</v>
      </c>
      <c r="E268" s="112"/>
      <c r="F268" s="112"/>
      <c r="I268" s="112"/>
      <c r="L268" s="112"/>
      <c r="M268" s="45"/>
      <c r="N268" s="114"/>
      <c r="O268" s="8"/>
      <c r="Q268" s="8"/>
    </row>
    <row r="269" spans="1:18" ht="12.75" customHeight="1" x14ac:dyDescent="0.2">
      <c r="A269" s="45"/>
      <c r="B269" s="124"/>
      <c r="C269" s="124"/>
      <c r="D269" s="124"/>
      <c r="E269" s="112"/>
      <c r="F269" s="112"/>
      <c r="I269" s="112"/>
      <c r="L269" s="112"/>
      <c r="M269" s="45"/>
      <c r="N269" s="114"/>
      <c r="O269" s="8"/>
      <c r="Q269" s="8"/>
    </row>
    <row r="270" spans="1:18" ht="12.75" customHeight="1" x14ac:dyDescent="0.2">
      <c r="A270" s="45"/>
      <c r="B270" s="124"/>
      <c r="C270" s="124"/>
      <c r="D270" s="124"/>
      <c r="E270" s="112"/>
      <c r="F270" s="112"/>
      <c r="I270" s="112"/>
      <c r="L270" s="112"/>
      <c r="M270" s="45"/>
      <c r="N270" s="114"/>
      <c r="O270" s="8"/>
      <c r="Q270" s="8"/>
    </row>
    <row r="271" spans="1:18" ht="18" customHeight="1" x14ac:dyDescent="0.25">
      <c r="A271" s="45"/>
      <c r="B271" s="272" t="s">
        <v>291</v>
      </c>
      <c r="C271" s="273"/>
      <c r="D271" s="273"/>
      <c r="E271" s="273"/>
      <c r="F271" s="274"/>
      <c r="G271" s="274"/>
      <c r="H271" s="273"/>
      <c r="I271" s="272" t="s">
        <v>292</v>
      </c>
      <c r="J271" s="273"/>
      <c r="K271" s="273"/>
      <c r="L271" s="273"/>
      <c r="M271" s="274"/>
      <c r="N271" s="45"/>
      <c r="O271" s="114"/>
      <c r="P271" s="8"/>
      <c r="R271" s="8"/>
    </row>
    <row r="272" spans="1:18" ht="12.75" customHeight="1" x14ac:dyDescent="0.2">
      <c r="A272" s="8"/>
      <c r="B272" s="105" t="s">
        <v>283</v>
      </c>
      <c r="E272" s="112"/>
      <c r="F272" s="123"/>
      <c r="G272" s="8"/>
      <c r="H272" s="105" t="s">
        <v>283</v>
      </c>
      <c r="K272" s="112"/>
      <c r="L272" s="45"/>
      <c r="M272" s="114"/>
      <c r="N272" s="8"/>
      <c r="P272" s="8"/>
    </row>
    <row r="273" spans="1:16" ht="12.75" customHeight="1" x14ac:dyDescent="0.2">
      <c r="A273" s="105" t="s">
        <v>1</v>
      </c>
      <c r="B273" s="105" t="s">
        <v>284</v>
      </c>
      <c r="C273" s="106" t="s">
        <v>285</v>
      </c>
      <c r="D273" s="106" t="s">
        <v>286</v>
      </c>
      <c r="E273" s="236" t="s">
        <v>500</v>
      </c>
      <c r="F273" s="123"/>
      <c r="G273" s="105" t="s">
        <v>1</v>
      </c>
      <c r="H273" s="105" t="s">
        <v>284</v>
      </c>
      <c r="I273" s="106" t="s">
        <v>285</v>
      </c>
      <c r="J273" s="106" t="s">
        <v>286</v>
      </c>
      <c r="K273" s="236" t="s">
        <v>500</v>
      </c>
      <c r="L273" s="45"/>
      <c r="M273" s="114"/>
      <c r="N273" s="8"/>
      <c r="P273" s="8"/>
    </row>
    <row r="274" spans="1:16" ht="12.75" customHeight="1" x14ac:dyDescent="0.2">
      <c r="A274" s="8">
        <v>1990</v>
      </c>
      <c r="B274" s="55">
        <v>135</v>
      </c>
      <c r="C274" s="109" t="s">
        <v>288</v>
      </c>
      <c r="D274" s="73">
        <f>AVERAGEIFS(data!$V$2:$V$3404,data!$K$2:$K$3404,"female",data!$B$2:$B$3404,SumTbl!A274,data!$L$2:$L$3404,"gravid",data!$N$2:$N$3404,"&lt;&gt;headless")</f>
        <v>126</v>
      </c>
      <c r="E274" s="73"/>
      <c r="F274" s="123"/>
      <c r="G274" s="8">
        <v>1990</v>
      </c>
      <c r="H274" s="125"/>
      <c r="I274" s="109" t="s">
        <v>288</v>
      </c>
      <c r="K274" s="112"/>
      <c r="L274" s="45"/>
      <c r="M274" s="114"/>
      <c r="N274" s="8"/>
      <c r="P274" s="8"/>
    </row>
    <row r="275" spans="1:16" ht="12.75" customHeight="1" x14ac:dyDescent="0.2">
      <c r="A275" s="8">
        <v>1991</v>
      </c>
      <c r="B275" s="118">
        <v>154.66666666666666</v>
      </c>
      <c r="C275" s="109" t="s">
        <v>288</v>
      </c>
      <c r="D275" s="73">
        <f>AVERAGEIFS(data!$V$2:$V$3404,data!$K$2:$K$3404,"female",data!$B$2:$B$3404,SumTbl!A275,data!$L$2:$L$3404,"gravid",data!$N$2:$N$3404,"&lt;&gt;headless")</f>
        <v>144.26666666666668</v>
      </c>
      <c r="E275" s="73">
        <f t="array" ref="E275">STDEV(IF(data!$B$2:$B$3404=A275,IF(data!$V$2:$V$3404&lt;&gt;"",IF(data!$K$2:$K$3404="female",IF(data!$L$2:$L$3404="gravid",IF(data!$N$2:$N$3404&lt;&gt;"headless",data!$V$2:$V$3404))))))</f>
        <v>7.9773488853186825</v>
      </c>
      <c r="F275" s="123"/>
      <c r="G275" s="8">
        <v>1991</v>
      </c>
      <c r="H275" s="126">
        <v>143.42105263157896</v>
      </c>
      <c r="I275" s="109" t="s">
        <v>288</v>
      </c>
      <c r="J275" s="73">
        <f>AVERAGEIFS(data!$V$2:$V$3404,data!$K$2:$K$3404,"female",data!$B$2:$B$3404,SumTbl!G275,data!$L$2:$L$3404,"spent",data!$N$2:$N$3404,"&lt;&gt;headless")</f>
        <v>133.73684210526315</v>
      </c>
      <c r="K275" s="73">
        <f t="array" ref="K275">STDEV(IF(data!$B$2:$B$3404=G275,IF(data!$V$2:$V$3404&lt;&gt;"",IF(data!$N$2:$N$3404&lt;&gt;"headless",IF(data!$K$2:$K$3404="female",IF(data!$L$2:$L$3404="spent",data!$V$2:$V$3404))))))</f>
        <v>19.874165545761905</v>
      </c>
      <c r="L275" s="45"/>
      <c r="M275" s="114"/>
      <c r="N275" s="8"/>
      <c r="P275" s="8"/>
    </row>
    <row r="276" spans="1:16" ht="12.75" customHeight="1" x14ac:dyDescent="0.2">
      <c r="A276" s="8">
        <v>1992</v>
      </c>
      <c r="B276" s="118">
        <v>137.78125</v>
      </c>
      <c r="C276" s="109" t="s">
        <v>288</v>
      </c>
      <c r="D276" s="73">
        <f>AVERAGEIFS(data!$V$2:$V$3404,data!$K$2:$K$3404,"female",data!$B$2:$B$3404,SumTbl!A276,data!$L$2:$L$3404,"gravid",data!$N$2:$N$3404,"&lt;&gt;headless")</f>
        <v>128.53125</v>
      </c>
      <c r="E276" s="73">
        <f t="array" ref="E276">STDEV(IF(data!$B$2:$B$3404=A276,IF(data!$V$2:$V$3404&lt;&gt;"",IF(data!$K$2:$K$3404="female",IF(data!$L$2:$L$3404="gravid",IF(data!$N$2:$N$3404&lt;&gt;"headless",data!$V$2:$V$3404))))))</f>
        <v>10.603825650257205</v>
      </c>
      <c r="F276" s="123"/>
      <c r="G276" s="8">
        <v>1992</v>
      </c>
      <c r="H276" s="126">
        <v>134.5</v>
      </c>
      <c r="I276" s="109" t="s">
        <v>288</v>
      </c>
      <c r="J276" s="73">
        <f>AVERAGEIFS(data!$V$2:$V$3404,data!$K$2:$K$3404,"female",data!$B$2:$B$3404,SumTbl!G276,data!$L$2:$L$3404,"spent",data!$N$2:$N$3404,"&lt;&gt;headless")</f>
        <v>125.375</v>
      </c>
      <c r="K276" s="73">
        <f t="array" ref="K276">STDEV(IF(data!$B$2:$B$3404=G276,IF(data!$V$2:$V$3404&lt;&gt;"",IF(data!$N$2:$N$3404&lt;&gt;"headless",IF(data!$K$2:$K$3404="female",IF(data!$L$2:$L$3404="spent",data!$V$2:$V$3404))))))</f>
        <v>12.489281118508897</v>
      </c>
      <c r="L276" s="45"/>
      <c r="M276" s="114"/>
      <c r="N276" s="8"/>
      <c r="P276" s="8"/>
    </row>
    <row r="277" spans="1:16" ht="12.75" customHeight="1" x14ac:dyDescent="0.2">
      <c r="A277" s="8">
        <v>1993</v>
      </c>
      <c r="B277" s="118">
        <v>148.61538461538461</v>
      </c>
      <c r="C277" s="109" t="s">
        <v>288</v>
      </c>
      <c r="D277" s="73">
        <f>AVERAGEIFS(data!$V$2:$V$3404,data!$K$2:$K$3404,"female",data!$B$2:$B$3404,SumTbl!A277,data!$L$2:$L$3404,"gravid",data!$N$2:$N$3404,"&lt;&gt;headless")</f>
        <v>138.65934065934067</v>
      </c>
      <c r="E277" s="73">
        <f t="array" ref="E277">STDEV(IF(data!$B$2:$B$3404=A277,IF(data!$V$2:$V$3404&lt;&gt;"",IF(data!$K$2:$K$3404="female",IF(data!$L$2:$L$3404="gravid",IF(data!$N$2:$N$3404&lt;&gt;"headless",data!$V$2:$V$3404))))))</f>
        <v>7.809139631397418</v>
      </c>
      <c r="F277" s="123"/>
      <c r="G277" s="8">
        <v>1993</v>
      </c>
      <c r="H277" s="126">
        <v>153</v>
      </c>
      <c r="I277" s="109" t="s">
        <v>288</v>
      </c>
      <c r="J277" s="73">
        <f>AVERAGEIFS(data!$V$2:$V$3404,data!$K$2:$K$3404,"female",data!$B$2:$B$3404,SumTbl!G277,data!$L$2:$L$3404,"spent",data!$N$2:$N$3404,"&lt;&gt;headless")</f>
        <v>142.69999999999999</v>
      </c>
      <c r="K277" s="73">
        <f t="array" ref="K277">STDEV(IF(data!$B$2:$B$3404=G277,IF(data!$V$2:$V$3404&lt;&gt;"",IF(data!$N$2:$N$3404&lt;&gt;"headless",IF(data!$K$2:$K$3404="female",IF(data!$L$2:$L$3404="spent",data!$V$2:$V$3404))))))</f>
        <v>10.975224624378107</v>
      </c>
      <c r="L277" s="45"/>
      <c r="M277" s="114"/>
      <c r="N277" s="8"/>
      <c r="P277" s="8"/>
    </row>
    <row r="278" spans="1:16" ht="12.75" customHeight="1" x14ac:dyDescent="0.2">
      <c r="A278" s="8">
        <v>1994</v>
      </c>
      <c r="B278" s="73">
        <v>147</v>
      </c>
      <c r="C278" s="109" t="s">
        <v>288</v>
      </c>
      <c r="D278" s="73">
        <f>AVERAGEIFS(data!$V$2:$V$3404,data!$K$2:$K$3404,"female",data!$B$2:$B$3404,SumTbl!A278,data!$L$2:$L$3404,"gravid",data!$N$2:$N$3404,"&lt;&gt;headless")</f>
        <v>137.21428571428572</v>
      </c>
      <c r="E278" s="73">
        <f t="array" ref="E278">STDEV(IF(data!$B$2:$B$3404=A278,IF(data!$V$2:$V$3404&lt;&gt;"",IF(data!$K$2:$K$3404="female",IF(data!$L$2:$L$3404="gravid",IF(data!$N$2:$N$3404&lt;&gt;"headless",data!$V$2:$V$3404))))))</f>
        <v>15.237276763733224</v>
      </c>
      <c r="F278" s="123"/>
      <c r="G278" s="8">
        <v>1994</v>
      </c>
      <c r="H278" s="125">
        <v>152.16666666666666</v>
      </c>
      <c r="I278" s="109" t="s">
        <v>288</v>
      </c>
      <c r="J278" s="73">
        <f>AVERAGEIFS(data!$V$2:$V$3404,data!$K$2:$K$3404,"female",data!$B$2:$B$3404,SumTbl!G278,data!$L$2:$L$3404,"spent",data!$N$2:$N$3404,"&lt;&gt;headless")</f>
        <v>141.94444444444446</v>
      </c>
      <c r="K278" s="73">
        <f t="array" ref="K278">STDEV(IF(data!$B$2:$B$3404=G278,IF(data!$V$2:$V$3404&lt;&gt;"",IF(data!$N$2:$N$3404&lt;&gt;"headless",IF(data!$K$2:$K$3404="female",IF(data!$L$2:$L$3404="spent",data!$V$2:$V$3404))))))</f>
        <v>13.427242817242957</v>
      </c>
      <c r="L278" s="45"/>
      <c r="M278" s="114"/>
      <c r="N278" s="8"/>
      <c r="P278" s="8"/>
    </row>
    <row r="279" spans="1:16" ht="12.75" customHeight="1" x14ac:dyDescent="0.2">
      <c r="A279" s="8">
        <v>1995</v>
      </c>
      <c r="B279" s="73">
        <v>138.22448979591837</v>
      </c>
      <c r="C279" s="109" t="s">
        <v>288</v>
      </c>
      <c r="D279" s="73">
        <f>AVERAGEIFS(data!$V$2:$V$3404,data!$K$2:$K$3404,"female",data!$B$2:$B$3404,SumTbl!A279,data!$L$2:$L$3404,"gravid",data!$N$2:$N$3404,"&lt;&gt;headless")</f>
        <v>128.9795918367347</v>
      </c>
      <c r="E279" s="73">
        <f t="array" ref="E279">STDEV(IF(data!$B$2:$B$3404=A279,IF(data!$V$2:$V$3404&lt;&gt;"",IF(data!$K$2:$K$3404="female",IF(data!$L$2:$L$3404="gravid",IF(data!$N$2:$N$3404&lt;&gt;"headless",data!$V$2:$V$3404))))))</f>
        <v>10.71309517195032</v>
      </c>
      <c r="F279" s="123"/>
      <c r="G279" s="8">
        <v>1995</v>
      </c>
      <c r="H279" s="125">
        <v>142.23076923076923</v>
      </c>
      <c r="I279" s="109" t="s">
        <v>288</v>
      </c>
      <c r="J279" s="73">
        <f>AVERAGEIFS(data!$V$2:$V$3404,data!$K$2:$K$3404,"female",data!$B$2:$B$3404,SumTbl!G279,data!$L$2:$L$3404,"spent",data!$N$2:$N$3404,"&lt;&gt;headless")</f>
        <v>132.69230769230768</v>
      </c>
      <c r="K279" s="73">
        <f t="array" ref="K279">STDEV(IF(data!$B$2:$B$3404=G279,IF(data!$V$2:$V$3404&lt;&gt;"",IF(data!$N$2:$N$3404&lt;&gt;"headless",IF(data!$K$2:$K$3404="female",IF(data!$L$2:$L$3404="spent",data!$V$2:$V$3404))))))</f>
        <v>8.9478546347212493</v>
      </c>
      <c r="L279" s="45"/>
      <c r="M279" s="114"/>
      <c r="N279" s="8"/>
      <c r="P279" s="8"/>
    </row>
    <row r="280" spans="1:16" ht="12.75" customHeight="1" x14ac:dyDescent="0.2">
      <c r="A280" s="8">
        <v>1996</v>
      </c>
      <c r="B280" s="118">
        <v>149.66666666666666</v>
      </c>
      <c r="C280" s="109" t="s">
        <v>288</v>
      </c>
      <c r="D280" s="73">
        <f>AVERAGEIFS(data!$V$2:$V$3404,data!$K$2:$K$3404,"female",data!$B$2:$B$3404,SumTbl!A280,data!$L$2:$L$3404,"gravid",data!$N$2:$N$3404,"&lt;&gt;headless")</f>
        <v>139.33333333333334</v>
      </c>
      <c r="E280" s="73">
        <f t="array" ref="E280">STDEV(IF(data!$B$2:$B$3404=A280,IF(data!$V$2:$V$3404&lt;&gt;"",IF(data!$K$2:$K$3404="female",IF(data!$L$2:$L$3404="gravid",IF(data!$N$2:$N$3404&lt;&gt;"headless",data!$V$2:$V$3404))))))</f>
        <v>7.5055534994651349</v>
      </c>
      <c r="F280" s="123"/>
      <c r="G280" s="8">
        <v>1996</v>
      </c>
      <c r="H280" s="126">
        <v>151.28260869565219</v>
      </c>
      <c r="I280" s="109" t="s">
        <v>288</v>
      </c>
      <c r="J280" s="73">
        <f>AVERAGEIFS(data!$V$2:$V$3404,data!$K$2:$K$3404,"female",data!$B$2:$B$3404,SumTbl!G280,data!$L$2:$L$3404,"spent",data!$N$2:$N$3404,"&lt;&gt;headless")</f>
        <v>141.17391304347825</v>
      </c>
      <c r="K280" s="73">
        <f t="array" ref="K280">STDEV(IF(data!$B$2:$B$3404=G280,IF(data!$V$2:$V$3404&lt;&gt;"",IF(data!$N$2:$N$3404&lt;&gt;"headless",IF(data!$K$2:$K$3404="female",IF(data!$L$2:$L$3404="spent",data!$V$2:$V$3404))))))</f>
        <v>7.3008503243757303</v>
      </c>
      <c r="L280" s="45"/>
      <c r="M280" s="114"/>
      <c r="N280" s="8"/>
      <c r="P280" s="8"/>
    </row>
    <row r="281" spans="1:16" ht="12.75" customHeight="1" x14ac:dyDescent="0.2">
      <c r="A281" s="8">
        <v>1997</v>
      </c>
      <c r="B281" s="118">
        <v>139.88202247191012</v>
      </c>
      <c r="C281" s="109" t="s">
        <v>288</v>
      </c>
      <c r="D281" s="73">
        <f>AVERAGEIFS(data!$V$2:$V$3404,data!$K$2:$K$3404,"female",data!$B$2:$B$3404,SumTbl!A281,data!$L$2:$L$3404,"gravid",data!$N$2:$N$3404,"&lt;&gt;headless")</f>
        <v>130.4180790960452</v>
      </c>
      <c r="E281" s="73">
        <f t="array" ref="E281">STDEV(IF(data!$B$2:$B$3404=A281,IF(data!$V$2:$V$3404&lt;&gt;"",IF(data!$K$2:$K$3404="female",IF(data!$L$2:$L$3404="gravid",IF(data!$N$2:$N$3404&lt;&gt;"headless",data!$V$2:$V$3404))))))</f>
        <v>12.763375815130328</v>
      </c>
      <c r="F281" s="123"/>
      <c r="G281" s="8">
        <v>1997</v>
      </c>
      <c r="H281" s="126">
        <v>137.37837837837839</v>
      </c>
      <c r="I281" s="109" t="s">
        <v>288</v>
      </c>
      <c r="J281" s="73">
        <f>AVERAGEIFS(data!$V$2:$V$3404,data!$K$2:$K$3404,"female",data!$B$2:$B$3404,SumTbl!G281,data!$L$2:$L$3404,"spent",data!$N$2:$N$3404,"&lt;&gt;headless")</f>
        <v>128.13513513513513</v>
      </c>
      <c r="K281" s="73">
        <f t="array" ref="K281">STDEV(IF(data!$B$2:$B$3404=G281,IF(data!$V$2:$V$3404&lt;&gt;"",IF(data!$N$2:$N$3404&lt;&gt;"headless",IF(data!$K$2:$K$3404="female",IF(data!$L$2:$L$3404="spent",data!$V$2:$V$3404))))))</f>
        <v>9.333815946338353</v>
      </c>
      <c r="L281" s="45"/>
      <c r="M281" s="114"/>
      <c r="N281" s="8"/>
      <c r="P281" s="8"/>
    </row>
    <row r="282" spans="1:16" ht="12.75" customHeight="1" x14ac:dyDescent="0.2">
      <c r="A282" s="8">
        <v>1998</v>
      </c>
      <c r="B282" s="118">
        <v>136.23076923076923</v>
      </c>
      <c r="C282" s="109" t="s">
        <v>288</v>
      </c>
      <c r="D282" s="73">
        <f>AVERAGEIFS(data!$V$2:$V$3404,data!$K$2:$K$3404,"female",data!$B$2:$B$3404,SumTbl!A282,data!$L$2:$L$3404,"gravid",data!$N$2:$N$3404,"&lt;&gt;headless")</f>
        <v>127</v>
      </c>
      <c r="E282" s="73">
        <f t="array" ref="E282">STDEV(IF(data!$B$2:$B$3404=A282,IF(data!$V$2:$V$3404&lt;&gt;"",IF(data!$K$2:$K$3404="female",IF(data!$L$2:$L$3404="gravid",IF(data!$N$2:$N$3404&lt;&gt;"headless",data!$V$2:$V$3404))))))</f>
        <v>5.7445626465380286</v>
      </c>
      <c r="F282" s="123"/>
      <c r="G282" s="8">
        <v>1998</v>
      </c>
      <c r="H282" s="126">
        <v>144.16129032258064</v>
      </c>
      <c r="I282" s="109" t="s">
        <v>288</v>
      </c>
      <c r="J282" s="73">
        <f>AVERAGEIFS(data!$V$2:$V$3404,data!$K$2:$K$3404,"female",data!$B$2:$B$3404,SumTbl!G282,data!$L$2:$L$3404,"spent",data!$N$2:$N$3404,"&lt;&gt;headless")</f>
        <v>134.48387096774192</v>
      </c>
      <c r="K282" s="73">
        <f t="array" ref="K282">STDEV(IF(data!$B$2:$B$3404=G282,IF(data!$V$2:$V$3404&lt;&gt;"",IF(data!$N$2:$N$3404&lt;&gt;"headless",IF(data!$K$2:$K$3404="female",IF(data!$L$2:$L$3404="spent",data!$V$2:$V$3404))))))</f>
        <v>10.686037518625056</v>
      </c>
      <c r="L282" s="45"/>
      <c r="M282" s="114"/>
      <c r="N282" s="8"/>
      <c r="P282" s="8"/>
    </row>
    <row r="283" spans="1:16" ht="12.75" customHeight="1" x14ac:dyDescent="0.2">
      <c r="A283" s="8">
        <v>1999</v>
      </c>
      <c r="B283" s="195">
        <v>144.66666666666666</v>
      </c>
      <c r="C283" s="109" t="s">
        <v>288</v>
      </c>
      <c r="D283" s="73">
        <f>AVERAGEIFS(data!$V$2:$V$3404,data!$K$2:$K$3404,"female",data!$B$2:$B$3404,SumTbl!A283,data!$L$2:$L$3404,"gravid",data!$N$2:$N$3404,"&lt;&gt;headless")</f>
        <v>133.375</v>
      </c>
      <c r="E283" s="73">
        <f t="array" ref="E283">STDEV(IF(data!$B$2:$B$3404=A283,IF(data!$V$2:$V$3404&lt;&gt;"",IF(data!$K$2:$K$3404="female",IF(data!$L$2:$L$3404="gravid",IF(data!$N$2:$N$3404&lt;&gt;"headless",data!$V$2:$V$3404))))))</f>
        <v>9.7824551402717184</v>
      </c>
      <c r="F283" s="123"/>
      <c r="G283" s="8">
        <v>1999</v>
      </c>
      <c r="H283" s="126">
        <v>146.15384615384616</v>
      </c>
      <c r="I283" s="109" t="s">
        <v>288</v>
      </c>
      <c r="J283" s="73">
        <f>AVERAGEIFS(data!$V$2:$V$3404,data!$K$2:$K$3404,"female",data!$B$2:$B$3404,SumTbl!G283,data!$L$2:$L$3404,"spent",data!$N$2:$N$3404,"&lt;&gt;headless")</f>
        <v>136.38461538461539</v>
      </c>
      <c r="K283" s="73">
        <f t="array" ref="K283">STDEV(IF(data!$B$2:$B$3404=G283,IF(data!$V$2:$V$3404&lt;&gt;"",IF(data!$N$2:$N$3404&lt;&gt;"headless",IF(data!$K$2:$K$3404="female",IF(data!$L$2:$L$3404="spent",data!$V$2:$V$3404))))))</f>
        <v>11.259184285250454</v>
      </c>
      <c r="L283" s="45"/>
      <c r="M283" s="114"/>
      <c r="N283" s="8"/>
      <c r="P283" s="8"/>
    </row>
    <row r="284" spans="1:16" ht="12.75" customHeight="1" x14ac:dyDescent="0.2">
      <c r="A284" s="8">
        <v>2000</v>
      </c>
      <c r="B284" s="118">
        <v>140.33333333333334</v>
      </c>
      <c r="C284" s="109" t="s">
        <v>288</v>
      </c>
      <c r="D284" s="73">
        <f>AVERAGEIFS(data!$V$2:$V$3404,data!$K$2:$K$3404,"female",data!$B$2:$B$3404,SumTbl!A284,data!$L$2:$L$3404,"gravid",data!$N$2:$N$3404,"&lt;&gt;headless")</f>
        <v>131</v>
      </c>
      <c r="E284" s="73">
        <f t="array" ref="E284">STDEV(IF(data!$B$2:$B$3404=A284,IF(data!$V$2:$V$3404&lt;&gt;"",IF(data!$K$2:$K$3404="female",IF(data!$L$2:$L$3404="gravid",IF(data!$N$2:$N$3404&lt;&gt;"headless",data!$V$2:$V$3404))))))</f>
        <v>9.1651513899116797</v>
      </c>
      <c r="F284" s="123"/>
      <c r="G284" s="8">
        <v>2000</v>
      </c>
      <c r="H284" s="126">
        <v>157.65753424657535</v>
      </c>
      <c r="I284" s="109" t="s">
        <v>288</v>
      </c>
      <c r="J284" s="73">
        <f>AVERAGEIFS(data!$V$2:$V$3404,data!$K$2:$K$3404,"female",data!$B$2:$B$3404,SumTbl!G284,data!$L$2:$L$3404,"spent",data!$N$2:$N$3404,"&lt;&gt;headless")</f>
        <v>147.05479452054794</v>
      </c>
      <c r="K284" s="73">
        <f t="array" ref="K284">STDEV(IF(data!$B$2:$B$3404=G284,IF(data!$V$2:$V$3404&lt;&gt;"",IF(data!$N$2:$N$3404&lt;&gt;"headless",IF(data!$K$2:$K$3404="female",IF(data!$L$2:$L$3404="spent",data!$V$2:$V$3404))))))</f>
        <v>11.429603875413109</v>
      </c>
      <c r="L284" s="45"/>
      <c r="M284" s="114"/>
      <c r="N284" s="8"/>
      <c r="P284" s="8"/>
    </row>
    <row r="285" spans="1:16" ht="12.75" customHeight="1" x14ac:dyDescent="0.2">
      <c r="A285" s="8">
        <v>2001</v>
      </c>
      <c r="B285" s="118">
        <v>140.35294117647058</v>
      </c>
      <c r="C285" s="109" t="s">
        <v>288</v>
      </c>
      <c r="D285" s="73">
        <f>AVERAGEIFS(data!$V$2:$V$3404,data!$K$2:$K$3404,"female",data!$B$2:$B$3404,SumTbl!A285,data!$L$2:$L$3404,"gravid",data!$N$2:$N$3404,"&lt;&gt;headless")</f>
        <v>130.94117647058823</v>
      </c>
      <c r="E285" s="73">
        <f t="array" ref="E285">STDEV(IF(data!$B$2:$B$3404=A285,IF(data!$V$2:$V$3404&lt;&gt;"",IF(data!$K$2:$K$3404="female",IF(data!$L$2:$L$3404="gravid",IF(data!$N$2:$N$3404&lt;&gt;"headless",data!$V$2:$V$3404))))))</f>
        <v>9.915080611342086</v>
      </c>
      <c r="F285" s="123"/>
      <c r="G285" s="8">
        <v>2001</v>
      </c>
      <c r="H285" s="126">
        <v>149.78571428571428</v>
      </c>
      <c r="I285" s="109" t="s">
        <v>288</v>
      </c>
      <c r="J285" s="73">
        <f>AVERAGEIFS(data!$V$2:$V$3404,data!$K$2:$K$3404,"female",data!$B$2:$B$3404,SumTbl!G285,data!$L$2:$L$3404,"spent",data!$N$2:$N$3404,"&lt;&gt;headless")</f>
        <v>139.69999999999999</v>
      </c>
      <c r="K285" s="73">
        <f t="array" ref="K285">STDEV(IF(data!$B$2:$B$3404=G285,IF(data!$V$2:$V$3404&lt;&gt;"",IF(data!$N$2:$N$3404&lt;&gt;"headless",IF(data!$K$2:$K$3404="female",IF(data!$L$2:$L$3404="spent",data!$V$2:$V$3404))))))</f>
        <v>10.188584120318762</v>
      </c>
      <c r="L285" s="45"/>
      <c r="M285" s="114"/>
      <c r="N285" s="8"/>
      <c r="P285" s="8"/>
    </row>
    <row r="286" spans="1:16" ht="12.75" customHeight="1" x14ac:dyDescent="0.2">
      <c r="A286" s="8">
        <v>2002</v>
      </c>
      <c r="B286" s="118">
        <v>138.69148936170214</v>
      </c>
      <c r="C286" s="109" t="s">
        <v>288</v>
      </c>
      <c r="D286" s="73">
        <f>AVERAGEIFS(data!$V$2:$V$3404,data!$K$2:$K$3404,"female",data!$B$2:$B$3404,SumTbl!A286,data!$L$2:$L$3404,"gravid",data!$N$2:$N$3404,"&lt;&gt;headless")</f>
        <v>129.39361702127658</v>
      </c>
      <c r="E286" s="73">
        <f t="array" ref="E286">STDEV(IF(data!$B$2:$B$3404=A286,IF(data!$V$2:$V$3404&lt;&gt;"",IF(data!$K$2:$K$3404="female",IF(data!$L$2:$L$3404="gravid",IF(data!$N$2:$N$3404&lt;&gt;"headless",data!$V$2:$V$3404))))))</f>
        <v>10.122070089932869</v>
      </c>
      <c r="F286" s="123"/>
      <c r="G286" s="8">
        <v>2002</v>
      </c>
      <c r="H286" s="126">
        <v>148.83783783783784</v>
      </c>
      <c r="I286" s="109" t="s">
        <v>288</v>
      </c>
      <c r="J286" s="73">
        <f>AVERAGEIFS(data!$V$2:$V$3404,data!$K$2:$K$3404,"female",data!$B$2:$B$3404,SumTbl!G286,data!$L$2:$L$3404,"spent",data!$N$2:$N$3404,"&lt;&gt;headless")</f>
        <v>138.81081081081081</v>
      </c>
      <c r="K286" s="73">
        <f t="array" ref="K286">STDEV(IF(data!$B$2:$B$3404=G286,IF(data!$V$2:$V$3404&lt;&gt;"",IF(data!$N$2:$N$3404&lt;&gt;"headless",IF(data!$K$2:$K$3404="female",IF(data!$L$2:$L$3404="spent",data!$V$2:$V$3404))))))</f>
        <v>11.269641211334562</v>
      </c>
      <c r="L286" s="45"/>
      <c r="M286" s="114"/>
      <c r="N286" s="8"/>
      <c r="P286" s="8"/>
    </row>
    <row r="287" spans="1:16" ht="12.75" customHeight="1" x14ac:dyDescent="0.2">
      <c r="A287" s="8">
        <v>2003</v>
      </c>
      <c r="B287" s="118">
        <v>137.85454545454544</v>
      </c>
      <c r="C287" s="109" t="s">
        <v>288</v>
      </c>
      <c r="D287" s="73">
        <f>AVERAGEIFS(data!$V$2:$V$3404,data!$K$2:$K$3404,"female",data!$B$2:$B$3404,SumTbl!A287,data!$L$2:$L$3404,"gravid",data!$N$2:$N$3404,"&lt;&gt;headless")</f>
        <v>128.56363636363636</v>
      </c>
      <c r="E287" s="73">
        <f t="array" ref="E287">STDEV(IF(data!$B$2:$B$3404=A287,IF(data!$V$2:$V$3404&lt;&gt;"",IF(data!$K$2:$K$3404="female",IF(data!$L$2:$L$3404="gravid",IF(data!$N$2:$N$3404&lt;&gt;"headless",data!$V$2:$V$3404))))))</f>
        <v>11.393246271632185</v>
      </c>
      <c r="F287" s="123"/>
      <c r="G287" s="8">
        <v>2003</v>
      </c>
      <c r="H287" s="126">
        <v>143</v>
      </c>
      <c r="I287" s="109" t="s">
        <v>288</v>
      </c>
      <c r="J287" s="73">
        <f>AVERAGEIFS(data!$V$2:$V$3404,data!$K$2:$K$3404,"female",data!$B$2:$B$3404,SumTbl!G287,data!$L$2:$L$3404,"spent",data!$N$2:$N$3404,"&lt;&gt;headless")</f>
        <v>133.42857142857142</v>
      </c>
      <c r="K287" s="73">
        <f t="array" ref="K287">STDEV(IF(data!$B$2:$B$3404=G287,IF(data!$V$2:$V$3404&lt;&gt;"",IF(data!$N$2:$N$3404&lt;&gt;"headless",IF(data!$K$2:$K$3404="female",IF(data!$L$2:$L$3404="spent",data!$V$2:$V$3404))))))</f>
        <v>7.6128867032186918</v>
      </c>
      <c r="L287" s="45"/>
      <c r="M287" s="114"/>
      <c r="N287" s="8"/>
      <c r="P287" s="8"/>
    </row>
    <row r="288" spans="1:16" ht="12.75" customHeight="1" x14ac:dyDescent="0.2">
      <c r="A288" s="8">
        <v>2004</v>
      </c>
      <c r="B288" s="73">
        <v>140.42857142857142</v>
      </c>
      <c r="C288" s="109" t="s">
        <v>288</v>
      </c>
      <c r="D288" s="73">
        <f>AVERAGEIFS(data!$V$2:$V$3404,data!$K$2:$K$3404,"female",data!$B$2:$B$3404,SumTbl!A288,data!$L$2:$L$3404,"gravid",data!$N$2:$N$3404,"&lt;&gt;headless")</f>
        <v>131.01942857142859</v>
      </c>
      <c r="E288" s="73">
        <f t="array" ref="E288">STDEV(IF(data!$B$2:$B$3404=A288,IF(data!$V$2:$V$3404&lt;&gt;"",IF(data!$K$2:$K$3404="female",IF(data!$L$2:$L$3404="gravid",IF(data!$N$2:$N$3404&lt;&gt;"headless",data!$V$2:$V$3404))))))</f>
        <v>10.12327369244262</v>
      </c>
      <c r="F288" s="123"/>
      <c r="G288" s="8">
        <v>2004</v>
      </c>
      <c r="H288" s="125">
        <v>143.58823529411765</v>
      </c>
      <c r="I288" s="109" t="s">
        <v>288</v>
      </c>
      <c r="J288" s="73">
        <f>AVERAGEIFS(data!$V$2:$V$3404,data!$K$2:$K$3404,"female",data!$B$2:$B$3404,SumTbl!G288,data!$L$2:$L$3404,"spent",data!$N$2:$N$3404,"&lt;&gt;headless")</f>
        <v>133.96882352941176</v>
      </c>
      <c r="K288" s="73">
        <f t="array" ref="K288">STDEV(IF(data!$B$2:$B$3404=G288,IF(data!$V$2:$V$3404&lt;&gt;"",IF(data!$N$2:$N$3404&lt;&gt;"headless",IF(data!$K$2:$K$3404="female",IF(data!$L$2:$L$3404="spent",data!$V$2:$V$3404))))))</f>
        <v>10.074988565166477</v>
      </c>
      <c r="L288" s="45"/>
      <c r="M288" s="114"/>
      <c r="N288" s="8"/>
      <c r="P288" s="8"/>
    </row>
    <row r="289" spans="1:17" ht="12.75" customHeight="1" x14ac:dyDescent="0.2">
      <c r="A289" s="8">
        <v>2005</v>
      </c>
      <c r="B289" s="118">
        <v>142.80000000000001</v>
      </c>
      <c r="C289" s="109" t="s">
        <v>288</v>
      </c>
      <c r="D289" s="73">
        <f>AVERAGEIFS(data!$V$2:$V$3404,data!$K$2:$K$3404,"female",data!$B$2:$B$3404,SumTbl!A289,data!$L$2:$L$3404,"gravid",data!$N$2:$N$3404,"&lt;&gt;headless")</f>
        <v>133.23199999999997</v>
      </c>
      <c r="E289" s="73">
        <f t="array" ref="E289">STDEV(IF(data!$B$2:$B$3404=A289,IF(data!$V$2:$V$3404&lt;&gt;"",IF(data!$K$2:$K$3404="female",IF(data!$L$2:$L$3404="gravid",IF(data!$N$2:$N$3404&lt;&gt;"headless",data!$V$2:$V$3404))))))</f>
        <v>13.25176101505004</v>
      </c>
      <c r="F289" s="123"/>
      <c r="G289" s="8">
        <v>2005</v>
      </c>
      <c r="H289" s="126">
        <v>146.01538461538462</v>
      </c>
      <c r="I289" s="109" t="s">
        <v>288</v>
      </c>
      <c r="J289" s="73">
        <f>AVERAGEIFS(data!$V$2:$V$3404,data!$K$2:$K$3404,"female",data!$B$2:$B$3404,SumTbl!G289,data!$L$2:$L$3404,"spent",data!$N$2:$N$3404,"&lt;&gt;headless")</f>
        <v>136.23307692307685</v>
      </c>
      <c r="K289" s="73">
        <f t="array" ref="K289">STDEV(IF(data!$B$2:$B$3404=G289,IF(data!$V$2:$V$3404&lt;&gt;"",IF(data!$N$2:$N$3404&lt;&gt;"headless",IF(data!$K$2:$K$3404="female",IF(data!$L$2:$L$3404="spent",data!$V$2:$V$3404))))))</f>
        <v>10.427562623145228</v>
      </c>
      <c r="L289" s="45"/>
      <c r="M289" s="114"/>
      <c r="N289" s="8"/>
      <c r="P289" s="8"/>
    </row>
    <row r="290" spans="1:17" ht="12.75" customHeight="1" x14ac:dyDescent="0.2">
      <c r="A290" s="8">
        <v>2006</v>
      </c>
      <c r="B290" s="118">
        <v>137</v>
      </c>
      <c r="C290" s="109" t="s">
        <v>288</v>
      </c>
      <c r="D290" s="73">
        <f>AVERAGEIFS(data!$V$2:$V$3404,data!$K$2:$K$3404,"female",data!$B$2:$B$3404,SumTbl!A290,data!$L$2:$L$3404,"gravid",data!$N$2:$N$3404,"&lt;&gt;headless")</f>
        <v>127.82</v>
      </c>
      <c r="E290" s="73"/>
      <c r="F290" s="123"/>
      <c r="G290" s="8">
        <v>2006</v>
      </c>
      <c r="H290" s="126">
        <v>146.58823529411765</v>
      </c>
      <c r="I290" s="109" t="s">
        <v>288</v>
      </c>
      <c r="J290" s="73">
        <f>AVERAGEIFS(data!$V$2:$V$3404,data!$K$2:$K$3404,"female",data!$B$2:$B$3404,SumTbl!G290,data!$L$2:$L$3404,"spent",data!$N$2:$N$3404,"&lt;&gt;headless")</f>
        <v>136.76764705882351</v>
      </c>
      <c r="K290" s="73">
        <f t="array" ref="K290">STDEV(IF(data!$B$2:$B$3404=G290,IF(data!$V$2:$V$3404&lt;&gt;"",IF(data!$N$2:$N$3404&lt;&gt;"headless",IF(data!$K$2:$K$3404="female",IF(data!$L$2:$L$3404="spent",data!$V$2:$V$3404))))))</f>
        <v>9.515485753110406</v>
      </c>
      <c r="L290" s="45"/>
      <c r="M290" s="114"/>
      <c r="N290" s="8"/>
      <c r="P290" s="8"/>
    </row>
    <row r="291" spans="1:17" ht="12.75" customHeight="1" x14ac:dyDescent="0.2">
      <c r="A291" s="8">
        <v>2007</v>
      </c>
      <c r="B291" s="118">
        <v>141</v>
      </c>
      <c r="C291" s="109" t="s">
        <v>288</v>
      </c>
      <c r="D291" s="73">
        <f>AVERAGEIFS(data!$V$2:$V$3404,data!$K$2:$K$3404,"female",data!$B$2:$B$3404,SumTbl!A291,data!$L$2:$L$3404,"gravid",data!$N$2:$N$3404,"&lt;&gt;headless")</f>
        <v>131.55416666666667</v>
      </c>
      <c r="E291" s="73">
        <f t="array" ref="E291">STDEV(IF(data!$B$2:$B$3404=A291,IF(data!$V$2:$V$3404&lt;&gt;"",IF(data!$K$2:$K$3404="female",IF(data!$L$2:$L$3404="gravid",IF(data!$N$2:$N$3404&lt;&gt;"headless",data!$V$2:$V$3404))))))</f>
        <v>11.628877202894524</v>
      </c>
      <c r="F291" s="123"/>
      <c r="G291" s="8">
        <v>2007</v>
      </c>
      <c r="H291" s="126">
        <v>146.12676056338029</v>
      </c>
      <c r="I291" s="109" t="s">
        <v>288</v>
      </c>
      <c r="J291" s="73">
        <f>AVERAGEIFS(data!$V$2:$V$3404,data!$K$2:$K$3404,"female",data!$B$2:$B$3404,SumTbl!G291,data!$L$2:$L$3404,"spent",data!$N$2:$N$3404,"&lt;&gt;headless")</f>
        <v>136.33338028169015</v>
      </c>
      <c r="K291" s="73">
        <f t="array" ref="K291">STDEV(IF(data!$B$2:$B$3404=G291,IF(data!$V$2:$V$3404&lt;&gt;"",IF(data!$N$2:$N$3404&lt;&gt;"headless",IF(data!$K$2:$K$3404="female",IF(data!$L$2:$L$3404="spent",data!$V$2:$V$3404))))))</f>
        <v>11.677727267099042</v>
      </c>
      <c r="L291" s="45"/>
      <c r="M291" s="114"/>
      <c r="N291" s="8"/>
      <c r="P291" s="8"/>
    </row>
    <row r="292" spans="1:17" ht="12.75" customHeight="1" x14ac:dyDescent="0.2">
      <c r="A292" s="8">
        <v>2008</v>
      </c>
      <c r="B292" s="118">
        <v>144</v>
      </c>
      <c r="C292" s="109" t="s">
        <v>288</v>
      </c>
      <c r="D292" s="73">
        <f>AVERAGEIFS(data!$V$2:$V$3404,data!$K$2:$K$3404,"female",data!$B$2:$B$3404,SumTbl!A292,data!$L$2:$L$3404,"gravid",data!$N$2:$N$3404,"&lt;&gt;headless")</f>
        <v>134.35235294117646</v>
      </c>
      <c r="E292" s="73">
        <f t="array" ref="E292">STDEV(IF(data!$B$2:$B$3404=A292,IF(data!$V$2:$V$3404&lt;&gt;"",IF(data!$K$2:$K$3404="female",IF(data!$L$2:$L$3404="gravid",IF(data!$N$2:$N$3404&lt;&gt;"headless",data!$V$2:$V$3404))))))</f>
        <v>9.3752410165097668</v>
      </c>
      <c r="F292" s="123"/>
      <c r="G292" s="8">
        <v>2008</v>
      </c>
      <c r="H292" s="126">
        <v>150.69696969696969</v>
      </c>
      <c r="I292" s="109" t="s">
        <v>288</v>
      </c>
      <c r="J292" s="73">
        <f>AVERAGEIFS(data!$V$2:$V$3404,data!$K$2:$K$3404,"female",data!$B$2:$B$3404,SumTbl!G292,data!$L$2:$L$3404,"spent",data!$N$2:$N$3404,"&lt;&gt;headless")</f>
        <v>140.60030303030308</v>
      </c>
      <c r="K292" s="73">
        <f t="array" ref="K292">STDEV(IF(data!$B$2:$B$3404=G292,IF(data!$V$2:$V$3404&lt;&gt;"",IF(data!$N$2:$N$3404&lt;&gt;"headless",IF(data!$K$2:$K$3404="female",IF(data!$L$2:$L$3404="spent",data!$V$2:$V$3404))))))</f>
        <v>9.0527970418154773</v>
      </c>
      <c r="L292" s="45"/>
      <c r="M292" s="114"/>
      <c r="N292" s="8"/>
      <c r="P292" s="8"/>
    </row>
    <row r="293" spans="1:17" ht="12.75" customHeight="1" x14ac:dyDescent="0.2">
      <c r="A293" s="8">
        <v>2009</v>
      </c>
      <c r="B293" s="118">
        <v>161.29032258064515</v>
      </c>
      <c r="C293" s="109" t="s">
        <v>288</v>
      </c>
      <c r="D293" s="73">
        <f>AVERAGEIFS(data!$V$2:$V$3404,data!$K$2:$K$3404,"female",data!$B$2:$B$3404,SumTbl!A293,data!$L$2:$L$3404,"gravid",data!$N$2:$N$3404,"&lt;&gt;headless")</f>
        <v>150.4848387096774</v>
      </c>
      <c r="E293" s="73">
        <f t="array" ref="E293">STDEV(IF(data!$B$2:$B$3404=A293,IF(data!$V$2:$V$3404&lt;&gt;"",IF(data!$K$2:$K$3404="female",IF(data!$L$2:$L$3404="gravid",IF(data!$N$2:$N$3404&lt;&gt;"headless",data!$V$2:$V$3404))))))</f>
        <v>12.370769814625589</v>
      </c>
      <c r="F293" s="123"/>
      <c r="G293" s="8">
        <v>2009</v>
      </c>
      <c r="H293" s="126">
        <v>154.75</v>
      </c>
      <c r="I293" s="109" t="s">
        <v>288</v>
      </c>
      <c r="J293" s="73">
        <f>AVERAGEIFS(data!$V$2:$V$3404,data!$K$2:$K$3404,"female",data!$B$2:$B$3404,SumTbl!G293,data!$L$2:$L$3404,"spent",data!$N$2:$N$3404,"&lt;&gt;headless")</f>
        <v>144.38166666666669</v>
      </c>
      <c r="K293" s="73">
        <f t="array" ref="K293">STDEV(IF(data!$B$2:$B$3404=G293,IF(data!$V$2:$V$3404&lt;&gt;"",IF(data!$N$2:$N$3404&lt;&gt;"headless",IF(data!$K$2:$K$3404="female",IF(data!$L$2:$L$3404="spent",data!$V$2:$V$3404))))))</f>
        <v>11.174657068834852</v>
      </c>
      <c r="L293" s="45"/>
      <c r="M293" s="114"/>
      <c r="N293" s="8"/>
      <c r="P293" s="8"/>
    </row>
    <row r="294" spans="1:17" ht="12.75" customHeight="1" x14ac:dyDescent="0.2">
      <c r="A294" s="8">
        <v>2010</v>
      </c>
      <c r="B294" s="118">
        <v>156.41176470588235</v>
      </c>
      <c r="C294" s="109" t="s">
        <v>288</v>
      </c>
      <c r="D294" s="73">
        <f>AVERAGEIFS(data!$V$2:$V$3404,data!$K$2:$K$3404,"female",data!$B$2:$B$3404,SumTbl!A294,data!$L$2:$L$3404,"gravid",data!$N$2:$N$3404,"&lt;&gt;headless")</f>
        <v>145.93176470588233</v>
      </c>
      <c r="E294" s="73">
        <f t="array" ref="E294">STDEV(IF(data!$B$2:$B$3404=A294,IF(data!$V$2:$V$3404&lt;&gt;"",IF(data!$K$2:$K$3404="female",IF(data!$L$2:$L$3404="gravid",IF(data!$N$2:$N$3404&lt;&gt;"headless",data!$V$2:$V$3404))))))</f>
        <v>7.1976769128084985</v>
      </c>
      <c r="F294" s="123"/>
      <c r="G294" s="8">
        <v>2010</v>
      </c>
      <c r="H294" s="126">
        <v>165</v>
      </c>
      <c r="I294" s="109" t="s">
        <v>288</v>
      </c>
      <c r="J294" s="73">
        <f>AVERAGEIFS(data!$V$2:$V$3404,data!$K$2:$K$3404,"female",data!$B$2:$B$3404,SumTbl!G294,data!$L$2:$L$3404,"spent",data!$N$2:$N$3404,"&lt;&gt;headless")</f>
        <v>153.94499999999999</v>
      </c>
      <c r="K294" s="73">
        <f t="array" ref="K294">STDEV(IF(data!$B$2:$B$3404=G294,IF(data!$V$2:$V$3404&lt;&gt;"",IF(data!$N$2:$N$3404&lt;&gt;"headless",IF(data!$K$2:$K$3404="female",IF(data!$L$2:$L$3404="spent",data!$V$2:$V$3404))))))</f>
        <v>2.6375082938258148</v>
      </c>
      <c r="L294" s="45"/>
      <c r="M294" s="114"/>
      <c r="N294" s="8"/>
      <c r="P294" s="8"/>
    </row>
    <row r="295" spans="1:17" ht="12.75" customHeight="1" x14ac:dyDescent="0.2">
      <c r="A295" s="8">
        <v>2011</v>
      </c>
      <c r="B295" s="118">
        <v>135.72413793103448</v>
      </c>
      <c r="C295" s="109" t="s">
        <v>288</v>
      </c>
      <c r="D295" s="73">
        <f>AVERAGEIFS(data!$V$2:$V$3404,data!$K$2:$K$3404,"female",data!$B$2:$B$3404,SumTbl!A295,data!$L$2:$L$3404,"gravid",data!$N$2:$N$3404,"&lt;&gt;headless")</f>
        <v>126.63137931034485</v>
      </c>
      <c r="E295" s="73">
        <f t="array" ref="E295">STDEV(IF(data!$B$2:$B$3404=A295,IF(data!$V$2:$V$3404&lt;&gt;"",IF(data!$K$2:$K$3404="female",IF(data!$L$2:$L$3404="gravid",IF(data!$N$2:$N$3404&lt;&gt;"headless",data!$V$2:$V$3404))))))</f>
        <v>11.277878069204437</v>
      </c>
      <c r="F295" s="123"/>
      <c r="G295" s="8">
        <v>2011</v>
      </c>
      <c r="H295" s="126">
        <v>146.79166666666666</v>
      </c>
      <c r="I295" s="109" t="s">
        <v>288</v>
      </c>
      <c r="J295" s="73">
        <f>AVERAGEIFS(data!$V$2:$V$3404,data!$K$2:$K$3404,"female",data!$B$2:$B$3404,SumTbl!G295,data!$L$2:$L$3404,"spent",data!$N$2:$N$3404,"&lt;&gt;headless")</f>
        <v>136.77920000000003</v>
      </c>
      <c r="K295" s="73">
        <f t="array" ref="K295">STDEV(IF(data!$B$2:$B$3404=G295,IF(data!$V$2:$V$3404&lt;&gt;"",IF(data!$N$2:$N$3404&lt;&gt;"headless",IF(data!$K$2:$K$3404="female",IF(data!$L$2:$L$3404="spent",data!$V$2:$V$3404))))))</f>
        <v>10.184808507445455</v>
      </c>
      <c r="L295" s="45"/>
      <c r="M295" s="114"/>
      <c r="N295" s="8"/>
      <c r="P295" s="8"/>
    </row>
    <row r="296" spans="1:17" ht="12.75" customHeight="1" x14ac:dyDescent="0.2">
      <c r="A296" s="8">
        <v>2012</v>
      </c>
      <c r="B296" s="73">
        <v>151.76666666666668</v>
      </c>
      <c r="C296" s="109" t="s">
        <v>288</v>
      </c>
      <c r="D296" s="73">
        <f>AVERAGEIFS(data!$V$2:$V$3404,data!$K$2:$K$3404,"female",data!$B$2:$B$3404,SumTbl!A296,data!$L$2:$L$3404,"gravid",data!$N$2:$N$3404,"&lt;&gt;headless")</f>
        <v>141.6</v>
      </c>
      <c r="E296" s="73">
        <f t="array" ref="E296">STDEV(IF(data!$B$2:$B$3404=A296,IF(data!$V$2:$V$3404&lt;&gt;"",IF(data!$K$2:$K$3404="female",IF(data!$L$2:$L$3404="gravid",IF(data!$N$2:$N$3404&lt;&gt;"headless",data!$V$2:$V$3404))))))</f>
        <v>11.450623533692164</v>
      </c>
      <c r="F296" s="123"/>
      <c r="G296" s="8">
        <v>2012</v>
      </c>
      <c r="H296" s="125">
        <v>158.30769230769232</v>
      </c>
      <c r="I296" s="109" t="s">
        <v>288</v>
      </c>
      <c r="J296" s="73">
        <f>AVERAGEIFS(data!$V$2:$V$3404,data!$K$2:$K$3404,"female",data!$B$2:$B$3404,SumTbl!G296,data!$L$2:$L$3404,"spent",data!$N$2:$N$3404,"&lt;&gt;headless")</f>
        <v>147.70128205128208</v>
      </c>
      <c r="K296" s="73">
        <f t="array" ref="K296">STDEV(IF(data!$B$2:$B$3404=G296,IF(data!$V$2:$V$3404&lt;&gt;"",IF(data!$N$2:$N$3404&lt;&gt;"headless",IF(data!$K$2:$K$3404="female",IF(data!$L$2:$L$3404="spent",data!$V$2:$V$3404))))))</f>
        <v>12.374515658674262</v>
      </c>
      <c r="L296" s="45"/>
      <c r="M296" s="114"/>
      <c r="N296" s="8"/>
      <c r="P296" s="8"/>
    </row>
    <row r="297" spans="1:17" ht="12.75" customHeight="1" x14ac:dyDescent="0.2">
      <c r="A297" s="8">
        <v>2013</v>
      </c>
      <c r="B297" s="118">
        <v>145.875</v>
      </c>
      <c r="C297" s="109" t="s">
        <v>288</v>
      </c>
      <c r="D297" s="73">
        <f>AVERAGEIFS(data!$V$2:$V$3404,data!$K$2:$K$3404,"female",data!$B$2:$B$3404,SumTbl!A297,data!$L$2:$L$3404,"gravid",data!$N$2:$N$3404,"&lt;&gt;headless")</f>
        <v>136.04874999999998</v>
      </c>
      <c r="E297" s="73">
        <f t="array" ref="E297">STDEV(IF(data!$B$2:$B$3404=A297,IF(data!$V$2:$V$3404&lt;&gt;"",IF(data!$K$2:$K$3404="female",IF(data!$L$2:$L$3404="gravid",IF(data!$N$2:$N$3404&lt;&gt;"headless",data!$V$2:$V$3404))))))</f>
        <v>12.203739985875526</v>
      </c>
      <c r="F297" s="123"/>
      <c r="G297" s="8">
        <v>2013</v>
      </c>
      <c r="H297" s="126">
        <v>154.72499999999999</v>
      </c>
      <c r="I297" s="109" t="s">
        <v>288</v>
      </c>
      <c r="J297" s="73">
        <f>AVERAGEIFS(data!$V$2:$V$3404,data!$K$2:$K$3404,"female",data!$B$2:$B$3404,SumTbl!G297,data!$L$2:$L$3404,"spent",data!$N$2:$N$3404,"&lt;&gt;headless")</f>
        <v>144.35849999999999</v>
      </c>
      <c r="K297" s="73">
        <f t="array" ref="K297">STDEV(IF(data!$B$2:$B$3404=G297,IF(data!$V$2:$V$3404&lt;&gt;"",IF(data!$N$2:$N$3404&lt;&gt;"headless",IF(data!$K$2:$K$3404="female",IF(data!$L$2:$L$3404="spent",data!$V$2:$V$3404))))))</f>
        <v>14.706974893322569</v>
      </c>
      <c r="L297" s="45"/>
      <c r="M297" s="114"/>
      <c r="N297" s="8"/>
      <c r="P297" s="8"/>
    </row>
    <row r="298" spans="1:17" ht="12.75" customHeight="1" x14ac:dyDescent="0.2">
      <c r="A298" s="115">
        <v>2014</v>
      </c>
      <c r="B298" s="118">
        <v>132.66666666666666</v>
      </c>
      <c r="C298" s="127" t="s">
        <v>288</v>
      </c>
      <c r="D298" s="271">
        <f>AVERAGEIFS(data!$V$2:$V$3404,data!$K$2:$K$3404,"female",data!$B$2:$B$3404,SumTbl!A298,data!$L$2:$L$3404,"gravid",data!$N$2:$N$3404,"&lt;&gt;headless")</f>
        <v>123.78000000000002</v>
      </c>
      <c r="E298" s="73">
        <f t="array" ref="E298">STDEV(IF(data!$B$2:$B$3404=A298,IF(data!$V$2:$V$3404&lt;&gt;"",IF(data!$K$2:$K$3404="female",IF(data!$L$2:$L$3404="gravid",IF(data!$N$2:$N$3404&lt;&gt;"headless",data!$V$2:$V$3404))))))</f>
        <v>7.0001499983928968</v>
      </c>
      <c r="F298" s="195" t="s">
        <v>522</v>
      </c>
      <c r="G298" s="115">
        <v>2014</v>
      </c>
      <c r="H298" s="129">
        <v>147.48780487804879</v>
      </c>
      <c r="I298" s="127" t="s">
        <v>288</v>
      </c>
      <c r="J298" s="271">
        <f>AVERAGEIFS(data!$V$2:$V$3404,data!$K$2:$K$3404,"female",data!$B$2:$B$3404,SumTbl!G298,data!$L$2:$L$3404,"spent",data!$N$2:$N$3404,"&lt;&gt;headless")</f>
        <v>137.60707317073172</v>
      </c>
      <c r="K298" s="73">
        <f t="array" ref="K298">STDEV(IF(data!$B$2:$B$3404=G298,IF(data!$V$2:$V$3404&lt;&gt;"",IF(data!$N$2:$N$3404&lt;&gt;"headless",IF(data!$K$2:$K$3404="female",IF(data!$L$2:$L$3404="spent",data!$V$2:$V$3404))))))</f>
        <v>16.109362688185648</v>
      </c>
      <c r="L298" s="45" t="s">
        <v>522</v>
      </c>
      <c r="M298" s="114"/>
      <c r="N298" s="8"/>
      <c r="P298" s="8"/>
    </row>
    <row r="299" spans="1:17" ht="12.75" customHeight="1" x14ac:dyDescent="0.2">
      <c r="A299" s="49">
        <v>2014</v>
      </c>
      <c r="B299" s="130">
        <v>128</v>
      </c>
      <c r="C299" s="127" t="s">
        <v>289</v>
      </c>
      <c r="D299" s="131">
        <v>128</v>
      </c>
      <c r="E299" s="73">
        <f t="array" ref="E299">STDEV(IF(data!$B$2:$B$3404=A299,IF(data!$H$2:$H$3404&lt;&gt;"",IF(data!$K$2:$K$3404="female",IF(data!$N$2:$N$3404&lt;&gt;"headless",IF(data!$L$2:$L$3404="gravid",data!$H$2:$H$3404))))))</f>
        <v>2.8284271247461903</v>
      </c>
      <c r="F299" s="121">
        <f>AVERAGE(D298:D299)</f>
        <v>125.89000000000001</v>
      </c>
      <c r="G299" s="49">
        <v>2014</v>
      </c>
      <c r="H299" s="126">
        <v>139.05882352941177</v>
      </c>
      <c r="I299" s="127" t="s">
        <v>289</v>
      </c>
      <c r="J299" s="132">
        <v>139.06</v>
      </c>
      <c r="K299" s="73">
        <f t="array" ref="K299">STDEV(IF(data!$B$2:$B$3404=G299,IF(data!$H$2:$H$3404&lt;&gt;"",IF(data!$N$2:$N$3404&lt;&gt;"headless",IF(data!$K$2:$K$3404="female",IF(data!$L$2:$L$3404="spent",data!$H$2:$H$3404))))))</f>
        <v>19.730910357340651</v>
      </c>
      <c r="L299" s="118">
        <f>AVERAGE(J298:J299)</f>
        <v>138.33353658536586</v>
      </c>
      <c r="M299" s="114"/>
      <c r="N299" s="8"/>
      <c r="P299" s="8"/>
    </row>
    <row r="300" spans="1:17" ht="12.75" customHeight="1" x14ac:dyDescent="0.2">
      <c r="A300" s="55">
        <v>2015</v>
      </c>
      <c r="C300" s="113"/>
      <c r="E300" s="73"/>
      <c r="F300" s="123"/>
      <c r="G300" s="55">
        <v>2015</v>
      </c>
      <c r="H300" s="133"/>
      <c r="I300" s="113"/>
      <c r="K300" s="73"/>
      <c r="L300" s="45"/>
      <c r="M300" s="114"/>
      <c r="N300" s="8"/>
      <c r="P300" s="8"/>
    </row>
    <row r="301" spans="1:17" ht="12.75" customHeight="1" x14ac:dyDescent="0.2">
      <c r="A301" s="104">
        <v>2016</v>
      </c>
      <c r="B301" s="118">
        <v>134.5</v>
      </c>
      <c r="C301" s="109" t="s">
        <v>289</v>
      </c>
      <c r="D301" s="110">
        <v>134.5</v>
      </c>
      <c r="E301" s="73">
        <f t="array" ref="E301">STDEV(IF(data!$B$2:$B$3404=A301,IF(data!$H$2:$H$3404&lt;&gt;"",IF(data!$K$2:$K$3404="female",IF(data!$N$2:$N$3404&lt;&gt;"headless",IF(data!$L$2:$L$3404="gravid",data!$H$2:$H$3404))))))</f>
        <v>12.609520212918492</v>
      </c>
      <c r="F301" s="123"/>
      <c r="G301" s="104">
        <v>2016</v>
      </c>
      <c r="H301" s="126">
        <v>141.88235294117646</v>
      </c>
      <c r="I301" s="109" t="s">
        <v>289</v>
      </c>
      <c r="J301" s="55">
        <v>141.88</v>
      </c>
      <c r="K301" s="73">
        <f t="array" ref="K301">STDEV(IF(data!$B$2:$B$3404=G301,IF(data!$H$2:$H$3404&lt;&gt;"",IF(data!$N$2:$N$3404&lt;&gt;"headless",IF(data!$K$2:$K$3404="female",IF(data!$L$2:$L$3404="spent",data!$H$2:$H$3404))))))</f>
        <v>8.0224867789013565</v>
      </c>
      <c r="L301" s="45"/>
      <c r="M301" s="114"/>
      <c r="N301" s="8"/>
      <c r="P301" s="8"/>
    </row>
    <row r="302" spans="1:17" ht="12.75" customHeight="1" x14ac:dyDescent="0.2">
      <c r="A302" s="45">
        <v>2017</v>
      </c>
      <c r="B302" s="73">
        <v>122.76344086021506</v>
      </c>
      <c r="C302" s="142" t="s">
        <v>289</v>
      </c>
      <c r="D302" s="45">
        <v>122.76</v>
      </c>
      <c r="E302" s="73">
        <f t="array" ref="E302">STDEV(IF(data!$B$2:$B$3404=A302,IF(data!$H$2:$H$3404&lt;&gt;"",IF(data!$K$2:$K$3404="female",IF(data!$N$2:$N$3404&lt;&gt;"headless",IF(data!$L$2:$L$3404="gravid",data!$H$2:$H$3404))))))</f>
        <v>13.063204351344487</v>
      </c>
      <c r="F302" s="45"/>
      <c r="G302" s="45">
        <v>2017</v>
      </c>
      <c r="H302" s="118">
        <v>126.58947368421053</v>
      </c>
      <c r="I302" s="142" t="s">
        <v>289</v>
      </c>
      <c r="J302" s="45">
        <v>126.59</v>
      </c>
      <c r="K302" s="73">
        <f t="array" ref="K302">STDEV(IF(data!$B$2:$B$3404=G302,IF(data!$H$2:$H$3404&lt;&gt;"",IF(data!$N$2:$N$3404&lt;&gt;"headless",IF(data!$K$2:$K$3404="female",IF(data!$L$2:$L$3404="spent",data!$H$2:$H$3404))))))</f>
        <v>8.2599599742075185</v>
      </c>
      <c r="L302" s="45"/>
      <c r="M302" s="114"/>
      <c r="N302" s="8"/>
      <c r="P302" s="8"/>
    </row>
    <row r="303" spans="1:17" ht="12.75" customHeight="1" x14ac:dyDescent="0.2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114"/>
      <c r="M303" s="8"/>
      <c r="O303" s="8"/>
    </row>
    <row r="304" spans="1:17" ht="12.75" customHeight="1" x14ac:dyDescent="0.2">
      <c r="E304" s="45"/>
      <c r="F304" s="45"/>
      <c r="G304" s="45"/>
      <c r="H304" s="45"/>
      <c r="I304" s="45"/>
      <c r="J304" s="45"/>
      <c r="K304" s="45"/>
      <c r="L304" s="45"/>
      <c r="M304" s="45"/>
      <c r="N304" s="114"/>
      <c r="O304" s="8"/>
      <c r="Q304" s="8"/>
    </row>
    <row r="305" spans="1:18" ht="12.75" customHeight="1" x14ac:dyDescent="0.2">
      <c r="A305" s="104" t="s">
        <v>321</v>
      </c>
      <c r="B305" s="231" t="s">
        <v>283</v>
      </c>
      <c r="C305" s="230"/>
      <c r="D305" s="55" t="s">
        <v>322</v>
      </c>
      <c r="E305" s="231" t="s">
        <v>283</v>
      </c>
      <c r="F305" s="230"/>
      <c r="G305" s="55" t="s">
        <v>323</v>
      </c>
      <c r="H305" s="231" t="s">
        <v>283</v>
      </c>
      <c r="I305" s="230"/>
      <c r="J305" s="55" t="s">
        <v>324</v>
      </c>
      <c r="K305" s="231" t="s">
        <v>283</v>
      </c>
      <c r="L305" s="230"/>
      <c r="M305" s="45"/>
      <c r="N305" s="114"/>
      <c r="O305" s="8"/>
      <c r="Q305" s="8"/>
    </row>
    <row r="306" spans="1:18" ht="12.75" customHeight="1" x14ac:dyDescent="0.2">
      <c r="A306" s="171" t="s">
        <v>1</v>
      </c>
      <c r="B306" s="231" t="s">
        <v>300</v>
      </c>
      <c r="C306" s="258" t="s">
        <v>511</v>
      </c>
      <c r="D306" s="171" t="s">
        <v>1</v>
      </c>
      <c r="E306" s="171" t="s">
        <v>301</v>
      </c>
      <c r="F306" s="233" t="s">
        <v>512</v>
      </c>
      <c r="G306" s="171" t="s">
        <v>1</v>
      </c>
      <c r="H306" s="171" t="s">
        <v>264</v>
      </c>
      <c r="I306" s="236" t="s">
        <v>520</v>
      </c>
      <c r="J306" s="171" t="s">
        <v>1</v>
      </c>
      <c r="K306" s="171" t="s">
        <v>264</v>
      </c>
      <c r="L306" s="236" t="s">
        <v>521</v>
      </c>
      <c r="M306" s="45"/>
      <c r="N306" s="45"/>
      <c r="O306" s="114"/>
      <c r="P306" s="8"/>
      <c r="R306" s="8"/>
    </row>
    <row r="307" spans="1:18" ht="12.75" customHeight="1" x14ac:dyDescent="0.2">
      <c r="A307" s="45">
        <v>1990</v>
      </c>
      <c r="B307" s="108">
        <v>12.28</v>
      </c>
      <c r="C307" s="73">
        <f t="array" ref="C307">STDEV(IF(data!$B$2:$B$3404=A307,IF(data!$I$2:$I$3404&lt;&gt;"",IF(data!$K$2:$K$3404="female",IF(data!$N$2:$N$3404&lt;&gt;"headless",data!$I$2:$I$3404)))))</f>
        <v>3.0008822232215353</v>
      </c>
      <c r="D307" s="45">
        <v>1990</v>
      </c>
      <c r="E307" s="110">
        <v>14.03</v>
      </c>
      <c r="F307" s="73">
        <f t="array" ref="F307">STDEV(IF(data!$B$2:$B$3404=D307,IF(data!$I$2:$I$3404&lt;&gt;"",IF(data!$K$2:$K$3404="male",IF(data!$N$2:$N$3404&lt;&gt;"headless",data!$I$2:$I$3404)))))</f>
        <v>3.9068316233660902</v>
      </c>
      <c r="G307" s="45">
        <v>1990</v>
      </c>
      <c r="H307" s="55">
        <v>9</v>
      </c>
      <c r="I307" s="73"/>
      <c r="J307" s="45">
        <v>1991</v>
      </c>
      <c r="K307" s="118">
        <v>15.078571428571431</v>
      </c>
      <c r="L307" s="73">
        <f t="array" ref="L307">STDEV(IF(data!$B$2:$B$3404=J307,IF(data!$I$2:$I$3404&lt;&gt;"",IF(data!$K$2:$K$3404="female",IF(data!$N$2:$N$3404&lt;&gt;"headless",IF(data!$L$2:$L$3404="spent",data!$I$2:$I$3404))))))</f>
        <v>3.3247738087155385</v>
      </c>
      <c r="M307" s="45"/>
      <c r="N307" s="45"/>
      <c r="O307" s="114"/>
      <c r="P307" s="8"/>
      <c r="R307" s="8"/>
    </row>
    <row r="308" spans="1:18" ht="12.75" customHeight="1" x14ac:dyDescent="0.2">
      <c r="A308" s="45">
        <v>1991</v>
      </c>
      <c r="B308" s="77">
        <v>18.260000000000002</v>
      </c>
      <c r="C308" s="73">
        <f t="array" ref="C308">STDEV(IF(data!$B$2:$B$3404=A308,IF(data!$I$2:$I$3404&lt;&gt;"",IF(data!$K$2:$K$3404="female",IF(data!$N$2:$N$3404&lt;&gt;"headless",data!$I$2:$I$3404)))))</f>
        <v>4.7394627461883374</v>
      </c>
      <c r="D308" s="45">
        <v>1992</v>
      </c>
      <c r="E308" s="110">
        <v>21.13</v>
      </c>
      <c r="F308" s="73">
        <f t="array" ref="F308">STDEV(IF(data!$B$2:$B$3404=D308,IF(data!$I$2:$I$3404&lt;&gt;"",IF(data!$K$2:$K$3404="male",IF(data!$N$2:$N$3404&lt;&gt;"headless",data!$I$2:$I$3404)))))</f>
        <v>2.9649058444858869</v>
      </c>
      <c r="G308" s="45">
        <v>1991</v>
      </c>
      <c r="H308" s="118">
        <v>21.684615384615384</v>
      </c>
      <c r="I308" s="73">
        <f t="array" ref="I308">STDEV(IF(data!$B$2:$B$3404=G308,IF(data!$I$2:$I$3404&lt;&gt;"",IF(data!$K$2:$K$3404="female",IF(data!$N$2:$N$3404&lt;&gt;"headless",IF(data!$L$2:$L$3404="gravid",data!$I$2:$I$3404))))))</f>
        <v>3.4899489379851558</v>
      </c>
      <c r="J308" s="45">
        <v>1992</v>
      </c>
      <c r="K308" s="118">
        <v>10.5625</v>
      </c>
      <c r="L308" s="73">
        <f t="array" ref="L308">STDEV(IF(data!$B$2:$B$3404=J308,IF(data!$I$2:$I$3404&lt;&gt;"",IF(data!$K$2:$K$3404="female",IF(data!$N$2:$N$3404&lt;&gt;"headless",IF(data!$L$2:$L$3404="spent",data!$I$2:$I$3404))))))</f>
        <v>2.6912225050018765</v>
      </c>
      <c r="M308" s="45"/>
      <c r="N308" s="45"/>
      <c r="O308" s="114"/>
      <c r="P308" s="8"/>
      <c r="R308" s="8"/>
    </row>
    <row r="309" spans="1:18" ht="12.75" customHeight="1" x14ac:dyDescent="0.2">
      <c r="A309" s="45">
        <v>1992</v>
      </c>
      <c r="B309" s="77">
        <v>14.03</v>
      </c>
      <c r="C309" s="73">
        <f t="array" ref="C309">STDEV(IF(data!$B$2:$B$3404=A309,IF(data!$I$2:$I$3404&lt;&gt;"",IF(data!$K$2:$K$3404="female",IF(data!$N$2:$N$3404&lt;&gt;"headless",data!$I$2:$I$3404)))))</f>
        <v>3.7965684557024426</v>
      </c>
      <c r="D309" s="45">
        <v>1993</v>
      </c>
      <c r="E309" s="110">
        <v>21.46</v>
      </c>
      <c r="F309" s="73">
        <f t="array" ref="F309">STDEV(IF(data!$B$2:$B$3404=D309,IF(data!$I$2:$I$3404&lt;&gt;"",IF(data!$K$2:$K$3404="male",IF(data!$N$2:$N$3404&lt;&gt;"headless",data!$I$2:$I$3404)))))</f>
        <v>3.0590485085689236</v>
      </c>
      <c r="G309" s="45">
        <v>1992</v>
      </c>
      <c r="H309" s="118">
        <v>14.313541666666671</v>
      </c>
      <c r="I309" s="73">
        <f t="array" ref="I309">STDEV(IF(data!$B$2:$B$3404=G309,IF(data!$I$2:$I$3404&lt;&gt;"",IF(data!$K$2:$K$3404="female",IF(data!$N$2:$N$3404&lt;&gt;"headless",IF(data!$L$2:$L$3404="gravid",data!$I$2:$I$3404))))))</f>
        <v>3.7417029557103807</v>
      </c>
      <c r="J309" s="45">
        <v>1993</v>
      </c>
      <c r="K309" s="118">
        <v>12.68</v>
      </c>
      <c r="L309" s="73">
        <f t="array" ref="L309">STDEV(IF(data!$B$2:$B$3404=J309,IF(data!$I$2:$I$3404&lt;&gt;"",IF(data!$K$2:$K$3404="female",IF(data!$N$2:$N$3404&lt;&gt;"headless",IF(data!$L$2:$L$3404="spent",data!$I$2:$I$3404))))))</f>
        <v>3.9046411131142653</v>
      </c>
      <c r="M309" s="45"/>
      <c r="N309" s="45"/>
      <c r="O309" s="114"/>
      <c r="P309" s="8"/>
      <c r="R309" s="8"/>
    </row>
    <row r="310" spans="1:18" ht="12.75" customHeight="1" x14ac:dyDescent="0.2">
      <c r="A310" s="45">
        <v>1993</v>
      </c>
      <c r="B310" s="77">
        <v>15.18</v>
      </c>
      <c r="C310" s="73">
        <f t="array" ref="C310">STDEV(IF(data!$B$2:$B$3404=A310,IF(data!$I$2:$I$3404&lt;&gt;"",IF(data!$K$2:$K$3404="female",IF(data!$N$2:$N$3404&lt;&gt;"headless",data!$I$2:$I$3404)))))</f>
        <v>3.070153860907388</v>
      </c>
      <c r="D310" s="45">
        <v>1994</v>
      </c>
      <c r="E310" s="110">
        <v>20.75</v>
      </c>
      <c r="F310" s="73">
        <f t="array" ref="F310">STDEV(IF(data!$B$2:$B$3404=D310,IF(data!$I$2:$I$3404&lt;&gt;"",IF(data!$K$2:$K$3404="male",IF(data!$N$2:$N$3404&lt;&gt;"headless",data!$I$2:$I$3404)))))</f>
        <v>4.0218155104380413</v>
      </c>
      <c r="G310" s="45">
        <v>1993</v>
      </c>
      <c r="H310" s="118">
        <v>15.465909090909092</v>
      </c>
      <c r="I310" s="73">
        <f t="array" ref="I310">STDEV(IF(data!$B$2:$B$3404=G310,IF(data!$I$2:$I$3404&lt;&gt;"",IF(data!$K$2:$K$3404="female",IF(data!$N$2:$N$3404&lt;&gt;"headless",IF(data!$L$2:$L$3404="gravid",data!$I$2:$I$3404))))))</f>
        <v>2.8514923039448457</v>
      </c>
      <c r="J310" s="45">
        <v>1994</v>
      </c>
      <c r="K310" s="73">
        <v>11.574999999999999</v>
      </c>
      <c r="L310" s="73">
        <f t="array" ref="L310">STDEV(IF(data!$B$2:$B$3404=J310,IF(data!$I$2:$I$3404&lt;&gt;"",IF(data!$K$2:$K$3404="female",IF(data!$N$2:$N$3404&lt;&gt;"headless",IF(data!$L$2:$L$3404="spent",data!$I$2:$I$3404))))))</f>
        <v>3.5884072604244217</v>
      </c>
      <c r="M310" s="45"/>
      <c r="N310" s="45"/>
      <c r="O310" s="114"/>
      <c r="P310" s="8"/>
      <c r="R310" s="8"/>
    </row>
    <row r="311" spans="1:18" ht="12.75" customHeight="1" x14ac:dyDescent="0.2">
      <c r="A311" s="45">
        <v>1994</v>
      </c>
      <c r="B311" s="77">
        <v>12.43</v>
      </c>
      <c r="C311" s="73">
        <f t="array" ref="C311">STDEV(IF(data!$B$2:$B$3404=A311,IF(data!$I$2:$I$3404&lt;&gt;"",IF(data!$K$2:$K$3404="female",IF(data!$N$2:$N$3404&lt;&gt;"headless",data!$I$2:$I$3404)))))</f>
        <v>3.9009372291758035</v>
      </c>
      <c r="D311" s="45">
        <v>1995</v>
      </c>
      <c r="E311" s="110">
        <v>17.87</v>
      </c>
      <c r="F311" s="73">
        <f t="array" ref="F311">STDEV(IF(data!$B$2:$B$3404=D311,IF(data!$I$2:$I$3404&lt;&gt;"",IF(data!$K$2:$K$3404="male",IF(data!$N$2:$N$3404&lt;&gt;"headless",data!$I$2:$I$3404)))))</f>
        <v>2.9021256577435315</v>
      </c>
      <c r="G311" s="45">
        <v>1994</v>
      </c>
      <c r="H311" s="73">
        <v>13.836363636363638</v>
      </c>
      <c r="I311" s="73">
        <f t="array" ref="I311">STDEV(IF(data!$B$2:$B$3404=G311,IF(data!$I$2:$I$3404&lt;&gt;"",IF(data!$K$2:$K$3404="female",IF(data!$N$2:$N$3404&lt;&gt;"headless",IF(data!$L$2:$L$3404="gravid",data!$I$2:$I$3404))))))</f>
        <v>3.7335729669536426</v>
      </c>
      <c r="J311" s="45">
        <v>1995</v>
      </c>
      <c r="K311" s="73">
        <v>11.446153846153845</v>
      </c>
      <c r="L311" s="73">
        <f t="array" ref="L311">STDEV(IF(data!$B$2:$B$3404=J311,IF(data!$I$2:$I$3404&lt;&gt;"",IF(data!$K$2:$K$3404="female",IF(data!$N$2:$N$3404&lt;&gt;"headless",IF(data!$L$2:$L$3404="spent",data!$I$2:$I$3404))))))</f>
        <v>2.8494488895853189</v>
      </c>
      <c r="M311" s="45"/>
      <c r="N311" s="45"/>
      <c r="O311" s="114"/>
      <c r="P311" s="8"/>
      <c r="R311" s="8"/>
    </row>
    <row r="312" spans="1:18" ht="12.75" customHeight="1" x14ac:dyDescent="0.2">
      <c r="A312" s="45">
        <v>1995</v>
      </c>
      <c r="B312" s="77">
        <v>12.54</v>
      </c>
      <c r="C312" s="73">
        <f t="array" ref="C312">STDEV(IF(data!$B$2:$B$3404=A312,IF(data!$I$2:$I$3404&lt;&gt;"",IF(data!$K$2:$K$3404="female",IF(data!$N$2:$N$3404&lt;&gt;"headless",data!$I$2:$I$3404)))))</f>
        <v>3.0628591202964408</v>
      </c>
      <c r="D312" s="45">
        <v>1996</v>
      </c>
      <c r="E312" s="110">
        <v>21</v>
      </c>
      <c r="F312" s="73"/>
      <c r="G312" s="45">
        <v>1995</v>
      </c>
      <c r="H312" s="73">
        <v>12.897959183673478</v>
      </c>
      <c r="I312" s="73">
        <f t="array" ref="I312">STDEV(IF(data!$B$2:$B$3404=G312,IF(data!$I$2:$I$3404&lt;&gt;"",IF(data!$K$2:$K$3404="female",IF(data!$N$2:$N$3404&lt;&gt;"headless",IF(data!$L$2:$L$3404="gravid",data!$I$2:$I$3404))))))</f>
        <v>3.0636640506043933</v>
      </c>
      <c r="J312" s="45">
        <v>1996</v>
      </c>
      <c r="K312" s="118">
        <v>12.233333333333333</v>
      </c>
      <c r="L312" s="73">
        <f t="array" ref="L312">STDEV(IF(data!$B$2:$B$3404=J312,IF(data!$I$2:$I$3404&lt;&gt;"",IF(data!$K$2:$K$3404="female",IF(data!$N$2:$N$3404&lt;&gt;"headless",IF(data!$L$2:$L$3404="spent",data!$I$2:$I$3404))))))</f>
        <v>2.3611437906235198</v>
      </c>
      <c r="M312" s="45"/>
      <c r="N312" s="45"/>
      <c r="O312" s="114"/>
      <c r="P312" s="8"/>
      <c r="R312" s="8"/>
    </row>
    <row r="313" spans="1:18" ht="12.75" customHeight="1" x14ac:dyDescent="0.2">
      <c r="A313" s="45">
        <v>1996</v>
      </c>
      <c r="B313" s="77">
        <v>12.64</v>
      </c>
      <c r="C313" s="73">
        <f t="array" ref="C313">STDEV(IF(data!$B$2:$B$3404=A313,IF(data!$I$2:$I$3404&lt;&gt;"",IF(data!$K$2:$K$3404="female",IF(data!$N$2:$N$3404&lt;&gt;"headless",data!$I$2:$I$3404)))))</f>
        <v>2.8448153350929739</v>
      </c>
      <c r="D313" s="45">
        <v>1997</v>
      </c>
      <c r="E313" s="110">
        <v>18.64</v>
      </c>
      <c r="F313" s="73">
        <f t="array" ref="F313">STDEV(IF(data!$B$2:$B$3404=D313,IF(data!$I$2:$I$3404&lt;&gt;"",IF(data!$K$2:$K$3404="male",IF(data!$N$2:$N$3404&lt;&gt;"headless",data!$I$2:$I$3404)))))</f>
        <v>4.875062437162601</v>
      </c>
      <c r="G313" s="45">
        <v>1996</v>
      </c>
      <c r="H313" s="118">
        <v>18.666666666666668</v>
      </c>
      <c r="I313" s="73">
        <f t="array" ref="I313">STDEV(IF(data!$B$2:$B$3404=G313,IF(data!$I$2:$I$3404&lt;&gt;"",IF(data!$K$2:$K$3404="female",IF(data!$N$2:$N$3404&lt;&gt;"headless",IF(data!$L$2:$L$3404="gravid",data!$I$2:$I$3404))))))</f>
        <v>3.0550504633038997</v>
      </c>
      <c r="J313" s="45">
        <v>1997</v>
      </c>
      <c r="K313" s="118">
        <v>9.63170731707317</v>
      </c>
      <c r="L313" s="73">
        <f t="array" ref="L313">STDEV(IF(data!$B$2:$B$3404=J313,IF(data!$I$2:$I$3404&lt;&gt;"",IF(data!$K$2:$K$3404="female",IF(data!$N$2:$N$3404&lt;&gt;"headless",IF(data!$L$2:$L$3404="spent",data!$I$2:$I$3404))))))</f>
        <v>2.5785111037564166</v>
      </c>
      <c r="M313" s="45"/>
      <c r="N313" s="45"/>
      <c r="O313" s="114"/>
      <c r="P313" s="8"/>
      <c r="R313" s="8"/>
    </row>
    <row r="314" spans="1:18" ht="12.75" customHeight="1" x14ac:dyDescent="0.2">
      <c r="A314" s="45">
        <v>1997</v>
      </c>
      <c r="B314" s="77">
        <v>12.28</v>
      </c>
      <c r="C314" s="73">
        <f t="array" ref="C314">STDEV(IF(data!$B$2:$B$3404=A314,IF(data!$I$2:$I$3404&lt;&gt;"",IF(data!$K$2:$K$3404="female",IF(data!$N$2:$N$3404&lt;&gt;"headless",data!$I$2:$I$3404)))))</f>
        <v>3.9459657944802395</v>
      </c>
      <c r="D314" s="45">
        <v>1998</v>
      </c>
      <c r="E314" s="110">
        <v>13.9</v>
      </c>
      <c r="F314" s="73">
        <f t="array" ref="F314">STDEV(IF(data!$B$2:$B$3404=D314,IF(data!$I$2:$I$3404&lt;&gt;"",IF(data!$K$2:$K$3404="male",IF(data!$N$2:$N$3404&lt;&gt;"headless",data!$I$2:$I$3404)))))</f>
        <v>3.732291521304298</v>
      </c>
      <c r="G314" s="45">
        <v>1997</v>
      </c>
      <c r="H314" s="118">
        <v>12.969473684210525</v>
      </c>
      <c r="I314" s="73">
        <f t="array" ref="I314">STDEV(IF(data!$B$2:$B$3404=G314,IF(data!$I$2:$I$3404&lt;&gt;"",IF(data!$K$2:$K$3404="female",IF(data!$N$2:$N$3404&lt;&gt;"headless",IF(data!$L$2:$L$3404="gravid",data!$I$2:$I$3404))))))</f>
        <v>3.905187804065017</v>
      </c>
      <c r="J314" s="45">
        <v>1998</v>
      </c>
      <c r="K314" s="118">
        <v>12.559375000000001</v>
      </c>
      <c r="L314" s="73">
        <f t="array" ref="L314">STDEV(IF(data!$B$2:$B$3404=J314,IF(data!$I$2:$I$3404&lt;&gt;"",IF(data!$K$2:$K$3404="female",IF(data!$N$2:$N$3404&lt;&gt;"headless",IF(data!$L$2:$L$3404="spent",data!$I$2:$I$3404))))))</f>
        <v>3.355386557702841</v>
      </c>
      <c r="M314" s="45"/>
      <c r="N314" s="45"/>
      <c r="O314" s="114"/>
      <c r="P314" s="8"/>
      <c r="R314" s="8"/>
    </row>
    <row r="315" spans="1:18" ht="12.75" customHeight="1" x14ac:dyDescent="0.2">
      <c r="A315" s="45">
        <v>1998</v>
      </c>
      <c r="B315" s="77">
        <v>11.72</v>
      </c>
      <c r="C315" s="73">
        <f t="array" ref="C315">STDEV(IF(data!$B$2:$B$3404=A315,IF(data!$I$2:$I$3404&lt;&gt;"",IF(data!$K$2:$K$3404="female",IF(data!$N$2:$N$3404&lt;&gt;"headless",data!$I$2:$I$3404)))))</f>
        <v>3.1833341266062805</v>
      </c>
      <c r="D315" s="45">
        <v>2000</v>
      </c>
      <c r="E315" s="110">
        <v>18.5</v>
      </c>
      <c r="F315" s="73">
        <f t="array" ref="F315">STDEV(IF(data!$B$2:$B$3404=D315,IF(data!$I$2:$I$3404&lt;&gt;"",IF(data!$K$2:$K$3404="male",IF(data!$N$2:$N$3404&lt;&gt;"headless",data!$I$2:$I$3404)))))</f>
        <v>2.1213203435596424</v>
      </c>
      <c r="G315" s="45">
        <v>1998</v>
      </c>
      <c r="H315" s="118">
        <v>11.607142857142858</v>
      </c>
      <c r="I315" s="73">
        <f t="array" ref="I315">STDEV(IF(data!$B$2:$B$3404=G315,IF(data!$I$2:$I$3404&lt;&gt;"",IF(data!$K$2:$K$3404="female",IF(data!$N$2:$N$3404&lt;&gt;"headless",IF(data!$L$2:$L$3404="gravid",data!$I$2:$I$3404))))))</f>
        <v>2.0730743746034213</v>
      </c>
      <c r="J315" s="45">
        <v>1999</v>
      </c>
      <c r="K315" s="118">
        <v>13.108108108108109</v>
      </c>
      <c r="L315" s="73">
        <f t="array" ref="L315">STDEV(IF(data!$B$2:$B$3404=J315,IF(data!$I$2:$I$3404&lt;&gt;"",IF(data!$K$2:$K$3404="female",IF(data!$N$2:$N$3404&lt;&gt;"headless",IF(data!$L$2:$L$3404="spent",data!$I$2:$I$3404))))))</f>
        <v>3.7400518696921821</v>
      </c>
      <c r="M315" s="45"/>
      <c r="N315" s="45"/>
      <c r="O315" s="114"/>
      <c r="P315" s="8"/>
      <c r="R315" s="8"/>
    </row>
    <row r="316" spans="1:18" ht="12.75" customHeight="1" x14ac:dyDescent="0.2">
      <c r="A316" s="45">
        <v>1999</v>
      </c>
      <c r="B316" s="77">
        <v>13.23</v>
      </c>
      <c r="C316" s="73">
        <f t="array" ref="C316">STDEV(IF(data!$B$2:$B$3404=A316,IF(data!$I$2:$I$3404&lt;&gt;"",IF(data!$K$2:$K$3404="female",IF(data!$N$2:$N$3404&lt;&gt;"headless",data!$I$2:$I$3404)))))</f>
        <v>3.7697962327377379</v>
      </c>
      <c r="D316" s="45">
        <v>2001</v>
      </c>
      <c r="E316" s="110">
        <v>19.5</v>
      </c>
      <c r="F316" s="73"/>
      <c r="G316" s="45">
        <v>1999</v>
      </c>
      <c r="H316" s="118">
        <v>14.25</v>
      </c>
      <c r="I316" s="73">
        <f t="array" ref="I316">STDEV(IF(data!$B$2:$B$3404=G316,IF(data!$I$2:$I$3404&lt;&gt;"",IF(data!$K$2:$K$3404="female",IF(data!$N$2:$N$3404&lt;&gt;"headless",IF(data!$L$2:$L$3404="gravid",data!$I$2:$I$3404))))))</f>
        <v>4.1138919702463195</v>
      </c>
      <c r="J316" s="45">
        <v>2000</v>
      </c>
      <c r="K316" s="118">
        <v>13.07894736842105</v>
      </c>
      <c r="L316" s="73">
        <f t="array" ref="L316">STDEV(IF(data!$B$2:$B$3404=J316,IF(data!$I$2:$I$3404&lt;&gt;"",IF(data!$K$2:$K$3404="female",IF(data!$N$2:$N$3404&lt;&gt;"headless",IF(data!$L$2:$L$3404="spent",data!$I$2:$I$3404))))))</f>
        <v>3.5764532072794908</v>
      </c>
      <c r="M316" s="45"/>
      <c r="N316" s="45"/>
      <c r="O316" s="114"/>
      <c r="P316" s="8"/>
      <c r="R316" s="8"/>
    </row>
    <row r="317" spans="1:18" ht="12.75" customHeight="1" x14ac:dyDescent="0.2">
      <c r="A317" s="45">
        <v>2000</v>
      </c>
      <c r="B317" s="77">
        <v>12.96</v>
      </c>
      <c r="C317" s="73">
        <f t="array" ref="C317">STDEV(IF(data!$B$2:$B$3404=A317,IF(data!$I$2:$I$3404&lt;&gt;"",IF(data!$K$2:$K$3404="female",IF(data!$N$2:$N$3404&lt;&gt;"headless",data!$I$2:$I$3404)))))</f>
        <v>3.6231006961066901</v>
      </c>
      <c r="D317" s="45">
        <v>2002</v>
      </c>
      <c r="E317" s="110">
        <v>17.940000000000001</v>
      </c>
      <c r="F317" s="73">
        <f t="array" ref="F317">STDEV(IF(data!$B$2:$B$3404=D317,IF(data!$I$2:$I$3404&lt;&gt;"",IF(data!$K$2:$K$3404="male",IF(data!$N$2:$N$3404&lt;&gt;"headless",data!$I$2:$I$3404)))))</f>
        <v>4.109548984638443</v>
      </c>
      <c r="G317" s="45">
        <v>2000</v>
      </c>
      <c r="H317" s="118">
        <v>15.333333333333334</v>
      </c>
      <c r="I317" s="73">
        <f t="array" ref="I317">STDEV(IF(data!$B$2:$B$3404=G317,IF(data!$I$2:$I$3404&lt;&gt;"",IF(data!$K$2:$K$3404="female",IF(data!$N$2:$N$3404&lt;&gt;"headless",IF(data!$L$2:$L$3404="gravid",data!$I$2:$I$3404))))))</f>
        <v>3.6855573979159941</v>
      </c>
      <c r="J317" s="45">
        <v>2001</v>
      </c>
      <c r="K317" s="118">
        <v>12.385714285714286</v>
      </c>
      <c r="L317" s="73">
        <f t="array" ref="L317">STDEV(IF(data!$B$2:$B$3404=J317,IF(data!$I$2:$I$3404&lt;&gt;"",IF(data!$K$2:$K$3404="female",IF(data!$N$2:$N$3404&lt;&gt;"headless",IF(data!$L$2:$L$3404="spent",data!$I$2:$I$3404))))))</f>
        <v>3.3200439020270789</v>
      </c>
      <c r="M317" s="45"/>
      <c r="N317" s="45"/>
      <c r="O317" s="114"/>
      <c r="P317" s="8"/>
      <c r="R317" s="8"/>
    </row>
    <row r="318" spans="1:18" ht="12.75" customHeight="1" x14ac:dyDescent="0.2">
      <c r="A318" s="45">
        <v>2001</v>
      </c>
      <c r="B318" s="77">
        <v>12.73</v>
      </c>
      <c r="C318" s="73">
        <f t="array" ref="C318">STDEV(IF(data!$B$2:$B$3404=A318,IF(data!$I$2:$I$3404&lt;&gt;"",IF(data!$K$2:$K$3404="female",IF(data!$N$2:$N$3404&lt;&gt;"headless",data!$I$2:$I$3404)))))</f>
        <v>3.3480455864375478</v>
      </c>
      <c r="D318" s="45">
        <v>2003</v>
      </c>
      <c r="E318" s="110">
        <v>19.36</v>
      </c>
      <c r="F318" s="73">
        <f t="array" ref="F318">STDEV(IF(data!$B$2:$B$3404=D318,IF(data!$I$2:$I$3404&lt;&gt;"",IF(data!$K$2:$K$3404="male",IF(data!$N$2:$N$3404&lt;&gt;"headless",data!$I$2:$I$3404)))))</f>
        <v>3.5809216690679002</v>
      </c>
      <c r="G318" s="45">
        <v>2001</v>
      </c>
      <c r="H318" s="118">
        <v>14.129411764705882</v>
      </c>
      <c r="I318" s="73">
        <f t="array" ref="I318">STDEV(IF(data!$B$2:$B$3404=G318,IF(data!$I$2:$I$3404&lt;&gt;"",IF(data!$K$2:$K$3404="female",IF(data!$N$2:$N$3404&lt;&gt;"headless",IF(data!$L$2:$L$3404="gravid",data!$I$2:$I$3404))))))</f>
        <v>3.1805590518575424</v>
      </c>
      <c r="J318" s="45">
        <v>2002</v>
      </c>
      <c r="K318" s="118">
        <v>12.16</v>
      </c>
      <c r="L318" s="73">
        <f t="array" ref="L318">STDEV(IF(data!$B$2:$B$3404=J318,IF(data!$I$2:$I$3404&lt;&gt;"",IF(data!$K$2:$K$3404="female",IF(data!$N$2:$N$3404&lt;&gt;"headless",IF(data!$L$2:$L$3404="spent",data!$I$2:$I$3404))))))</f>
        <v>3.5831437201037466</v>
      </c>
      <c r="M318" s="45"/>
      <c r="N318" s="45"/>
      <c r="O318" s="114"/>
      <c r="P318" s="8"/>
      <c r="R318" s="8"/>
    </row>
    <row r="319" spans="1:18" ht="12.75" customHeight="1" x14ac:dyDescent="0.2">
      <c r="A319" s="45">
        <v>2002</v>
      </c>
      <c r="B319" s="77">
        <v>12.23</v>
      </c>
      <c r="C319" s="73">
        <f t="array" ref="C319">STDEV(IF(data!$B$2:$B$3404=A319,IF(data!$I$2:$I$3404&lt;&gt;"",IF(data!$K$2:$K$3404="female",IF(data!$N$2:$N$3404&lt;&gt;"headless",data!$I$2:$I$3404)))))</f>
        <v>3.5757838782903799</v>
      </c>
      <c r="D319" s="45">
        <v>2004</v>
      </c>
      <c r="E319" s="110">
        <v>24</v>
      </c>
      <c r="F319" s="73"/>
      <c r="G319" s="45">
        <v>2002</v>
      </c>
      <c r="H319" s="118">
        <v>12.625</v>
      </c>
      <c r="I319" s="73">
        <f t="array" ref="I319">STDEV(IF(data!$B$2:$B$3404=G319,IF(data!$I$2:$I$3404&lt;&gt;"",IF(data!$K$2:$K$3404="female",IF(data!$N$2:$N$3404&lt;&gt;"headless",IF(data!$L$2:$L$3404="gravid",data!$I$2:$I$3404))))))</f>
        <v>3.3973957643757049</v>
      </c>
      <c r="J319" s="45">
        <v>2003</v>
      </c>
      <c r="K319" s="118">
        <v>10.653846153846153</v>
      </c>
      <c r="L319" s="73">
        <f t="array" ref="L319">STDEV(IF(data!$B$2:$B$3404=J319,IF(data!$I$2:$I$3404&lt;&gt;"",IF(data!$K$2:$K$3404="female",IF(data!$N$2:$N$3404&lt;&gt;"headless",IF(data!$L$2:$L$3404="spent",data!$I$2:$I$3404))))))</f>
        <v>2.1446116138730034</v>
      </c>
      <c r="M319" s="45"/>
      <c r="N319" s="45"/>
      <c r="O319" s="114"/>
      <c r="P319" s="8"/>
      <c r="R319" s="8"/>
    </row>
    <row r="320" spans="1:18" ht="12.75" customHeight="1" x14ac:dyDescent="0.2">
      <c r="A320" s="45">
        <v>2003</v>
      </c>
      <c r="B320" s="77">
        <v>12.98</v>
      </c>
      <c r="C320" s="73">
        <f t="array" ref="C320">STDEV(IF(data!$B$2:$B$3404=A320,IF(data!$I$2:$I$3404&lt;&gt;"",IF(data!$K$2:$K$3404="female",IF(data!$N$2:$N$3404&lt;&gt;"headless",data!$I$2:$I$3404)))))</f>
        <v>3.2701549689016498</v>
      </c>
      <c r="D320" s="45">
        <v>2005</v>
      </c>
      <c r="E320" s="110">
        <v>12.97</v>
      </c>
      <c r="F320" s="73">
        <f t="array" ref="F320">STDEV(IF(data!$B$2:$B$3404=D320,IF(data!$I$2:$I$3404&lt;&gt;"",IF(data!$K$2:$K$3404="male",IF(data!$N$2:$N$3404&lt;&gt;"headless",data!$I$2:$I$3404)))))</f>
        <v>5.8054572027819953</v>
      </c>
      <c r="G320" s="45">
        <v>2003</v>
      </c>
      <c r="H320" s="118">
        <v>13.534545454545453</v>
      </c>
      <c r="I320" s="73">
        <f t="array" ref="I320">STDEV(IF(data!$B$2:$B$3404=G320,IF(data!$I$2:$I$3404&lt;&gt;"",IF(data!$K$2:$K$3404="female",IF(data!$N$2:$N$3404&lt;&gt;"headless",IF(data!$L$2:$L$3404="gravid",data!$I$2:$I$3404))))))</f>
        <v>3.2604372679828044</v>
      </c>
      <c r="J320" s="45">
        <v>2004</v>
      </c>
      <c r="K320" s="118">
        <v>12.558823529411766</v>
      </c>
      <c r="L320" s="73">
        <f t="array" ref="L320">STDEV(IF(data!$B$2:$B$3404=J320,IF(data!$I$2:$I$3404&lt;&gt;"",IF(data!$K$2:$K$3404="female",IF(data!$N$2:$N$3404&lt;&gt;"headless",IF(data!$L$2:$L$3404="spent",data!$I$2:$I$3404))))))</f>
        <v>2.9062812300662206</v>
      </c>
      <c r="M320" s="45"/>
      <c r="N320" s="45"/>
      <c r="O320" s="114"/>
      <c r="P320" s="8"/>
      <c r="R320" s="8"/>
    </row>
    <row r="321" spans="1:18" ht="12.75" customHeight="1" x14ac:dyDescent="0.2">
      <c r="A321" s="45">
        <v>2004</v>
      </c>
      <c r="B321" s="77">
        <v>12.28</v>
      </c>
      <c r="C321" s="73">
        <f t="array" ref="C321">STDEV(IF(data!$B$2:$B$3404=A321,IF(data!$I$2:$I$3404&lt;&gt;"",IF(data!$K$2:$K$3404="female",IF(data!$N$2:$N$3404&lt;&gt;"headless",data!$I$2:$I$3404)))))</f>
        <v>2.7522375416455112</v>
      </c>
      <c r="D321" s="45">
        <v>2006</v>
      </c>
      <c r="E321" s="110">
        <v>19.8</v>
      </c>
      <c r="F321" s="73"/>
      <c r="G321" s="45">
        <v>2004</v>
      </c>
      <c r="H321" s="118">
        <v>11.874285714285714</v>
      </c>
      <c r="I321" s="73">
        <f t="array" ref="I321">STDEV(IF(data!$B$2:$B$3404=G321,IF(data!$I$2:$I$3404&lt;&gt;"",IF(data!$K$2:$K$3404="female",IF(data!$N$2:$N$3404&lt;&gt;"headless",IF(data!$L$2:$L$3404="gravid",data!$I$2:$I$3404))))))</f>
        <v>2.636769732428061</v>
      </c>
      <c r="J321" s="45">
        <v>2005</v>
      </c>
      <c r="K321" s="118">
        <v>10.279032258064515</v>
      </c>
      <c r="L321" s="73">
        <f t="array" ref="L321">STDEV(IF(data!$B$2:$B$3404=J321,IF(data!$I$2:$I$3404&lt;&gt;"",IF(data!$K$2:$K$3404="female",IF(data!$N$2:$N$3404&lt;&gt;"headless",IF(data!$L$2:$L$3404="spent",data!$I$2:$I$3404))))))</f>
        <v>2.8250714249943147</v>
      </c>
      <c r="M321" s="45"/>
      <c r="N321" s="45"/>
      <c r="O321" s="114"/>
      <c r="P321" s="8"/>
      <c r="R321" s="8"/>
    </row>
    <row r="322" spans="1:18" ht="12.75" customHeight="1" x14ac:dyDescent="0.2">
      <c r="A322" s="45">
        <v>2005</v>
      </c>
      <c r="B322" s="77">
        <v>9.98</v>
      </c>
      <c r="C322" s="73">
        <f t="array" ref="C322">STDEV(IF(data!$B$2:$B$3404=A322,IF(data!$I$2:$I$3404&lt;&gt;"",IF(data!$K$2:$K$3404="female",IF(data!$N$2:$N$3404&lt;&gt;"headless",data!$I$2:$I$3404)))))</f>
        <v>2.7990432550327848</v>
      </c>
      <c r="D322" s="45">
        <v>2007</v>
      </c>
      <c r="E322" s="110">
        <v>21.5</v>
      </c>
      <c r="F322" s="73"/>
      <c r="G322" s="45">
        <v>2005</v>
      </c>
      <c r="H322" s="118">
        <v>10.64</v>
      </c>
      <c r="I322" s="73">
        <f t="array" ref="I322">STDEV(IF(data!$B$2:$B$3404=G322,IF(data!$I$2:$I$3404&lt;&gt;"",IF(data!$K$2:$K$3404="female",IF(data!$N$2:$N$3404&lt;&gt;"headless",IF(data!$L$2:$L$3404="gravid",data!$I$2:$I$3404))))))</f>
        <v>3.169858040985432</v>
      </c>
      <c r="J322" s="45">
        <v>2006</v>
      </c>
      <c r="K322" s="118">
        <v>9.447058823529412</v>
      </c>
      <c r="L322" s="73">
        <f t="array" ref="L322">STDEV(IF(data!$B$2:$B$3404=J322,IF(data!$I$2:$I$3404&lt;&gt;"",IF(data!$K$2:$K$3404="female",IF(data!$N$2:$N$3404&lt;&gt;"headless",IF(data!$L$2:$L$3404="spent",data!$I$2:$I$3404))))))</f>
        <v>2.4362157250177057</v>
      </c>
      <c r="M322" s="45"/>
      <c r="N322" s="45"/>
      <c r="O322" s="114"/>
      <c r="P322" s="8"/>
      <c r="R322" s="8"/>
    </row>
    <row r="323" spans="1:18" ht="12.75" customHeight="1" x14ac:dyDescent="0.2">
      <c r="A323" s="45">
        <v>2006</v>
      </c>
      <c r="B323" s="77">
        <v>9.17</v>
      </c>
      <c r="C323" s="73">
        <f t="array" ref="C323">STDEV(IF(data!$B$2:$B$3404=A323,IF(data!$I$2:$I$3404&lt;&gt;"",IF(data!$K$2:$K$3404="female",IF(data!$N$2:$N$3404&lt;&gt;"headless",data!$I$2:$I$3404)))))</f>
        <v>2.5536918579310131</v>
      </c>
      <c r="D323" s="45">
        <v>2010</v>
      </c>
      <c r="E323" s="110">
        <v>22.5</v>
      </c>
      <c r="F323" s="73">
        <f t="array" ref="F323">STDEV(IF(data!$B$2:$B$3404=D323,IF(data!$I$2:$I$3404&lt;&gt;"",IF(data!$K$2:$K$3404="male",IF(data!$N$2:$N$3404&lt;&gt;"headless",data!$I$2:$I$3404)))))</f>
        <v>1.7320508075688772</v>
      </c>
      <c r="G323" s="45">
        <v>2006</v>
      </c>
      <c r="H323" s="118">
        <v>11.2</v>
      </c>
      <c r="I323" s="73"/>
      <c r="J323" s="45">
        <v>2007</v>
      </c>
      <c r="K323" s="118">
        <v>12.382142857142858</v>
      </c>
      <c r="L323" s="73">
        <f t="array" ref="L323">STDEV(IF(data!$B$2:$B$3404=J323,IF(data!$I$2:$I$3404&lt;&gt;"",IF(data!$K$2:$K$3404="female",IF(data!$N$2:$N$3404&lt;&gt;"headless",IF(data!$L$2:$L$3404="spent",data!$I$2:$I$3404))))))</f>
        <v>3.306307495478658</v>
      </c>
      <c r="M323" s="45"/>
      <c r="N323" s="45"/>
      <c r="O323" s="114"/>
      <c r="P323" s="8"/>
      <c r="R323" s="8"/>
    </row>
    <row r="324" spans="1:18" ht="12.75" customHeight="1" x14ac:dyDescent="0.2">
      <c r="A324" s="45">
        <v>2007</v>
      </c>
      <c r="B324" s="77">
        <v>12.76</v>
      </c>
      <c r="C324" s="73">
        <f t="array" ref="C324">STDEV(IF(data!$B$2:$B$3404=A324,IF(data!$I$2:$I$3404&lt;&gt;"",IF(data!$K$2:$K$3404="female",IF(data!$N$2:$N$3404&lt;&gt;"headless",data!$I$2:$I$3404)))))</f>
        <v>3.3669312779134577</v>
      </c>
      <c r="D324" s="45">
        <v>2011</v>
      </c>
      <c r="E324" s="110">
        <v>12.99</v>
      </c>
      <c r="F324" s="73">
        <f t="array" ref="F324">STDEV(IF(data!$B$2:$B$3404=D324,IF(data!$I$2:$I$3404&lt;&gt;"",IF(data!$K$2:$K$3404="male",IF(data!$N$2:$N$3404&lt;&gt;"headless",data!$I$2:$I$3404)))))</f>
        <v>4.5356252657956864</v>
      </c>
      <c r="G324" s="45">
        <v>2007</v>
      </c>
      <c r="H324" s="118">
        <v>13.430555555555552</v>
      </c>
      <c r="I324" s="73">
        <f t="array" ref="I324">STDEV(IF(data!$B$2:$B$3404=G324,IF(data!$I$2:$I$3404&lt;&gt;"",IF(data!$K$2:$K$3404="female",IF(data!$N$2:$N$3404&lt;&gt;"headless",IF(data!$L$2:$L$3404="gravid",data!$I$2:$I$3404))))))</f>
        <v>3.2686886356496956</v>
      </c>
      <c r="J324" s="45">
        <v>2008</v>
      </c>
      <c r="K324" s="118">
        <v>12.742424242424242</v>
      </c>
      <c r="L324" s="73">
        <f t="array" ref="L324">STDEV(IF(data!$B$2:$B$3404=J324,IF(data!$I$2:$I$3404&lt;&gt;"",IF(data!$K$2:$K$3404="female",IF(data!$N$2:$N$3404&lt;&gt;"headless",IF(data!$L$2:$L$3404="spent",data!$I$2:$I$3404))))))</f>
        <v>3.1477204353935146</v>
      </c>
      <c r="M324" s="45"/>
      <c r="N324" s="45"/>
      <c r="O324" s="114"/>
      <c r="P324" s="8"/>
      <c r="R324" s="8"/>
    </row>
    <row r="325" spans="1:18" ht="12.75" customHeight="1" x14ac:dyDescent="0.2">
      <c r="A325" s="45">
        <v>2008</v>
      </c>
      <c r="B325" s="77">
        <v>13.33</v>
      </c>
      <c r="C325" s="73">
        <f t="array" ref="C325">STDEV(IF(data!$B$2:$B$3404=A325,IF(data!$I$2:$I$3404&lt;&gt;"",IF(data!$K$2:$K$3404="female",IF(data!$N$2:$N$3404&lt;&gt;"headless",data!$I$2:$I$3404)))))</f>
        <v>3.7505555144093892</v>
      </c>
      <c r="D325" s="45">
        <v>2012</v>
      </c>
      <c r="E325" s="110">
        <v>19.2</v>
      </c>
      <c r="F325" s="73"/>
      <c r="G325" s="45">
        <v>2008</v>
      </c>
      <c r="H325" s="118">
        <v>14.416666666666666</v>
      </c>
      <c r="I325" s="73">
        <f t="array" ref="I325">STDEV(IF(data!$B$2:$B$3404=G325,IF(data!$I$2:$I$3404&lt;&gt;"",IF(data!$K$2:$K$3404="female",IF(data!$N$2:$N$3404&lt;&gt;"headless",IF(data!$L$2:$L$3404="gravid",data!$I$2:$I$3404))))))</f>
        <v>4.5608629214475735</v>
      </c>
      <c r="J325" s="45">
        <v>2009</v>
      </c>
      <c r="K325" s="118">
        <v>9.9272727272727277</v>
      </c>
      <c r="L325" s="73">
        <f t="array" ref="L325">STDEV(IF(data!$B$2:$B$3404=J325,IF(data!$I$2:$I$3404&lt;&gt;"",IF(data!$K$2:$K$3404="female",IF(data!$N$2:$N$3404&lt;&gt;"headless",IF(data!$L$2:$L$3404="spent",data!$I$2:$I$3404))))))</f>
        <v>2.3807943670510063</v>
      </c>
      <c r="M325" s="45"/>
      <c r="N325" s="45"/>
      <c r="O325" s="114"/>
      <c r="P325" s="8"/>
      <c r="R325" s="8"/>
    </row>
    <row r="326" spans="1:18" ht="12.75" customHeight="1" x14ac:dyDescent="0.2">
      <c r="A326" s="45">
        <v>2009</v>
      </c>
      <c r="B326" s="77">
        <v>12.79</v>
      </c>
      <c r="C326" s="73">
        <f t="array" ref="C326">STDEV(IF(data!$B$2:$B$3404=A326,IF(data!$I$2:$I$3404&lt;&gt;"",IF(data!$K$2:$K$3404="female",IF(data!$N$2:$N$3404&lt;&gt;"headless",data!$I$2:$I$3404)))))</f>
        <v>3.7349621561258588</v>
      </c>
      <c r="D326" s="45">
        <v>2013</v>
      </c>
      <c r="E326" s="110">
        <v>16</v>
      </c>
      <c r="F326" s="73"/>
      <c r="G326" s="45">
        <v>2009</v>
      </c>
      <c r="H326" s="118">
        <v>13.879310344827585</v>
      </c>
      <c r="I326" s="73">
        <f t="array" ref="I326">STDEV(IF(data!$B$2:$B$3404=G326,IF(data!$I$2:$I$3404&lt;&gt;"",IF(data!$K$2:$K$3404="female",IF(data!$N$2:$N$3404&lt;&gt;"headless",IF(data!$L$2:$L$3404="gravid",data!$I$2:$I$3404))))))</f>
        <v>3.5996407866762863</v>
      </c>
      <c r="J326" s="45">
        <v>2010</v>
      </c>
      <c r="K326" s="118">
        <v>10.5</v>
      </c>
      <c r="L326" s="73">
        <f t="array" ref="L326">STDEV(IF(data!$B$2:$B$3404=J326,IF(data!$I$2:$I$3404&lt;&gt;"",IF(data!$K$2:$K$3404="female",IF(data!$N$2:$N$3404&lt;&gt;"headless",IF(data!$L$2:$L$3404="spent",data!$I$2:$I$3404))))))</f>
        <v>1.4142135623730951</v>
      </c>
      <c r="M326" s="45"/>
      <c r="N326" s="45"/>
      <c r="O326" s="114"/>
      <c r="P326" s="8"/>
      <c r="R326" s="8"/>
    </row>
    <row r="327" spans="1:18" ht="12.75" customHeight="1" x14ac:dyDescent="0.2">
      <c r="A327" s="45">
        <v>2010</v>
      </c>
      <c r="B327" s="77">
        <v>12.49</v>
      </c>
      <c r="C327" s="73">
        <f t="array" ref="C327">STDEV(IF(data!$B$2:$B$3404=A327,IF(data!$I$2:$I$3404&lt;&gt;"",IF(data!$K$2:$K$3404="female",IF(data!$N$2:$N$3404&lt;&gt;"headless",data!$I$2:$I$3404)))))</f>
        <v>2.327020910045603</v>
      </c>
      <c r="D327" s="104">
        <v>2016</v>
      </c>
      <c r="E327" s="161">
        <v>12.5</v>
      </c>
      <c r="F327" s="73"/>
      <c r="G327" s="45">
        <v>2010</v>
      </c>
      <c r="H327" s="118">
        <v>12.705555555555556</v>
      </c>
      <c r="I327" s="73">
        <f t="array" ref="I327">STDEV(IF(data!$B$2:$B$3404=G327,IF(data!$I$2:$I$3404&lt;&gt;"",IF(data!$K$2:$K$3404="female",IF(data!$N$2:$N$3404&lt;&gt;"headless",IF(data!$L$2:$L$3404="gravid",data!$I$2:$I$3404))))))</f>
        <v>2.3279559886233541</v>
      </c>
      <c r="J327" s="45">
        <v>2011</v>
      </c>
      <c r="K327" s="118">
        <v>9.8279999999999994</v>
      </c>
      <c r="L327" s="73">
        <f t="array" ref="L327">STDEV(IF(data!$B$2:$B$3404=J327,IF(data!$I$2:$I$3404&lt;&gt;"",IF(data!$K$2:$K$3404="female",IF(data!$N$2:$N$3404&lt;&gt;"headless",IF(data!$L$2:$L$3404="spent",data!$I$2:$I$3404))))))</f>
        <v>2.1601994209937083</v>
      </c>
      <c r="M327" s="45"/>
      <c r="N327" s="45"/>
      <c r="O327" s="134"/>
      <c r="P327" s="8"/>
      <c r="R327" s="8"/>
    </row>
    <row r="328" spans="1:18" ht="12.75" customHeight="1" x14ac:dyDescent="0.2">
      <c r="A328" s="45">
        <v>2011</v>
      </c>
      <c r="B328" s="77">
        <v>11.12</v>
      </c>
      <c r="C328" s="73">
        <f t="array" ref="C328">STDEV(IF(data!$B$2:$B$3404=A328,IF(data!$I$2:$I$3404&lt;&gt;"",IF(data!$K$2:$K$3404="female",IF(data!$N$2:$N$3404&lt;&gt;"headless",data!$I$2:$I$3404)))))</f>
        <v>3.140394053308051</v>
      </c>
      <c r="D328" s="104">
        <v>2017</v>
      </c>
      <c r="E328" s="230">
        <v>18.7</v>
      </c>
      <c r="F328" s="73"/>
      <c r="G328" s="45">
        <v>2011</v>
      </c>
      <c r="H328" s="118">
        <v>12.006666666666666</v>
      </c>
      <c r="I328" s="73">
        <f t="array" ref="I328">STDEV(IF(data!$B$2:$B$3404=G328,IF(data!$I$2:$I$3404&lt;&gt;"",IF(data!$K$2:$K$3404="female",IF(data!$N$2:$N$3404&lt;&gt;"headless",IF(data!$L$2:$L$3404="gravid",data!$I$2:$I$3404))))))</f>
        <v>2.8301252967673203</v>
      </c>
      <c r="J328" s="45">
        <v>2012</v>
      </c>
      <c r="K328" s="73">
        <v>10.253846153846155</v>
      </c>
      <c r="L328" s="73">
        <f t="array" ref="L328">STDEV(IF(data!$B$2:$B$3404=J328,IF(data!$I$2:$I$3404&lt;&gt;"",IF(data!$K$2:$K$3404="female",IF(data!$N$2:$N$3404&lt;&gt;"headless",IF(data!$L$2:$L$3404="spent",data!$I$2:$I$3404))))))</f>
        <v>3.013377730077917</v>
      </c>
      <c r="M328" s="45"/>
      <c r="N328" s="45"/>
      <c r="O328" s="114"/>
      <c r="P328" s="8"/>
      <c r="R328" s="8"/>
    </row>
    <row r="329" spans="1:18" ht="12.75" customHeight="1" x14ac:dyDescent="0.2">
      <c r="A329" s="45">
        <v>2012</v>
      </c>
      <c r="B329" s="77">
        <v>10.210000000000001</v>
      </c>
      <c r="C329" s="73">
        <f t="array" ref="C329">STDEV(IF(data!$B$2:$B$3404=A329,IF(data!$I$2:$I$3404&lt;&gt;"",IF(data!$K$2:$K$3404="female",IF(data!$N$2:$N$3404&lt;&gt;"headless",data!$I$2:$I$3404)))))</f>
        <v>3.1720224955233904</v>
      </c>
      <c r="D329" s="230"/>
      <c r="E329" s="230"/>
      <c r="F329" s="45"/>
      <c r="G329" s="45">
        <v>2012</v>
      </c>
      <c r="H329" s="73">
        <v>11.016666666666669</v>
      </c>
      <c r="I329" s="73">
        <f t="array" ref="I329">STDEV(IF(data!$B$2:$B$3404=G329,IF(data!$I$2:$I$3404&lt;&gt;"",IF(data!$K$2:$K$3404="female",IF(data!$N$2:$N$3404&lt;&gt;"headless",IF(data!$L$2:$L$3404="gravid",data!$I$2:$I$3404))))))</f>
        <v>3.0348644613640552</v>
      </c>
      <c r="J329" s="45">
        <v>2013</v>
      </c>
      <c r="K329" s="118">
        <v>11.117500000000001</v>
      </c>
      <c r="L329" s="73">
        <f t="array" ref="L329">STDEV(IF(data!$B$2:$B$3404=J329,IF(data!$I$2:$I$3404&lt;&gt;"",IF(data!$K$2:$K$3404="female",IF(data!$N$2:$N$3404&lt;&gt;"headless",IF(data!$L$2:$L$3404="spent",data!$I$2:$I$3404))))))</f>
        <v>3.0526900705224964</v>
      </c>
      <c r="M329" s="45"/>
      <c r="N329" s="45"/>
      <c r="O329" s="114"/>
      <c r="P329" s="8"/>
      <c r="R329" s="8"/>
    </row>
    <row r="330" spans="1:18" ht="12.75" customHeight="1" x14ac:dyDescent="0.2">
      <c r="A330" s="45">
        <v>2013</v>
      </c>
      <c r="B330" s="77">
        <v>11.04</v>
      </c>
      <c r="C330" s="73">
        <f t="array" ref="C330">STDEV(IF(data!$B$2:$B$3404=A330,IF(data!$I$2:$I$3404&lt;&gt;"",IF(data!$K$2:$K$3404="female",IF(data!$N$2:$N$3404&lt;&gt;"headless",data!$I$2:$I$3404)))))</f>
        <v>3.0246566153983556</v>
      </c>
      <c r="D330" s="230"/>
      <c r="E330" s="230"/>
      <c r="F330" s="45"/>
      <c r="G330" s="45">
        <v>2013</v>
      </c>
      <c r="H330" s="118">
        <v>10.599999999999998</v>
      </c>
      <c r="I330" s="73">
        <f t="array" ref="I330">STDEV(IF(data!$B$2:$B$3404=G330,IF(data!$I$2:$I$3404&lt;&gt;"",IF(data!$K$2:$K$3404="female",IF(data!$N$2:$N$3404&lt;&gt;"headless",IF(data!$L$2:$L$3404="gravid",data!$I$2:$I$3404))))))</f>
        <v>3.0495901363953863</v>
      </c>
      <c r="J330" s="104">
        <v>2014</v>
      </c>
      <c r="K330" s="118">
        <v>10.849137931034482</v>
      </c>
      <c r="L330" s="73">
        <f t="array" ref="L330">STDEV(IF(data!$B$2:$B$3404=J330,IF(data!$I$2:$I$3404&lt;&gt;"",IF(data!$K$2:$K$3404="female",IF(data!$N$2:$N$3404&lt;&gt;"headless",IF(data!$L$2:$L$3404="spent",data!$I$2:$I$3404))))))</f>
        <v>3.3517799850766661</v>
      </c>
      <c r="M330" s="45"/>
      <c r="N330" s="45"/>
      <c r="O330" s="114"/>
      <c r="P330" s="8"/>
      <c r="R330" s="8"/>
    </row>
    <row r="331" spans="1:18" ht="12.75" customHeight="1" x14ac:dyDescent="0.2">
      <c r="A331" s="104">
        <v>2014</v>
      </c>
      <c r="B331" s="158">
        <v>10.88</v>
      </c>
      <c r="C331" s="73">
        <f t="array" ref="C331">STDEV(IF(data!$B$2:$B$3404=A331,IF(data!$I$2:$I$3404&lt;&gt;"",IF(data!$K$2:$K$3404="female",IF(data!$N$2:$N$3404&lt;&gt;"headless",data!$I$2:$I$3404)))))</f>
        <v>3.2666402158871417</v>
      </c>
      <c r="D331" s="104"/>
      <c r="E331" s="119"/>
      <c r="F331" s="45"/>
      <c r="G331" s="104">
        <v>2014</v>
      </c>
      <c r="H331" s="118">
        <v>11.3</v>
      </c>
      <c r="I331" s="73">
        <f t="array" ref="I331">STDEV(IF(data!$B$2:$B$3404=G331,IF(data!$I$2:$I$3404&lt;&gt;"",IF(data!$K$2:$K$3404="female",IF(data!$N$2:$N$3404&lt;&gt;"headless",IF(data!$L$2:$L$3404="gravid",data!$I$2:$I$3404))))))</f>
        <v>2.2527760652137596</v>
      </c>
      <c r="J331" s="104">
        <v>2016</v>
      </c>
      <c r="K331" s="55">
        <v>11.35</v>
      </c>
      <c r="L331" s="73">
        <f t="array" ref="L331">STDEV(IF(data!$B$2:$B$3404=J331,IF(data!$I$2:$I$3404&lt;&gt;"",IF(data!$K$2:$K$3404="female",IF(data!$N$2:$N$3404&lt;&gt;"headless",IF(data!$L$2:$L$3404="spent",data!$I$2:$I$3404))))))</f>
        <v>2.4415972351769111</v>
      </c>
      <c r="M331" s="45"/>
      <c r="N331" s="45"/>
      <c r="O331" s="114"/>
      <c r="P331" s="8"/>
      <c r="R331" s="8"/>
    </row>
    <row r="332" spans="1:18" ht="12.75" customHeight="1" x14ac:dyDescent="0.2">
      <c r="A332" s="104">
        <v>2016</v>
      </c>
      <c r="B332" s="160">
        <v>11.24</v>
      </c>
      <c r="C332" s="73">
        <f t="array" ref="C332">STDEV(IF(data!$B$2:$B$3404=A332,IF(data!$I$2:$I$3404&lt;&gt;"",IF(data!$K$2:$K$3404="female",IF(data!$N$2:$N$3404&lt;&gt;"headless",data!$I$2:$I$3404)))))</f>
        <v>2.5080821737886088</v>
      </c>
      <c r="D332" s="104"/>
      <c r="E332" s="119"/>
      <c r="F332" s="45"/>
      <c r="G332" s="104">
        <v>2016</v>
      </c>
      <c r="H332" s="55">
        <v>10.75</v>
      </c>
      <c r="I332" s="73">
        <f t="array" ref="I332">STDEV(IF(data!$B$2:$B$3404=G332,IF(data!$I$2:$I$3404&lt;&gt;"",IF(data!$K$2:$K$3404="female",IF(data!$N$2:$N$3404&lt;&gt;"headless",IF(data!$L$2:$L$3404="gravid",data!$I$2:$I$3404))))))</f>
        <v>3.1224989991991992</v>
      </c>
      <c r="J332" s="104">
        <v>2017</v>
      </c>
      <c r="K332" s="230">
        <v>11.59</v>
      </c>
      <c r="L332" s="73">
        <f t="array" ref="L332">STDEV(IF(data!$B$2:$B$3404=J332,IF(data!$I$2:$I$3404&lt;&gt;"",IF(data!$K$2:$K$3404="female",IF(data!$N$2:$N$3404&lt;&gt;"headless",IF(data!$L$2:$L$3404="spent",data!$I$2:$I$3404))))))</f>
        <v>2.491147592281644</v>
      </c>
      <c r="M332" s="45"/>
      <c r="N332" s="45"/>
      <c r="O332" s="114"/>
      <c r="P332" s="8"/>
      <c r="R332" s="8"/>
    </row>
    <row r="333" spans="1:18" ht="12.75" customHeight="1" x14ac:dyDescent="0.2">
      <c r="A333" s="104">
        <v>2017</v>
      </c>
      <c r="B333" s="230">
        <v>11.97</v>
      </c>
      <c r="C333" s="73">
        <f t="array" ref="C333">STDEV(IF(data!$B$2:$B$3404=A333,IF(data!$I$2:$I$3404&lt;&gt;"",IF(data!$K$2:$K$3404="female",IF(data!$N$2:$N$3404&lt;&gt;"headless",data!$I$2:$I$3404)))))</f>
        <v>2.6549357432192262</v>
      </c>
      <c r="D333" s="230"/>
      <c r="E333" s="230"/>
      <c r="F333" s="45"/>
      <c r="G333" s="104">
        <v>2017</v>
      </c>
      <c r="H333" s="230">
        <v>12.3</v>
      </c>
      <c r="I333" s="73">
        <f t="array" ref="I333">STDEV(IF(data!$B$2:$B$3404=G333,IF(data!$I$2:$I$3404&lt;&gt;"",IF(data!$K$2:$K$3404="female",IF(data!$N$2:$N$3404&lt;&gt;"headless",IF(data!$L$2:$L$3404="gravid",data!$I$2:$I$3404))))))</f>
        <v>2.7679852396194908</v>
      </c>
      <c r="L333" s="230"/>
      <c r="M333" s="45"/>
      <c r="N333" s="45"/>
      <c r="O333" s="114"/>
      <c r="P333" s="8"/>
      <c r="R333" s="8"/>
    </row>
    <row r="334" spans="1:18" s="230" customFormat="1" ht="12.75" customHeight="1" x14ac:dyDescent="0.2">
      <c r="A334" s="104"/>
      <c r="C334" s="73"/>
      <c r="F334" s="45"/>
      <c r="G334" s="104"/>
      <c r="I334" s="73"/>
      <c r="M334" s="45"/>
      <c r="N334" s="45"/>
      <c r="O334" s="283"/>
      <c r="P334" s="45"/>
      <c r="R334" s="45"/>
    </row>
    <row r="335" spans="1:18" s="230" customFormat="1" ht="12.75" customHeight="1" x14ac:dyDescent="0.2">
      <c r="B335" s="284" t="s">
        <v>523</v>
      </c>
      <c r="C335" s="285"/>
      <c r="D335" s="285"/>
      <c r="E335" s="285"/>
      <c r="F335" s="286"/>
      <c r="I335" s="73"/>
      <c r="M335" s="45"/>
      <c r="N335" s="45"/>
      <c r="O335" s="283"/>
      <c r="P335" s="45"/>
      <c r="R335" s="45"/>
    </row>
    <row r="336" spans="1:18" s="230" customFormat="1" ht="12.75" customHeight="1" x14ac:dyDescent="0.2">
      <c r="B336" s="287" t="s">
        <v>311</v>
      </c>
      <c r="C336" s="288"/>
      <c r="D336" s="289"/>
      <c r="E336" s="289"/>
      <c r="F336" s="290"/>
      <c r="I336" s="73"/>
      <c r="M336" s="45"/>
      <c r="N336" s="45"/>
      <c r="O336" s="283"/>
      <c r="P336" s="45"/>
      <c r="R336" s="45"/>
    </row>
    <row r="337" spans="1:18" s="230" customFormat="1" ht="12.75" customHeight="1" x14ac:dyDescent="0.2">
      <c r="B337" s="291" t="s">
        <v>312</v>
      </c>
      <c r="C337" s="289"/>
      <c r="D337" s="289"/>
      <c r="E337" s="289" t="s">
        <v>313</v>
      </c>
      <c r="F337" s="292" t="s">
        <v>306</v>
      </c>
      <c r="I337" s="73"/>
      <c r="M337" s="45"/>
      <c r="N337" s="45"/>
      <c r="O337" s="283"/>
      <c r="P337" s="45"/>
      <c r="R337" s="45"/>
    </row>
    <row r="338" spans="1:18" ht="12.75" customHeight="1" x14ac:dyDescent="0.2">
      <c r="B338" s="293">
        <v>143.04</v>
      </c>
      <c r="C338" s="294">
        <v>14.30384615</v>
      </c>
      <c r="D338" s="294">
        <v>2926.5671349999998</v>
      </c>
      <c r="E338" s="295">
        <v>11.94</v>
      </c>
      <c r="F338" s="296">
        <v>4.0805847650000002</v>
      </c>
      <c r="H338" s="230"/>
      <c r="I338" s="230"/>
      <c r="J338" s="230"/>
      <c r="K338" s="230"/>
      <c r="L338" s="45"/>
      <c r="M338" s="45"/>
      <c r="N338" s="45"/>
      <c r="O338" s="11"/>
    </row>
    <row r="339" spans="1:18" s="230" customFormat="1" ht="12.75" customHeight="1" x14ac:dyDescent="0.2">
      <c r="A339" s="205"/>
      <c r="B339" s="289"/>
      <c r="C339" s="289"/>
      <c r="D339" s="205"/>
      <c r="E339" s="289"/>
      <c r="L339" s="45"/>
      <c r="M339" s="45"/>
      <c r="N339" s="45"/>
      <c r="O339" s="11"/>
    </row>
    <row r="340" spans="1:18" ht="18" customHeight="1" x14ac:dyDescent="0.25">
      <c r="A340" s="272" t="s">
        <v>303</v>
      </c>
      <c r="B340" s="274"/>
      <c r="C340" s="297"/>
      <c r="D340" s="104"/>
      <c r="E340" s="104"/>
      <c r="F340" s="52"/>
      <c r="G340" s="55"/>
      <c r="H340" s="104"/>
      <c r="I340" s="45"/>
      <c r="J340" s="45"/>
      <c r="K340" s="230"/>
      <c r="L340" s="230"/>
      <c r="M340" s="230"/>
      <c r="N340" s="230"/>
      <c r="O340" s="11"/>
    </row>
    <row r="341" spans="1:18" ht="12.75" customHeight="1" x14ac:dyDescent="0.2">
      <c r="A341" s="298" t="s">
        <v>304</v>
      </c>
      <c r="B341" s="299"/>
      <c r="C341" s="300"/>
      <c r="D341" s="284" t="s">
        <v>305</v>
      </c>
      <c r="E341" s="305"/>
      <c r="F341" s="300"/>
      <c r="G341" s="284" t="s">
        <v>330</v>
      </c>
      <c r="H341" s="299"/>
      <c r="I341" s="286"/>
      <c r="J341" s="284" t="s">
        <v>331</v>
      </c>
      <c r="K341" s="299"/>
      <c r="L341" s="300"/>
      <c r="M341" s="45"/>
      <c r="N341" s="155"/>
      <c r="O341" s="11"/>
    </row>
    <row r="342" spans="1:18" ht="12.75" customHeight="1" x14ac:dyDescent="0.2">
      <c r="A342" s="301" t="s">
        <v>243</v>
      </c>
      <c r="B342" s="302" t="s">
        <v>306</v>
      </c>
      <c r="C342" s="303" t="s">
        <v>528</v>
      </c>
      <c r="D342" s="301" t="s">
        <v>243</v>
      </c>
      <c r="E342" s="302" t="s">
        <v>306</v>
      </c>
      <c r="F342" s="303" t="s">
        <v>528</v>
      </c>
      <c r="G342" s="301" t="s">
        <v>243</v>
      </c>
      <c r="H342" s="302" t="s">
        <v>306</v>
      </c>
      <c r="I342" s="303" t="s">
        <v>528</v>
      </c>
      <c r="J342" s="301" t="s">
        <v>243</v>
      </c>
      <c r="K342" s="302" t="s">
        <v>306</v>
      </c>
      <c r="L342" s="303" t="s">
        <v>528</v>
      </c>
    </row>
    <row r="343" spans="1:18" ht="12.75" customHeight="1" x14ac:dyDescent="0.2">
      <c r="A343" s="301">
        <v>1990</v>
      </c>
      <c r="B343" s="200">
        <f>AVERAGEIFS(data!$T$2:$T$3404,data!$B$2:$B$3404,SumTbl!A343,data!$N$2:$N$3404,"&lt;&gt;headless",data!$K$2:$K$3404,"female")</f>
        <v>4.8217647058823525</v>
      </c>
      <c r="C343" s="306">
        <f t="array" ref="C343">STDEV(IF(data!$B$2:$B$3404=A343,IF(data!$T$2:$T$3404&lt;&gt;"",IF(data!$K$2:$K$3404="female",IF(data!$N$2:$N$3404&lt;&gt;"headless",data!$T$2:$T$3404)))))</f>
        <v>0.67565926410910981</v>
      </c>
      <c r="D343" s="301">
        <v>1990</v>
      </c>
      <c r="E343" s="200">
        <f>AVERAGEIFS(data!$T$2:$T$3404,data!$B$2:$B$3404,SumTbl!D343,data!$N$2:$N$3404,"&lt;&gt;headless",data!$K$2:$K$3404,"male")</f>
        <v>5.0100000000000007</v>
      </c>
      <c r="F343" s="306">
        <f t="array" ref="F343">STDEV(IF(data!$B$2:$B$3404=D343,IF(data!$T$2:$T$3404&lt;&gt;"",IF(data!$K$2:$K$3404="male",IF(data!$N$2:$N$3404&lt;&gt;"headless",data!$T$2:$T$3404)))))</f>
        <v>0.3051229260478473</v>
      </c>
      <c r="G343" s="301">
        <v>1990</v>
      </c>
      <c r="H343" s="200">
        <f>AVERAGEIFS(data!$T$2:$T$3404,data!$B$2:$B$3404,SumTbl!G343,data!$N$2:$N$3404,"&lt;&gt;headless",data!$L$2:$L$3404,"gravid")</f>
        <v>4.5</v>
      </c>
      <c r="I343" s="306"/>
      <c r="J343" s="301">
        <v>1991</v>
      </c>
      <c r="K343" s="200">
        <f>AVERAGEIFS(data!$T$2:$T$3404,data!$B$2:$B$3404,SumTbl!J343,data!$N$2:$N$3404,"&lt;&gt;headless",data!$L$2:$L$3404,"spent")</f>
        <v>5.54</v>
      </c>
      <c r="L343" s="306">
        <f t="array" ref="L343">STDEV(IF(data!$B$2:$B$3404=J343,IF(data!$T$2:$T$3404&lt;&gt;"",IF(data!$L$2:$L$3404="spent",IF(data!$N$2:$N$3404&lt;&gt;"headless",data!$T$2:$T$3404)))))</f>
        <v>1.0939835464941856</v>
      </c>
    </row>
    <row r="344" spans="1:18" ht="12.75" customHeight="1" x14ac:dyDescent="0.2">
      <c r="A344" s="301">
        <v>1991</v>
      </c>
      <c r="B344" s="200">
        <f>AVERAGEIFS(data!$T$2:$T$3404,data!$B$2:$B$3404,SumTbl!A344,data!$N$2:$N$3404,"&lt;&gt;headless",data!$K$2:$K$3404,"female")</f>
        <v>6.3466666666666676</v>
      </c>
      <c r="C344" s="306">
        <f t="array" ref="C344">STDEV(IF(data!$B$2:$B$3404=A344,IF(data!$T$2:$T$3404&lt;&gt;"",IF(data!$K$2:$K$3404="female",IF(data!$N$2:$N$3404&lt;&gt;"headless",data!$T$2:$T$3404)))))</f>
        <v>1.3201806403204486</v>
      </c>
      <c r="D344" s="301">
        <v>1991</v>
      </c>
      <c r="E344" s="200"/>
      <c r="F344" s="306"/>
      <c r="G344" s="301">
        <v>1991</v>
      </c>
      <c r="H344" s="200">
        <f>AVERAGEIFS(data!$T$2:$T$3404,data!$B$2:$B$3404,SumTbl!G344,data!$N$2:$N$3404,"&lt;&gt;headless",data!$L$2:$L$3404,"gravid")</f>
        <v>7.2153846153846155</v>
      </c>
      <c r="I344" s="306">
        <f t="array" ref="I344">STDEV(IF(data!$B$2:$B$3404=G344,IF(data!$T$2:$T$3404&lt;&gt;"",IF(data!$L$2:$L$3404="gravid",IF(data!$N$2:$N$3404&lt;&gt;"headless",data!$T$2:$T$3404)))))</f>
        <v>0.95025097899288158</v>
      </c>
      <c r="J344" s="301">
        <v>1992</v>
      </c>
      <c r="K344" s="200">
        <f>AVERAGEIFS(data!$T$2:$T$3404,data!$B$2:$B$3404,SumTbl!J344,data!$N$2:$N$3404,"&lt;&gt;headless",data!$L$2:$L$3404,"spent")</f>
        <v>5.2824999999999998</v>
      </c>
      <c r="L344" s="306">
        <f t="array" ref="L344">STDEV(IF(data!$B$2:$B$3404=J344,IF(data!$T$2:$T$3404&lt;&gt;"",IF(data!$L$2:$L$3404="spent",IF(data!$N$2:$N$3404&lt;&gt;"headless",data!$T$2:$T$3404)))))</f>
        <v>0.5910946262172122</v>
      </c>
    </row>
    <row r="345" spans="1:18" ht="12.75" customHeight="1" x14ac:dyDescent="0.2">
      <c r="A345" s="301">
        <v>1992</v>
      </c>
      <c r="B345" s="200">
        <f>AVERAGEIFS(data!$T$2:$T$3404,data!$B$2:$B$3404,SumTbl!A345,data!$N$2:$N$3404,"&lt;&gt;headless",data!$K$2:$K$3404,"female")</f>
        <v>6.4771844660194171</v>
      </c>
      <c r="C345" s="306">
        <f t="array" ref="C345">STDEV(IF(data!$B$2:$B$3404=A345,IF(data!$T$2:$T$3404&lt;&gt;"",IF(data!$K$2:$K$3404="female",IF(data!$N$2:$N$3404&lt;&gt;"headless",data!$T$2:$T$3404)))))</f>
        <v>0.85498585870168797</v>
      </c>
      <c r="D345" s="301">
        <v>1992</v>
      </c>
      <c r="E345" s="200">
        <f>AVERAGEIFS(data!$T$2:$T$3404,data!$B$2:$B$3404,SumTbl!D345,data!$N$2:$N$3404,"&lt;&gt;headless",data!$K$2:$K$3404,"male")</f>
        <v>7.6406666666666654</v>
      </c>
      <c r="F345" s="306">
        <f t="array" ref="F345">STDEV(IF(data!$B$2:$B$3404=D345,IF(data!$T$2:$T$3404&lt;&gt;"",IF(data!$K$2:$K$3404="male",IF(data!$N$2:$N$3404&lt;&gt;"headless",data!$T$2:$T$3404)))))</f>
        <v>1.4596744581616572</v>
      </c>
      <c r="G345" s="301">
        <v>1992</v>
      </c>
      <c r="H345" s="200">
        <f>AVERAGEIFS(data!$T$2:$T$3404,data!$B$2:$B$3404,SumTbl!G345,data!$N$2:$N$3404,"&lt;&gt;headless",data!$L$2:$L$3404,"gravid")</f>
        <v>6.5777894736842093</v>
      </c>
      <c r="I345" s="306">
        <f t="array" ref="I345">STDEV(IF(data!$B$2:$B$3404=G345,IF(data!$T$2:$T$3404&lt;&gt;"",IF(data!$L$2:$L$3404="gravid",IF(data!$N$2:$N$3404&lt;&gt;"headless",data!$T$2:$T$3404)))))</f>
        <v>0.7971801085199941</v>
      </c>
      <c r="J345" s="301">
        <v>1993</v>
      </c>
      <c r="K345" s="200">
        <f>AVERAGEIFS(data!$T$2:$T$3404,data!$B$2:$B$3404,SumTbl!J345,data!$N$2:$N$3404,"&lt;&gt;headless",data!$L$2:$L$3404,"spent")</f>
        <v>4.2620000000000005</v>
      </c>
      <c r="L345" s="306">
        <f t="array" ref="L345">STDEV(IF(data!$B$2:$B$3404=J345,IF(data!$T$2:$T$3404&lt;&gt;"",IF(data!$L$2:$L$3404="spent",IF(data!$N$2:$N$3404&lt;&gt;"headless",data!$T$2:$T$3404)))))</f>
        <v>0.67998039187415571</v>
      </c>
    </row>
    <row r="346" spans="1:18" ht="12.75" customHeight="1" x14ac:dyDescent="0.2">
      <c r="A346" s="301">
        <v>1993</v>
      </c>
      <c r="B346" s="200">
        <f>AVERAGEIFS(data!$T$2:$T$3404,data!$B$2:$B$3404,SumTbl!A346,data!$N$2:$N$3404,"&lt;&gt;headless",data!$K$2:$K$3404,"female")</f>
        <v>5.5978571428571424</v>
      </c>
      <c r="C346" s="306">
        <f t="array" ref="C346">STDEV(IF(data!$B$2:$B$3404=A346,IF(data!$T$2:$T$3404&lt;&gt;"",IF(data!$K$2:$K$3404="female",IF(data!$N$2:$N$3404&lt;&gt;"headless",data!$T$2:$T$3404)))))</f>
        <v>0.75162538651212651</v>
      </c>
      <c r="D346" s="301">
        <v>1993</v>
      </c>
      <c r="E346" s="200">
        <f>AVERAGEIFS(data!$T$2:$T$3404,data!$B$2:$B$3404,SumTbl!D346,data!$N$2:$N$3404,"&lt;&gt;headless",data!$K$2:$K$3404,"male")</f>
        <v>5.9711111111111101</v>
      </c>
      <c r="F346" s="306">
        <f t="array" ref="F346">STDEV(IF(data!$B$2:$B$3404=D346,IF(data!$T$2:$T$3404&lt;&gt;"",IF(data!$K$2:$K$3404="male",IF(data!$N$2:$N$3404&lt;&gt;"headless",data!$T$2:$T$3404)))))</f>
        <v>0.9157434745118922</v>
      </c>
      <c r="G346" s="301">
        <v>1993</v>
      </c>
      <c r="H346" s="200">
        <f>AVERAGEIFS(data!$T$2:$T$3404,data!$B$2:$B$3404,SumTbl!G346,data!$N$2:$N$3404,"&lt;&gt;headless",data!$L$2:$L$3404,"gravid")</f>
        <v>5.7496590909090921</v>
      </c>
      <c r="I346" s="306">
        <f t="array" ref="I346">STDEV(IF(data!$B$2:$B$3404=G346,IF(data!$T$2:$T$3404&lt;&gt;"",IF(data!$L$2:$L$3404="gravid",IF(data!$N$2:$N$3404&lt;&gt;"headless",data!$T$2:$T$3404)))))</f>
        <v>0.59465908104982312</v>
      </c>
      <c r="J346" s="301">
        <v>1994</v>
      </c>
      <c r="K346" s="200">
        <f>AVERAGEIFS(data!$T$2:$T$3404,data!$B$2:$B$3404,SumTbl!J346,data!$N$2:$N$3404,"&lt;&gt;headless",data!$L$2:$L$3404,"spent")</f>
        <v>3.9274999999999998</v>
      </c>
      <c r="L346" s="306">
        <f t="array" ref="L346">STDEV(IF(data!$B$2:$B$3404=J346,IF(data!$T$2:$T$3404&lt;&gt;"",IF(data!$L$2:$L$3404="spent",IF(data!$N$2:$N$3404&lt;&gt;"headless",data!$T$2:$T$3404)))))</f>
        <v>0.84456300337314572</v>
      </c>
    </row>
    <row r="347" spans="1:18" ht="12.75" customHeight="1" x14ac:dyDescent="0.2">
      <c r="A347" s="301">
        <v>1994</v>
      </c>
      <c r="B347" s="200">
        <f>AVERAGEIFS(data!$T$2:$T$3404,data!$B$2:$B$3404,SumTbl!A347,data!$N$2:$N$3404,"&lt;&gt;headless",data!$K$2:$K$3404,"female")</f>
        <v>4.4416666666666655</v>
      </c>
      <c r="C347" s="306">
        <f t="array" ref="C347">STDEV(IF(data!$B$2:$B$3404=A347,IF(data!$T$2:$T$3404&lt;&gt;"",IF(data!$K$2:$K$3404="female",IF(data!$N$2:$N$3404&lt;&gt;"headless",data!$T$2:$T$3404)))))</f>
        <v>1.0644016220431767</v>
      </c>
      <c r="D347" s="301">
        <v>1994</v>
      </c>
      <c r="E347" s="200">
        <f>AVERAGEIFS(data!$T$2:$T$3404,data!$B$2:$B$3404,SumTbl!D347,data!$N$2:$N$3404,"&lt;&gt;headless",data!$K$2:$K$3404,"male")</f>
        <v>5.9466666666666663</v>
      </c>
      <c r="F347" s="306">
        <f t="array" ref="F347">STDEV(IF(data!$B$2:$B$3404=D347,IF(data!$T$2:$T$3404&lt;&gt;"",IF(data!$K$2:$K$3404="male",IF(data!$N$2:$N$3404&lt;&gt;"headless",data!$T$2:$T$3404)))))</f>
        <v>0.56666274508446957</v>
      </c>
      <c r="G347" s="301">
        <v>1994</v>
      </c>
      <c r="H347" s="200">
        <f>AVERAGEIFS(data!$T$2:$T$3404,data!$B$2:$B$3404,SumTbl!G347,data!$N$2:$N$3404,"&lt;&gt;headless",data!$L$2:$L$3404,"gravid")</f>
        <v>5.0250000000000004</v>
      </c>
      <c r="I347" s="306">
        <f t="array" ref="I347">STDEV(IF(data!$B$2:$B$3404=G347,IF(data!$T$2:$T$3404&lt;&gt;"",IF(data!$L$2:$L$3404="gravid",IF(data!$N$2:$N$3404&lt;&gt;"headless",data!$T$2:$T$3404)))))</f>
        <v>0.93087132761269342</v>
      </c>
      <c r="J347" s="301">
        <v>1995</v>
      </c>
      <c r="K347" s="200">
        <f>AVERAGEIFS(data!$T$2:$T$3404,data!$B$2:$B$3404,SumTbl!J347,data!$N$2:$N$3404,"&lt;&gt;headless",data!$L$2:$L$3404,"spent")</f>
        <v>4.8353846153846156</v>
      </c>
      <c r="L347" s="306">
        <f t="array" ref="L347">STDEV(IF(data!$B$2:$B$3404=J347,IF(data!$T$2:$T$3404&lt;&gt;"",IF(data!$L$2:$L$3404="spent",IF(data!$N$2:$N$3404&lt;&gt;"headless",data!$T$2:$T$3404)))))</f>
        <v>0.66554007373229773</v>
      </c>
    </row>
    <row r="348" spans="1:18" ht="12.75" customHeight="1" x14ac:dyDescent="0.2">
      <c r="A348" s="301">
        <v>1995</v>
      </c>
      <c r="B348" s="200">
        <f>AVERAGEIFS(data!$T$2:$T$3404,data!$B$2:$B$3404,SumTbl!A348,data!$N$2:$N$3404,"&lt;&gt;headless",data!$K$2:$K$3404,"female")</f>
        <v>5.6969841269841277</v>
      </c>
      <c r="C348" s="306">
        <f t="array" ref="C348">STDEV(IF(data!$B$2:$B$3404=A348,IF(data!$T$2:$T$3404&lt;&gt;"",IF(data!$K$2:$K$3404="female",IF(data!$N$2:$N$3404&lt;&gt;"headless",data!$T$2:$T$3404)))))</f>
        <v>0.7507150030957187</v>
      </c>
      <c r="D348" s="301">
        <v>1995</v>
      </c>
      <c r="E348" s="200">
        <f>AVERAGEIFS(data!$T$2:$T$3404,data!$B$2:$B$3404,SumTbl!D348,data!$N$2:$N$3404,"&lt;&gt;headless",data!$K$2:$K$3404,"male")</f>
        <v>6.2530000000000001</v>
      </c>
      <c r="F348" s="306">
        <f t="array" ref="F348">STDEV(IF(data!$B$2:$B$3404=D348,IF(data!$T$2:$T$3404&lt;&gt;"",IF(data!$K$2:$K$3404="male",IF(data!$N$2:$N$3404&lt;&gt;"headless",data!$T$2:$T$3404)))))</f>
        <v>0.86098199748891668</v>
      </c>
      <c r="G348" s="301">
        <v>1995</v>
      </c>
      <c r="H348" s="200">
        <f>AVERAGEIFS(data!$T$2:$T$3404,data!$B$2:$B$3404,SumTbl!G348,data!$N$2:$N$3404,"&lt;&gt;headless",data!$L$2:$L$3404,"gravid")</f>
        <v>5.9446938775510212</v>
      </c>
      <c r="I348" s="306">
        <f t="array" ref="I348">STDEV(IF(data!$B$2:$B$3404=G348,IF(data!$T$2:$T$3404&lt;&gt;"",IF(data!$L$2:$L$3404="gravid",IF(data!$N$2:$N$3404&lt;&gt;"headless",data!$T$2:$T$3404)))))</f>
        <v>0.57899014830714912</v>
      </c>
      <c r="J348" s="301">
        <v>1996</v>
      </c>
      <c r="K348" s="200">
        <f>AVERAGEIFS(data!$T$2:$T$3404,data!$B$2:$B$3404,SumTbl!J348,data!$N$2:$N$3404,"&lt;&gt;headless",data!$L$2:$L$3404,"spent")</f>
        <v>4.3195555555555574</v>
      </c>
      <c r="L348" s="306">
        <f t="array" ref="L348">STDEV(IF(data!$B$2:$B$3404=J348,IF(data!$T$2:$T$3404&lt;&gt;"",IF(data!$L$2:$L$3404="spent",IF(data!$N$2:$N$3404&lt;&gt;"headless",data!$T$2:$T$3404)))))</f>
        <v>0.59703416818452215</v>
      </c>
    </row>
    <row r="349" spans="1:18" ht="12.75" customHeight="1" x14ac:dyDescent="0.2">
      <c r="A349" s="301">
        <v>1996</v>
      </c>
      <c r="B349" s="200">
        <f>AVERAGEIFS(data!$T$2:$T$3404,data!$B$2:$B$3404,SumTbl!A349,data!$N$2:$N$3404,"&lt;&gt;headless",data!$K$2:$K$3404,"female")</f>
        <v>4.476041666666668</v>
      </c>
      <c r="C349" s="306">
        <f t="array" ref="C349">STDEV(IF(data!$B$2:$B$3404=A349,IF(data!$T$2:$T$3404&lt;&gt;"",IF(data!$K$2:$K$3404="female",IF(data!$N$2:$N$3404&lt;&gt;"headless",data!$T$2:$T$3404)))))</f>
        <v>0.84618729274147575</v>
      </c>
      <c r="D349" s="301">
        <v>1996</v>
      </c>
      <c r="E349" s="200">
        <f>AVERAGEIFS(data!$T$2:$T$3404,data!$B$2:$B$3404,SumTbl!D349,data!$N$2:$N$3404,"&lt;&gt;headless",data!$K$2:$K$3404,"male")</f>
        <v>6.2</v>
      </c>
      <c r="F349" s="306"/>
      <c r="G349" s="301">
        <v>1996</v>
      </c>
      <c r="H349" s="200">
        <f>AVERAGEIFS(data!$T$2:$T$3404,data!$B$2:$B$3404,SumTbl!G349,data!$N$2:$N$3404,"&lt;&gt;headless",data!$L$2:$L$3404,"gravid")</f>
        <v>6.8233333333333333</v>
      </c>
      <c r="I349" s="306">
        <f t="array" ref="I349">STDEV(IF(data!$B$2:$B$3404=G349,IF(data!$T$2:$T$3404&lt;&gt;"",IF(data!$L$2:$L$3404="gravid",IF(data!$N$2:$N$3404&lt;&gt;"headless",data!$T$2:$T$3404)))))</f>
        <v>0.4113797920818828</v>
      </c>
      <c r="J349" s="301">
        <v>1997</v>
      </c>
      <c r="K349" s="200">
        <f>AVERAGEIFS(data!$T$2:$T$3404,data!$B$2:$B$3404,SumTbl!J349,data!$N$2:$N$3404,"&lt;&gt;headless",data!$L$2:$L$3404,"spent")</f>
        <v>4.7002777777777771</v>
      </c>
      <c r="L349" s="306">
        <f t="array" ref="L349">STDEV(IF(data!$B$2:$B$3404=J349,IF(data!$T$2:$T$3404&lt;&gt;"",IF(data!$L$2:$L$3404="spent",IF(data!$N$2:$N$3404&lt;&gt;"headless",data!$T$2:$T$3404)))))</f>
        <v>0.64433126400772345</v>
      </c>
    </row>
    <row r="350" spans="1:18" ht="12.75" customHeight="1" x14ac:dyDescent="0.2">
      <c r="A350" s="301">
        <v>1997</v>
      </c>
      <c r="B350" s="200">
        <f>AVERAGEIFS(data!$T$2:$T$3404,data!$B$2:$B$3404,SumTbl!A350,data!$N$2:$N$3404,"&lt;&gt;headless",data!$K$2:$K$3404,"female")</f>
        <v>5.6303703703703709</v>
      </c>
      <c r="C350" s="306">
        <f t="array" ref="C350">STDEV(IF(data!$B$2:$B$3404=A350,IF(data!$T$2:$T$3404&lt;&gt;"",IF(data!$K$2:$K$3404="female",IF(data!$N$2:$N$3404&lt;&gt;"headless",data!$T$2:$T$3404)))))</f>
        <v>1.0686230444010481</v>
      </c>
      <c r="D350" s="301">
        <v>1997</v>
      </c>
      <c r="E350" s="200">
        <f>AVERAGEIFS(data!$T$2:$T$3404,data!$B$2:$B$3404,SumTbl!D350,data!$N$2:$N$3404,"&lt;&gt;headless",data!$K$2:$K$3404,"male")</f>
        <v>6.4284210526315801</v>
      </c>
      <c r="F350" s="306">
        <f t="array" ref="F350">STDEV(IF(data!$B$2:$B$3404=D350,IF(data!$T$2:$T$3404&lt;&gt;"",IF(data!$K$2:$K$3404="male",IF(data!$N$2:$N$3404&lt;&gt;"headless",data!$T$2:$T$3404)))))</f>
        <v>0.90585909597154435</v>
      </c>
      <c r="G350" s="301">
        <v>1997</v>
      </c>
      <c r="H350" s="200">
        <f>AVERAGEIFS(data!$T$2:$T$3404,data!$B$2:$B$3404,SumTbl!G350,data!$N$2:$N$3404,"&lt;&gt;headless",data!$L$2:$L$3404,"gravid")</f>
        <v>5.8396045197740118</v>
      </c>
      <c r="I350" s="306">
        <f t="array" ref="I350">STDEV(IF(data!$B$2:$B$3404=G350,IF(data!$T$2:$T$3404&lt;&gt;"",IF(data!$L$2:$L$3404="gravid",IF(data!$N$2:$N$3404&lt;&gt;"headless",data!$T$2:$T$3404)))))</f>
        <v>1.0310119486025617</v>
      </c>
      <c r="J350" s="301">
        <v>1998</v>
      </c>
      <c r="K350" s="200">
        <f>AVERAGEIFS(data!$T$2:$T$3404,data!$B$2:$B$3404,SumTbl!J350,data!$N$2:$N$3404,"&lt;&gt;headless",data!$L$2:$L$3404,"spent")</f>
        <v>5.1683870967741923</v>
      </c>
      <c r="L350" s="306">
        <f t="array" ref="L350">STDEV(IF(data!$B$2:$B$3404=J350,IF(data!$T$2:$T$3404&lt;&gt;"",IF(data!$L$2:$L$3404="spent",IF(data!$N$2:$N$3404&lt;&gt;"headless",data!$T$2:$T$3404)))))</f>
        <v>0.99317368999316202</v>
      </c>
    </row>
    <row r="351" spans="1:18" ht="12.75" customHeight="1" x14ac:dyDescent="0.2">
      <c r="A351" s="301">
        <v>1998</v>
      </c>
      <c r="B351" s="200">
        <f>AVERAGEIFS(data!$T$2:$T$3404,data!$B$2:$B$3404,SumTbl!A351,data!$N$2:$N$3404,"&lt;&gt;headless",data!$K$2:$K$3404,"female")</f>
        <v>5.3015094339622646</v>
      </c>
      <c r="C351" s="306">
        <f t="array" ref="C351">STDEV(IF(data!$B$2:$B$3404=A351,IF(data!$T$2:$T$3404&lt;&gt;"",IF(data!$K$2:$K$3404="female",IF(data!$N$2:$N$3404&lt;&gt;"headless",data!$T$2:$T$3404)))))</f>
        <v>0.97128858942527285</v>
      </c>
      <c r="D351" s="301">
        <v>1998</v>
      </c>
      <c r="E351" s="200">
        <f>AVERAGEIFS(data!$T$2:$T$3404,data!$B$2:$B$3404,SumTbl!D351,data!$N$2:$N$3404,"&lt;&gt;headless",data!$K$2:$K$3404,"male")</f>
        <v>4.5433333333333339</v>
      </c>
      <c r="F351" s="306">
        <f t="array" ref="F351">STDEV(IF(data!$B$2:$B$3404=D351,IF(data!$T$2:$T$3404&lt;&gt;"",IF(data!$K$2:$K$3404="male",IF(data!$N$2:$N$3404&lt;&gt;"headless",data!$T$2:$T$3404)))))</f>
        <v>0.9314683748433582</v>
      </c>
      <c r="G351" s="301">
        <v>1998</v>
      </c>
      <c r="H351" s="200">
        <f>AVERAGEIFS(data!$T$2:$T$3404,data!$B$2:$B$3404,SumTbl!G351,data!$N$2:$N$3404,"&lt;&gt;headless",data!$L$2:$L$3404,"gravid")</f>
        <v>5.7692307692307692</v>
      </c>
      <c r="I351" s="306">
        <f t="array" ref="I351">STDEV(IF(data!$B$2:$B$3404=G351,IF(data!$T$2:$T$3404&lt;&gt;"",IF(data!$L$2:$L$3404="gravid",IF(data!$N$2:$N$3404&lt;&gt;"headless",data!$T$2:$T$3404)))))</f>
        <v>0.6634940534581768</v>
      </c>
      <c r="J351" s="301">
        <v>1999</v>
      </c>
      <c r="K351" s="200">
        <f>AVERAGEIFS(data!$T$2:$T$3404,data!$B$2:$B$3404,SumTbl!J351,data!$N$2:$N$3404,"&lt;&gt;headless",data!$L$2:$L$3404,"spent")</f>
        <v>5.1380555555555567</v>
      </c>
      <c r="L351" s="306">
        <f t="array" ref="L351">STDEV(IF(data!$B$2:$B$3404=J351,IF(data!$T$2:$T$3404&lt;&gt;"",IF(data!$L$2:$L$3404="spent",IF(data!$N$2:$N$3404&lt;&gt;"headless",data!$T$2:$T$3404)))))</f>
        <v>0.8396421667912799</v>
      </c>
    </row>
    <row r="352" spans="1:18" ht="12.75" customHeight="1" x14ac:dyDescent="0.2">
      <c r="A352" s="301">
        <v>1999</v>
      </c>
      <c r="B352" s="200">
        <f>AVERAGEIFS(data!$T$2:$T$3404,data!$B$2:$B$3404,SumTbl!A352,data!$N$2:$N$3404,"&lt;&gt;headless",data!$K$2:$K$3404,"female")</f>
        <v>5.2422727272727281</v>
      </c>
      <c r="C352" s="306">
        <f t="array" ref="C352">STDEV(IF(data!$B$2:$B$3404=A352,IF(data!$T$2:$T$3404&lt;&gt;"",IF(data!$K$2:$K$3404="female",IF(data!$N$2:$N$3404&lt;&gt;"headless",data!$T$2:$T$3404)))))</f>
        <v>0.84139934283466811</v>
      </c>
      <c r="D352" s="301">
        <v>2000</v>
      </c>
      <c r="E352" s="200">
        <f>AVERAGEIFS(data!$T$2:$T$3404,data!$B$2:$B$3404,SumTbl!D352,data!$N$2:$N$3404,"&lt;&gt;headless",data!$K$2:$K$3404,"male")</f>
        <v>5.46</v>
      </c>
      <c r="F352" s="306">
        <f t="array" ref="F352">STDEV(IF(data!$B$2:$B$3404=D352,IF(data!$T$2:$T$3404&lt;&gt;"",IF(data!$K$2:$K$3404="male",IF(data!$N$2:$N$3404&lt;&gt;"headless",data!$T$2:$T$3404)))))</f>
        <v>0.62225396744416239</v>
      </c>
      <c r="G352" s="301">
        <v>1999</v>
      </c>
      <c r="H352" s="200">
        <f>AVERAGEIFS(data!$T$2:$T$3404,data!$B$2:$B$3404,SumTbl!G352,data!$N$2:$N$3404,"&lt;&gt;headless",data!$L$2:$L$3404,"gravid")</f>
        <v>5.7112499999999997</v>
      </c>
      <c r="I352" s="306">
        <f t="array" ref="I352">STDEV(IF(data!$B$2:$B$3404=G352,IF(data!$T$2:$T$3404&lt;&gt;"",IF(data!$L$2:$L$3404="gravid",IF(data!$N$2:$N$3404&lt;&gt;"headless",data!$T$2:$T$3404)))))</f>
        <v>0.71877748394657726</v>
      </c>
      <c r="J352" s="301">
        <v>2000</v>
      </c>
      <c r="K352" s="200">
        <f>AVERAGEIFS(data!$T$2:$T$3404,data!$B$2:$B$3404,SumTbl!J352,data!$N$2:$N$3404,"&lt;&gt;headless",data!$L$2:$L$3404,"spent")</f>
        <v>4.1159999999999988</v>
      </c>
      <c r="L352" s="306">
        <f t="array" ref="L352">STDEV(IF(data!$B$2:$B$3404=J352,IF(data!$T$2:$T$3404&lt;&gt;"",IF(data!$L$2:$L$3404="spent",IF(data!$N$2:$N$3404&lt;&gt;"headless",data!$T$2:$T$3404)))))</f>
        <v>0.62463827370165237</v>
      </c>
    </row>
    <row r="353" spans="1:12" ht="12.75" customHeight="1" x14ac:dyDescent="0.2">
      <c r="A353" s="301">
        <v>2000</v>
      </c>
      <c r="B353" s="200">
        <f>AVERAGEIFS(data!$T$2:$T$3404,data!$B$2:$B$3404,SumTbl!A353,data!$N$2:$N$3404,"&lt;&gt;headless",data!$K$2:$K$3404,"female")</f>
        <v>4.2052499999999995</v>
      </c>
      <c r="C353" s="306">
        <f t="array" ref="C353">STDEV(IF(data!$B$2:$B$3404=A353,IF(data!$T$2:$T$3404&lt;&gt;"",IF(data!$K$2:$K$3404="female",IF(data!$N$2:$N$3404&lt;&gt;"headless",data!$T$2:$T$3404)))))</f>
        <v>0.79334570337482391</v>
      </c>
      <c r="D353" s="301">
        <v>2001</v>
      </c>
      <c r="E353" s="200">
        <f>AVERAGEIFS(data!$T$2:$T$3404,data!$B$2:$B$3404,SumTbl!D353,data!$N$2:$N$3404,"&lt;&gt;headless",data!$K$2:$K$3404,"male")</f>
        <v>5.0599999999999996</v>
      </c>
      <c r="F353" s="306"/>
      <c r="G353" s="301">
        <v>2000</v>
      </c>
      <c r="H353" s="200">
        <f>AVERAGEIFS(data!$T$2:$T$3404,data!$B$2:$B$3404,SumTbl!G353,data!$N$2:$N$3404,"&lt;&gt;headless",data!$L$2:$L$3404,"gravid")</f>
        <v>6.7399999999999993</v>
      </c>
      <c r="I353" s="306">
        <f t="array" ref="I353">STDEV(IF(data!$B$2:$B$3404=G353,IF(data!$T$2:$T$3404&lt;&gt;"",IF(data!$L$2:$L$3404="gravid",IF(data!$N$2:$N$3404&lt;&gt;"headless",data!$T$2:$T$3404)))))</f>
        <v>0.20952326839756963</v>
      </c>
      <c r="J353" s="301">
        <v>2001</v>
      </c>
      <c r="K353" s="200">
        <f>AVERAGEIFS(data!$T$2:$T$3404,data!$B$2:$B$3404,SumTbl!J353,data!$N$2:$N$3404,"&lt;&gt;headless",data!$L$2:$L$3404,"spent")</f>
        <v>4.4665714285714291</v>
      </c>
      <c r="L353" s="306">
        <f t="array" ref="L353">STDEV(IF(data!$B$2:$B$3404=J353,IF(data!$T$2:$T$3404&lt;&gt;"",IF(data!$L$2:$L$3404="spent",IF(data!$N$2:$N$3404&lt;&gt;"headless",data!$T$2:$T$3404)))))</f>
        <v>0.62855916607651185</v>
      </c>
    </row>
    <row r="354" spans="1:12" ht="12.75" customHeight="1" x14ac:dyDescent="0.2">
      <c r="A354" s="301">
        <v>2001</v>
      </c>
      <c r="B354" s="200">
        <f>AVERAGEIFS(data!$T$2:$T$3404,data!$B$2:$B$3404,SumTbl!A354,data!$N$2:$N$3404,"&lt;&gt;headless",data!$K$2:$K$3404,"female")</f>
        <v>4.8112643678160927</v>
      </c>
      <c r="C354" s="306">
        <f t="array" ref="C354">STDEV(IF(data!$B$2:$B$3404=A354,IF(data!$T$2:$T$3404&lt;&gt;"",IF(data!$K$2:$K$3404="female",IF(data!$N$2:$N$3404&lt;&gt;"headless",data!$T$2:$T$3404)))))</f>
        <v>0.94281222648693652</v>
      </c>
      <c r="D354" s="301">
        <v>2002</v>
      </c>
      <c r="E354" s="200">
        <f>AVERAGEIFS(data!$T$2:$T$3404,data!$B$2:$B$3404,SumTbl!D354,data!$N$2:$N$3404,"&lt;&gt;headless",data!$K$2:$K$3404,"male")</f>
        <v>6.2349999999999994</v>
      </c>
      <c r="F354" s="306">
        <f t="array" ref="F354">STDEV(IF(data!$B$2:$B$3404=D354,IF(data!$T$2:$T$3404&lt;&gt;"",IF(data!$K$2:$K$3404="male",IF(data!$N$2:$N$3404&lt;&gt;"headless",data!$T$2:$T$3404)))))</f>
        <v>0.48320359506704247</v>
      </c>
      <c r="G354" s="301">
        <v>2001</v>
      </c>
      <c r="H354" s="200">
        <f>AVERAGEIFS(data!$T$2:$T$3404,data!$B$2:$B$3404,SumTbl!G354,data!$N$2:$N$3404,"&lt;&gt;headless",data!$L$2:$L$3404,"gravid")</f>
        <v>6.2305882352941175</v>
      </c>
      <c r="I354" s="306">
        <f t="array" ref="I354">STDEV(IF(data!$B$2:$B$3404=G354,IF(data!$T$2:$T$3404&lt;&gt;"",IF(data!$L$2:$L$3404="gravid",IF(data!$N$2:$N$3404&lt;&gt;"headless",data!$T$2:$T$3404)))))</f>
        <v>0.64327745363329891</v>
      </c>
      <c r="J354" s="301">
        <v>2002</v>
      </c>
      <c r="K354" s="200">
        <f>AVERAGEIFS(data!$T$2:$T$3404,data!$B$2:$B$3404,SumTbl!J354,data!$N$2:$N$3404,"&lt;&gt;headless",data!$L$2:$L$3404,"spent")</f>
        <v>4.5291891891891911</v>
      </c>
      <c r="L354" s="306">
        <f t="array" ref="L354">STDEV(IF(data!$B$2:$B$3404=J354,IF(data!$T$2:$T$3404&lt;&gt;"",IF(data!$L$2:$L$3404="spent",IF(data!$N$2:$N$3404&lt;&gt;"headless",data!$T$2:$T$3404)))))</f>
        <v>0.65269254075576399</v>
      </c>
    </row>
    <row r="355" spans="1:12" ht="12.75" customHeight="1" x14ac:dyDescent="0.2">
      <c r="A355" s="301">
        <v>2002</v>
      </c>
      <c r="B355" s="200">
        <f>AVERAGEIFS(data!$T$2:$T$3404,data!$B$2:$B$3404,SumTbl!A355,data!$N$2:$N$3404,"&lt;&gt;headless",data!$K$2:$K$3404,"female")</f>
        <v>5.2906395348837201</v>
      </c>
      <c r="C355" s="306">
        <f t="array" ref="C355">STDEV(IF(data!$B$2:$B$3404=A355,IF(data!$T$2:$T$3404&lt;&gt;"",IF(data!$K$2:$K$3404="female",IF(data!$N$2:$N$3404&lt;&gt;"headless",data!$T$2:$T$3404)))))</f>
        <v>1.0677150266231952</v>
      </c>
      <c r="D355" s="301">
        <v>2003</v>
      </c>
      <c r="E355" s="200">
        <f>AVERAGEIFS(data!$T$2:$T$3404,data!$B$2:$B$3404,SumTbl!D355,data!$N$2:$N$3404,"&lt;&gt;headless",data!$K$2:$K$3404,"male")</f>
        <v>5.75</v>
      </c>
      <c r="F355" s="306">
        <f t="array" ref="F355">STDEV(IF(data!$B$2:$B$3404=D355,IF(data!$T$2:$T$3404&lt;&gt;"",IF(data!$K$2:$K$3404="male",IF(data!$N$2:$N$3404&lt;&gt;"headless",data!$T$2:$T$3404)))))</f>
        <v>1.7799297738955875</v>
      </c>
      <c r="G355" s="301">
        <v>2002</v>
      </c>
      <c r="H355" s="200">
        <f>AVERAGEIFS(data!$T$2:$T$3404,data!$B$2:$B$3404,SumTbl!G355,data!$N$2:$N$3404,"&lt;&gt;headless",data!$L$2:$L$3404,"gravid")</f>
        <v>5.9376595744680865</v>
      </c>
      <c r="I355" s="306">
        <f t="array" ref="I355">STDEV(IF(data!$B$2:$B$3404=G355,IF(data!$T$2:$T$3404&lt;&gt;"",IF(data!$L$2:$L$3404="gravid",IF(data!$N$2:$N$3404&lt;&gt;"headless",data!$T$2:$T$3404)))))</f>
        <v>0.90674465058192211</v>
      </c>
      <c r="J355" s="301">
        <v>2003</v>
      </c>
      <c r="K355" s="200">
        <f>AVERAGEIFS(data!$T$2:$T$3404,data!$B$2:$B$3404,SumTbl!J355,data!$N$2:$N$3404,"&lt;&gt;headless",data!$L$2:$L$3404,"spent")</f>
        <v>4.4353846153846153</v>
      </c>
      <c r="L355" s="306">
        <f t="array" ref="L355">STDEV(IF(data!$B$2:$B$3404=J355,IF(data!$T$2:$T$3404&lt;&gt;"",IF(data!$L$2:$L$3404="spent",IF(data!$N$2:$N$3404&lt;&gt;"headless",data!$T$2:$T$3404)))))</f>
        <v>0.64949487276158913</v>
      </c>
    </row>
    <row r="356" spans="1:12" ht="12.75" customHeight="1" x14ac:dyDescent="0.2">
      <c r="A356" s="301">
        <v>2003</v>
      </c>
      <c r="B356" s="200">
        <f>AVERAGEIFS(data!$T$2:$T$3404,data!$B$2:$B$3404,SumTbl!A356,data!$N$2:$N$3404,"&lt;&gt;headless",data!$K$2:$K$3404,"female")</f>
        <v>6.0704411764705872</v>
      </c>
      <c r="C356" s="306">
        <f t="array" ref="C356">STDEV(IF(data!$B$2:$B$3404=A356,IF(data!$T$2:$T$3404&lt;&gt;"",IF(data!$K$2:$K$3404="female",IF(data!$N$2:$N$3404&lt;&gt;"headless",data!$T$2:$T$3404)))))</f>
        <v>2.0533070768182844</v>
      </c>
      <c r="D356" s="301">
        <v>2004</v>
      </c>
      <c r="E356" s="200">
        <f>AVERAGEIFS(data!$T$2:$T$3404,data!$B$2:$B$3404,SumTbl!D356,data!$N$2:$N$3404,"&lt;&gt;headless",data!$K$2:$K$3404,"male")</f>
        <v>7.08</v>
      </c>
      <c r="F356" s="306"/>
      <c r="G356" s="301">
        <v>2003</v>
      </c>
      <c r="H356" s="200">
        <f>AVERAGEIFS(data!$T$2:$T$3404,data!$B$2:$B$3404,SumTbl!G356,data!$N$2:$N$3404,"&lt;&gt;headless",data!$L$2:$L$3404,"gravid")</f>
        <v>6.4569090909090896</v>
      </c>
      <c r="I356" s="306">
        <f t="array" ref="I356">STDEV(IF(data!$B$2:$B$3404=G356,IF(data!$T$2:$T$3404&lt;&gt;"",IF(data!$L$2:$L$3404="gravid",IF(data!$N$2:$N$3404&lt;&gt;"headless",data!$T$2:$T$3404)))))</f>
        <v>2.083646974370831</v>
      </c>
      <c r="J356" s="301">
        <v>2004</v>
      </c>
      <c r="K356" s="200">
        <f>AVERAGEIFS(data!$T$2:$T$3404,data!$B$2:$B$3404,SumTbl!J356,data!$N$2:$N$3404,"&lt;&gt;headless",data!$L$2:$L$3404,"spent")</f>
        <v>5.1919607843137259</v>
      </c>
      <c r="L356" s="306">
        <f t="array" ref="L356">STDEV(IF(data!$B$2:$B$3404=J356,IF(data!$T$2:$T$3404&lt;&gt;"",IF(data!$L$2:$L$3404="spent",IF(data!$N$2:$N$3404&lt;&gt;"headless",data!$T$2:$T$3404)))))</f>
        <v>0.79073388597641714</v>
      </c>
    </row>
    <row r="357" spans="1:12" ht="12.75" customHeight="1" x14ac:dyDescent="0.2">
      <c r="A357" s="301">
        <v>2004</v>
      </c>
      <c r="B357" s="200">
        <f>AVERAGEIFS(data!$T$2:$T$3404,data!$B$2:$B$3404,SumTbl!A357,data!$N$2:$N$3404,"&lt;&gt;headless",data!$K$2:$K$3404,"female")</f>
        <v>5.2363333333333335</v>
      </c>
      <c r="C357" s="306">
        <f t="array" ref="C357">STDEV(IF(data!$B$2:$B$3404=A357,IF(data!$T$2:$T$3404&lt;&gt;"",IF(data!$K$2:$K$3404="female",IF(data!$N$2:$N$3404&lt;&gt;"headless",data!$T$2:$T$3404)))))</f>
        <v>0.83214552800292907</v>
      </c>
      <c r="D357" s="301">
        <v>2005</v>
      </c>
      <c r="E357" s="200">
        <f>AVERAGEIFS(data!$T$2:$T$3404,data!$B$2:$B$3404,SumTbl!D357,data!$N$2:$N$3404,"&lt;&gt;headless",data!$K$2:$K$3404,"male")</f>
        <v>4.333333333333333</v>
      </c>
      <c r="F357" s="306">
        <f t="array" ref="F357">STDEV(IF(data!$B$2:$B$3404=D357,IF(data!$T$2:$T$3404&lt;&gt;"",IF(data!$K$2:$K$3404="male",IF(data!$N$2:$N$3404&lt;&gt;"headless",data!$T$2:$T$3404)))))</f>
        <v>0.47521924764610829</v>
      </c>
      <c r="G357" s="301">
        <v>2004</v>
      </c>
      <c r="H357" s="200">
        <f>AVERAGEIFS(data!$T$2:$T$3404,data!$B$2:$B$3404,SumTbl!G357,data!$N$2:$N$3404,"&lt;&gt;headless",data!$L$2:$L$3404,"gravid")</f>
        <v>5.2648571428571422</v>
      </c>
      <c r="I357" s="306">
        <f t="array" ref="I357">STDEV(IF(data!$B$2:$B$3404=G357,IF(data!$T$2:$T$3404&lt;&gt;"",IF(data!$L$2:$L$3404="gravid",IF(data!$N$2:$N$3404&lt;&gt;"headless",data!$T$2:$T$3404)))))</f>
        <v>0.81158295371226097</v>
      </c>
      <c r="J357" s="301">
        <v>2005</v>
      </c>
      <c r="K357" s="200">
        <f>AVERAGEIFS(data!$T$2:$T$3404,data!$B$2:$B$3404,SumTbl!J357,data!$N$2:$N$3404,"&lt;&gt;headless",data!$L$2:$L$3404,"spent")</f>
        <v>4.0230645161290326</v>
      </c>
      <c r="L357" s="306">
        <f t="array" ref="L357">STDEV(IF(data!$B$2:$B$3404=J357,IF(data!$T$2:$T$3404&lt;&gt;"",IF(data!$L$2:$L$3404="spent",IF(data!$N$2:$N$3404&lt;&gt;"headless",data!$T$2:$T$3404)))))</f>
        <v>0.86680984491688962</v>
      </c>
    </row>
    <row r="358" spans="1:12" ht="12.75" customHeight="1" x14ac:dyDescent="0.2">
      <c r="A358" s="301">
        <v>2005</v>
      </c>
      <c r="B358" s="200">
        <f>AVERAGEIFS(data!$T$2:$T$3404,data!$B$2:$B$3404,SumTbl!A358,data!$N$2:$N$3404,"&lt;&gt;headless",data!$K$2:$K$3404,"female")</f>
        <v>4.0510344827586211</v>
      </c>
      <c r="C358" s="306">
        <f t="array" ref="C358">STDEV(IF(data!$B$2:$B$3404=A358,IF(data!$T$2:$T$3404&lt;&gt;"",IF(data!$K$2:$K$3404="female",IF(data!$N$2:$N$3404&lt;&gt;"headless",data!$T$2:$T$3404)))))</f>
        <v>0.85629411715611925</v>
      </c>
      <c r="D358" s="301">
        <v>2006</v>
      </c>
      <c r="E358" s="200">
        <f>AVERAGEIFS(data!$T$2:$T$3404,data!$B$2:$B$3404,SumTbl!D358,data!$N$2:$N$3404,"&lt;&gt;headless",data!$K$2:$K$3404,"male")</f>
        <v>5.63</v>
      </c>
      <c r="F358" s="306"/>
      <c r="G358" s="301">
        <v>2005</v>
      </c>
      <c r="H358" s="200">
        <f>AVERAGEIFS(data!$T$2:$T$3404,data!$B$2:$B$3404,SumTbl!G358,data!$N$2:$N$3404,"&lt;&gt;headless",data!$L$2:$L$3404,"gravid")</f>
        <v>4.54</v>
      </c>
      <c r="I358" s="306">
        <f t="array" ref="I358">STDEV(IF(data!$B$2:$B$3404=G358,IF(data!$T$2:$T$3404&lt;&gt;"",IF(data!$L$2:$L$3404="gravid",IF(data!$N$2:$N$3404&lt;&gt;"headless",data!$T$2:$T$3404)))))</f>
        <v>1.2123324626520555</v>
      </c>
      <c r="J358" s="301">
        <v>2006</v>
      </c>
      <c r="K358" s="200">
        <f>AVERAGEIFS(data!$T$2:$T$3404,data!$B$2:$B$3404,SumTbl!J358,data!$N$2:$N$3404,"&lt;&gt;headless",data!$L$2:$L$3404,"spent")</f>
        <v>3.6335294117647057</v>
      </c>
      <c r="L358" s="306">
        <f t="array" ref="L358">STDEV(IF(data!$B$2:$B$3404=J358,IF(data!$T$2:$T$3404&lt;&gt;"",IF(data!$L$2:$L$3404="spent",IF(data!$N$2:$N$3404&lt;&gt;"headless",data!$T$2:$T$3404)))))</f>
        <v>0.50461546221442943</v>
      </c>
    </row>
    <row r="359" spans="1:12" ht="12.75" customHeight="1" x14ac:dyDescent="0.2">
      <c r="A359" s="301">
        <v>2006</v>
      </c>
      <c r="B359" s="200">
        <f>AVERAGEIFS(data!$T$2:$T$3404,data!$B$2:$B$3404,SumTbl!A359,data!$N$2:$N$3404,"&lt;&gt;headless",data!$K$2:$K$3404,"female")</f>
        <v>3.7065000000000006</v>
      </c>
      <c r="C359" s="306">
        <f t="array" ref="C359">STDEV(IF(data!$B$2:$B$3404=A359,IF(data!$T$2:$T$3404&lt;&gt;"",IF(data!$K$2:$K$3404="female",IF(data!$N$2:$N$3404&lt;&gt;"headless",data!$T$2:$T$3404)))))</f>
        <v>0.60798437479921663</v>
      </c>
      <c r="D359" s="301">
        <v>2007</v>
      </c>
      <c r="E359" s="200">
        <f>AVERAGEIFS(data!$T$2:$T$3404,data!$B$2:$B$3404,SumTbl!D359,data!$N$2:$N$3404,"&lt;&gt;headless",data!$K$2:$K$3404,"male")</f>
        <v>5.79</v>
      </c>
      <c r="F359" s="306"/>
      <c r="G359" s="301">
        <v>2006</v>
      </c>
      <c r="H359" s="200">
        <f>AVERAGEIFS(data!$T$2:$T$3404,data!$B$2:$B$3404,SumTbl!G359,data!$N$2:$N$3404,"&lt;&gt;headless",data!$L$2:$L$3404,"gravid")</f>
        <v>5.36</v>
      </c>
      <c r="I359" s="306"/>
      <c r="J359" s="301">
        <v>2007</v>
      </c>
      <c r="K359" s="200">
        <f>AVERAGEIFS(data!$T$2:$T$3404,data!$B$2:$B$3404,SumTbl!J359,data!$N$2:$N$3404,"&lt;&gt;headless",data!$L$2:$L$3404,"spent")</f>
        <v>4.7831428571428578</v>
      </c>
      <c r="L359" s="306">
        <f t="array" ref="L359">STDEV(IF(data!$B$2:$B$3404=J359,IF(data!$T$2:$T$3404&lt;&gt;"",IF(data!$L$2:$L$3404="spent",IF(data!$N$2:$N$3404&lt;&gt;"headless",data!$T$2:$T$3404)))))</f>
        <v>0.49747345091825923</v>
      </c>
    </row>
    <row r="360" spans="1:12" ht="12.75" customHeight="1" x14ac:dyDescent="0.2">
      <c r="A360" s="301">
        <v>2007</v>
      </c>
      <c r="B360" s="200">
        <f>AVERAGEIFS(data!$T$2:$T$3404,data!$B$2:$B$3404,SumTbl!A360,data!$N$2:$N$3404,"&lt;&gt;headless",data!$K$2:$K$3404,"female")</f>
        <v>5.2099090909090924</v>
      </c>
      <c r="C360" s="306">
        <f t="array" ref="C360">STDEV(IF(data!$B$2:$B$3404=A360,IF(data!$T$2:$T$3404&lt;&gt;"",IF(data!$K$2:$K$3404="female",IF(data!$N$2:$N$3404&lt;&gt;"headless",data!$T$2:$T$3404)))))</f>
        <v>0.99868123635281469</v>
      </c>
      <c r="D360" s="301">
        <v>2010</v>
      </c>
      <c r="E360" s="200">
        <f>AVERAGEIFS(data!$T$2:$T$3404,data!$B$2:$B$3404,SumTbl!D360,data!$N$2:$N$3404,"&lt;&gt;headless",data!$K$2:$K$3404,"male")</f>
        <v>4.9400000000000004</v>
      </c>
      <c r="F360" s="306">
        <f t="array" ref="F360">STDEV(IF(data!$B$2:$B$3404=D360,IF(data!$T$2:$T$3404&lt;&gt;"",IF(data!$K$2:$K$3404="male",IF(data!$N$2:$N$3404&lt;&gt;"headless",data!$T$2:$T$3404)))))</f>
        <v>0.3122498999199198</v>
      </c>
      <c r="G360" s="301">
        <v>2007</v>
      </c>
      <c r="H360" s="200">
        <f>AVERAGEIFS(data!$T$2:$T$3404,data!$B$2:$B$3404,SumTbl!G360,data!$N$2:$N$3404,"&lt;&gt;headless",data!$L$2:$L$3404,"gravid")</f>
        <v>5.8477777777777762</v>
      </c>
      <c r="I360" s="306">
        <f t="array" ref="I360">STDEV(IF(data!$B$2:$B$3404=G360,IF(data!$T$2:$T$3404&lt;&gt;"",IF(data!$L$2:$L$3404="gravid",IF(data!$N$2:$N$3404&lt;&gt;"headless",data!$T$2:$T$3404)))))</f>
        <v>0.72807421564842711</v>
      </c>
      <c r="J360" s="301">
        <v>2008</v>
      </c>
      <c r="K360" s="200">
        <f>AVERAGEIFS(data!$T$2:$T$3404,data!$B$2:$B$3404,SumTbl!J360,data!$N$2:$N$3404,"&lt;&gt;headless",data!$L$2:$L$3404,"spent")</f>
        <v>4.538484848484849</v>
      </c>
      <c r="L360" s="306">
        <f t="array" ref="L360">STDEV(IF(data!$B$2:$B$3404=J360,IF(data!$T$2:$T$3404&lt;&gt;"",IF(data!$L$2:$L$3404="spent",IF(data!$N$2:$N$3404&lt;&gt;"headless",data!$T$2:$T$3404)))))</f>
        <v>0.70075013919068174</v>
      </c>
    </row>
    <row r="361" spans="1:12" ht="12.75" customHeight="1" x14ac:dyDescent="0.2">
      <c r="A361" s="301">
        <v>2008</v>
      </c>
      <c r="B361" s="200">
        <f>AVERAGEIFS(data!$T$2:$T$3404,data!$B$2:$B$3404,SumTbl!A361,data!$N$2:$N$3404,"&lt;&gt;headless",data!$K$2:$K$3404,"female")</f>
        <v>5.0584000000000007</v>
      </c>
      <c r="C361" s="306">
        <f t="array" ref="C361">STDEV(IF(data!$B$2:$B$3404=A361,IF(data!$T$2:$T$3404&lt;&gt;"",IF(data!$K$2:$K$3404="female",IF(data!$N$2:$N$3404&lt;&gt;"headless",data!$T$2:$T$3404)))))</f>
        <v>1.0344363741888116</v>
      </c>
      <c r="D361" s="301">
        <v>2011</v>
      </c>
      <c r="E361" s="200">
        <f>AVERAGEIFS(data!$T$2:$T$3404,data!$B$2:$B$3404,SumTbl!D361,data!$N$2:$N$3404,"&lt;&gt;headless",data!$K$2:$K$3404,"male")</f>
        <v>5.306923076923078</v>
      </c>
      <c r="F361" s="306">
        <f t="array" ref="F361">STDEV(IF(data!$B$2:$B$3404=D361,IF(data!$T$2:$T$3404&lt;&gt;"",IF(data!$K$2:$K$3404="male",IF(data!$N$2:$N$3404&lt;&gt;"headless",data!$T$2:$T$3404)))))</f>
        <v>1.3240959760705235</v>
      </c>
      <c r="G361" s="301">
        <v>2008</v>
      </c>
      <c r="H361" s="200">
        <f>AVERAGEIFS(data!$T$2:$T$3404,data!$B$2:$B$3404,SumTbl!G361,data!$N$2:$N$3404,"&lt;&gt;headless",data!$L$2:$L$3404,"gravid")</f>
        <v>6.0676470588235309</v>
      </c>
      <c r="I361" s="306">
        <f t="array" ref="I361">STDEV(IF(data!$B$2:$B$3404=G361,IF(data!$T$2:$T$3404&lt;&gt;"",IF(data!$L$2:$L$3404="gravid",IF(data!$N$2:$N$3404&lt;&gt;"headless",data!$T$2:$T$3404)))))</f>
        <v>0.80944062021067498</v>
      </c>
      <c r="J361" s="301">
        <v>2009</v>
      </c>
      <c r="K361" s="200">
        <f>AVERAGEIFS(data!$T$2:$T$3404,data!$B$2:$B$3404,SumTbl!J361,data!$N$2:$N$3404,"&lt;&gt;headless",data!$L$2:$L$3404,"spent")</f>
        <v>3.2936363636363635</v>
      </c>
      <c r="L361" s="306">
        <f t="array" ref="L361">STDEV(IF(data!$B$2:$B$3404=J361,IF(data!$T$2:$T$3404&lt;&gt;"",IF(data!$L$2:$L$3404="spent",IF(data!$N$2:$N$3404&lt;&gt;"headless",data!$T$2:$T$3404)))))</f>
        <v>0.62055253971396873</v>
      </c>
    </row>
    <row r="362" spans="1:12" ht="12.75" customHeight="1" x14ac:dyDescent="0.2">
      <c r="A362" s="301">
        <v>2009</v>
      </c>
      <c r="B362" s="200">
        <f>AVERAGEIFS(data!$T$2:$T$3404,data!$B$2:$B$3404,SumTbl!A362,data!$N$2:$N$3404,"&lt;&gt;headless",data!$K$2:$K$3404,"female")</f>
        <v>3.7700000000000005</v>
      </c>
      <c r="C362" s="306">
        <f t="array" ref="C362">STDEV(IF(data!$B$2:$B$3404=A362,IF(data!$T$2:$T$3404&lt;&gt;"",IF(data!$K$2:$K$3404="female",IF(data!$N$2:$N$3404&lt;&gt;"headless",data!$T$2:$T$3404)))))</f>
        <v>0.60932497329169022</v>
      </c>
      <c r="D362" s="301">
        <v>2012</v>
      </c>
      <c r="E362" s="200">
        <f>AVERAGEIFS(data!$T$2:$T$3404,data!$B$2:$B$3404,SumTbl!D362,data!$N$2:$N$3404,"&lt;&gt;headless",data!$K$2:$K$3404,"male")</f>
        <v>4.26</v>
      </c>
      <c r="F362" s="306"/>
      <c r="G362" s="301">
        <v>2009</v>
      </c>
      <c r="H362" s="200">
        <f>AVERAGEIFS(data!$T$2:$T$3404,data!$B$2:$B$3404,SumTbl!G362,data!$N$2:$N$3404,"&lt;&gt;headless",data!$L$2:$L$3404,"gravid")</f>
        <v>3.9506896551724129</v>
      </c>
      <c r="I362" s="306">
        <f t="array" ref="I362">STDEV(IF(data!$B$2:$B$3404=G362,IF(data!$T$2:$T$3404&lt;&gt;"",IF(data!$L$2:$L$3404="gravid",IF(data!$N$2:$N$3404&lt;&gt;"headless",data!$T$2:$T$3404)))))</f>
        <v>0.50659882010524571</v>
      </c>
      <c r="J362" s="301">
        <v>2010</v>
      </c>
      <c r="K362" s="200">
        <f>AVERAGEIFS(data!$T$2:$T$3404,data!$B$2:$B$3404,SumTbl!J362,data!$N$2:$N$3404,"&lt;&gt;headless",data!$L$2:$L$3404,"spent")</f>
        <v>2.87</v>
      </c>
      <c r="L362" s="306">
        <f t="array" ref="L362">STDEV(IF(data!$B$2:$B$3404=J362,IF(data!$T$2:$T$3404&lt;&gt;"",IF(data!$L$2:$L$3404="spent",IF(data!$N$2:$N$3404&lt;&gt;"headless",data!$T$2:$T$3404)))))</f>
        <v>0.24041630560342606</v>
      </c>
    </row>
    <row r="363" spans="1:12" ht="12.75" customHeight="1" x14ac:dyDescent="0.2">
      <c r="A363" s="301">
        <v>2010</v>
      </c>
      <c r="B363" s="200">
        <f>AVERAGEIFS(data!$T$2:$T$3404,data!$B$2:$B$3404,SumTbl!A363,data!$N$2:$N$3404,"&lt;&gt;headless",data!$K$2:$K$3404,"female")</f>
        <v>3.8789473684210529</v>
      </c>
      <c r="C363" s="306">
        <f t="array" ref="C363">STDEV(IF(data!$B$2:$B$3404=A363,IF(data!$T$2:$T$3404&lt;&gt;"",IF(data!$K$2:$K$3404="female",IF(data!$N$2:$N$3404&lt;&gt;"headless",data!$T$2:$T$3404)))))</f>
        <v>0.54874497959578505</v>
      </c>
      <c r="D363" s="291">
        <v>2013</v>
      </c>
      <c r="E363" s="200">
        <f>AVERAGEIFS(data!$T$2:$T$3404,data!$B$2:$B$3404,SumTbl!D363,data!$N$2:$N$3404,"&lt;&gt;headless",data!$K$2:$K$3404,"male")</f>
        <v>5.61</v>
      </c>
      <c r="F363" s="306"/>
      <c r="G363" s="301">
        <v>2010</v>
      </c>
      <c r="H363" s="200">
        <f>AVERAGEIFS(data!$T$2:$T$3404,data!$B$2:$B$3404,SumTbl!G363,data!$N$2:$N$3404,"&lt;&gt;headless",data!$L$2:$L$3404,"gravid")</f>
        <v>3.9976470588235289</v>
      </c>
      <c r="I363" s="306">
        <f t="array" ref="I363">STDEV(IF(data!$B$2:$B$3404=G363,IF(data!$T$2:$T$3404&lt;&gt;"",IF(data!$L$2:$L$3404="gravid",IF(data!$N$2:$N$3404&lt;&gt;"headless",data!$T$2:$T$3404)))))</f>
        <v>0.43923981792075967</v>
      </c>
      <c r="J363" s="301">
        <v>2011</v>
      </c>
      <c r="K363" s="200">
        <f>AVERAGEIFS(data!$T$2:$T$3404,data!$B$2:$B$3404,SumTbl!J363,data!$N$2:$N$3404,"&lt;&gt;headless",data!$L$2:$L$3404,"spent")</f>
        <v>3.7753125000000001</v>
      </c>
      <c r="L363" s="306">
        <f t="array" ref="L363">STDEV(IF(data!$B$2:$B$3404=J363,IF(data!$T$2:$T$3404&lt;&gt;"",IF(data!$L$2:$L$3404="spent",IF(data!$N$2:$N$3404&lt;&gt;"headless",data!$T$2:$T$3404)))))</f>
        <v>0.7155777470665039</v>
      </c>
    </row>
    <row r="364" spans="1:12" ht="12.75" customHeight="1" x14ac:dyDescent="0.2">
      <c r="A364" s="301">
        <v>2011</v>
      </c>
      <c r="B364" s="200">
        <f>AVERAGEIFS(data!$T$2:$T$3404,data!$B$2:$B$3404,SumTbl!A364,data!$N$2:$N$3404,"&lt;&gt;headless",data!$K$2:$K$3404,"female")</f>
        <v>4.818596491228071</v>
      </c>
      <c r="C364" s="306">
        <f t="array" ref="C364">STDEV(IF(data!$B$2:$B$3404=A364,IF(data!$T$2:$T$3404&lt;&gt;"",IF(data!$K$2:$K$3404="female",IF(data!$N$2:$N$3404&lt;&gt;"headless",data!$T$2:$T$3404)))))</f>
        <v>1.3837841989534279</v>
      </c>
      <c r="D364" s="291">
        <v>2016</v>
      </c>
      <c r="E364" s="200">
        <f>AVERAGEIFS(data!$T$2:$T$3404,data!$B$2:$B$3404,SumTbl!D364,data!$N$2:$N$3404,"&lt;&gt;headless",data!$K$2:$K$3404,"male")</f>
        <v>5.63</v>
      </c>
      <c r="F364" s="306"/>
      <c r="G364" s="301">
        <v>2011</v>
      </c>
      <c r="H364" s="200">
        <f>AVERAGEIFS(data!$T$2:$T$3404,data!$B$2:$B$3404,SumTbl!G364,data!$N$2:$N$3404,"&lt;&gt;headless",data!$L$2:$L$3404,"gravid")</f>
        <v>5.7744186046511627</v>
      </c>
      <c r="I364" s="306">
        <f t="array" ref="I364">STDEV(IF(data!$B$2:$B$3404=G364,IF(data!$T$2:$T$3404&lt;&gt;"",IF(data!$L$2:$L$3404="gravid",IF(data!$N$2:$N$3404&lt;&gt;"headless",data!$T$2:$T$3404)))))</f>
        <v>0.91012375486493258</v>
      </c>
      <c r="J364" s="301">
        <v>2012</v>
      </c>
      <c r="K364" s="200">
        <f>AVERAGEIFS(data!$T$2:$T$3404,data!$B$2:$B$3404,SumTbl!J364,data!$N$2:$N$3404,"&lt;&gt;headless",data!$L$2:$L$3404,"spent")</f>
        <v>3.1223076923076922</v>
      </c>
      <c r="L364" s="306">
        <f t="array" ref="L364">STDEV(IF(data!$B$2:$B$3404=J364,IF(data!$T$2:$T$3404&lt;&gt;"",IF(data!$L$2:$L$3404="spent",IF(data!$N$2:$N$3404&lt;&gt;"headless",data!$T$2:$T$3404)))))</f>
        <v>0.53613363190072427</v>
      </c>
    </row>
    <row r="365" spans="1:12" ht="12.75" customHeight="1" x14ac:dyDescent="0.2">
      <c r="A365" s="301">
        <v>2012</v>
      </c>
      <c r="B365" s="200">
        <f>AVERAGEIFS(data!$T$2:$T$3404,data!$B$2:$B$3404,SumTbl!A365,data!$N$2:$N$3404,"&lt;&gt;headless",data!$K$2:$K$3404,"female")</f>
        <v>3.3535443037974693</v>
      </c>
      <c r="C365" s="306">
        <f t="array" ref="C365">STDEV(IF(data!$B$2:$B$3404=A365,IF(data!$T$2:$T$3404&lt;&gt;"",IF(data!$K$2:$K$3404="female",IF(data!$N$2:$N$3404&lt;&gt;"headless",data!$T$2:$T$3404)))))</f>
        <v>0.63577539570294261</v>
      </c>
      <c r="D365" s="304">
        <v>2017</v>
      </c>
      <c r="E365" s="225">
        <f>AVERAGEIFS(data!$T$2:$T$3404,data!$B$2:$B$3404,SumTbl!D365,data!$N$2:$N$3404,"&lt;&gt;headless",data!$K$2:$K$3404,"male")</f>
        <v>6.81</v>
      </c>
      <c r="F365" s="310"/>
      <c r="G365" s="301">
        <v>2012</v>
      </c>
      <c r="H365" s="200">
        <f>AVERAGEIFS(data!$T$2:$T$3404,data!$B$2:$B$3404,SumTbl!G365,data!$N$2:$N$3404,"&lt;&gt;headless",data!$L$2:$L$3404,"gravid")</f>
        <v>3.8049999999999997</v>
      </c>
      <c r="I365" s="306">
        <f t="array" ref="I365">STDEV(IF(data!$B$2:$B$3404=G365,IF(data!$T$2:$T$3404&lt;&gt;"",IF(data!$L$2:$L$3404="gravid",IF(data!$N$2:$N$3404&lt;&gt;"headless",data!$T$2:$T$3404)))))</f>
        <v>0.52100532792298659</v>
      </c>
      <c r="J365" s="291">
        <v>2013</v>
      </c>
      <c r="K365" s="200">
        <f>AVERAGEIFS(data!$T$2:$T$3404,data!$B$2:$B$3404,SumTbl!J365,data!$N$2:$N$3404,"&lt;&gt;headless",data!$L$2:$L$3404,"spent")</f>
        <v>3.6512499999999997</v>
      </c>
      <c r="L365" s="306">
        <f t="array" ref="L365">STDEV(IF(data!$B$2:$B$3404=J365,IF(data!$T$2:$T$3404&lt;&gt;"",IF(data!$L$2:$L$3404="spent",IF(data!$N$2:$N$3404&lt;&gt;"headless",data!$T$2:$T$3404)))))</f>
        <v>0.498547569934085</v>
      </c>
    </row>
    <row r="366" spans="1:12" ht="12.75" customHeight="1" x14ac:dyDescent="0.2">
      <c r="A366" s="291">
        <v>2013</v>
      </c>
      <c r="B366" s="200">
        <f>AVERAGEIFS(data!$T$2:$T$3404,data!$B$2:$B$3404,SumTbl!A366,data!$N$2:$N$3404,"&lt;&gt;headless",data!$K$2:$K$3404,"female")</f>
        <v>3.7395744680851055</v>
      </c>
      <c r="C366" s="306">
        <f t="array" ref="C366">STDEV(IF(data!$B$2:$B$3404=A366,IF(data!$T$2:$T$3404&lt;&gt;"",IF(data!$K$2:$K$3404="female",IF(data!$N$2:$N$3404&lt;&gt;"headless",data!$T$2:$T$3404)))))</f>
        <v>0.63544560690428276</v>
      </c>
      <c r="D366" s="45"/>
      <c r="E366" s="230"/>
      <c r="F366" s="230"/>
      <c r="G366" s="291">
        <v>2013</v>
      </c>
      <c r="H366" s="200">
        <f>AVERAGEIFS(data!$T$2:$T$3404,data!$B$2:$B$3404,SumTbl!G366,data!$N$2:$N$3404,"&lt;&gt;headless",data!$L$2:$L$3404,"gravid")</f>
        <v>4.2442857142857138</v>
      </c>
      <c r="I366" s="306">
        <f t="array" ref="I366">STDEV(IF(data!$B$2:$B$3404=G366,IF(data!$T$2:$T$3404&lt;&gt;"",IF(data!$L$2:$L$3404="gravid",IF(data!$N$2:$N$3404&lt;&gt;"headless",data!$T$2:$T$3404)))))</f>
        <v>1.0634669269713579</v>
      </c>
      <c r="J366" s="291">
        <v>2014</v>
      </c>
      <c r="K366" s="200">
        <f>AVERAGEIFS(data!$T$2:$T$3404,data!$B$2:$B$3404,SumTbl!J366,data!$N$2:$N$3404,"&lt;&gt;headless",data!$L$2:$L$3404,"spent")</f>
        <v>4.1112068965517237</v>
      </c>
      <c r="L366" s="306">
        <f t="array" ref="L366">STDEV(IF(data!$B$2:$B$3404=J366,IF(data!$T$2:$T$3404&lt;&gt;"",IF(data!$L$2:$L$3404="spent",IF(data!$N$2:$N$3404&lt;&gt;"headless",data!$T$2:$T$3404)))))</f>
        <v>0.82394659507188761</v>
      </c>
    </row>
    <row r="367" spans="1:12" ht="12.75" customHeight="1" x14ac:dyDescent="0.2">
      <c r="A367" s="291">
        <v>2014</v>
      </c>
      <c r="B367" s="200">
        <f>AVERAGEIFS(data!$T$2:$T$3404,data!$B$2:$B$3404,SumTbl!A367,data!$N$2:$N$3404,"&lt;&gt;headless",data!$K$2:$K$3404,"female")</f>
        <v>4.2334920634920632</v>
      </c>
      <c r="C367" s="306">
        <f t="array" ref="C367">STDEV(IF(data!$B$2:$B$3404=A367,IF(data!$T$2:$T$3404&lt;&gt;"",IF(data!$K$2:$K$3404="female",IF(data!$N$2:$N$3404&lt;&gt;"headless",data!$T$2:$T$3404)))))</f>
        <v>0.9018603688687078</v>
      </c>
      <c r="D367" s="118"/>
      <c r="E367" s="230"/>
      <c r="F367" s="230"/>
      <c r="G367" s="291">
        <v>2014</v>
      </c>
      <c r="H367" s="200">
        <f>AVERAGEIFS(data!$T$2:$T$3404,data!$B$2:$B$3404,SumTbl!G367,data!$N$2:$N$3404,"&lt;&gt;headless",data!$L$2:$L$3404,"gravid")</f>
        <v>5.6520000000000001</v>
      </c>
      <c r="I367" s="306">
        <f t="array" ref="I367">STDEV(IF(data!$B$2:$B$3404=G367,IF(data!$T$2:$T$3404&lt;&gt;"",IF(data!$L$2:$L$3404="gravid",IF(data!$N$2:$N$3404&lt;&gt;"headless",data!$T$2:$T$3404)))))</f>
        <v>0.44807365465958837</v>
      </c>
      <c r="J367" s="291">
        <v>2016</v>
      </c>
      <c r="K367" s="200">
        <f>AVERAGEIFS(data!$T$2:$T$3404,data!$B$2:$B$3404,SumTbl!J367,data!$N$2:$N$3404,"&lt;&gt;headless",data!$L$2:$L$3404,"spent")</f>
        <v>3.9352941176470591</v>
      </c>
      <c r="L367" s="306">
        <f t="array" ref="L367">STDEV(IF(data!$B$2:$B$3404=J367,IF(data!$T$2:$T$3404&lt;&gt;"",IF(data!$L$2:$L$3404="spent",IF(data!$N$2:$N$3404&lt;&gt;"headless",data!$T$2:$T$3404)))))</f>
        <v>0.49862457880476702</v>
      </c>
    </row>
    <row r="368" spans="1:12" ht="12.75" customHeight="1" x14ac:dyDescent="0.2">
      <c r="A368" s="291">
        <v>2016</v>
      </c>
      <c r="B368" s="200">
        <f>AVERAGEIFS(data!$T$2:$T$3404,data!$B$2:$B$3404,SumTbl!A368,data!$N$2:$N$3404,"&lt;&gt;headless",data!$K$2:$K$3404,"female")</f>
        <v>4.0266666666666664</v>
      </c>
      <c r="C368" s="306">
        <f t="array" ref="C368">STDEV(IF(data!$B$2:$B$3404=A368,IF(data!$T$2:$T$3404&lt;&gt;"",IF(data!$K$2:$K$3404="female",IF(data!$N$2:$N$3404&lt;&gt;"headless",data!$T$2:$T$3404)))))</f>
        <v>0.63779568306264012</v>
      </c>
      <c r="D368" s="118"/>
      <c r="E368" s="104"/>
      <c r="F368" s="73"/>
      <c r="G368" s="291">
        <v>2016</v>
      </c>
      <c r="H368" s="200">
        <f>AVERAGEIFS(data!$T$2:$T$3404,data!$B$2:$B$3404,SumTbl!G368,data!$N$2:$N$3404,"&lt;&gt;headless",data!$L$2:$L$3404,"gravid")</f>
        <v>4.415</v>
      </c>
      <c r="I368" s="306">
        <f t="array" ref="I368">STDEV(IF(data!$B$2:$B$3404=G368,IF(data!$T$2:$T$3404&lt;&gt;"",IF(data!$L$2:$L$3404="gravid",IF(data!$N$2:$N$3404&lt;&gt;"headless",data!$T$2:$T$3404)))))</f>
        <v>1.0665364503850763</v>
      </c>
      <c r="J368" s="308">
        <v>2017</v>
      </c>
      <c r="K368" s="225">
        <f>AVERAGEIFS(data!$T$2:$T$3404,data!$B$2:$B$3404,SumTbl!J368,data!$N$2:$N$3404,"&lt;&gt;headless",data!$L$2:$L$3404,"spent")</f>
        <v>5.0263999999999989</v>
      </c>
      <c r="L368" s="310">
        <f t="array" ref="L368">STDEV(IF(data!$B$2:$B$3404=J368,IF(data!$T$2:$T$3404&lt;&gt;"",IF(data!$L$2:$L$3404="spent",IF(data!$N$2:$N$3404&lt;&gt;"headless",data!$T$2:$T$3404)))))</f>
        <v>0.70829130407522278</v>
      </c>
    </row>
    <row r="369" spans="1:15" ht="12.75" customHeight="1" x14ac:dyDescent="0.2">
      <c r="A369" s="304">
        <v>2017</v>
      </c>
      <c r="B369" s="225">
        <f>AVERAGEIFS(data!$T$2:$T$3404,data!$B$2:$B$3404,SumTbl!A369,data!$N$2:$N$3404,"&lt;&gt;headless",data!$K$2:$K$3404,"female")</f>
        <v>5.7008333333333336</v>
      </c>
      <c r="C369" s="310">
        <f t="array" ref="C369">STDEV(IF(data!$B$2:$B$3404=A369,IF(data!$T$2:$T$3404&lt;&gt;"",IF(data!$K$2:$K$3404="female",IF(data!$N$2:$N$3404&lt;&gt;"headless",data!$T$2:$T$3404)))))</f>
        <v>1.5699473918205367</v>
      </c>
      <c r="D369" s="230"/>
      <c r="E369" s="142"/>
      <c r="F369" s="73"/>
      <c r="G369" s="308">
        <v>2017</v>
      </c>
      <c r="H369" s="225">
        <f>AVERAGEIFS(data!$T$2:$T$3404,data!$B$2:$B$3404,SumTbl!G369,data!$N$2:$N$3404,"&lt;&gt;headless",data!$L$2:$L$3404,"gravid")</f>
        <v>6.2822413793103467</v>
      </c>
      <c r="I369" s="310">
        <f t="array" ref="I369">STDEV(IF(data!$B$2:$B$3404=G369,IF(data!$T$2:$T$3404&lt;&gt;"",IF(data!$L$2:$L$3404="gravid",IF(data!$N$2:$N$3404&lt;&gt;"headless",data!$T$2:$T$3404)))))</f>
        <v>1.8581041489736594</v>
      </c>
      <c r="J369" s="307"/>
      <c r="K369" s="307"/>
      <c r="L369" s="309"/>
    </row>
    <row r="370" spans="1:15" ht="12.75" customHeight="1" x14ac:dyDescent="0.2">
      <c r="A370" s="230"/>
      <c r="B370" s="230"/>
      <c r="C370" s="45"/>
      <c r="D370" s="45"/>
      <c r="E370" s="230"/>
      <c r="F370" s="230"/>
      <c r="G370" s="230"/>
      <c r="H370" s="230"/>
      <c r="I370" s="230"/>
      <c r="J370" s="230"/>
      <c r="K370" s="45"/>
      <c r="L370" s="45"/>
      <c r="M370" s="45"/>
      <c r="N370" s="45"/>
      <c r="O370" s="11"/>
    </row>
    <row r="371" spans="1:15" ht="12.75" customHeight="1" x14ac:dyDescent="0.2">
      <c r="A371" s="230"/>
      <c r="B371" s="230"/>
      <c r="C371" s="230"/>
      <c r="D371" s="230"/>
      <c r="E371" s="45"/>
      <c r="F371" s="55"/>
      <c r="G371" s="174"/>
      <c r="H371" s="230"/>
      <c r="I371" s="230"/>
      <c r="J371" s="230"/>
      <c r="K371" s="45"/>
      <c r="L371" s="45"/>
      <c r="M371" s="45"/>
      <c r="N371" s="45"/>
      <c r="O371" s="11"/>
    </row>
    <row r="372" spans="1:15" ht="12.75" customHeight="1" x14ac:dyDescent="0.2">
      <c r="A372" s="230"/>
      <c r="B372" s="230"/>
      <c r="C372" s="230"/>
      <c r="D372" s="230"/>
      <c r="E372" s="45"/>
      <c r="F372" s="55"/>
      <c r="G372" s="174"/>
      <c r="H372" s="104"/>
      <c r="I372" s="45"/>
      <c r="J372" s="45"/>
      <c r="K372" s="230"/>
      <c r="L372" s="230"/>
      <c r="M372" s="230"/>
      <c r="N372" s="230"/>
      <c r="O372" s="11"/>
    </row>
    <row r="373" spans="1:15" ht="12.75" customHeight="1" x14ac:dyDescent="0.2">
      <c r="A373" s="55"/>
      <c r="B373" s="230"/>
      <c r="C373" s="230"/>
      <c r="D373" s="230"/>
      <c r="E373" s="154"/>
      <c r="F373" s="230"/>
      <c r="G373" s="230"/>
      <c r="H373" s="104"/>
      <c r="I373" s="45"/>
      <c r="J373" s="45"/>
      <c r="K373" s="230"/>
      <c r="L373" s="230"/>
      <c r="M373" s="230"/>
      <c r="N373" s="230"/>
      <c r="O373" s="11"/>
    </row>
    <row r="374" spans="1:15" ht="12.75" customHeight="1" x14ac:dyDescent="0.2">
      <c r="A374" s="104"/>
      <c r="B374" s="45"/>
      <c r="C374" s="45"/>
      <c r="D374" s="45"/>
      <c r="E374" s="45"/>
      <c r="F374" s="175"/>
      <c r="G374" s="45"/>
      <c r="H374" s="104"/>
      <c r="I374" s="45"/>
      <c r="J374" s="45"/>
      <c r="K374" s="45"/>
      <c r="L374" s="45"/>
      <c r="M374" s="45"/>
      <c r="N374" s="230"/>
      <c r="O374" s="11"/>
    </row>
    <row r="375" spans="1:15" ht="12.75" customHeight="1" x14ac:dyDescent="0.2">
      <c r="A375" s="45"/>
      <c r="B375" s="45"/>
      <c r="C375" s="104"/>
      <c r="D375" s="104"/>
      <c r="E375" s="155"/>
      <c r="F375" s="45"/>
      <c r="G375" s="45"/>
      <c r="H375" s="45"/>
      <c r="I375" s="104"/>
      <c r="J375" s="104"/>
      <c r="K375" s="104"/>
      <c r="L375" s="155"/>
      <c r="M375" s="175"/>
      <c r="N375" s="45"/>
      <c r="O375" s="11"/>
    </row>
    <row r="376" spans="1:15" ht="12.75" customHeight="1" x14ac:dyDescent="0.2">
      <c r="A376" s="45"/>
      <c r="B376" s="73"/>
      <c r="C376" s="118"/>
      <c r="D376" s="55"/>
      <c r="E376" s="118"/>
      <c r="F376" s="156"/>
      <c r="G376" s="104"/>
      <c r="H376" s="45"/>
      <c r="I376" s="73"/>
      <c r="J376" s="118"/>
      <c r="K376" s="118"/>
      <c r="L376" s="118"/>
      <c r="M376" s="156"/>
      <c r="N376" s="230"/>
      <c r="O376" s="11"/>
    </row>
    <row r="377" spans="1:15" ht="12.75" customHeight="1" x14ac:dyDescent="0.2">
      <c r="A377" s="45"/>
      <c r="B377" s="73"/>
      <c r="C377" s="118"/>
      <c r="D377" s="118"/>
      <c r="E377" s="118"/>
      <c r="F377" s="156"/>
      <c r="G377" s="104"/>
      <c r="H377" s="45"/>
      <c r="I377" s="73"/>
      <c r="J377" s="118"/>
      <c r="K377" s="118"/>
      <c r="L377" s="118"/>
      <c r="M377" s="156"/>
      <c r="N377" s="230"/>
      <c r="O377" s="11"/>
    </row>
    <row r="378" spans="1:15" ht="12.75" customHeight="1" x14ac:dyDescent="0.2">
      <c r="A378" s="45"/>
      <c r="B378" s="73"/>
      <c r="C378" s="118"/>
      <c r="D378" s="118"/>
      <c r="E378" s="118"/>
      <c r="F378" s="156"/>
      <c r="G378" s="104"/>
      <c r="H378" s="45"/>
      <c r="I378" s="73"/>
      <c r="J378" s="118"/>
      <c r="K378" s="118"/>
      <c r="L378" s="118"/>
      <c r="M378" s="156"/>
      <c r="N378" s="230"/>
      <c r="O378" s="11"/>
    </row>
    <row r="379" spans="1:15" ht="12.75" customHeight="1" x14ac:dyDescent="0.2">
      <c r="A379" s="45"/>
      <c r="B379" s="73"/>
      <c r="C379" s="118"/>
      <c r="D379" s="118"/>
      <c r="E379" s="118"/>
      <c r="F379" s="156"/>
      <c r="G379" s="104"/>
      <c r="H379" s="45"/>
      <c r="I379" s="73"/>
      <c r="J379" s="118"/>
      <c r="K379" s="73"/>
      <c r="L379" s="118"/>
      <c r="M379" s="156"/>
      <c r="N379" s="230"/>
      <c r="O379" s="11"/>
    </row>
    <row r="380" spans="1:15" ht="12.75" customHeight="1" x14ac:dyDescent="0.2">
      <c r="A380" s="45"/>
      <c r="B380" s="73"/>
      <c r="C380" s="118"/>
      <c r="D380" s="73"/>
      <c r="E380" s="118"/>
      <c r="F380" s="156"/>
      <c r="G380" s="104"/>
      <c r="H380" s="45"/>
      <c r="I380" s="73"/>
      <c r="J380" s="118"/>
      <c r="K380" s="73"/>
      <c r="L380" s="118"/>
      <c r="M380" s="156"/>
      <c r="N380" s="230"/>
      <c r="O380" s="11"/>
    </row>
    <row r="381" spans="1:15" ht="12.75" customHeight="1" x14ac:dyDescent="0.2">
      <c r="A381" s="45"/>
      <c r="B381" s="73"/>
      <c r="C381" s="118"/>
      <c r="D381" s="73"/>
      <c r="E381" s="118"/>
      <c r="F381" s="156"/>
      <c r="G381" s="104"/>
      <c r="H381" s="45"/>
      <c r="I381" s="73"/>
      <c r="J381" s="118"/>
      <c r="K381" s="118"/>
      <c r="L381" s="118"/>
      <c r="M381" s="156"/>
      <c r="N381" s="230"/>
      <c r="O381" s="11"/>
    </row>
    <row r="382" spans="1:15" ht="12.75" customHeight="1" x14ac:dyDescent="0.2">
      <c r="A382" s="45"/>
      <c r="B382" s="73"/>
      <c r="C382" s="118"/>
      <c r="D382" s="118"/>
      <c r="E382" s="118"/>
      <c r="F382" s="156"/>
      <c r="G382" s="104"/>
      <c r="H382" s="45"/>
      <c r="I382" s="73"/>
      <c r="J382" s="118"/>
      <c r="K382" s="118"/>
      <c r="L382" s="118"/>
      <c r="M382" s="156"/>
      <c r="N382" s="230"/>
      <c r="O382" s="11"/>
    </row>
    <row r="383" spans="1:15" ht="12.75" customHeight="1" x14ac:dyDescent="0.2">
      <c r="A383" s="45"/>
      <c r="B383" s="73"/>
      <c r="C383" s="118"/>
      <c r="D383" s="118"/>
      <c r="E383" s="118"/>
      <c r="F383" s="156"/>
      <c r="G383" s="104"/>
      <c r="H383" s="45"/>
      <c r="I383" s="73"/>
      <c r="J383" s="118"/>
      <c r="K383" s="118"/>
      <c r="L383" s="118"/>
      <c r="M383" s="156"/>
      <c r="N383" s="230"/>
      <c r="O383" s="11"/>
    </row>
    <row r="384" spans="1:15" ht="12.75" customHeight="1" x14ac:dyDescent="0.2">
      <c r="A384" s="45"/>
      <c r="B384" s="73"/>
      <c r="C384" s="118"/>
      <c r="D384" s="118"/>
      <c r="E384" s="118"/>
      <c r="F384" s="156"/>
      <c r="G384" s="104"/>
      <c r="H384" s="45"/>
      <c r="I384" s="73"/>
      <c r="J384" s="118"/>
      <c r="K384" s="118"/>
      <c r="L384" s="118"/>
      <c r="M384" s="156"/>
      <c r="N384" s="230"/>
      <c r="O384" s="11"/>
    </row>
    <row r="385" spans="1:15" ht="12.75" customHeight="1" x14ac:dyDescent="0.2">
      <c r="A385" s="45"/>
      <c r="B385" s="73"/>
      <c r="C385" s="118"/>
      <c r="D385" s="118"/>
      <c r="E385" s="118"/>
      <c r="F385" s="156"/>
      <c r="G385" s="104"/>
      <c r="H385" s="45"/>
      <c r="I385" s="73"/>
      <c r="J385" s="118"/>
      <c r="K385" s="118"/>
      <c r="L385" s="118"/>
      <c r="M385" s="156"/>
      <c r="N385" s="230"/>
      <c r="O385" s="11"/>
    </row>
    <row r="386" spans="1:15" ht="12.75" customHeight="1" x14ac:dyDescent="0.2">
      <c r="A386" s="45"/>
      <c r="B386" s="73"/>
      <c r="C386" s="118"/>
      <c r="D386" s="118"/>
      <c r="E386" s="118"/>
      <c r="F386" s="156"/>
      <c r="G386" s="104"/>
      <c r="H386" s="45"/>
      <c r="I386" s="73"/>
      <c r="J386" s="118"/>
      <c r="K386" s="118"/>
      <c r="L386" s="118"/>
      <c r="M386" s="156"/>
      <c r="N386" s="230"/>
      <c r="O386" s="11"/>
    </row>
    <row r="387" spans="1:15" ht="12.75" customHeight="1" x14ac:dyDescent="0.2">
      <c r="A387" s="45"/>
      <c r="B387" s="73"/>
      <c r="C387" s="118"/>
      <c r="D387" s="118"/>
      <c r="E387" s="118"/>
      <c r="F387" s="156"/>
      <c r="G387" s="104"/>
      <c r="H387" s="45"/>
      <c r="I387" s="73"/>
      <c r="J387" s="118"/>
      <c r="K387" s="118"/>
      <c r="L387" s="118"/>
      <c r="M387" s="156"/>
      <c r="N387" s="230"/>
      <c r="O387" s="11"/>
    </row>
    <row r="388" spans="1:15" ht="12.75" customHeight="1" x14ac:dyDescent="0.2">
      <c r="A388" s="45"/>
      <c r="B388" s="73"/>
      <c r="C388" s="118"/>
      <c r="D388" s="118"/>
      <c r="E388" s="118"/>
      <c r="F388" s="156"/>
      <c r="G388" s="104"/>
      <c r="H388" s="45"/>
      <c r="I388" s="73"/>
      <c r="J388" s="118"/>
      <c r="K388" s="118"/>
      <c r="L388" s="118"/>
      <c r="M388" s="156"/>
      <c r="N388" s="230"/>
      <c r="O388" s="11"/>
    </row>
    <row r="389" spans="1:15" ht="12.75" customHeight="1" x14ac:dyDescent="0.2">
      <c r="A389" s="45"/>
      <c r="B389" s="73"/>
      <c r="C389" s="118"/>
      <c r="D389" s="118"/>
      <c r="E389" s="118"/>
      <c r="F389" s="156"/>
      <c r="G389" s="104"/>
      <c r="H389" s="45"/>
      <c r="I389" s="73"/>
      <c r="J389" s="118"/>
      <c r="K389" s="118"/>
      <c r="L389" s="118"/>
      <c r="M389" s="156"/>
      <c r="N389" s="230"/>
      <c r="O389" s="11"/>
    </row>
    <row r="390" spans="1:15" ht="12.75" customHeight="1" x14ac:dyDescent="0.2">
      <c r="A390" s="45"/>
      <c r="B390" s="73"/>
      <c r="C390" s="118"/>
      <c r="D390" s="118"/>
      <c r="E390" s="118"/>
      <c r="F390" s="156"/>
      <c r="G390" s="104"/>
      <c r="H390" s="45"/>
      <c r="I390" s="73"/>
      <c r="J390" s="118"/>
      <c r="K390" s="118"/>
      <c r="L390" s="118"/>
      <c r="M390" s="156"/>
      <c r="N390" s="230"/>
      <c r="O390" s="11"/>
    </row>
    <row r="391" spans="1:15" ht="12.75" customHeight="1" x14ac:dyDescent="0.2">
      <c r="A391" s="45"/>
      <c r="B391" s="73"/>
      <c r="C391" s="118"/>
      <c r="D391" s="118"/>
      <c r="E391" s="118"/>
      <c r="F391" s="156"/>
      <c r="G391" s="104"/>
      <c r="H391" s="45"/>
      <c r="I391" s="73"/>
      <c r="J391" s="118"/>
      <c r="K391" s="118"/>
      <c r="L391" s="118"/>
      <c r="M391" s="156"/>
      <c r="N391" s="230"/>
      <c r="O391" s="11"/>
    </row>
    <row r="392" spans="1:15" ht="12.75" customHeight="1" x14ac:dyDescent="0.2">
      <c r="A392" s="45"/>
      <c r="B392" s="73"/>
      <c r="C392" s="118"/>
      <c r="D392" s="118"/>
      <c r="E392" s="118"/>
      <c r="F392" s="156"/>
      <c r="G392" s="104"/>
      <c r="H392" s="45"/>
      <c r="I392" s="73"/>
      <c r="J392" s="118"/>
      <c r="K392" s="118"/>
      <c r="L392" s="118"/>
      <c r="M392" s="156"/>
      <c r="N392" s="230"/>
      <c r="O392" s="11"/>
    </row>
    <row r="393" spans="1:15" ht="12.75" customHeight="1" x14ac:dyDescent="0.2">
      <c r="A393" s="45"/>
      <c r="B393" s="73"/>
      <c r="C393" s="118"/>
      <c r="D393" s="118"/>
      <c r="E393" s="118"/>
      <c r="F393" s="156"/>
      <c r="G393" s="104"/>
      <c r="H393" s="45"/>
      <c r="I393" s="73"/>
      <c r="J393" s="118"/>
      <c r="K393" s="118"/>
      <c r="L393" s="118"/>
      <c r="M393" s="156"/>
      <c r="N393" s="230"/>
      <c r="O393" s="11"/>
    </row>
    <row r="394" spans="1:15" ht="12.75" customHeight="1" x14ac:dyDescent="0.2">
      <c r="A394" s="45"/>
      <c r="B394" s="73"/>
      <c r="C394" s="118"/>
      <c r="D394" s="118"/>
      <c r="E394" s="118"/>
      <c r="F394" s="156"/>
      <c r="G394" s="104"/>
      <c r="H394" s="45"/>
      <c r="I394" s="73"/>
      <c r="J394" s="118"/>
      <c r="K394" s="118"/>
      <c r="L394" s="118"/>
      <c r="M394" s="156"/>
      <c r="N394" s="230"/>
      <c r="O394" s="11"/>
    </row>
    <row r="395" spans="1:15" ht="12.75" customHeight="1" x14ac:dyDescent="0.2">
      <c r="A395" s="45"/>
      <c r="B395" s="73"/>
      <c r="C395" s="118"/>
      <c r="D395" s="118"/>
      <c r="E395" s="118"/>
      <c r="F395" s="156"/>
      <c r="G395" s="104"/>
      <c r="H395" s="45"/>
      <c r="I395" s="73"/>
      <c r="J395" s="118"/>
      <c r="K395" s="118"/>
      <c r="L395" s="118"/>
      <c r="M395" s="156"/>
      <c r="N395" s="230"/>
      <c r="O395" s="11"/>
    </row>
    <row r="396" spans="1:15" ht="12.75" customHeight="1" x14ac:dyDescent="0.2">
      <c r="A396" s="45"/>
      <c r="B396" s="73"/>
      <c r="C396" s="118"/>
      <c r="D396" s="118"/>
      <c r="E396" s="118"/>
      <c r="F396" s="156"/>
      <c r="G396" s="104"/>
      <c r="H396" s="45"/>
      <c r="I396" s="73"/>
      <c r="J396" s="118"/>
      <c r="K396" s="118"/>
      <c r="L396" s="118"/>
      <c r="M396" s="156"/>
      <c r="N396" s="230"/>
      <c r="O396" s="11"/>
    </row>
    <row r="397" spans="1:15" ht="12.75" customHeight="1" x14ac:dyDescent="0.2">
      <c r="A397" s="45"/>
      <c r="B397" s="73"/>
      <c r="C397" s="118"/>
      <c r="D397" s="118"/>
      <c r="E397" s="118"/>
      <c r="F397" s="156"/>
      <c r="G397" s="104"/>
      <c r="H397" s="45"/>
      <c r="I397" s="73"/>
      <c r="J397" s="118"/>
      <c r="K397" s="73"/>
      <c r="L397" s="118"/>
      <c r="M397" s="156"/>
      <c r="N397" s="230"/>
      <c r="O397" s="11"/>
    </row>
    <row r="398" spans="1:15" ht="12.75" customHeight="1" x14ac:dyDescent="0.2">
      <c r="A398" s="45"/>
      <c r="B398" s="73"/>
      <c r="C398" s="118"/>
      <c r="D398" s="73"/>
      <c r="E398" s="118"/>
      <c r="F398" s="156"/>
      <c r="G398" s="104"/>
      <c r="H398" s="104"/>
      <c r="I398" s="73"/>
      <c r="J398" s="118"/>
      <c r="K398" s="118"/>
      <c r="L398" s="73"/>
      <c r="M398" s="156"/>
      <c r="N398" s="230"/>
      <c r="O398" s="11"/>
    </row>
    <row r="399" spans="1:15" ht="12.75" customHeight="1" x14ac:dyDescent="0.2">
      <c r="A399" s="104"/>
      <c r="B399" s="73"/>
      <c r="C399" s="118"/>
      <c r="D399" s="118"/>
      <c r="E399" s="73"/>
      <c r="F399" s="157"/>
      <c r="G399" s="104"/>
      <c r="H399" s="104"/>
      <c r="I399" s="73"/>
      <c r="J399" s="118"/>
      <c r="K399" s="118"/>
      <c r="L399" s="73"/>
      <c r="M399" s="156"/>
      <c r="N399" s="230"/>
      <c r="O399" s="11"/>
    </row>
    <row r="400" spans="1:15" ht="12.75" customHeight="1" x14ac:dyDescent="0.2">
      <c r="A400" s="104"/>
      <c r="B400" s="121"/>
      <c r="C400" s="118"/>
      <c r="D400" s="118"/>
      <c r="E400" s="73"/>
      <c r="F400" s="157"/>
      <c r="G400" s="104"/>
      <c r="H400" s="104"/>
      <c r="I400" s="110"/>
      <c r="J400" s="118"/>
      <c r="K400" s="55"/>
      <c r="L400" s="73"/>
      <c r="M400" s="156"/>
      <c r="N400" s="230"/>
      <c r="O400" s="11"/>
    </row>
    <row r="401" spans="1:15" ht="12.75" customHeight="1" x14ac:dyDescent="0.2">
      <c r="A401" s="104"/>
      <c r="B401" s="110"/>
      <c r="C401" s="118"/>
      <c r="D401" s="55"/>
      <c r="E401" s="73"/>
      <c r="F401" s="157"/>
      <c r="G401" s="55"/>
      <c r="H401" s="230"/>
      <c r="I401" s="230"/>
      <c r="J401" s="118"/>
      <c r="K401" s="230"/>
      <c r="L401" s="73"/>
      <c r="M401" s="156"/>
      <c r="N401" s="230"/>
      <c r="O401" s="11"/>
    </row>
    <row r="402" spans="1:15" ht="12.75" customHeight="1" x14ac:dyDescent="0.2">
      <c r="A402" s="230"/>
      <c r="B402" s="230"/>
      <c r="C402" s="118"/>
      <c r="D402" s="230"/>
      <c r="E402" s="73"/>
      <c r="F402" s="157"/>
      <c r="G402" s="45"/>
      <c r="H402" s="230"/>
      <c r="I402" s="230"/>
      <c r="J402" s="230"/>
      <c r="K402" s="230"/>
      <c r="L402" s="230"/>
      <c r="M402" s="230"/>
      <c r="N402" s="230"/>
      <c r="O402" s="11"/>
    </row>
    <row r="403" spans="1:15" ht="12.75" customHeight="1" x14ac:dyDescent="0.2">
      <c r="A403" s="230"/>
      <c r="B403" s="230"/>
      <c r="C403" s="230"/>
      <c r="D403" s="230"/>
      <c r="E403" s="230"/>
      <c r="F403" s="230"/>
      <c r="G403" s="45"/>
      <c r="H403" s="230"/>
      <c r="I403" s="230"/>
      <c r="J403" s="230"/>
      <c r="K403" s="230"/>
      <c r="L403" s="230"/>
      <c r="M403" s="230"/>
      <c r="N403" s="230"/>
      <c r="O403" s="11"/>
    </row>
    <row r="404" spans="1:15" ht="12.75" customHeight="1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1"/>
    </row>
    <row r="405" spans="1:15" ht="12.75" customHeight="1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1"/>
    </row>
    <row r="406" spans="1:15" ht="12.75" customHeight="1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1"/>
    </row>
    <row r="407" spans="1:15" ht="12.75" customHeight="1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1"/>
    </row>
    <row r="408" spans="1:15" ht="12.75" customHeight="1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1"/>
    </row>
    <row r="409" spans="1:15" ht="12.75" customHeight="1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1"/>
    </row>
    <row r="410" spans="1:15" ht="12.75" customHeight="1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1"/>
    </row>
    <row r="411" spans="1:15" ht="12.75" customHeight="1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1"/>
    </row>
    <row r="412" spans="1:15" ht="12.75" customHeight="1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1"/>
    </row>
    <row r="413" spans="1:15" ht="12.75" customHeight="1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1"/>
    </row>
    <row r="414" spans="1:15" ht="12.75" customHeight="1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1"/>
    </row>
    <row r="415" spans="1:15" ht="12.75" customHeight="1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1"/>
    </row>
    <row r="416" spans="1:15" ht="12.75" customHeight="1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1"/>
    </row>
    <row r="417" spans="1:15" ht="12.75" customHeight="1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1"/>
    </row>
    <row r="418" spans="1:15" ht="12.75" customHeight="1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1"/>
    </row>
    <row r="419" spans="1:15" ht="12.75" customHeight="1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1"/>
    </row>
    <row r="420" spans="1:15" ht="12.75" customHeight="1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1"/>
    </row>
    <row r="421" spans="1:15" ht="12.75" customHeight="1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1"/>
    </row>
    <row r="422" spans="1:15" ht="12.75" customHeight="1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1"/>
    </row>
    <row r="423" spans="1:15" ht="12.75" customHeight="1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1"/>
    </row>
    <row r="424" spans="1:15" ht="12.75" customHeight="1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1"/>
    </row>
    <row r="425" spans="1:15" ht="12.75" customHeight="1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1"/>
    </row>
    <row r="426" spans="1:15" ht="12.75" customHeight="1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1"/>
    </row>
    <row r="427" spans="1:15" ht="12.75" customHeight="1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1"/>
    </row>
    <row r="428" spans="1:15" ht="12.75" customHeight="1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1"/>
    </row>
    <row r="429" spans="1:15" ht="12.75" customHeight="1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1"/>
    </row>
    <row r="430" spans="1:15" ht="12.75" customHeight="1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1"/>
    </row>
    <row r="431" spans="1:15" ht="12.75" customHeight="1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1"/>
    </row>
    <row r="432" spans="1:15" ht="12.75" customHeight="1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1"/>
    </row>
    <row r="433" spans="1:15" ht="12.75" customHeight="1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1"/>
    </row>
    <row r="434" spans="1:15" ht="12.75" customHeight="1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1"/>
    </row>
    <row r="435" spans="1:15" ht="12.75" customHeight="1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1"/>
    </row>
    <row r="436" spans="1:15" ht="12.75" customHeight="1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1"/>
    </row>
    <row r="437" spans="1:15" ht="12.75" customHeight="1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1"/>
    </row>
    <row r="438" spans="1:15" ht="12.75" customHeight="1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1"/>
    </row>
    <row r="439" spans="1:15" ht="12.75" customHeight="1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1"/>
    </row>
    <row r="440" spans="1:15" ht="12.75" customHeight="1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1"/>
    </row>
    <row r="441" spans="1:15" ht="12.75" customHeight="1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1"/>
    </row>
    <row r="442" spans="1:15" ht="12.75" customHeight="1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1"/>
    </row>
    <row r="443" spans="1:15" ht="12.75" customHeight="1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1"/>
    </row>
    <row r="444" spans="1:15" ht="12.75" customHeight="1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1"/>
    </row>
    <row r="445" spans="1:15" ht="12.75" customHeight="1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1"/>
    </row>
    <row r="446" spans="1:15" ht="12.75" customHeight="1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1"/>
    </row>
    <row r="447" spans="1:15" ht="12.75" customHeight="1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1"/>
    </row>
    <row r="448" spans="1:15" ht="12.75" customHeight="1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1"/>
    </row>
    <row r="449" spans="1:15" ht="12.75" customHeight="1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1"/>
    </row>
    <row r="450" spans="1:15" ht="12.75" customHeight="1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1"/>
    </row>
    <row r="451" spans="1:15" ht="12.75" customHeight="1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1"/>
    </row>
    <row r="452" spans="1:15" ht="12.75" customHeight="1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1"/>
    </row>
    <row r="453" spans="1:15" ht="12.75" customHeight="1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1"/>
    </row>
    <row r="454" spans="1:15" ht="12.75" customHeight="1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1"/>
    </row>
    <row r="455" spans="1:15" ht="12.75" customHeight="1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1"/>
    </row>
    <row r="456" spans="1:15" ht="12.75" customHeight="1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1"/>
    </row>
    <row r="457" spans="1:15" ht="12.75" customHeight="1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1"/>
    </row>
    <row r="458" spans="1:15" ht="12.75" customHeight="1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1"/>
    </row>
    <row r="459" spans="1:15" ht="12.75" customHeight="1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1"/>
    </row>
    <row r="460" spans="1:15" ht="12.75" customHeight="1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1"/>
    </row>
    <row r="461" spans="1:15" ht="12.75" customHeight="1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1"/>
    </row>
    <row r="462" spans="1:15" ht="12.75" customHeight="1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1"/>
    </row>
    <row r="463" spans="1:15" ht="12.75" customHeight="1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1"/>
    </row>
    <row r="464" spans="1:15" ht="12.75" customHeight="1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1"/>
    </row>
    <row r="465" spans="1:15" ht="12.75" customHeight="1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1"/>
    </row>
    <row r="466" spans="1:15" ht="12.75" customHeight="1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1"/>
    </row>
    <row r="467" spans="1:15" ht="12.75" customHeight="1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1"/>
    </row>
    <row r="468" spans="1:15" ht="12.75" customHeight="1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1"/>
    </row>
    <row r="469" spans="1:15" ht="12.75" customHeight="1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1"/>
    </row>
    <row r="470" spans="1:15" ht="12.75" customHeight="1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1"/>
    </row>
    <row r="471" spans="1:15" ht="12.75" customHeight="1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1"/>
    </row>
    <row r="472" spans="1:15" ht="12.75" customHeight="1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1"/>
    </row>
    <row r="473" spans="1:15" ht="12.75" customHeight="1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1"/>
    </row>
    <row r="474" spans="1:15" ht="12.75" customHeight="1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1"/>
    </row>
    <row r="475" spans="1:15" ht="12.75" customHeight="1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1"/>
    </row>
    <row r="476" spans="1:15" ht="12.75" customHeight="1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1"/>
    </row>
    <row r="477" spans="1:15" ht="12.75" customHeight="1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1"/>
    </row>
    <row r="478" spans="1:15" ht="12.75" customHeight="1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1"/>
    </row>
    <row r="479" spans="1:15" ht="12.75" customHeight="1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1"/>
    </row>
    <row r="480" spans="1:15" ht="12.75" customHeight="1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1"/>
    </row>
    <row r="481" spans="1:15" ht="12.75" customHeight="1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1"/>
    </row>
    <row r="482" spans="1:15" ht="12.75" customHeight="1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1"/>
    </row>
    <row r="483" spans="1:15" ht="12.75" customHeight="1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1"/>
    </row>
    <row r="484" spans="1:15" ht="12.75" customHeight="1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1"/>
    </row>
    <row r="485" spans="1:15" ht="12.75" customHeight="1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1"/>
    </row>
    <row r="486" spans="1:15" ht="12.75" customHeight="1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1"/>
    </row>
    <row r="487" spans="1:15" ht="12.75" customHeight="1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1"/>
    </row>
    <row r="488" spans="1:15" ht="12.75" customHeight="1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1"/>
    </row>
    <row r="489" spans="1:15" ht="12.75" customHeight="1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1"/>
    </row>
    <row r="490" spans="1:15" ht="12.75" customHeight="1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1"/>
    </row>
    <row r="491" spans="1:15" ht="12.75" customHeight="1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1"/>
    </row>
    <row r="492" spans="1:15" ht="12.75" customHeight="1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1"/>
    </row>
    <row r="493" spans="1:15" ht="12.75" customHeight="1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1"/>
    </row>
    <row r="494" spans="1:15" ht="12.75" customHeight="1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1"/>
    </row>
    <row r="495" spans="1:15" ht="12.75" customHeight="1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1"/>
    </row>
    <row r="496" spans="1:15" ht="12.75" customHeight="1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1"/>
    </row>
    <row r="497" spans="1:15" ht="12.75" customHeight="1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1"/>
    </row>
    <row r="498" spans="1:15" ht="12.75" customHeight="1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1"/>
    </row>
    <row r="499" spans="1:15" ht="12.75" customHeight="1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1"/>
    </row>
    <row r="500" spans="1:15" ht="12.75" customHeight="1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1"/>
    </row>
    <row r="501" spans="1:15" ht="12.75" customHeight="1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1"/>
    </row>
    <row r="502" spans="1:15" ht="12.75" customHeight="1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1"/>
    </row>
    <row r="503" spans="1:15" ht="12.75" customHeight="1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1"/>
    </row>
    <row r="504" spans="1:15" ht="12.75" customHeight="1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1"/>
    </row>
    <row r="505" spans="1:15" ht="12.75" customHeight="1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1"/>
    </row>
    <row r="506" spans="1:15" ht="12.75" customHeight="1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1"/>
    </row>
    <row r="507" spans="1:15" ht="12.75" customHeight="1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1"/>
    </row>
    <row r="508" spans="1:15" ht="12.75" customHeight="1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1"/>
    </row>
    <row r="509" spans="1:15" ht="12.75" customHeight="1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1"/>
    </row>
    <row r="510" spans="1:15" ht="12.75" customHeight="1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1"/>
    </row>
    <row r="511" spans="1:15" ht="12.75" customHeight="1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1"/>
    </row>
    <row r="512" spans="1:15" ht="12.75" customHeight="1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1"/>
    </row>
    <row r="513" spans="1:15" ht="12.75" customHeight="1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1"/>
    </row>
    <row r="514" spans="1:15" ht="12.75" customHeight="1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1"/>
    </row>
    <row r="515" spans="1:15" ht="12.75" customHeight="1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1"/>
    </row>
    <row r="516" spans="1:15" ht="12.75" customHeight="1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1"/>
    </row>
    <row r="517" spans="1:15" ht="12.75" customHeight="1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1"/>
    </row>
    <row r="518" spans="1:15" ht="12.75" customHeight="1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1"/>
    </row>
    <row r="519" spans="1:15" ht="12.75" customHeight="1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1"/>
    </row>
    <row r="520" spans="1:15" ht="12.75" customHeight="1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1"/>
    </row>
    <row r="521" spans="1:15" ht="12.75" customHeight="1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1"/>
    </row>
    <row r="522" spans="1:15" ht="12.75" customHeight="1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1"/>
    </row>
    <row r="523" spans="1:15" ht="12.75" customHeight="1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1"/>
    </row>
    <row r="524" spans="1:15" ht="12.75" customHeight="1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1"/>
    </row>
    <row r="525" spans="1:15" ht="12.75" customHeight="1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1"/>
    </row>
    <row r="526" spans="1:15" ht="12.75" customHeight="1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1"/>
    </row>
    <row r="527" spans="1:15" ht="12.75" customHeight="1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1"/>
    </row>
    <row r="528" spans="1:15" ht="12.75" customHeight="1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1"/>
    </row>
    <row r="529" spans="1:15" ht="12.75" customHeight="1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1"/>
    </row>
    <row r="530" spans="1:15" ht="12.75" customHeight="1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1"/>
    </row>
    <row r="531" spans="1:15" ht="12.75" customHeight="1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1"/>
    </row>
    <row r="532" spans="1:15" ht="12.75" customHeight="1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1"/>
    </row>
    <row r="533" spans="1:15" ht="12.75" customHeight="1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1"/>
    </row>
    <row r="534" spans="1:15" ht="12.75" customHeight="1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1"/>
    </row>
    <row r="535" spans="1:15" ht="12.75" customHeight="1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1"/>
    </row>
    <row r="536" spans="1:15" ht="12.75" customHeight="1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1"/>
    </row>
    <row r="537" spans="1:15" ht="12.75" customHeight="1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1"/>
    </row>
    <row r="538" spans="1:15" ht="12.75" customHeight="1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1"/>
    </row>
    <row r="539" spans="1:15" ht="12.75" customHeight="1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1"/>
    </row>
    <row r="540" spans="1:15" ht="12.75" customHeight="1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1"/>
    </row>
    <row r="541" spans="1:15" ht="12.75" customHeight="1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1"/>
    </row>
    <row r="542" spans="1:15" ht="12.75" customHeight="1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1"/>
    </row>
    <row r="543" spans="1:15" ht="12.75" customHeight="1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1"/>
    </row>
    <row r="544" spans="1:15" ht="12.75" customHeight="1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1"/>
    </row>
    <row r="545" spans="1:15" ht="12.75" customHeight="1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1"/>
    </row>
    <row r="546" spans="1:15" ht="12.75" customHeight="1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1"/>
    </row>
    <row r="547" spans="1:15" ht="12.75" customHeight="1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1"/>
    </row>
    <row r="548" spans="1:15" ht="12.75" customHeight="1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1"/>
    </row>
    <row r="549" spans="1:15" ht="12.75" customHeight="1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1"/>
    </row>
    <row r="550" spans="1:15" ht="12.75" customHeight="1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1"/>
    </row>
    <row r="551" spans="1:15" ht="12.75" customHeight="1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1"/>
    </row>
    <row r="552" spans="1:15" ht="12.75" customHeight="1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1"/>
    </row>
    <row r="553" spans="1:15" ht="12.75" customHeight="1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1"/>
    </row>
    <row r="554" spans="1:15" ht="12.75" customHeight="1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1"/>
    </row>
    <row r="555" spans="1:15" ht="12.75" customHeight="1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1"/>
    </row>
    <row r="556" spans="1:15" ht="12.75" customHeight="1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1"/>
    </row>
    <row r="557" spans="1:15" ht="12.75" customHeight="1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1"/>
    </row>
    <row r="558" spans="1:15" ht="12.75" customHeight="1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1"/>
    </row>
    <row r="559" spans="1:15" ht="12.75" customHeight="1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1"/>
    </row>
    <row r="560" spans="1:15" ht="12.75" customHeight="1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1"/>
    </row>
    <row r="561" spans="1:15" ht="12.75" customHeight="1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1"/>
    </row>
    <row r="562" spans="1:15" ht="12.75" customHeight="1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1"/>
    </row>
    <row r="563" spans="1:15" ht="12.75" customHeight="1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1"/>
    </row>
    <row r="564" spans="1:15" ht="12.75" customHeight="1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1"/>
    </row>
    <row r="565" spans="1:15" ht="12.75" customHeight="1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1"/>
    </row>
    <row r="566" spans="1:15" ht="12.75" customHeight="1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1"/>
    </row>
    <row r="567" spans="1:15" ht="12.75" customHeight="1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1"/>
    </row>
    <row r="568" spans="1:15" ht="12.75" customHeight="1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1"/>
    </row>
    <row r="569" spans="1:15" ht="12.75" customHeight="1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1"/>
    </row>
    <row r="570" spans="1:15" ht="12.75" customHeight="1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1"/>
    </row>
    <row r="571" spans="1:15" ht="12.75" customHeight="1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1"/>
    </row>
    <row r="572" spans="1:15" ht="12.75" customHeight="1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1"/>
    </row>
    <row r="573" spans="1:15" ht="12.75" customHeight="1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1"/>
    </row>
    <row r="574" spans="1:15" ht="12.75" customHeight="1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1"/>
    </row>
    <row r="575" spans="1:15" ht="12.75" customHeight="1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1"/>
    </row>
    <row r="576" spans="1:15" ht="12.75" customHeight="1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1"/>
    </row>
    <row r="577" spans="1:15" ht="12.75" customHeight="1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1"/>
    </row>
    <row r="578" spans="1:15" ht="12.75" customHeight="1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1"/>
    </row>
    <row r="579" spans="1:15" ht="12.75" customHeight="1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1"/>
    </row>
    <row r="580" spans="1:15" ht="12.75" customHeight="1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1"/>
    </row>
    <row r="581" spans="1:15" ht="12.75" customHeight="1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1"/>
    </row>
    <row r="582" spans="1:15" ht="12.75" customHeight="1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1"/>
    </row>
    <row r="583" spans="1:15" ht="12.75" customHeight="1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1"/>
    </row>
    <row r="584" spans="1:15" ht="12.75" customHeight="1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1"/>
    </row>
    <row r="585" spans="1:15" ht="12.75" customHeight="1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1"/>
    </row>
    <row r="586" spans="1:15" ht="12.75" customHeight="1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1"/>
    </row>
    <row r="587" spans="1:15" ht="12.75" customHeight="1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1"/>
    </row>
    <row r="588" spans="1:15" ht="12.75" customHeight="1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1"/>
    </row>
    <row r="589" spans="1:15" ht="12.75" customHeight="1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1"/>
    </row>
    <row r="590" spans="1:15" ht="12.75" customHeight="1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1"/>
    </row>
    <row r="591" spans="1:15" ht="12.75" customHeight="1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1"/>
    </row>
    <row r="592" spans="1:15" ht="12.75" customHeight="1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1"/>
    </row>
    <row r="593" spans="1:15" ht="12.75" customHeight="1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1"/>
    </row>
    <row r="594" spans="1:15" ht="12.75" customHeight="1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1"/>
    </row>
    <row r="595" spans="1:15" ht="12.75" customHeight="1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1"/>
    </row>
    <row r="596" spans="1:15" ht="12.75" customHeight="1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1"/>
    </row>
    <row r="597" spans="1:15" ht="12.75" customHeight="1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1"/>
    </row>
    <row r="598" spans="1:15" ht="12.75" customHeight="1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1"/>
    </row>
    <row r="599" spans="1:15" ht="12.75" customHeight="1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1"/>
    </row>
    <row r="600" spans="1:15" ht="12.75" customHeight="1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1"/>
    </row>
    <row r="601" spans="1:15" ht="12.75" customHeight="1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1"/>
    </row>
    <row r="602" spans="1:15" ht="12.75" customHeight="1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1"/>
    </row>
    <row r="603" spans="1:15" ht="12.75" customHeight="1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1"/>
    </row>
    <row r="604" spans="1:15" ht="12.75" customHeight="1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1"/>
    </row>
    <row r="605" spans="1:15" ht="12.75" customHeight="1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1"/>
    </row>
    <row r="606" spans="1:15" ht="12.75" customHeight="1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1"/>
    </row>
    <row r="607" spans="1:15" ht="12.75" customHeight="1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1"/>
    </row>
    <row r="608" spans="1:15" ht="12.75" customHeight="1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1"/>
    </row>
    <row r="609" spans="1:15" ht="12.75" customHeight="1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1"/>
    </row>
    <row r="610" spans="1:15" ht="12.75" customHeight="1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1"/>
    </row>
    <row r="611" spans="1:15" ht="12.75" customHeight="1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1"/>
    </row>
    <row r="612" spans="1:15" ht="12.75" customHeight="1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1"/>
    </row>
    <row r="613" spans="1:15" ht="12.75" customHeight="1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1"/>
    </row>
    <row r="614" spans="1:15" ht="12.75" customHeight="1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1"/>
    </row>
    <row r="615" spans="1:15" ht="12.75" customHeight="1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1"/>
    </row>
    <row r="616" spans="1:15" ht="12.75" customHeight="1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1"/>
    </row>
    <row r="617" spans="1:15" ht="12.75" customHeight="1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1"/>
    </row>
    <row r="618" spans="1:15" ht="12.75" customHeight="1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1"/>
    </row>
    <row r="619" spans="1:15" ht="12.75" customHeight="1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1"/>
    </row>
    <row r="620" spans="1:15" ht="12.75" customHeight="1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1"/>
    </row>
    <row r="621" spans="1:15" ht="12.75" customHeight="1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1"/>
    </row>
    <row r="622" spans="1:15" ht="12.75" customHeight="1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1"/>
    </row>
    <row r="623" spans="1:15" ht="12.75" customHeight="1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1"/>
    </row>
    <row r="624" spans="1:15" ht="12.75" customHeight="1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1"/>
    </row>
    <row r="625" spans="1:15" ht="12.75" customHeight="1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1"/>
    </row>
    <row r="626" spans="1:15" ht="12.75" customHeight="1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1"/>
    </row>
    <row r="627" spans="1:15" ht="12.75" customHeight="1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1"/>
    </row>
    <row r="628" spans="1:15" ht="12.75" customHeight="1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1"/>
    </row>
    <row r="629" spans="1:15" ht="12.75" customHeight="1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1"/>
    </row>
    <row r="630" spans="1:15" ht="12.75" customHeight="1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1"/>
    </row>
    <row r="631" spans="1:15" ht="12.75" customHeight="1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1"/>
    </row>
    <row r="632" spans="1:15" ht="12.75" customHeight="1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1"/>
    </row>
    <row r="633" spans="1:15" ht="12.75" customHeight="1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1"/>
    </row>
    <row r="634" spans="1:15" ht="12.75" customHeight="1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1"/>
    </row>
    <row r="635" spans="1:15" ht="12.75" customHeight="1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1"/>
    </row>
    <row r="636" spans="1:15" ht="12.75" customHeight="1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1"/>
    </row>
    <row r="637" spans="1:15" ht="12.75" customHeight="1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1"/>
    </row>
    <row r="638" spans="1:15" ht="12.75" customHeight="1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1"/>
    </row>
    <row r="639" spans="1:15" ht="12.75" customHeight="1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1"/>
    </row>
    <row r="640" spans="1:15" ht="12.75" customHeight="1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1"/>
    </row>
    <row r="641" spans="1:15" ht="12.75" customHeight="1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1"/>
    </row>
    <row r="642" spans="1:15" ht="12.75" customHeight="1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1"/>
    </row>
    <row r="643" spans="1:15" ht="12.75" customHeight="1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1"/>
    </row>
    <row r="644" spans="1:15" ht="12.75" customHeight="1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1"/>
    </row>
    <row r="645" spans="1:15" ht="12.75" customHeight="1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1"/>
    </row>
    <row r="646" spans="1:15" ht="12.75" customHeight="1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1"/>
    </row>
    <row r="647" spans="1:15" ht="12.75" customHeight="1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1"/>
    </row>
    <row r="648" spans="1:15" ht="12.75" customHeight="1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1"/>
    </row>
    <row r="649" spans="1:15" ht="12.75" customHeight="1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1"/>
    </row>
    <row r="650" spans="1:15" ht="12.75" customHeight="1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1"/>
    </row>
    <row r="651" spans="1:15" ht="12.75" customHeight="1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1"/>
    </row>
    <row r="652" spans="1:15" ht="12.75" customHeight="1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1"/>
    </row>
    <row r="653" spans="1:15" ht="12.75" customHeight="1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1"/>
    </row>
    <row r="654" spans="1:15" ht="12.75" customHeight="1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1"/>
    </row>
    <row r="655" spans="1:15" ht="12.75" customHeight="1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1"/>
    </row>
    <row r="656" spans="1:15" ht="12.75" customHeight="1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1"/>
    </row>
    <row r="657" spans="1:15" ht="12.75" customHeight="1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1"/>
    </row>
    <row r="658" spans="1:15" ht="12.75" customHeight="1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1"/>
    </row>
    <row r="659" spans="1:15" ht="12.75" customHeight="1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1"/>
    </row>
    <row r="660" spans="1:15" ht="12.75" customHeight="1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1"/>
    </row>
    <row r="661" spans="1:15" ht="12.75" customHeight="1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1"/>
    </row>
    <row r="662" spans="1:15" ht="12.75" customHeight="1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1"/>
    </row>
    <row r="663" spans="1:15" ht="12.75" customHeight="1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1"/>
    </row>
    <row r="664" spans="1:15" ht="12.75" customHeight="1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1"/>
    </row>
    <row r="665" spans="1:15" ht="12.75" customHeight="1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1"/>
    </row>
    <row r="666" spans="1:15" ht="12.75" customHeight="1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1"/>
    </row>
    <row r="667" spans="1:15" ht="12.75" customHeight="1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1"/>
    </row>
    <row r="668" spans="1:15" ht="12.75" customHeight="1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1"/>
    </row>
    <row r="669" spans="1:15" ht="12.75" customHeight="1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1"/>
    </row>
    <row r="670" spans="1:15" ht="12.75" customHeight="1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1"/>
    </row>
    <row r="671" spans="1:15" ht="12.75" customHeight="1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1"/>
    </row>
    <row r="672" spans="1:15" ht="12.75" customHeight="1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1"/>
    </row>
    <row r="673" spans="1:15" ht="12.75" customHeight="1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1"/>
    </row>
    <row r="674" spans="1:15" ht="12.75" customHeight="1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1"/>
    </row>
    <row r="675" spans="1:15" ht="12.75" customHeight="1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1"/>
    </row>
    <row r="676" spans="1:15" ht="12.75" customHeight="1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1"/>
    </row>
    <row r="677" spans="1:15" ht="12.75" customHeight="1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1"/>
    </row>
    <row r="678" spans="1:15" ht="12.75" customHeight="1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1"/>
    </row>
    <row r="679" spans="1:15" ht="12.75" customHeight="1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1"/>
    </row>
    <row r="680" spans="1:15" ht="12.75" customHeight="1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1"/>
    </row>
    <row r="681" spans="1:15" ht="12.75" customHeight="1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1"/>
    </row>
    <row r="682" spans="1:15" ht="12.75" customHeight="1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1"/>
    </row>
    <row r="683" spans="1:15" ht="12.75" customHeight="1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1"/>
    </row>
    <row r="684" spans="1:15" ht="12.75" customHeight="1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1"/>
    </row>
    <row r="685" spans="1:15" ht="12.75" customHeight="1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1"/>
    </row>
    <row r="686" spans="1:15" ht="12.75" customHeight="1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1"/>
    </row>
    <row r="687" spans="1:15" ht="12.75" customHeight="1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1"/>
    </row>
    <row r="688" spans="1:15" ht="12.75" customHeight="1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1"/>
    </row>
    <row r="689" spans="1:15" ht="12.75" customHeight="1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1"/>
    </row>
    <row r="690" spans="1:15" ht="12.75" customHeight="1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1"/>
    </row>
    <row r="691" spans="1:15" ht="12.75" customHeight="1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1"/>
    </row>
    <row r="692" spans="1:15" ht="12.75" customHeight="1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1"/>
    </row>
    <row r="693" spans="1:15" ht="12.75" customHeight="1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1"/>
    </row>
    <row r="694" spans="1:15" ht="12.75" customHeight="1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1"/>
    </row>
    <row r="695" spans="1:15" ht="12.75" customHeight="1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1"/>
    </row>
    <row r="696" spans="1:15" ht="12.75" customHeight="1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1"/>
    </row>
    <row r="697" spans="1:15" ht="12.75" customHeight="1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1"/>
    </row>
    <row r="698" spans="1:15" ht="12.75" customHeight="1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1"/>
    </row>
    <row r="699" spans="1:15" ht="12.75" customHeight="1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1"/>
    </row>
    <row r="700" spans="1:15" ht="12.75" customHeight="1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1"/>
    </row>
    <row r="701" spans="1:15" ht="12.75" customHeight="1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1"/>
    </row>
    <row r="702" spans="1:15" ht="12.75" customHeight="1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1"/>
    </row>
    <row r="703" spans="1:15" ht="12.75" customHeight="1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1"/>
    </row>
    <row r="704" spans="1:15" ht="12.75" customHeight="1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1"/>
    </row>
    <row r="705" spans="1:15" ht="12.75" customHeight="1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1"/>
    </row>
    <row r="706" spans="1:15" ht="12.75" customHeight="1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1"/>
    </row>
    <row r="707" spans="1:15" ht="12.75" customHeight="1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1"/>
    </row>
    <row r="708" spans="1:15" ht="12.75" customHeight="1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1"/>
    </row>
    <row r="709" spans="1:15" ht="12.75" customHeight="1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1"/>
    </row>
    <row r="710" spans="1:15" ht="12.75" customHeight="1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1"/>
    </row>
    <row r="711" spans="1:15" ht="12.75" customHeight="1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1"/>
    </row>
    <row r="712" spans="1:15" ht="12.75" customHeight="1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1"/>
    </row>
    <row r="713" spans="1:15" ht="12.75" customHeight="1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1"/>
    </row>
    <row r="714" spans="1:15" ht="12.75" customHeight="1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1"/>
    </row>
    <row r="715" spans="1:15" ht="12.75" customHeight="1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1"/>
    </row>
    <row r="716" spans="1:15" ht="12.75" customHeight="1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1"/>
    </row>
    <row r="717" spans="1:15" ht="12.75" customHeight="1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1"/>
    </row>
    <row r="718" spans="1:15" ht="12.75" customHeight="1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1"/>
    </row>
    <row r="719" spans="1:15" ht="12.75" customHeight="1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1"/>
    </row>
    <row r="720" spans="1:15" ht="12.75" customHeight="1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1"/>
    </row>
    <row r="721" spans="1:15" ht="12.75" customHeight="1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1"/>
    </row>
    <row r="722" spans="1:15" ht="12.75" customHeight="1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1"/>
    </row>
    <row r="723" spans="1:15" ht="12.75" customHeight="1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1"/>
    </row>
    <row r="724" spans="1:15" ht="12.75" customHeight="1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1"/>
    </row>
    <row r="725" spans="1:15" ht="12.75" customHeight="1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1"/>
    </row>
    <row r="726" spans="1:15" ht="12.75" customHeight="1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1"/>
    </row>
    <row r="727" spans="1:15" ht="12.75" customHeight="1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1"/>
    </row>
    <row r="728" spans="1:15" ht="12.75" customHeight="1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1"/>
    </row>
    <row r="729" spans="1:15" ht="12.75" customHeight="1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1"/>
    </row>
    <row r="730" spans="1:15" ht="12.75" customHeight="1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1"/>
    </row>
    <row r="731" spans="1:15" ht="12.75" customHeight="1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1"/>
    </row>
    <row r="732" spans="1:15" ht="12.75" customHeight="1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1"/>
    </row>
    <row r="733" spans="1:15" ht="12.75" customHeight="1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1"/>
    </row>
    <row r="734" spans="1:15" ht="12.75" customHeight="1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1"/>
    </row>
    <row r="735" spans="1:15" ht="12.75" customHeight="1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1"/>
    </row>
    <row r="736" spans="1:15" ht="12.75" customHeight="1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1"/>
    </row>
    <row r="737" spans="1:15" ht="12.75" customHeight="1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1"/>
    </row>
    <row r="738" spans="1:15" ht="12.75" customHeight="1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1"/>
    </row>
    <row r="739" spans="1:15" ht="12.75" customHeight="1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1"/>
    </row>
    <row r="740" spans="1:15" ht="12.75" customHeight="1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1"/>
    </row>
    <row r="741" spans="1:15" ht="12.75" customHeight="1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1"/>
    </row>
    <row r="742" spans="1:15" ht="12.75" customHeight="1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1"/>
    </row>
    <row r="743" spans="1:15" ht="12.75" customHeight="1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1"/>
    </row>
    <row r="744" spans="1:15" ht="12.75" customHeight="1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1"/>
    </row>
    <row r="745" spans="1:15" ht="12.75" customHeight="1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1"/>
    </row>
    <row r="746" spans="1:15" ht="12.75" customHeight="1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1"/>
    </row>
    <row r="747" spans="1:15" ht="12.75" customHeight="1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1"/>
    </row>
    <row r="748" spans="1:15" ht="12.75" customHeight="1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1"/>
    </row>
    <row r="749" spans="1:15" ht="12.75" customHeight="1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1"/>
    </row>
    <row r="750" spans="1:15" ht="12.75" customHeight="1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1"/>
    </row>
    <row r="751" spans="1:15" ht="12.75" customHeight="1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1"/>
    </row>
    <row r="752" spans="1:15" ht="12.75" customHeight="1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1"/>
    </row>
    <row r="753" spans="1:15" ht="12.75" customHeight="1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1"/>
    </row>
    <row r="754" spans="1:15" ht="12.75" customHeight="1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1"/>
    </row>
    <row r="755" spans="1:15" ht="12.75" customHeight="1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1"/>
    </row>
    <row r="756" spans="1:15" ht="12.75" customHeight="1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1"/>
    </row>
    <row r="757" spans="1:15" ht="12.75" customHeight="1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1"/>
    </row>
    <row r="758" spans="1:15" ht="12.75" customHeight="1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1"/>
    </row>
    <row r="759" spans="1:15" ht="12.75" customHeight="1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1"/>
    </row>
    <row r="760" spans="1:15" ht="12.75" customHeight="1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1"/>
    </row>
    <row r="761" spans="1:15" ht="12.75" customHeight="1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1"/>
    </row>
    <row r="762" spans="1:15" ht="12.75" customHeight="1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1"/>
    </row>
    <row r="763" spans="1:15" ht="12.75" customHeight="1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1"/>
    </row>
    <row r="764" spans="1:15" ht="12.75" customHeight="1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1"/>
    </row>
    <row r="765" spans="1:15" ht="12.75" customHeight="1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1"/>
    </row>
    <row r="766" spans="1:15" ht="12.75" customHeight="1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1"/>
    </row>
    <row r="767" spans="1:15" ht="12.75" customHeight="1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1"/>
    </row>
    <row r="768" spans="1:15" ht="12.75" customHeight="1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1"/>
    </row>
    <row r="769" spans="1:15" ht="12.75" customHeight="1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1"/>
    </row>
    <row r="770" spans="1:15" ht="12.75" customHeight="1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1"/>
    </row>
    <row r="771" spans="1:15" ht="12.75" customHeight="1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1"/>
    </row>
    <row r="772" spans="1:15" ht="12.75" customHeight="1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1"/>
    </row>
    <row r="773" spans="1:15" ht="12.75" customHeight="1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1"/>
    </row>
    <row r="774" spans="1:15" ht="12.75" customHeight="1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1"/>
    </row>
    <row r="775" spans="1:15" ht="12.75" customHeight="1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1"/>
    </row>
    <row r="776" spans="1:15" ht="12.75" customHeight="1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1"/>
    </row>
    <row r="777" spans="1:15" ht="12.75" customHeight="1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1"/>
    </row>
    <row r="778" spans="1:15" ht="12.75" customHeight="1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1"/>
    </row>
    <row r="779" spans="1:15" ht="12.75" customHeight="1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1"/>
    </row>
    <row r="780" spans="1:15" ht="12.75" customHeight="1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1"/>
    </row>
    <row r="781" spans="1:15" ht="12.75" customHeight="1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1"/>
    </row>
    <row r="782" spans="1:15" ht="12.75" customHeight="1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1"/>
    </row>
    <row r="783" spans="1:15" ht="12.75" customHeight="1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1"/>
    </row>
    <row r="784" spans="1:15" ht="12.75" customHeight="1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1"/>
    </row>
    <row r="785" spans="1:15" ht="12.75" customHeight="1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1"/>
    </row>
    <row r="786" spans="1:15" ht="12.75" customHeight="1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1"/>
    </row>
    <row r="787" spans="1:15" ht="12.75" customHeight="1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1"/>
    </row>
    <row r="788" spans="1:15" ht="12.75" customHeight="1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1"/>
    </row>
    <row r="789" spans="1:15" ht="12.75" customHeight="1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1"/>
    </row>
    <row r="790" spans="1:15" ht="12.75" customHeight="1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1"/>
    </row>
    <row r="791" spans="1:15" ht="12.75" customHeight="1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1"/>
    </row>
    <row r="792" spans="1:15" ht="12.75" customHeight="1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1"/>
    </row>
    <row r="793" spans="1:15" ht="12.75" customHeight="1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1"/>
    </row>
    <row r="794" spans="1:15" ht="12.75" customHeight="1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1"/>
    </row>
    <row r="795" spans="1:15" ht="12.75" customHeight="1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1"/>
    </row>
    <row r="796" spans="1:15" ht="12.75" customHeight="1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1"/>
    </row>
    <row r="797" spans="1:15" ht="12.75" customHeight="1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1"/>
    </row>
    <row r="798" spans="1:15" ht="12.75" customHeight="1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1"/>
    </row>
    <row r="799" spans="1:15" ht="12.75" customHeight="1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1"/>
    </row>
    <row r="800" spans="1:15" ht="12.75" customHeight="1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1"/>
    </row>
    <row r="801" spans="1:15" ht="12.75" customHeight="1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1"/>
    </row>
    <row r="802" spans="1:15" ht="12.75" customHeight="1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1"/>
    </row>
    <row r="803" spans="1:15" ht="12.75" customHeight="1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1"/>
    </row>
    <row r="804" spans="1:15" ht="12.75" customHeight="1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1"/>
    </row>
    <row r="805" spans="1:15" ht="12.75" customHeight="1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1"/>
    </row>
    <row r="806" spans="1:15" ht="12.75" customHeight="1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1"/>
    </row>
    <row r="807" spans="1:15" ht="12.75" customHeight="1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1"/>
    </row>
    <row r="808" spans="1:15" ht="12.75" customHeight="1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1"/>
    </row>
    <row r="809" spans="1:15" ht="12.75" customHeight="1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1"/>
    </row>
    <row r="810" spans="1:15" ht="12.75" customHeight="1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1"/>
    </row>
    <row r="811" spans="1:15" ht="12.75" customHeight="1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1"/>
    </row>
    <row r="812" spans="1:15" ht="12.75" customHeight="1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1"/>
    </row>
    <row r="813" spans="1:15" ht="12.75" customHeight="1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1"/>
    </row>
    <row r="814" spans="1:15" ht="12.75" customHeight="1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1"/>
    </row>
    <row r="815" spans="1:15" ht="12.75" customHeight="1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1"/>
    </row>
    <row r="816" spans="1:15" ht="12.75" customHeight="1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1"/>
    </row>
    <row r="817" spans="1:15" ht="12.75" customHeight="1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1"/>
    </row>
    <row r="818" spans="1:15" ht="12.75" customHeight="1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1"/>
    </row>
    <row r="819" spans="1:15" ht="12.75" customHeight="1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1"/>
    </row>
    <row r="820" spans="1:15" ht="12.75" customHeight="1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1"/>
    </row>
    <row r="821" spans="1:15" ht="12.75" customHeight="1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1"/>
    </row>
    <row r="822" spans="1:15" ht="12.75" customHeight="1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1"/>
    </row>
    <row r="823" spans="1:15" ht="12.75" customHeight="1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1"/>
    </row>
    <row r="824" spans="1:15" ht="12.75" customHeight="1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1"/>
    </row>
    <row r="825" spans="1:15" ht="12.75" customHeight="1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1"/>
    </row>
    <row r="826" spans="1:15" ht="12.75" customHeight="1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1"/>
    </row>
    <row r="827" spans="1:15" ht="12.75" customHeight="1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1"/>
    </row>
    <row r="828" spans="1:15" ht="12.75" customHeight="1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1"/>
    </row>
    <row r="829" spans="1:15" ht="12.75" customHeight="1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1"/>
    </row>
    <row r="830" spans="1:15" ht="12.75" customHeight="1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1"/>
    </row>
    <row r="831" spans="1:15" ht="12.75" customHeight="1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1"/>
    </row>
    <row r="832" spans="1:15" ht="12.75" customHeight="1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1"/>
    </row>
    <row r="833" spans="1:15" ht="12.75" customHeight="1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1"/>
    </row>
    <row r="834" spans="1:15" ht="12.75" customHeight="1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1"/>
    </row>
    <row r="835" spans="1:15" ht="12.75" customHeight="1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1"/>
    </row>
    <row r="836" spans="1:15" ht="12.75" customHeight="1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1"/>
    </row>
    <row r="837" spans="1:15" ht="12.75" customHeight="1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1"/>
    </row>
    <row r="838" spans="1:15" ht="12.75" customHeight="1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1"/>
    </row>
    <row r="839" spans="1:15" ht="12.75" customHeight="1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1"/>
    </row>
    <row r="840" spans="1:15" ht="12.75" customHeight="1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1"/>
    </row>
    <row r="841" spans="1:15" ht="12.75" customHeight="1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1"/>
    </row>
    <row r="842" spans="1:15" ht="12.75" customHeight="1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1"/>
    </row>
    <row r="843" spans="1:15" ht="12.75" customHeight="1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1"/>
    </row>
    <row r="844" spans="1:15" ht="12.75" customHeight="1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1"/>
    </row>
    <row r="845" spans="1:15" ht="12.75" customHeight="1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1"/>
    </row>
    <row r="846" spans="1:15" ht="12.75" customHeight="1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1"/>
    </row>
    <row r="847" spans="1:15" ht="12.75" customHeight="1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1"/>
    </row>
    <row r="848" spans="1:15" ht="12.75" customHeight="1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1"/>
    </row>
    <row r="849" spans="1:15" ht="12.75" customHeight="1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1"/>
    </row>
    <row r="850" spans="1:15" ht="12.75" customHeight="1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1"/>
    </row>
    <row r="851" spans="1:15" ht="12.75" customHeight="1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1"/>
    </row>
    <row r="852" spans="1:15" ht="12.75" customHeight="1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1"/>
    </row>
    <row r="853" spans="1:15" ht="12.75" customHeight="1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1"/>
    </row>
    <row r="854" spans="1:15" ht="12.75" customHeight="1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1"/>
    </row>
    <row r="855" spans="1:15" ht="12.75" customHeight="1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1"/>
    </row>
    <row r="856" spans="1:15" ht="12.75" customHeight="1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1"/>
    </row>
    <row r="857" spans="1:15" ht="12.75" customHeight="1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1"/>
    </row>
    <row r="858" spans="1:15" ht="12.75" customHeight="1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1"/>
    </row>
    <row r="859" spans="1:15" ht="12.75" customHeight="1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1"/>
    </row>
    <row r="860" spans="1:15" ht="12.75" customHeight="1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1"/>
    </row>
    <row r="861" spans="1:15" ht="12.75" customHeight="1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1"/>
    </row>
    <row r="862" spans="1:15" ht="12.75" customHeight="1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1"/>
    </row>
    <row r="863" spans="1:15" ht="12.75" customHeight="1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1"/>
    </row>
    <row r="864" spans="1:15" ht="12.75" customHeight="1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1"/>
    </row>
    <row r="865" spans="1:15" ht="12.75" customHeight="1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1"/>
    </row>
    <row r="866" spans="1:15" ht="12.75" customHeight="1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1"/>
    </row>
    <row r="867" spans="1:15" ht="12.75" customHeight="1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1"/>
    </row>
    <row r="868" spans="1:15" ht="12.75" customHeight="1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1"/>
    </row>
    <row r="869" spans="1:15" ht="12.75" customHeight="1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1"/>
    </row>
    <row r="870" spans="1:15" ht="12.75" customHeight="1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1"/>
    </row>
    <row r="871" spans="1:15" ht="12.75" customHeight="1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1"/>
    </row>
    <row r="872" spans="1:15" ht="12.75" customHeight="1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1"/>
    </row>
    <row r="873" spans="1:15" ht="12.75" customHeight="1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1"/>
    </row>
    <row r="874" spans="1:15" ht="12.75" customHeight="1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1"/>
    </row>
    <row r="875" spans="1:15" ht="12.75" customHeight="1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1"/>
    </row>
    <row r="876" spans="1:15" ht="12.75" customHeight="1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1"/>
    </row>
    <row r="877" spans="1:15" ht="12.75" customHeight="1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1"/>
    </row>
    <row r="878" spans="1:15" ht="12.75" customHeight="1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1"/>
    </row>
    <row r="879" spans="1:15" ht="12.75" customHeight="1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1"/>
    </row>
    <row r="880" spans="1:15" ht="12.75" customHeight="1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1"/>
    </row>
    <row r="881" spans="1:15" ht="12.75" customHeight="1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1"/>
    </row>
    <row r="882" spans="1:15" ht="12.75" customHeight="1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1"/>
    </row>
    <row r="883" spans="1:15" ht="12.75" customHeight="1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1"/>
    </row>
    <row r="884" spans="1:15" ht="12.75" customHeight="1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1"/>
    </row>
    <row r="885" spans="1:15" ht="12.75" customHeight="1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1"/>
    </row>
    <row r="886" spans="1:15" ht="12.75" customHeight="1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1"/>
    </row>
    <row r="887" spans="1:15" ht="12.75" customHeight="1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1"/>
    </row>
    <row r="888" spans="1:15" ht="12.75" customHeight="1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1"/>
    </row>
    <row r="889" spans="1:15" ht="12.75" customHeight="1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1"/>
    </row>
    <row r="890" spans="1:15" ht="12.75" customHeight="1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1"/>
    </row>
    <row r="891" spans="1:15" ht="12.75" customHeight="1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1"/>
    </row>
    <row r="892" spans="1:15" ht="12.75" customHeight="1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1"/>
    </row>
    <row r="893" spans="1:15" ht="12.75" customHeight="1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1"/>
    </row>
    <row r="894" spans="1:15" ht="12.75" customHeight="1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1"/>
    </row>
    <row r="895" spans="1:15" ht="12.75" customHeight="1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1"/>
    </row>
    <row r="896" spans="1:15" ht="12.75" customHeight="1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1"/>
    </row>
    <row r="897" spans="1:15" ht="12.75" customHeight="1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1"/>
    </row>
    <row r="898" spans="1:15" ht="12.75" customHeight="1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1"/>
    </row>
    <row r="899" spans="1:15" ht="12.75" customHeight="1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1"/>
    </row>
    <row r="900" spans="1:15" ht="12.75" customHeight="1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1"/>
    </row>
    <row r="901" spans="1:15" ht="12.75" customHeight="1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1"/>
    </row>
    <row r="902" spans="1:15" ht="12.75" customHeight="1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1"/>
    </row>
    <row r="903" spans="1:15" ht="12.75" customHeight="1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1"/>
    </row>
    <row r="904" spans="1:15" ht="12.75" customHeight="1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1"/>
    </row>
    <row r="905" spans="1:15" ht="12.75" customHeight="1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1"/>
    </row>
    <row r="906" spans="1:15" ht="12.75" customHeight="1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1"/>
    </row>
    <row r="907" spans="1:15" ht="12.75" customHeight="1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1"/>
    </row>
    <row r="908" spans="1:15" ht="12.75" customHeight="1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1"/>
    </row>
    <row r="909" spans="1:15" ht="12.75" customHeight="1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1"/>
    </row>
    <row r="910" spans="1:15" ht="12.75" customHeight="1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1"/>
    </row>
    <row r="911" spans="1:15" ht="12.75" customHeight="1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1"/>
    </row>
    <row r="912" spans="1:15" ht="12.75" customHeight="1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1"/>
    </row>
    <row r="913" spans="1:15" ht="12.75" customHeight="1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1"/>
    </row>
    <row r="914" spans="1:15" ht="12.75" customHeight="1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1"/>
    </row>
    <row r="915" spans="1:15" ht="12.75" customHeight="1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1"/>
    </row>
    <row r="916" spans="1:15" ht="12.75" customHeight="1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1"/>
    </row>
    <row r="917" spans="1:15" ht="12.75" customHeight="1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1"/>
    </row>
    <row r="918" spans="1:15" ht="12.75" customHeight="1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1"/>
    </row>
    <row r="919" spans="1:15" ht="12.75" customHeight="1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1"/>
    </row>
    <row r="920" spans="1:15" ht="12.75" customHeight="1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1"/>
    </row>
    <row r="921" spans="1:15" ht="12.75" customHeight="1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1"/>
    </row>
    <row r="922" spans="1:15" ht="12.75" customHeight="1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1"/>
    </row>
    <row r="923" spans="1:15" ht="12.75" customHeight="1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1"/>
    </row>
    <row r="924" spans="1:15" ht="12.75" customHeight="1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1"/>
    </row>
    <row r="925" spans="1:15" ht="12.75" customHeight="1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1"/>
    </row>
    <row r="926" spans="1:15" ht="12.75" customHeight="1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1"/>
    </row>
    <row r="927" spans="1:15" ht="12.75" customHeight="1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1"/>
    </row>
    <row r="928" spans="1:15" ht="12.75" customHeight="1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1"/>
    </row>
    <row r="929" spans="1:15" ht="12.75" customHeight="1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1"/>
    </row>
    <row r="930" spans="1:15" ht="12.75" customHeight="1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1"/>
    </row>
    <row r="931" spans="1:15" ht="12.75" customHeight="1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1"/>
    </row>
    <row r="932" spans="1:15" ht="12.75" customHeight="1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1"/>
    </row>
    <row r="933" spans="1:15" ht="12.75" customHeight="1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1"/>
    </row>
    <row r="934" spans="1:15" ht="12.75" customHeight="1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1"/>
    </row>
    <row r="935" spans="1:15" ht="12.75" customHeight="1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1"/>
    </row>
    <row r="936" spans="1:15" ht="12.75" customHeight="1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1"/>
    </row>
    <row r="937" spans="1:15" ht="12.75" customHeight="1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1"/>
    </row>
    <row r="938" spans="1:15" ht="12.75" customHeight="1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1"/>
    </row>
    <row r="939" spans="1:15" ht="12.75" customHeight="1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1"/>
    </row>
    <row r="940" spans="1:15" ht="12.75" customHeight="1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1"/>
    </row>
    <row r="941" spans="1:15" ht="12.75" customHeight="1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1"/>
    </row>
    <row r="942" spans="1:15" ht="12.75" customHeight="1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1"/>
    </row>
    <row r="943" spans="1:15" ht="12.75" customHeight="1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1"/>
    </row>
    <row r="944" spans="1:15" ht="12.75" customHeight="1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1"/>
    </row>
    <row r="945" spans="1:15" ht="12.75" customHeight="1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1"/>
    </row>
    <row r="946" spans="1:15" ht="12.75" customHeight="1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1"/>
    </row>
    <row r="947" spans="1:15" ht="12.75" customHeight="1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1"/>
    </row>
    <row r="948" spans="1:15" ht="12.75" customHeight="1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1"/>
    </row>
    <row r="949" spans="1:15" ht="12.75" customHeight="1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1"/>
    </row>
    <row r="950" spans="1:15" ht="12.75" customHeight="1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1"/>
    </row>
    <row r="951" spans="1:15" ht="12.75" customHeight="1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1"/>
    </row>
    <row r="952" spans="1:15" ht="12.75" customHeight="1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1"/>
    </row>
    <row r="953" spans="1:15" ht="12.75" customHeight="1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1"/>
    </row>
    <row r="954" spans="1:15" ht="12.75" customHeight="1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1"/>
    </row>
    <row r="955" spans="1:15" ht="12.75" customHeight="1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1"/>
    </row>
    <row r="956" spans="1:15" ht="12.75" customHeight="1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1"/>
    </row>
    <row r="957" spans="1:15" ht="12.75" customHeight="1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1"/>
    </row>
    <row r="958" spans="1:15" ht="12.75" customHeight="1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1"/>
    </row>
    <row r="959" spans="1:15" ht="12.75" customHeight="1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1"/>
    </row>
    <row r="960" spans="1:15" ht="12.75" customHeight="1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1"/>
    </row>
    <row r="961" spans="1:15" ht="12.75" customHeight="1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1"/>
    </row>
    <row r="962" spans="1:15" ht="12.75" customHeight="1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1"/>
    </row>
    <row r="963" spans="1:15" ht="12.75" customHeight="1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1"/>
    </row>
    <row r="964" spans="1:15" ht="12.75" customHeight="1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1"/>
    </row>
    <row r="965" spans="1:15" ht="12.75" customHeight="1" x14ac:dyDescent="0.2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1"/>
    </row>
    <row r="966" spans="1:15" ht="12.75" customHeight="1" x14ac:dyDescent="0.2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1"/>
    </row>
    <row r="967" spans="1:15" ht="12.75" customHeight="1" x14ac:dyDescent="0.2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1"/>
    </row>
    <row r="968" spans="1:15" ht="12.75" customHeight="1" x14ac:dyDescent="0.2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1"/>
    </row>
    <row r="969" spans="1:15" ht="12.75" customHeight="1" x14ac:dyDescent="0.2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1"/>
    </row>
    <row r="970" spans="1:15" ht="12.75" customHeight="1" x14ac:dyDescent="0.2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1"/>
    </row>
    <row r="971" spans="1:15" ht="12.75" customHeight="1" x14ac:dyDescent="0.2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1"/>
    </row>
    <row r="972" spans="1:15" ht="12.75" customHeight="1" x14ac:dyDescent="0.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1"/>
    </row>
    <row r="973" spans="1:15" ht="12.75" customHeight="1" x14ac:dyDescent="0.2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1"/>
    </row>
    <row r="974" spans="1:15" ht="12.75" customHeight="1" x14ac:dyDescent="0.2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1"/>
    </row>
    <row r="975" spans="1:15" ht="12.75" customHeight="1" x14ac:dyDescent="0.2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1"/>
    </row>
    <row r="976" spans="1:15" ht="12.75" customHeight="1" x14ac:dyDescent="0.2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1"/>
    </row>
    <row r="977" spans="1:15" ht="12.75" customHeight="1" x14ac:dyDescent="0.2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1"/>
    </row>
    <row r="978" spans="1:15" ht="12.75" customHeight="1" x14ac:dyDescent="0.2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1"/>
    </row>
    <row r="979" spans="1:15" ht="12.75" customHeight="1" x14ac:dyDescent="0.2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1"/>
    </row>
    <row r="980" spans="1:15" ht="12.75" customHeight="1" x14ac:dyDescent="0.2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1"/>
    </row>
    <row r="981" spans="1:15" ht="12.75" customHeight="1" x14ac:dyDescent="0.2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1"/>
    </row>
    <row r="982" spans="1:15" ht="12.75" customHeight="1" x14ac:dyDescent="0.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1"/>
    </row>
    <row r="983" spans="1:15" ht="12.75" customHeight="1" x14ac:dyDescent="0.2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1"/>
    </row>
    <row r="984" spans="1:15" ht="12.75" customHeight="1" x14ac:dyDescent="0.2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1"/>
    </row>
    <row r="985" spans="1:15" ht="12.75" customHeight="1" x14ac:dyDescent="0.2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1"/>
    </row>
    <row r="986" spans="1:15" ht="12.75" customHeight="1" x14ac:dyDescent="0.2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1"/>
    </row>
    <row r="987" spans="1:15" ht="12.75" customHeight="1" x14ac:dyDescent="0.2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1"/>
    </row>
    <row r="988" spans="1:15" ht="12.75" customHeight="1" x14ac:dyDescent="0.2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1"/>
    </row>
    <row r="989" spans="1:15" ht="12.75" customHeight="1" x14ac:dyDescent="0.2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1"/>
    </row>
    <row r="990" spans="1:15" ht="12.75" customHeight="1" x14ac:dyDescent="0.2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1"/>
    </row>
    <row r="991" spans="1:15" ht="12.75" customHeight="1" x14ac:dyDescent="0.2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1"/>
    </row>
    <row r="992" spans="1:15" ht="12.75" customHeight="1" x14ac:dyDescent="0.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1"/>
    </row>
    <row r="993" spans="1:15" ht="12.75" customHeight="1" x14ac:dyDescent="0.2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1"/>
    </row>
    <row r="994" spans="1:15" ht="12.75" customHeight="1" x14ac:dyDescent="0.2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1"/>
    </row>
    <row r="995" spans="1:15" ht="12.75" customHeight="1" x14ac:dyDescent="0.2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1"/>
    </row>
    <row r="996" spans="1:15" ht="12.75" customHeight="1" x14ac:dyDescent="0.2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1"/>
    </row>
    <row r="997" spans="1:15" ht="12.75" customHeight="1" x14ac:dyDescent="0.2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1"/>
    </row>
    <row r="998" spans="1:15" ht="12.75" customHeight="1" x14ac:dyDescent="0.2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1"/>
    </row>
    <row r="999" spans="1:15" ht="12.75" customHeight="1" x14ac:dyDescent="0.2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1"/>
    </row>
    <row r="1000" spans="1:15" ht="12.75" customHeight="1" x14ac:dyDescent="0.2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1"/>
    </row>
    <row r="1001" spans="1:15" ht="12.75" customHeight="1" x14ac:dyDescent="0.2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11"/>
    </row>
    <row r="1002" spans="1:15" ht="12.75" customHeight="1" x14ac:dyDescent="0.2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11"/>
    </row>
    <row r="1003" spans="1:15" ht="12.75" customHeight="1" x14ac:dyDescent="0.2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11"/>
    </row>
    <row r="1004" spans="1:15" ht="12.75" customHeight="1" x14ac:dyDescent="0.2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11"/>
    </row>
    <row r="1005" spans="1:15" ht="12.75" customHeight="1" x14ac:dyDescent="0.2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11"/>
    </row>
    <row r="1006" spans="1:15" ht="12.75" customHeight="1" x14ac:dyDescent="0.2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11"/>
    </row>
    <row r="1007" spans="1:15" ht="12.75" customHeight="1" x14ac:dyDescent="0.2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11"/>
    </row>
    <row r="1008" spans="1:15" ht="12.75" customHeight="1" x14ac:dyDescent="0.2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11"/>
    </row>
    <row r="1009" spans="1:15" ht="12.75" customHeight="1" x14ac:dyDescent="0.2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11"/>
    </row>
    <row r="1010" spans="1:15" ht="12.75" customHeight="1" x14ac:dyDescent="0.2">
      <c r="A1010" s="45"/>
      <c r="B1010" s="45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11"/>
    </row>
    <row r="1011" spans="1:15" ht="12.75" customHeight="1" x14ac:dyDescent="0.2">
      <c r="A1011" s="45"/>
      <c r="B1011" s="45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11"/>
    </row>
    <row r="1012" spans="1:15" ht="12.75" customHeight="1" x14ac:dyDescent="0.2">
      <c r="A1012" s="45"/>
      <c r="B1012" s="45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11"/>
    </row>
    <row r="1013" spans="1:15" ht="12.75" customHeight="1" x14ac:dyDescent="0.2">
      <c r="A1013" s="45"/>
      <c r="B1013" s="45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11"/>
    </row>
    <row r="1014" spans="1:15" ht="12.75" customHeight="1" x14ac:dyDescent="0.2">
      <c r="A1014" s="45"/>
      <c r="B1014" s="45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11"/>
    </row>
    <row r="1015" spans="1:15" ht="12.75" customHeight="1" x14ac:dyDescent="0.2">
      <c r="A1015" s="45"/>
      <c r="B1015" s="45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11"/>
    </row>
    <row r="1016" spans="1:15" ht="12.75" customHeight="1" x14ac:dyDescent="0.2">
      <c r="A1016" s="45"/>
      <c r="B1016" s="45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11"/>
    </row>
    <row r="1017" spans="1:15" ht="12.75" customHeight="1" x14ac:dyDescent="0.2">
      <c r="A1017" s="45"/>
      <c r="B1017" s="45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11"/>
    </row>
    <row r="1018" spans="1:15" ht="12.75" customHeight="1" x14ac:dyDescent="0.2">
      <c r="A1018" s="45"/>
      <c r="B1018" s="45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11"/>
    </row>
    <row r="1019" spans="1:15" ht="12.75" customHeight="1" x14ac:dyDescent="0.2">
      <c r="A1019" s="45"/>
      <c r="B1019" s="45"/>
      <c r="C1019" s="45"/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  <c r="O1019" s="11"/>
    </row>
    <row r="1020" spans="1:15" ht="12.75" customHeight="1" x14ac:dyDescent="0.2">
      <c r="A1020" s="45"/>
      <c r="B1020" s="45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  <c r="O1020" s="11"/>
    </row>
    <row r="1021" spans="1:15" ht="12.75" customHeight="1" x14ac:dyDescent="0.2">
      <c r="A1021" s="45"/>
      <c r="B1021" s="45"/>
      <c r="C1021" s="45"/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11"/>
    </row>
    <row r="1022" spans="1:15" ht="12.75" customHeight="1" x14ac:dyDescent="0.2">
      <c r="A1022" s="45"/>
      <c r="B1022" s="45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11"/>
    </row>
    <row r="1023" spans="1:15" ht="12.75" customHeight="1" x14ac:dyDescent="0.2">
      <c r="A1023" s="45"/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11"/>
    </row>
    <row r="1024" spans="1:15" ht="12.75" customHeight="1" x14ac:dyDescent="0.2">
      <c r="A1024" s="45"/>
      <c r="B1024" s="45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11"/>
    </row>
    <row r="1025" spans="1:15" ht="12.75" customHeight="1" x14ac:dyDescent="0.2">
      <c r="A1025" s="45"/>
      <c r="B1025" s="45"/>
      <c r="C1025" s="45"/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  <c r="O1025" s="11"/>
    </row>
    <row r="1026" spans="1:15" ht="12.75" customHeight="1" x14ac:dyDescent="0.2">
      <c r="A1026" s="45"/>
      <c r="B1026" s="45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11"/>
    </row>
    <row r="1027" spans="1:15" ht="12.75" customHeight="1" x14ac:dyDescent="0.2">
      <c r="A1027" s="45"/>
      <c r="B1027" s="45"/>
      <c r="C1027" s="45"/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11"/>
    </row>
    <row r="1028" spans="1:15" ht="12.75" customHeight="1" x14ac:dyDescent="0.2">
      <c r="A1028" s="45"/>
      <c r="B1028" s="45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11"/>
    </row>
    <row r="1029" spans="1:15" ht="12.75" customHeight="1" x14ac:dyDescent="0.2">
      <c r="A1029" s="45"/>
      <c r="B1029" s="45"/>
      <c r="C1029" s="45"/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11"/>
    </row>
    <row r="1030" spans="1:15" ht="12.75" customHeight="1" x14ac:dyDescent="0.2">
      <c r="A1030" s="45"/>
      <c r="B1030" s="45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11"/>
    </row>
    <row r="1031" spans="1:15" ht="12.75" customHeight="1" x14ac:dyDescent="0.2">
      <c r="A1031" s="45"/>
      <c r="B1031" s="45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11"/>
    </row>
    <row r="1032" spans="1:15" ht="12.75" customHeight="1" x14ac:dyDescent="0.2">
      <c r="A1032" s="45"/>
      <c r="B1032" s="45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11"/>
    </row>
    <row r="1033" spans="1:15" ht="12.75" customHeight="1" x14ac:dyDescent="0.2">
      <c r="A1033" s="45"/>
      <c r="B1033" s="45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11"/>
    </row>
    <row r="1034" spans="1:15" ht="12.75" customHeight="1" x14ac:dyDescent="0.2">
      <c r="A1034" s="45"/>
      <c r="B1034" s="45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11"/>
    </row>
    <row r="1035" spans="1:15" ht="12.75" customHeight="1" x14ac:dyDescent="0.2">
      <c r="A1035" s="45"/>
      <c r="B1035" s="45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11"/>
    </row>
    <row r="1036" spans="1:15" ht="12.75" customHeight="1" x14ac:dyDescent="0.2">
      <c r="A1036" s="45"/>
      <c r="B1036" s="45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11"/>
    </row>
    <row r="1037" spans="1:15" ht="12.75" customHeight="1" x14ac:dyDescent="0.2">
      <c r="A1037" s="45"/>
      <c r="B1037" s="45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11"/>
    </row>
    <row r="1038" spans="1:15" ht="12.75" customHeight="1" x14ac:dyDescent="0.2">
      <c r="A1038" s="45"/>
      <c r="B1038" s="45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11"/>
    </row>
    <row r="1039" spans="1:15" ht="12.75" customHeight="1" x14ac:dyDescent="0.2">
      <c r="A1039" s="45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11"/>
    </row>
    <row r="1040" spans="1:15" ht="12.75" customHeight="1" x14ac:dyDescent="0.2">
      <c r="A1040" s="45"/>
      <c r="B1040" s="45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11"/>
    </row>
    <row r="1041" spans="1:15" ht="12.75" customHeight="1" x14ac:dyDescent="0.2">
      <c r="A1041" s="45"/>
      <c r="B1041" s="45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11"/>
    </row>
    <row r="1042" spans="1:15" ht="12.75" customHeight="1" x14ac:dyDescent="0.2">
      <c r="A1042" s="45"/>
      <c r="B1042" s="45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11"/>
    </row>
    <row r="1043" spans="1:15" ht="12.75" customHeight="1" x14ac:dyDescent="0.2">
      <c r="A1043" s="45"/>
      <c r="B1043" s="45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11"/>
    </row>
    <row r="1044" spans="1:15" ht="12.75" customHeight="1" x14ac:dyDescent="0.2">
      <c r="A1044" s="45"/>
      <c r="B1044" s="45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11"/>
    </row>
    <row r="1045" spans="1:15" ht="12.75" customHeight="1" x14ac:dyDescent="0.2">
      <c r="A1045" s="45"/>
      <c r="B1045" s="45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11"/>
    </row>
    <row r="1046" spans="1:15" ht="12.75" customHeight="1" x14ac:dyDescent="0.2">
      <c r="A1046" s="45"/>
      <c r="B1046" s="45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11"/>
    </row>
    <row r="1047" spans="1:15" ht="12.75" customHeight="1" x14ac:dyDescent="0.2">
      <c r="A1047" s="45"/>
      <c r="B1047" s="45"/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11"/>
    </row>
    <row r="1048" spans="1:15" ht="12.75" customHeight="1" x14ac:dyDescent="0.2">
      <c r="A1048" s="45"/>
      <c r="B1048" s="45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11"/>
    </row>
    <row r="1049" spans="1:15" ht="12.75" customHeight="1" x14ac:dyDescent="0.2">
      <c r="A1049" s="45"/>
      <c r="B1049" s="45"/>
      <c r="C1049" s="45"/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11"/>
    </row>
    <row r="1050" spans="1:15" ht="12.75" customHeight="1" x14ac:dyDescent="0.2">
      <c r="A1050" s="45"/>
      <c r="B1050" s="45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11"/>
    </row>
    <row r="1051" spans="1:15" ht="12.75" customHeight="1" x14ac:dyDescent="0.2">
      <c r="A1051" s="45"/>
      <c r="B1051" s="45"/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11"/>
    </row>
    <row r="1052" spans="1:15" ht="12.75" customHeight="1" x14ac:dyDescent="0.2">
      <c r="A1052" s="45"/>
      <c r="B1052" s="45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11"/>
    </row>
    <row r="1053" spans="1:15" ht="12.75" customHeight="1" x14ac:dyDescent="0.2">
      <c r="A1053" s="45"/>
      <c r="B1053" s="45"/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11"/>
    </row>
    <row r="1054" spans="1:15" ht="12.75" customHeight="1" x14ac:dyDescent="0.2">
      <c r="A1054" s="45"/>
      <c r="B1054" s="45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11"/>
    </row>
    <row r="1055" spans="1:15" ht="12.75" customHeight="1" x14ac:dyDescent="0.2">
      <c r="A1055" s="45"/>
      <c r="B1055" s="45"/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11"/>
    </row>
    <row r="1056" spans="1:15" ht="12.75" customHeight="1" x14ac:dyDescent="0.2">
      <c r="A1056" s="45"/>
      <c r="B1056" s="45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11"/>
    </row>
    <row r="1057" spans="1:15" ht="12.75" customHeight="1" x14ac:dyDescent="0.2">
      <c r="A1057" s="45"/>
      <c r="B1057" s="45"/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11"/>
    </row>
    <row r="1058" spans="1:15" ht="12.75" customHeight="1" x14ac:dyDescent="0.2">
      <c r="A1058" s="45"/>
      <c r="B1058" s="45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11"/>
    </row>
    <row r="1059" spans="1:15" ht="12.75" customHeight="1" x14ac:dyDescent="0.2">
      <c r="A1059" s="45"/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11"/>
    </row>
    <row r="1060" spans="1:15" ht="12.75" customHeight="1" x14ac:dyDescent="0.2">
      <c r="A1060" s="45"/>
      <c r="B1060" s="45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11"/>
    </row>
    <row r="1061" spans="1:15" ht="12.75" customHeight="1" x14ac:dyDescent="0.2">
      <c r="A1061" s="45"/>
      <c r="B1061" s="45"/>
      <c r="C1061" s="45"/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11"/>
    </row>
    <row r="1062" spans="1:15" ht="12.75" customHeight="1" x14ac:dyDescent="0.2">
      <c r="A1062" s="45"/>
      <c r="B1062" s="45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11"/>
    </row>
    <row r="1063" spans="1:15" ht="12.75" customHeight="1" x14ac:dyDescent="0.2">
      <c r="A1063" s="45"/>
      <c r="B1063" s="45"/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11"/>
    </row>
    <row r="1064" spans="1:15" ht="12.75" customHeight="1" x14ac:dyDescent="0.2">
      <c r="A1064" s="45"/>
      <c r="B1064" s="45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11"/>
    </row>
    <row r="1065" spans="1:15" ht="12.75" customHeight="1" x14ac:dyDescent="0.2">
      <c r="A1065" s="45"/>
      <c r="B1065" s="45"/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11"/>
    </row>
    <row r="1066" spans="1:15" ht="12.75" customHeight="1" x14ac:dyDescent="0.2">
      <c r="A1066" s="45"/>
      <c r="B1066" s="45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11"/>
    </row>
    <row r="1067" spans="1:15" ht="12.75" customHeight="1" x14ac:dyDescent="0.2">
      <c r="A1067" s="45"/>
      <c r="B1067" s="45"/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11"/>
    </row>
    <row r="1068" spans="1:15" ht="12.75" customHeight="1" x14ac:dyDescent="0.2">
      <c r="A1068" s="45"/>
      <c r="B1068" s="45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11"/>
    </row>
    <row r="1069" spans="1:15" ht="12.75" customHeight="1" x14ac:dyDescent="0.2">
      <c r="A1069" s="45"/>
      <c r="B1069" s="45"/>
      <c r="C1069" s="45"/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11"/>
    </row>
    <row r="1070" spans="1:15" ht="12.75" customHeight="1" x14ac:dyDescent="0.2">
      <c r="A1070" s="45"/>
      <c r="B1070" s="45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11"/>
    </row>
    <row r="1071" spans="1:15" ht="12.75" customHeight="1" x14ac:dyDescent="0.2">
      <c r="A1071" s="45"/>
      <c r="B1071" s="45"/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11"/>
    </row>
    <row r="1072" spans="1:15" ht="12.75" customHeight="1" x14ac:dyDescent="0.2">
      <c r="A1072" s="45"/>
      <c r="B1072" s="45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11"/>
    </row>
    <row r="1073" spans="1:15" ht="12.75" customHeight="1" x14ac:dyDescent="0.2">
      <c r="A1073" s="45"/>
      <c r="B1073" s="45"/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11"/>
    </row>
    <row r="1074" spans="1:15" ht="12.75" customHeight="1" x14ac:dyDescent="0.2">
      <c r="A1074" s="45"/>
      <c r="B1074" s="45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11"/>
    </row>
    <row r="1075" spans="1:15" ht="12.75" customHeight="1" x14ac:dyDescent="0.2">
      <c r="A1075" s="45"/>
      <c r="B1075" s="45"/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11"/>
    </row>
    <row r="1076" spans="1:15" ht="12.75" customHeight="1" x14ac:dyDescent="0.2">
      <c r="A1076" s="45"/>
      <c r="B1076" s="45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11"/>
    </row>
    <row r="1077" spans="1:15" ht="12.75" customHeight="1" x14ac:dyDescent="0.2">
      <c r="A1077" s="45"/>
      <c r="B1077" s="45"/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11"/>
    </row>
    <row r="1078" spans="1:15" ht="12.75" customHeight="1" x14ac:dyDescent="0.2">
      <c r="A1078" s="45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11"/>
    </row>
    <row r="1079" spans="1:15" ht="12.75" customHeight="1" x14ac:dyDescent="0.2">
      <c r="A1079" s="45"/>
      <c r="B1079" s="45"/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11"/>
    </row>
    <row r="1080" spans="1:15" ht="12.75" customHeight="1" x14ac:dyDescent="0.2">
      <c r="A1080" s="45"/>
      <c r="B1080" s="45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11"/>
    </row>
    <row r="1081" spans="1:15" ht="12.75" customHeight="1" x14ac:dyDescent="0.2">
      <c r="A1081" s="45"/>
      <c r="B1081" s="45"/>
      <c r="C1081" s="45"/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11"/>
    </row>
    <row r="1082" spans="1:15" ht="15" customHeight="1" x14ac:dyDescent="0.2">
      <c r="G1082" s="45"/>
      <c r="H1082" s="45"/>
      <c r="I1082" s="45"/>
      <c r="J1082" s="45"/>
      <c r="K1082" s="45"/>
    </row>
  </sheetData>
  <mergeCells count="1">
    <mergeCell ref="A1:J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65"/>
  <sheetViews>
    <sheetView workbookViewId="0">
      <selection activeCell="D180" sqref="A153:D180"/>
    </sheetView>
  </sheetViews>
  <sheetFormatPr defaultColWidth="17.28515625" defaultRowHeight="15" customHeight="1" x14ac:dyDescent="0.2"/>
  <cols>
    <col min="1" max="1" width="7.42578125" customWidth="1"/>
    <col min="2" max="2" width="16.42578125" customWidth="1"/>
    <col min="3" max="3" width="12.140625" customWidth="1"/>
    <col min="4" max="4" width="14.28515625" customWidth="1"/>
    <col min="5" max="5" width="11.28515625" customWidth="1"/>
    <col min="6" max="6" width="15.85546875" customWidth="1"/>
    <col min="7" max="7" width="11.140625" customWidth="1"/>
    <col min="8" max="8" width="9.7109375" customWidth="1"/>
    <col min="9" max="9" width="12" customWidth="1"/>
    <col min="10" max="10" width="13.85546875" customWidth="1"/>
    <col min="11" max="11" width="15.42578125" customWidth="1"/>
    <col min="12" max="12" width="11.140625" customWidth="1"/>
    <col min="13" max="13" width="11" customWidth="1"/>
    <col min="14" max="14" width="12.85546875" customWidth="1"/>
    <col min="15" max="15" width="11.85546875" customWidth="1"/>
    <col min="16" max="17" width="8.85546875" customWidth="1"/>
    <col min="18" max="18" width="12.7109375" customWidth="1"/>
    <col min="19" max="19" width="13.28515625" customWidth="1"/>
    <col min="20" max="20" width="8.85546875" customWidth="1"/>
    <col min="21" max="21" width="11.28515625" customWidth="1"/>
    <col min="22" max="22" width="12.42578125" customWidth="1"/>
    <col min="23" max="26" width="8.85546875" customWidth="1"/>
  </cols>
  <sheetData>
    <row r="1" spans="1:26" ht="12.75" customHeight="1" x14ac:dyDescent="0.2">
      <c r="A1" s="10" t="s">
        <v>242</v>
      </c>
      <c r="B1" s="8"/>
      <c r="C1" s="8"/>
      <c r="D1" s="8"/>
      <c r="E1" s="8"/>
      <c r="F1" s="8"/>
      <c r="G1" s="8"/>
      <c r="H1" s="8"/>
      <c r="I1" s="8"/>
      <c r="J1" s="9"/>
      <c r="K1" s="9"/>
      <c r="L1" s="9"/>
      <c r="M1" s="9"/>
      <c r="N1" s="10"/>
      <c r="O1" s="9"/>
      <c r="P1" s="9"/>
      <c r="Q1" s="10"/>
      <c r="R1" s="9"/>
      <c r="S1" s="10"/>
      <c r="T1" s="10"/>
      <c r="U1" s="10"/>
      <c r="V1" s="10"/>
      <c r="W1" s="10"/>
      <c r="X1" s="10"/>
      <c r="Y1" s="10"/>
      <c r="Z1" s="10"/>
    </row>
    <row r="2" spans="1:26" ht="12.75" customHeight="1" x14ac:dyDescent="0.2">
      <c r="A2" s="8" t="s">
        <v>243</v>
      </c>
      <c r="B2" s="8" t="s">
        <v>244</v>
      </c>
      <c r="C2" s="8" t="s">
        <v>245</v>
      </c>
      <c r="D2" s="8" t="s">
        <v>246</v>
      </c>
      <c r="E2" s="8" t="s">
        <v>247</v>
      </c>
      <c r="F2" s="8" t="s">
        <v>248</v>
      </c>
      <c r="G2" s="8" t="s">
        <v>249</v>
      </c>
      <c r="H2" s="8" t="s">
        <v>250</v>
      </c>
      <c r="I2" s="8"/>
      <c r="J2" s="16"/>
      <c r="K2" s="8"/>
      <c r="L2" s="8"/>
      <c r="M2" s="8"/>
      <c r="N2" s="8"/>
      <c r="O2" s="8"/>
      <c r="P2" s="8"/>
      <c r="Q2" s="9"/>
      <c r="R2" s="8"/>
      <c r="S2" s="9"/>
      <c r="T2" s="8"/>
      <c r="U2" s="8"/>
      <c r="V2" s="8"/>
      <c r="W2" s="8"/>
      <c r="X2" s="8"/>
      <c r="Y2" s="8"/>
    </row>
    <row r="3" spans="1:26" ht="12.75" customHeight="1" x14ac:dyDescent="0.2">
      <c r="A3" s="8">
        <v>1990</v>
      </c>
      <c r="B3" s="135">
        <v>33095</v>
      </c>
      <c r="C3" s="135">
        <v>33097</v>
      </c>
      <c r="D3" s="8">
        <v>55</v>
      </c>
      <c r="E3" s="8">
        <v>55</v>
      </c>
      <c r="F3" s="51">
        <v>100</v>
      </c>
      <c r="G3" s="8">
        <v>0</v>
      </c>
      <c r="H3" s="8">
        <v>0</v>
      </c>
      <c r="I3" s="8"/>
      <c r="J3" s="8"/>
      <c r="K3" s="11"/>
      <c r="L3" s="8"/>
      <c r="M3" s="8"/>
      <c r="N3" s="8"/>
      <c r="O3" s="8"/>
      <c r="P3" s="8"/>
      <c r="Q3" s="8"/>
      <c r="R3" s="8"/>
      <c r="S3" s="9"/>
      <c r="T3" s="8"/>
      <c r="U3" s="8"/>
      <c r="V3" s="8"/>
      <c r="W3" s="8"/>
      <c r="X3" s="8"/>
      <c r="Y3" s="8"/>
    </row>
    <row r="4" spans="1:26" ht="12.75" customHeight="1" x14ac:dyDescent="0.2">
      <c r="A4" s="8">
        <v>1991</v>
      </c>
      <c r="B4" s="135">
        <v>33463</v>
      </c>
      <c r="C4" s="135">
        <v>33465</v>
      </c>
      <c r="D4" s="8">
        <v>48</v>
      </c>
      <c r="E4" s="8">
        <v>47</v>
      </c>
      <c r="F4" s="51">
        <v>97.916666666666657</v>
      </c>
      <c r="G4" s="8">
        <v>0</v>
      </c>
      <c r="H4" s="8">
        <v>0</v>
      </c>
      <c r="I4" s="8"/>
      <c r="J4" s="8"/>
      <c r="K4" s="11"/>
      <c r="L4" s="8"/>
      <c r="M4" s="8"/>
      <c r="N4" s="8"/>
      <c r="O4" s="8"/>
      <c r="P4" s="8"/>
      <c r="Q4" s="8"/>
      <c r="R4" s="8"/>
      <c r="S4" s="9"/>
      <c r="T4" s="8"/>
      <c r="U4" s="8"/>
      <c r="V4" s="8"/>
      <c r="W4" s="8"/>
      <c r="X4" s="8"/>
      <c r="Y4" s="8"/>
    </row>
    <row r="5" spans="1:26" ht="12.75" customHeight="1" x14ac:dyDescent="0.2">
      <c r="A5" s="8">
        <v>1992</v>
      </c>
      <c r="B5" s="135">
        <v>33820</v>
      </c>
      <c r="C5" s="135">
        <v>33826</v>
      </c>
      <c r="D5" s="8">
        <v>166</v>
      </c>
      <c r="E5" s="8">
        <v>158</v>
      </c>
      <c r="F5" s="51">
        <v>95.180722891566262</v>
      </c>
      <c r="G5" s="8">
        <v>1</v>
      </c>
      <c r="H5" s="8">
        <v>0.60240963855421692</v>
      </c>
      <c r="I5" s="8"/>
      <c r="J5" s="8"/>
      <c r="K5" s="11"/>
      <c r="L5" s="8"/>
      <c r="M5" s="8"/>
      <c r="N5" s="8"/>
      <c r="O5" s="8"/>
      <c r="P5" s="8"/>
      <c r="Q5" s="8"/>
      <c r="R5" s="8"/>
      <c r="S5" s="9"/>
      <c r="T5" s="8"/>
      <c r="U5" s="8"/>
      <c r="V5" s="8"/>
      <c r="W5" s="8"/>
      <c r="X5" s="8"/>
      <c r="Y5" s="8"/>
    </row>
    <row r="6" spans="1:26" ht="12.75" customHeight="1" x14ac:dyDescent="0.2">
      <c r="A6" s="8">
        <v>1993</v>
      </c>
      <c r="B6" s="135">
        <v>34186</v>
      </c>
      <c r="C6" s="135">
        <v>34193</v>
      </c>
      <c r="D6" s="8">
        <v>152</v>
      </c>
      <c r="E6" s="8">
        <v>150</v>
      </c>
      <c r="F6" s="51">
        <v>98.68421052631578</v>
      </c>
      <c r="G6" s="8">
        <v>0</v>
      </c>
      <c r="H6" s="8">
        <v>0</v>
      </c>
      <c r="I6" s="8"/>
      <c r="J6" s="8"/>
      <c r="K6" s="11"/>
      <c r="L6" s="8"/>
      <c r="M6" s="8"/>
      <c r="N6" s="8"/>
      <c r="O6" s="8"/>
      <c r="P6" s="8"/>
      <c r="Q6" s="8"/>
      <c r="R6" s="8"/>
      <c r="S6" s="9"/>
      <c r="T6" s="8"/>
      <c r="U6" s="8"/>
      <c r="V6" s="8"/>
      <c r="W6" s="8"/>
      <c r="X6" s="8"/>
      <c r="Y6" s="8"/>
    </row>
    <row r="7" spans="1:26" ht="12.75" customHeight="1" x14ac:dyDescent="0.2">
      <c r="A7" s="8">
        <v>1994</v>
      </c>
      <c r="B7" s="135">
        <v>34558</v>
      </c>
      <c r="C7" s="135">
        <v>34562</v>
      </c>
      <c r="D7" s="8">
        <v>98</v>
      </c>
      <c r="E7" s="8">
        <v>96</v>
      </c>
      <c r="F7" s="51">
        <v>97.959183673469383</v>
      </c>
      <c r="G7" s="8">
        <v>0</v>
      </c>
      <c r="H7" s="8">
        <v>0</v>
      </c>
      <c r="I7" s="8"/>
      <c r="J7" s="8"/>
      <c r="K7" s="11"/>
      <c r="L7" s="8"/>
      <c r="M7" s="8"/>
      <c r="N7" s="8"/>
      <c r="O7" s="8"/>
      <c r="P7" s="8"/>
      <c r="Q7" s="8"/>
      <c r="R7" s="8"/>
      <c r="S7" s="9"/>
      <c r="T7" s="8"/>
      <c r="U7" s="8"/>
      <c r="V7" s="8"/>
      <c r="W7" s="8"/>
      <c r="X7" s="8"/>
      <c r="Y7" s="8"/>
    </row>
    <row r="8" spans="1:26" ht="12.75" customHeight="1" x14ac:dyDescent="0.2">
      <c r="A8" s="8">
        <v>1995</v>
      </c>
      <c r="B8" s="135">
        <v>34915</v>
      </c>
      <c r="C8" s="135">
        <v>34922</v>
      </c>
      <c r="D8" s="8">
        <v>205</v>
      </c>
      <c r="E8" s="8">
        <v>151</v>
      </c>
      <c r="F8" s="51">
        <v>73.658536585365852</v>
      </c>
      <c r="G8" s="8">
        <v>46</v>
      </c>
      <c r="H8" s="8">
        <v>22.439024390243905</v>
      </c>
      <c r="I8" s="8"/>
      <c r="J8" s="8" t="s">
        <v>268</v>
      </c>
      <c r="K8" s="8"/>
      <c r="L8" s="8"/>
      <c r="M8" s="8"/>
      <c r="N8" s="8"/>
      <c r="O8" s="8"/>
      <c r="P8" s="8"/>
      <c r="Q8" s="8"/>
      <c r="R8" s="8"/>
      <c r="S8" s="9"/>
      <c r="T8" s="8"/>
      <c r="U8" s="8"/>
      <c r="V8" s="8"/>
      <c r="W8" s="8"/>
      <c r="X8" s="8"/>
      <c r="Y8" s="8"/>
    </row>
    <row r="9" spans="1:26" ht="12.75" customHeight="1" x14ac:dyDescent="0.2">
      <c r="A9" s="8">
        <v>1996</v>
      </c>
      <c r="B9" s="135">
        <v>35282</v>
      </c>
      <c r="C9" s="135">
        <v>35286</v>
      </c>
      <c r="D9" s="8">
        <v>83</v>
      </c>
      <c r="E9" s="8">
        <v>81</v>
      </c>
      <c r="F9" s="51">
        <v>97.590361445783131</v>
      </c>
      <c r="G9" s="8">
        <v>0</v>
      </c>
      <c r="H9" s="8">
        <v>0</v>
      </c>
      <c r="I9" s="8"/>
      <c r="J9" s="8"/>
      <c r="K9" s="49" t="s">
        <v>263</v>
      </c>
      <c r="L9" s="8" t="s">
        <v>264</v>
      </c>
      <c r="M9" s="8"/>
      <c r="N9" s="8"/>
      <c r="O9" s="8"/>
      <c r="P9" s="8"/>
      <c r="Q9" s="8"/>
      <c r="R9" s="8"/>
      <c r="S9" s="9"/>
      <c r="T9" s="8"/>
      <c r="U9" s="8"/>
      <c r="V9" s="8"/>
      <c r="W9" s="8"/>
      <c r="X9" s="8"/>
      <c r="Y9" s="8"/>
    </row>
    <row r="10" spans="1:26" ht="12.75" customHeight="1" x14ac:dyDescent="0.2">
      <c r="A10" s="8">
        <v>1997</v>
      </c>
      <c r="B10" s="135">
        <v>35643</v>
      </c>
      <c r="C10" s="135">
        <v>35651</v>
      </c>
      <c r="D10" s="8">
        <v>339</v>
      </c>
      <c r="E10" s="8">
        <v>323</v>
      </c>
      <c r="F10" s="51">
        <v>95.280235988200587</v>
      </c>
      <c r="G10" s="8">
        <v>1</v>
      </c>
      <c r="H10" s="8">
        <v>0.29498525073746312</v>
      </c>
      <c r="I10" s="8"/>
      <c r="J10" s="8">
        <v>1990</v>
      </c>
      <c r="K10" s="8" t="s">
        <v>29</v>
      </c>
      <c r="L10" s="8" t="s">
        <v>29</v>
      </c>
      <c r="M10" s="8"/>
      <c r="N10" s="8"/>
      <c r="O10" s="8"/>
      <c r="P10" s="8"/>
      <c r="Q10" s="8"/>
      <c r="R10" s="8"/>
      <c r="S10" s="9"/>
      <c r="T10" s="8"/>
      <c r="U10" s="8"/>
      <c r="V10" s="8"/>
      <c r="W10" s="8"/>
      <c r="X10" s="8"/>
      <c r="Y10" s="8"/>
    </row>
    <row r="11" spans="1:26" ht="12.75" customHeight="1" x14ac:dyDescent="0.2">
      <c r="A11" s="8">
        <v>1998</v>
      </c>
      <c r="B11" s="135">
        <v>36011</v>
      </c>
      <c r="C11" s="135">
        <v>36023</v>
      </c>
      <c r="D11" s="8">
        <v>101</v>
      </c>
      <c r="E11" s="8">
        <v>96</v>
      </c>
      <c r="F11" s="51">
        <v>95.049504950495049</v>
      </c>
      <c r="G11" s="8">
        <v>4</v>
      </c>
      <c r="H11" s="8">
        <v>3.9603960396039604</v>
      </c>
      <c r="I11" s="8"/>
      <c r="J11" s="8">
        <v>1991</v>
      </c>
      <c r="K11" s="8" t="s">
        <v>29</v>
      </c>
      <c r="L11" s="8" t="s">
        <v>29</v>
      </c>
      <c r="M11" s="8"/>
      <c r="N11" s="8"/>
      <c r="O11" s="8"/>
      <c r="P11" s="8"/>
      <c r="Q11" s="8"/>
      <c r="R11" s="8"/>
      <c r="S11" s="9"/>
      <c r="T11" s="8"/>
      <c r="U11" s="8"/>
      <c r="V11" s="8"/>
      <c r="W11" s="8"/>
      <c r="X11" s="8"/>
      <c r="Y11" s="8"/>
    </row>
    <row r="12" spans="1:26" ht="12.75" customHeight="1" x14ac:dyDescent="0.2">
      <c r="A12" s="8">
        <v>1999</v>
      </c>
      <c r="B12" s="135">
        <v>36368</v>
      </c>
      <c r="C12" s="135">
        <v>36377</v>
      </c>
      <c r="D12" s="8">
        <v>62</v>
      </c>
      <c r="E12" s="8">
        <v>61</v>
      </c>
      <c r="F12" s="51">
        <v>98.387096774193552</v>
      </c>
      <c r="G12" s="8">
        <v>1</v>
      </c>
      <c r="H12" s="8">
        <v>1.6129032258064515</v>
      </c>
      <c r="I12" s="8"/>
      <c r="J12" s="8">
        <v>1992</v>
      </c>
      <c r="K12" s="8">
        <v>147</v>
      </c>
      <c r="L12" s="8">
        <v>9</v>
      </c>
      <c r="M12" s="8"/>
      <c r="N12" s="8"/>
      <c r="O12" s="8"/>
      <c r="P12" s="8"/>
      <c r="Q12" s="8"/>
      <c r="R12" s="8"/>
      <c r="S12" s="9"/>
      <c r="T12" s="8"/>
      <c r="U12" s="8"/>
      <c r="V12" s="8"/>
      <c r="W12" s="8"/>
      <c r="X12" s="8"/>
      <c r="Y12" s="8"/>
    </row>
    <row r="13" spans="1:26" ht="12.75" customHeight="1" x14ac:dyDescent="0.2">
      <c r="A13" s="8">
        <v>2000</v>
      </c>
      <c r="B13" s="135">
        <v>36743</v>
      </c>
      <c r="C13" s="135">
        <v>36751</v>
      </c>
      <c r="D13" s="8">
        <v>161</v>
      </c>
      <c r="E13" s="8">
        <v>159</v>
      </c>
      <c r="F13" s="51">
        <v>98.757763975155271</v>
      </c>
      <c r="G13" s="8">
        <v>1</v>
      </c>
      <c r="H13" s="8">
        <v>0.6211180124223602</v>
      </c>
      <c r="I13" s="8"/>
      <c r="J13" s="8">
        <v>1993</v>
      </c>
      <c r="K13" s="8" t="s">
        <v>29</v>
      </c>
      <c r="L13" s="8" t="s">
        <v>29</v>
      </c>
      <c r="M13" s="8"/>
      <c r="N13" s="8"/>
      <c r="O13" s="8"/>
      <c r="P13" s="8"/>
      <c r="Q13" s="8"/>
      <c r="R13" s="8"/>
      <c r="S13" s="9"/>
      <c r="T13" s="8"/>
      <c r="U13" s="8"/>
      <c r="V13" s="8"/>
      <c r="W13" s="8"/>
      <c r="X13" s="8"/>
      <c r="Y13" s="8"/>
    </row>
    <row r="14" spans="1:26" ht="12.75" customHeight="1" x14ac:dyDescent="0.2">
      <c r="A14" s="8">
        <v>2001</v>
      </c>
      <c r="B14" s="135">
        <v>37104</v>
      </c>
      <c r="C14" s="135">
        <v>37109</v>
      </c>
      <c r="D14" s="8">
        <v>117</v>
      </c>
      <c r="E14" s="8">
        <v>117</v>
      </c>
      <c r="F14" s="51">
        <v>100</v>
      </c>
      <c r="G14" s="8">
        <v>0</v>
      </c>
      <c r="H14" s="8">
        <v>0</v>
      </c>
      <c r="I14" s="8"/>
      <c r="J14" s="8">
        <v>1994</v>
      </c>
      <c r="K14" s="8" t="s">
        <v>29</v>
      </c>
      <c r="L14" s="8" t="s">
        <v>29</v>
      </c>
      <c r="M14" s="8"/>
      <c r="N14" s="8"/>
      <c r="O14" s="8"/>
      <c r="P14" s="8"/>
      <c r="Q14" s="8"/>
      <c r="R14" s="8"/>
      <c r="S14" s="9"/>
      <c r="T14" s="8"/>
      <c r="U14" s="8"/>
      <c r="V14" s="8"/>
      <c r="W14" s="8"/>
      <c r="X14" s="8"/>
      <c r="Y14" s="8"/>
    </row>
    <row r="15" spans="1:26" ht="12.75" customHeight="1" x14ac:dyDescent="0.2">
      <c r="A15" s="8">
        <v>2002</v>
      </c>
      <c r="B15" s="135">
        <v>37474</v>
      </c>
      <c r="C15" s="135">
        <v>37481</v>
      </c>
      <c r="D15" s="8">
        <v>276</v>
      </c>
      <c r="E15" s="8">
        <v>270</v>
      </c>
      <c r="F15" s="51">
        <v>97.826086956521735</v>
      </c>
      <c r="G15" s="8">
        <v>0</v>
      </c>
      <c r="H15" s="8">
        <v>0</v>
      </c>
      <c r="I15" s="8"/>
      <c r="J15" s="8">
        <v>1995</v>
      </c>
      <c r="K15" s="150">
        <v>105.78125</v>
      </c>
      <c r="L15" s="150">
        <v>2.3096774193548386</v>
      </c>
      <c r="M15" s="8"/>
      <c r="N15" s="8"/>
      <c r="O15" s="8"/>
      <c r="P15" s="8"/>
      <c r="Q15" s="8"/>
      <c r="R15" s="8"/>
      <c r="S15" s="9"/>
      <c r="T15" s="8"/>
      <c r="U15" s="8"/>
      <c r="V15" s="8"/>
      <c r="W15" s="8"/>
      <c r="X15" s="8"/>
      <c r="Y15" s="8"/>
    </row>
    <row r="16" spans="1:26" ht="12.75" customHeight="1" x14ac:dyDescent="0.2">
      <c r="A16" s="8">
        <v>2003</v>
      </c>
      <c r="B16" s="135">
        <v>37830</v>
      </c>
      <c r="C16" s="135">
        <v>37840</v>
      </c>
      <c r="D16" s="8">
        <v>79</v>
      </c>
      <c r="E16" s="8">
        <v>79</v>
      </c>
      <c r="F16" s="51">
        <v>100</v>
      </c>
      <c r="G16" s="8">
        <v>0</v>
      </c>
      <c r="H16" s="8">
        <v>0</v>
      </c>
      <c r="I16" s="8"/>
      <c r="J16" s="8">
        <v>1996</v>
      </c>
      <c r="K16" s="8" t="s">
        <v>29</v>
      </c>
      <c r="L16" s="8" t="s">
        <v>29</v>
      </c>
      <c r="M16" s="8"/>
      <c r="N16" s="8"/>
      <c r="O16" s="8"/>
      <c r="P16" s="8"/>
      <c r="Q16" s="8"/>
      <c r="R16" s="8"/>
      <c r="S16" s="9"/>
      <c r="T16" s="8"/>
      <c r="U16" s="8"/>
      <c r="V16" s="8"/>
      <c r="W16" s="8"/>
      <c r="X16" s="8"/>
      <c r="Y16" s="8"/>
    </row>
    <row r="17" spans="1:26" ht="12.75" customHeight="1" x14ac:dyDescent="0.2">
      <c r="A17" s="8">
        <v>2004</v>
      </c>
      <c r="B17" s="135">
        <v>38194</v>
      </c>
      <c r="C17" s="135">
        <v>38201</v>
      </c>
      <c r="D17" s="8">
        <v>163</v>
      </c>
      <c r="E17" s="8">
        <v>161</v>
      </c>
      <c r="F17" s="51">
        <v>98.773006134969322</v>
      </c>
      <c r="G17" s="8">
        <v>1</v>
      </c>
      <c r="H17" s="8">
        <v>0.61349693251533743</v>
      </c>
      <c r="I17" s="8"/>
      <c r="J17" s="8">
        <v>1997</v>
      </c>
      <c r="K17" s="8">
        <v>151</v>
      </c>
      <c r="L17" s="8">
        <v>12</v>
      </c>
      <c r="M17" s="8"/>
      <c r="N17" s="8"/>
      <c r="O17" s="8"/>
      <c r="P17" s="8"/>
      <c r="Q17" s="8"/>
      <c r="R17" s="8"/>
      <c r="S17" s="9"/>
      <c r="T17" s="8"/>
      <c r="U17" s="8"/>
      <c r="V17" s="8"/>
      <c r="W17" s="8"/>
      <c r="X17" s="8"/>
      <c r="Y17" s="8"/>
    </row>
    <row r="18" spans="1:26" ht="12.75" customHeight="1" x14ac:dyDescent="0.2">
      <c r="A18" s="8">
        <v>2005</v>
      </c>
      <c r="B18" s="135">
        <v>38566</v>
      </c>
      <c r="C18" s="135">
        <v>38573</v>
      </c>
      <c r="D18" s="8">
        <v>110</v>
      </c>
      <c r="E18" s="8">
        <v>110</v>
      </c>
      <c r="F18" s="51">
        <v>100</v>
      </c>
      <c r="G18" s="8">
        <v>0</v>
      </c>
      <c r="H18" s="8">
        <v>0</v>
      </c>
      <c r="I18" s="8"/>
      <c r="J18" s="8">
        <v>1998</v>
      </c>
      <c r="K18" s="150">
        <v>170.66666666666666</v>
      </c>
      <c r="L18" s="150">
        <v>10.324999999999999</v>
      </c>
      <c r="M18" s="8"/>
      <c r="N18" s="8"/>
      <c r="O18" s="8"/>
      <c r="P18" s="8"/>
      <c r="Q18" s="8"/>
      <c r="R18" s="8"/>
      <c r="S18" s="9"/>
      <c r="T18" s="8"/>
      <c r="U18" s="8"/>
      <c r="V18" s="8"/>
      <c r="W18" s="8"/>
      <c r="X18" s="8"/>
      <c r="Y18" s="8"/>
    </row>
    <row r="19" spans="1:26" ht="12.75" customHeight="1" x14ac:dyDescent="0.2">
      <c r="A19" s="8">
        <v>2006</v>
      </c>
      <c r="B19" s="135">
        <v>38936</v>
      </c>
      <c r="C19" s="135">
        <v>38942</v>
      </c>
      <c r="D19" s="8">
        <v>29</v>
      </c>
      <c r="E19" s="8">
        <v>28</v>
      </c>
      <c r="F19" s="51">
        <v>96.551724137931032</v>
      </c>
      <c r="G19" s="8">
        <v>1</v>
      </c>
      <c r="H19" s="8">
        <v>3.4482758620689653</v>
      </c>
      <c r="I19" s="8"/>
      <c r="J19" s="8">
        <v>1999</v>
      </c>
      <c r="K19" s="8">
        <v>163</v>
      </c>
      <c r="L19" s="8">
        <v>7</v>
      </c>
      <c r="M19" s="8"/>
      <c r="N19" s="8"/>
      <c r="O19" s="8"/>
      <c r="P19" s="8"/>
      <c r="Q19" s="8"/>
      <c r="R19" s="8"/>
      <c r="S19" s="9"/>
      <c r="T19" s="8"/>
      <c r="U19" s="8"/>
      <c r="V19" s="8"/>
      <c r="W19" s="8"/>
      <c r="X19" s="8"/>
      <c r="Y19" s="8"/>
    </row>
    <row r="20" spans="1:26" ht="12.75" customHeight="1" x14ac:dyDescent="0.2">
      <c r="A20" s="8">
        <v>2007</v>
      </c>
      <c r="B20" s="135">
        <v>39290</v>
      </c>
      <c r="C20" s="135">
        <v>39297</v>
      </c>
      <c r="D20" s="8">
        <v>150</v>
      </c>
      <c r="E20" s="8">
        <v>150</v>
      </c>
      <c r="F20" s="51">
        <v>100</v>
      </c>
      <c r="G20" s="8">
        <v>0</v>
      </c>
      <c r="H20" s="8">
        <v>0</v>
      </c>
      <c r="I20" s="8"/>
      <c r="J20" s="8">
        <v>2000</v>
      </c>
      <c r="K20" s="8">
        <v>112</v>
      </c>
      <c r="L20" s="8">
        <v>1.5</v>
      </c>
      <c r="M20" s="8"/>
      <c r="N20" s="8"/>
      <c r="O20" s="8"/>
      <c r="P20" s="8"/>
      <c r="Q20" s="8"/>
      <c r="R20" s="8"/>
      <c r="S20" s="9"/>
      <c r="T20" s="8"/>
      <c r="U20" s="8"/>
      <c r="V20" s="8"/>
      <c r="W20" s="8"/>
      <c r="X20" s="8"/>
      <c r="Y20" s="8"/>
    </row>
    <row r="21" spans="1:26" ht="12.75" customHeight="1" x14ac:dyDescent="0.2">
      <c r="A21" s="8">
        <v>2008</v>
      </c>
      <c r="B21" s="135">
        <v>39650</v>
      </c>
      <c r="C21" s="135">
        <v>39658</v>
      </c>
      <c r="D21" s="8">
        <v>101</v>
      </c>
      <c r="E21" s="8">
        <v>101</v>
      </c>
      <c r="F21" s="51">
        <v>100</v>
      </c>
      <c r="G21" s="8">
        <v>0</v>
      </c>
      <c r="H21" s="8">
        <v>0</v>
      </c>
      <c r="I21" s="8"/>
      <c r="J21" s="8">
        <v>2001</v>
      </c>
      <c r="K21" s="8" t="s">
        <v>29</v>
      </c>
      <c r="L21" s="8" t="s">
        <v>29</v>
      </c>
      <c r="M21" s="8"/>
      <c r="N21" s="8"/>
      <c r="O21" s="8"/>
      <c r="P21" s="8"/>
      <c r="Q21" s="8"/>
      <c r="R21" s="8"/>
      <c r="S21" s="9"/>
      <c r="T21" s="8"/>
      <c r="U21" s="8"/>
      <c r="V21" s="8"/>
      <c r="W21" s="8"/>
      <c r="X21" s="8"/>
      <c r="Y21" s="8"/>
    </row>
    <row r="22" spans="1:26" ht="12.75" customHeight="1" x14ac:dyDescent="0.2">
      <c r="A22" s="8">
        <v>2009</v>
      </c>
      <c r="B22" s="135">
        <v>40024</v>
      </c>
      <c r="C22" s="135">
        <v>40031</v>
      </c>
      <c r="D22" s="8">
        <v>124</v>
      </c>
      <c r="E22" s="8">
        <v>70</v>
      </c>
      <c r="F22" s="51">
        <v>56.451612903225815</v>
      </c>
      <c r="G22" s="8">
        <v>53</v>
      </c>
      <c r="H22" s="8">
        <v>42.741935483870968</v>
      </c>
      <c r="I22" s="8"/>
      <c r="J22" s="8">
        <v>2002</v>
      </c>
      <c r="K22" s="8" t="s">
        <v>29</v>
      </c>
      <c r="L22" s="8" t="s">
        <v>29</v>
      </c>
      <c r="M22" s="8"/>
      <c r="N22" s="8"/>
      <c r="O22" s="8"/>
      <c r="P22" s="8"/>
      <c r="Q22" s="8"/>
      <c r="R22" s="8"/>
      <c r="S22" s="9"/>
      <c r="T22" s="8"/>
      <c r="U22" s="8"/>
      <c r="V22" s="8"/>
      <c r="W22" s="8"/>
      <c r="X22" s="8"/>
      <c r="Y22" s="8"/>
    </row>
    <row r="23" spans="1:26" ht="12.75" customHeight="1" x14ac:dyDescent="0.2">
      <c r="A23" s="8">
        <v>2010</v>
      </c>
      <c r="B23" s="135">
        <v>40392</v>
      </c>
      <c r="C23" s="135">
        <v>40395</v>
      </c>
      <c r="D23" s="8">
        <v>34</v>
      </c>
      <c r="E23" s="8">
        <v>34</v>
      </c>
      <c r="F23" s="51">
        <v>100</v>
      </c>
      <c r="G23" s="8">
        <v>0</v>
      </c>
      <c r="H23" s="8">
        <v>0</v>
      </c>
      <c r="I23" s="8"/>
      <c r="J23" s="8">
        <v>2003</v>
      </c>
      <c r="K23" s="8" t="s">
        <v>29</v>
      </c>
      <c r="L23" s="8" t="s">
        <v>29</v>
      </c>
      <c r="M23" s="8"/>
      <c r="N23" s="8"/>
      <c r="O23" s="8"/>
      <c r="P23" s="8"/>
      <c r="Q23" s="8"/>
      <c r="R23" s="8"/>
      <c r="S23" s="9"/>
      <c r="T23" s="8"/>
      <c r="U23" s="8"/>
      <c r="V23" s="8"/>
      <c r="W23" s="8"/>
      <c r="X23" s="8"/>
      <c r="Y23" s="8"/>
    </row>
    <row r="24" spans="1:26" ht="12.75" customHeight="1" x14ac:dyDescent="0.2">
      <c r="A24" s="8">
        <v>2011</v>
      </c>
      <c r="B24" s="135">
        <v>40696</v>
      </c>
      <c r="C24" s="135">
        <v>40764</v>
      </c>
      <c r="D24" s="8">
        <v>129</v>
      </c>
      <c r="E24" s="8">
        <v>126</v>
      </c>
      <c r="F24" s="51">
        <v>97.674418604651152</v>
      </c>
      <c r="G24" s="8">
        <v>3</v>
      </c>
      <c r="H24" s="8">
        <v>2.3255813953488373</v>
      </c>
      <c r="I24" s="8"/>
      <c r="J24" s="8">
        <v>2004</v>
      </c>
      <c r="K24" s="8">
        <v>157</v>
      </c>
      <c r="L24" s="8">
        <v>8</v>
      </c>
      <c r="M24" s="8"/>
      <c r="N24" s="8"/>
      <c r="O24" s="8"/>
      <c r="P24" s="8"/>
      <c r="Q24" s="8"/>
      <c r="R24" s="8"/>
      <c r="S24" s="9"/>
      <c r="T24" s="8"/>
      <c r="U24" s="8"/>
      <c r="V24" s="8"/>
      <c r="W24" s="8"/>
      <c r="X24" s="8"/>
      <c r="Y24" s="8"/>
    </row>
    <row r="25" spans="1:26" ht="12.75" customHeight="1" x14ac:dyDescent="0.2">
      <c r="A25" s="8">
        <v>2012</v>
      </c>
      <c r="B25" s="135">
        <v>41118</v>
      </c>
      <c r="C25" s="135">
        <v>41123</v>
      </c>
      <c r="D25" s="8">
        <v>170</v>
      </c>
      <c r="E25" s="8">
        <v>113</v>
      </c>
      <c r="F25" s="51">
        <v>66.470588235294116</v>
      </c>
      <c r="G25" s="8">
        <v>57</v>
      </c>
      <c r="H25" s="8">
        <v>33.529411764705877</v>
      </c>
      <c r="I25" s="8"/>
      <c r="J25" s="8">
        <v>2005</v>
      </c>
      <c r="K25" s="8" t="s">
        <v>29</v>
      </c>
      <c r="L25" s="8" t="s">
        <v>29</v>
      </c>
      <c r="M25" s="8"/>
      <c r="N25" s="8"/>
      <c r="O25" s="8"/>
      <c r="P25" s="8"/>
      <c r="Q25" s="8"/>
      <c r="R25" s="8"/>
      <c r="S25" s="9"/>
      <c r="T25" s="8"/>
      <c r="U25" s="8"/>
      <c r="V25" s="8"/>
      <c r="W25" s="8"/>
      <c r="X25" s="8"/>
      <c r="Y25" s="8"/>
    </row>
    <row r="26" spans="1:26" ht="12.75" customHeight="1" x14ac:dyDescent="0.2">
      <c r="A26" s="8">
        <v>2013</v>
      </c>
      <c r="B26" s="136">
        <v>41485</v>
      </c>
      <c r="C26" s="136">
        <v>41490</v>
      </c>
      <c r="D26" s="8">
        <v>80</v>
      </c>
      <c r="E26" s="8">
        <v>75</v>
      </c>
      <c r="F26" s="8">
        <v>93.75</v>
      </c>
      <c r="G26" s="8">
        <v>5</v>
      </c>
      <c r="H26" s="8">
        <v>6.25</v>
      </c>
      <c r="J26" s="8">
        <v>2006</v>
      </c>
      <c r="K26" s="8">
        <v>223</v>
      </c>
      <c r="L26" s="8">
        <v>24.5</v>
      </c>
      <c r="M26" s="8"/>
      <c r="N26" s="8"/>
      <c r="O26" s="8"/>
      <c r="P26" s="8"/>
      <c r="Q26" s="8"/>
      <c r="R26" s="8"/>
      <c r="S26" s="9"/>
      <c r="T26" s="8"/>
      <c r="U26" s="8"/>
      <c r="V26" s="8"/>
      <c r="W26" s="8"/>
      <c r="X26" s="8"/>
      <c r="Y26" s="8"/>
    </row>
    <row r="27" spans="1:26" ht="12.75" customHeight="1" x14ac:dyDescent="0.2">
      <c r="A27" s="138">
        <v>2014</v>
      </c>
      <c r="B27" s="139">
        <v>41853</v>
      </c>
      <c r="C27" s="139">
        <v>41857</v>
      </c>
      <c r="D27" s="138">
        <v>92</v>
      </c>
      <c r="E27" s="140">
        <v>92</v>
      </c>
      <c r="F27" s="138">
        <v>100</v>
      </c>
      <c r="G27" s="138">
        <v>0</v>
      </c>
      <c r="H27" s="138">
        <v>0</v>
      </c>
      <c r="J27" s="8">
        <v>2007</v>
      </c>
      <c r="K27" s="8" t="s">
        <v>29</v>
      </c>
      <c r="L27" s="8" t="s">
        <v>29</v>
      </c>
      <c r="M27" s="137"/>
      <c r="N27" s="137"/>
      <c r="O27" s="137"/>
      <c r="P27" s="137"/>
      <c r="Q27" s="137"/>
      <c r="R27" s="137"/>
      <c r="S27" s="141"/>
      <c r="T27" s="137"/>
      <c r="U27" s="137"/>
      <c r="V27" s="137"/>
      <c r="W27" s="137"/>
      <c r="X27" s="137"/>
      <c r="Y27" s="137"/>
    </row>
    <row r="28" spans="1:26" ht="12.75" customHeight="1" x14ac:dyDescent="0.2">
      <c r="A28" s="138">
        <v>2016</v>
      </c>
      <c r="B28" s="139">
        <v>42592</v>
      </c>
      <c r="C28" s="139">
        <v>42594</v>
      </c>
      <c r="D28" s="138">
        <v>45</v>
      </c>
      <c r="E28" s="140">
        <v>40</v>
      </c>
      <c r="F28" s="138">
        <v>88.888890000000004</v>
      </c>
      <c r="G28" s="138">
        <v>2</v>
      </c>
      <c r="H28" s="109">
        <v>4.4444400000000002</v>
      </c>
      <c r="J28" s="8">
        <v>2008</v>
      </c>
      <c r="K28" s="8" t="s">
        <v>29</v>
      </c>
      <c r="L28" s="8" t="s">
        <v>29</v>
      </c>
      <c r="M28" s="113"/>
      <c r="N28" s="137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</row>
    <row r="29" spans="1:26" s="230" customFormat="1" ht="12.75" customHeight="1" x14ac:dyDescent="0.2">
      <c r="A29" s="230">
        <v>2017</v>
      </c>
      <c r="B29" s="230" t="s">
        <v>492</v>
      </c>
      <c r="C29" s="230" t="s">
        <v>493</v>
      </c>
      <c r="D29" s="104">
        <v>234</v>
      </c>
      <c r="E29" s="140">
        <v>209</v>
      </c>
      <c r="F29" s="118">
        <v>89.32</v>
      </c>
      <c r="G29" s="230">
        <v>19</v>
      </c>
      <c r="H29" s="118">
        <v>8.1199999999999992</v>
      </c>
      <c r="J29" s="8">
        <v>2009</v>
      </c>
      <c r="K29" s="150">
        <v>123.55319148936171</v>
      </c>
      <c r="L29" s="150">
        <v>2.5863636363636364</v>
      </c>
      <c r="M29" s="142"/>
      <c r="N29" s="113"/>
      <c r="O29" s="142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2.75" customHeight="1" x14ac:dyDescent="0.2">
      <c r="A30" s="8"/>
      <c r="B30" s="137"/>
      <c r="C30" s="137"/>
      <c r="D30" s="137"/>
      <c r="E30" s="8"/>
      <c r="F30" s="8"/>
      <c r="G30" s="8"/>
      <c r="H30" s="8"/>
      <c r="J30" s="8">
        <v>2010</v>
      </c>
      <c r="K30" s="8" t="s">
        <v>29</v>
      </c>
      <c r="L30" s="8" t="s">
        <v>29</v>
      </c>
      <c r="M30" s="8"/>
      <c r="N30" s="8"/>
      <c r="O30" s="8"/>
      <c r="P30" s="8"/>
      <c r="Q30" s="8"/>
      <c r="R30" s="8"/>
      <c r="S30" s="8"/>
      <c r="T30" s="9"/>
      <c r="U30" s="8"/>
      <c r="V30" s="8"/>
      <c r="W30" s="8"/>
      <c r="X30" s="8"/>
      <c r="Y30" s="8"/>
      <c r="Z30" s="8"/>
    </row>
    <row r="31" spans="1:26" ht="12.75" customHeight="1" x14ac:dyDescent="0.2">
      <c r="A31" s="8" t="s">
        <v>253</v>
      </c>
      <c r="B31" s="8"/>
      <c r="C31" s="8"/>
      <c r="D31" s="8"/>
      <c r="E31" s="8"/>
      <c r="F31" s="8"/>
      <c r="G31" s="8"/>
      <c r="H31" s="8"/>
      <c r="J31" s="8">
        <v>2011</v>
      </c>
      <c r="K31" s="150">
        <v>158.66666666666666</v>
      </c>
      <c r="L31" s="150">
        <v>8.5</v>
      </c>
      <c r="M31" s="8"/>
      <c r="N31" s="8"/>
      <c r="O31" s="8"/>
      <c r="P31" s="8"/>
      <c r="Q31" s="8"/>
      <c r="R31" s="8"/>
      <c r="S31" s="8"/>
      <c r="T31" s="9"/>
      <c r="U31" s="8"/>
      <c r="V31" s="8"/>
      <c r="W31" s="8"/>
      <c r="X31" s="8"/>
      <c r="Y31" s="8"/>
      <c r="Z31" s="8"/>
    </row>
    <row r="32" spans="1:26" ht="12.75" customHeight="1" x14ac:dyDescent="0.2">
      <c r="A32" s="8" t="s">
        <v>243</v>
      </c>
      <c r="B32" s="8" t="s">
        <v>254</v>
      </c>
      <c r="C32" s="8" t="s">
        <v>255</v>
      </c>
      <c r="D32" s="8" t="s">
        <v>256</v>
      </c>
      <c r="E32" s="8" t="s">
        <v>257</v>
      </c>
      <c r="F32" s="8" t="s">
        <v>258</v>
      </c>
      <c r="G32" s="8" t="s">
        <v>259</v>
      </c>
      <c r="H32" s="8" t="s">
        <v>260</v>
      </c>
      <c r="J32" s="8">
        <v>2012</v>
      </c>
      <c r="K32" s="150">
        <v>183.58181818181819</v>
      </c>
      <c r="L32" s="150">
        <v>12.453703703703704</v>
      </c>
      <c r="M32" s="8"/>
      <c r="N32" s="8"/>
      <c r="O32" s="8"/>
      <c r="P32" s="8"/>
      <c r="Q32" s="8"/>
      <c r="R32" s="8"/>
      <c r="S32" s="8"/>
      <c r="T32" s="9"/>
      <c r="U32" s="8"/>
      <c r="V32" s="8"/>
      <c r="W32" s="8"/>
      <c r="X32" s="8"/>
      <c r="Y32" s="8"/>
    </row>
    <row r="33" spans="1:25" ht="12.75" customHeight="1" x14ac:dyDescent="0.2">
      <c r="A33" s="8">
        <v>1990</v>
      </c>
      <c r="B33" s="8">
        <v>55</v>
      </c>
      <c r="C33" s="88">
        <v>26</v>
      </c>
      <c r="D33" s="51">
        <v>47.272727272727273</v>
      </c>
      <c r="E33" s="8">
        <v>5</v>
      </c>
      <c r="F33" s="51">
        <v>9.0909090909090917</v>
      </c>
      <c r="G33" s="8">
        <v>24</v>
      </c>
      <c r="H33" s="51">
        <v>43.636363636363633</v>
      </c>
      <c r="J33" s="8">
        <v>2013</v>
      </c>
      <c r="K33" s="8"/>
      <c r="L33" s="8"/>
      <c r="M33" s="8"/>
      <c r="N33" s="8"/>
      <c r="O33" s="8"/>
      <c r="P33" s="8"/>
      <c r="Q33" s="8"/>
      <c r="R33" s="8"/>
      <c r="S33" s="8"/>
      <c r="T33" s="9"/>
      <c r="U33" s="8"/>
      <c r="V33" s="8"/>
      <c r="W33" s="8"/>
      <c r="X33" s="8"/>
      <c r="Y33" s="8"/>
    </row>
    <row r="34" spans="1:25" ht="12.75" customHeight="1" x14ac:dyDescent="0.2">
      <c r="A34" s="8">
        <v>1991</v>
      </c>
      <c r="B34" s="8">
        <v>47</v>
      </c>
      <c r="C34" s="88">
        <v>45</v>
      </c>
      <c r="D34" s="51">
        <v>95.744680851063833</v>
      </c>
      <c r="E34" s="8">
        <v>2</v>
      </c>
      <c r="F34" s="51">
        <v>4.2553191489361701</v>
      </c>
      <c r="G34" s="8">
        <v>0</v>
      </c>
      <c r="H34" s="51">
        <v>0</v>
      </c>
      <c r="J34" s="49">
        <v>2014</v>
      </c>
      <c r="K34" s="49" t="s">
        <v>29</v>
      </c>
      <c r="L34" s="49" t="s">
        <v>29</v>
      </c>
      <c r="M34" s="8"/>
      <c r="N34" s="8"/>
      <c r="O34" s="8"/>
      <c r="P34" s="8"/>
      <c r="Q34" s="8"/>
      <c r="R34" s="8"/>
      <c r="S34" s="8"/>
      <c r="T34" s="9"/>
      <c r="U34" s="8"/>
      <c r="V34" s="8"/>
      <c r="W34" s="8"/>
      <c r="X34" s="8"/>
      <c r="Y34" s="8"/>
    </row>
    <row r="35" spans="1:25" ht="12.75" customHeight="1" x14ac:dyDescent="0.2">
      <c r="A35" s="8">
        <v>1992</v>
      </c>
      <c r="B35" s="8">
        <v>158</v>
      </c>
      <c r="C35" s="88">
        <v>119</v>
      </c>
      <c r="D35" s="51">
        <v>75.316455696202539</v>
      </c>
      <c r="E35" s="8">
        <v>19</v>
      </c>
      <c r="F35" s="51">
        <v>12.025316455696203</v>
      </c>
      <c r="G35" s="8">
        <v>20</v>
      </c>
      <c r="H35" s="51">
        <v>12.658227848101266</v>
      </c>
      <c r="J35" s="49">
        <v>2016</v>
      </c>
      <c r="K35" s="49">
        <v>153</v>
      </c>
      <c r="L35" s="49">
        <v>9.75</v>
      </c>
      <c r="M35" s="8"/>
      <c r="N35" s="8"/>
      <c r="O35" s="8"/>
      <c r="P35" s="8"/>
      <c r="Q35" s="8"/>
      <c r="R35" s="8"/>
      <c r="S35" s="8"/>
      <c r="T35" s="9"/>
      <c r="U35" s="8"/>
      <c r="V35" s="8"/>
      <c r="W35" s="8"/>
      <c r="X35" s="8"/>
      <c r="Y35" s="8"/>
    </row>
    <row r="36" spans="1:25" ht="12.75" customHeight="1" x14ac:dyDescent="0.2">
      <c r="A36" s="8">
        <v>1993</v>
      </c>
      <c r="B36" s="8">
        <v>150</v>
      </c>
      <c r="C36" s="88">
        <v>136</v>
      </c>
      <c r="D36" s="51">
        <v>90.666666666666657</v>
      </c>
      <c r="E36" s="8">
        <v>12</v>
      </c>
      <c r="F36" s="51">
        <v>8</v>
      </c>
      <c r="G36" s="8">
        <v>2</v>
      </c>
      <c r="H36" s="51">
        <v>1.3333333333333335</v>
      </c>
      <c r="J36" s="104">
        <v>2017</v>
      </c>
      <c r="K36">
        <v>88.11</v>
      </c>
      <c r="L36">
        <v>1.61</v>
      </c>
      <c r="M36" s="8"/>
      <c r="N36" s="8"/>
      <c r="O36" s="8"/>
      <c r="P36" s="8"/>
      <c r="Q36" s="8"/>
      <c r="R36" s="8"/>
      <c r="S36" s="8"/>
      <c r="T36" s="9"/>
      <c r="U36" s="8"/>
      <c r="V36" s="8"/>
      <c r="W36" s="8"/>
      <c r="X36" s="8"/>
      <c r="Y36" s="8"/>
    </row>
    <row r="37" spans="1:25" ht="12.75" customHeight="1" x14ac:dyDescent="0.2">
      <c r="A37" s="8">
        <v>1994</v>
      </c>
      <c r="B37" s="8">
        <v>96</v>
      </c>
      <c r="C37" s="88">
        <v>77</v>
      </c>
      <c r="D37" s="51">
        <v>80.208333333333343</v>
      </c>
      <c r="E37" s="8">
        <v>16</v>
      </c>
      <c r="F37" s="51">
        <v>16.666666666666664</v>
      </c>
      <c r="G37" s="8">
        <v>3</v>
      </c>
      <c r="H37" s="51">
        <v>3.125</v>
      </c>
      <c r="J37" s="49" t="s">
        <v>296</v>
      </c>
      <c r="K37" s="49"/>
      <c r="L37" s="49"/>
      <c r="M37" s="8"/>
      <c r="N37" s="8"/>
      <c r="O37" s="8"/>
      <c r="P37" s="8"/>
      <c r="Q37" s="8"/>
      <c r="R37" s="8"/>
      <c r="S37" s="8"/>
      <c r="T37" s="9"/>
      <c r="U37" s="8"/>
      <c r="V37" s="8"/>
      <c r="W37" s="8"/>
      <c r="X37" s="8"/>
      <c r="Y37" s="8"/>
    </row>
    <row r="38" spans="1:25" ht="12.75" customHeight="1" x14ac:dyDescent="0.2">
      <c r="A38" s="8">
        <v>1995</v>
      </c>
      <c r="B38" s="8">
        <v>151</v>
      </c>
      <c r="C38" s="88">
        <v>118</v>
      </c>
      <c r="D38" s="51">
        <v>78.145695364238406</v>
      </c>
      <c r="E38" s="8">
        <v>19</v>
      </c>
      <c r="F38" s="51">
        <v>12.582781456953644</v>
      </c>
      <c r="G38" s="8">
        <v>14</v>
      </c>
      <c r="H38" s="51">
        <v>9.2715231788079464</v>
      </c>
      <c r="L38" s="8"/>
      <c r="M38" s="8"/>
      <c r="N38" s="8"/>
      <c r="O38" s="8"/>
      <c r="P38" s="8"/>
      <c r="Q38" s="8"/>
      <c r="R38" s="8"/>
      <c r="S38" s="8"/>
      <c r="T38" s="9"/>
      <c r="U38" s="8"/>
      <c r="V38" s="8"/>
      <c r="W38" s="8"/>
      <c r="X38" s="8"/>
      <c r="Y38" s="8"/>
    </row>
    <row r="39" spans="1:25" ht="12.75" customHeight="1" x14ac:dyDescent="0.2">
      <c r="A39" s="8">
        <v>1996</v>
      </c>
      <c r="B39" s="8">
        <v>81</v>
      </c>
      <c r="C39" s="88">
        <v>78</v>
      </c>
      <c r="D39" s="51">
        <v>96.296296296296291</v>
      </c>
      <c r="E39" s="8">
        <v>1</v>
      </c>
      <c r="F39" s="51">
        <v>1.2345679012345678</v>
      </c>
      <c r="G39" s="8">
        <v>2</v>
      </c>
      <c r="H39" s="51">
        <v>2.4691358024691357</v>
      </c>
      <c r="J39" s="52"/>
      <c r="K39" s="8"/>
      <c r="L39" s="8"/>
      <c r="M39" s="8"/>
      <c r="N39" s="8"/>
      <c r="O39" s="8"/>
      <c r="P39" s="8"/>
      <c r="Q39" s="8"/>
      <c r="R39" s="8"/>
      <c r="S39" s="8"/>
      <c r="T39" s="9"/>
      <c r="U39" s="8"/>
      <c r="V39" s="8"/>
      <c r="W39" s="8"/>
      <c r="X39" s="8"/>
      <c r="Y39" s="8"/>
    </row>
    <row r="40" spans="1:25" ht="12.75" customHeight="1" x14ac:dyDescent="0.2">
      <c r="A40" s="8">
        <v>1997</v>
      </c>
      <c r="B40" s="8">
        <v>323</v>
      </c>
      <c r="C40" s="88">
        <v>290</v>
      </c>
      <c r="D40" s="51">
        <v>89.783281733746136</v>
      </c>
      <c r="E40" s="8">
        <v>32</v>
      </c>
      <c r="F40" s="51">
        <v>9.9071207430340564</v>
      </c>
      <c r="G40" s="8">
        <v>1</v>
      </c>
      <c r="H40" s="51">
        <v>0.30959752321981426</v>
      </c>
      <c r="L40" s="8"/>
      <c r="M40" s="8"/>
      <c r="N40" s="8"/>
      <c r="O40" s="8"/>
      <c r="P40" s="8"/>
      <c r="Q40" s="8"/>
      <c r="R40" s="8"/>
      <c r="S40" s="8"/>
      <c r="T40" s="9"/>
      <c r="U40" s="8"/>
      <c r="V40" s="8"/>
      <c r="W40" s="8"/>
      <c r="X40" s="8"/>
      <c r="Y40" s="8"/>
    </row>
    <row r="41" spans="1:25" ht="12.75" customHeight="1" x14ac:dyDescent="0.2">
      <c r="A41" s="8">
        <v>1998</v>
      </c>
      <c r="B41" s="8">
        <v>96</v>
      </c>
      <c r="C41" s="88">
        <v>87</v>
      </c>
      <c r="D41" s="51">
        <v>90.625</v>
      </c>
      <c r="E41" s="8">
        <v>4</v>
      </c>
      <c r="F41" s="51">
        <v>4.1666666666666661</v>
      </c>
      <c r="G41" s="8">
        <v>5</v>
      </c>
      <c r="H41" s="51">
        <v>5.2083333333333339</v>
      </c>
      <c r="L41" s="8"/>
      <c r="M41" s="8"/>
      <c r="N41" s="8"/>
      <c r="O41" s="8"/>
      <c r="P41" s="8"/>
      <c r="Q41" s="8"/>
      <c r="R41" s="8"/>
      <c r="S41" s="8"/>
      <c r="T41" s="9"/>
      <c r="U41" s="8"/>
      <c r="V41" s="8"/>
      <c r="W41" s="8"/>
      <c r="X41" s="8"/>
      <c r="Y41" s="8"/>
    </row>
    <row r="42" spans="1:25" ht="12.75" customHeight="1" x14ac:dyDescent="0.2">
      <c r="A42" s="8">
        <v>1999</v>
      </c>
      <c r="B42" s="8">
        <v>61</v>
      </c>
      <c r="C42" s="88">
        <v>60</v>
      </c>
      <c r="D42" s="51">
        <v>98.360655737704917</v>
      </c>
      <c r="E42" s="8">
        <v>0</v>
      </c>
      <c r="F42" s="51">
        <v>0</v>
      </c>
      <c r="G42" s="8">
        <v>1</v>
      </c>
      <c r="H42" s="51">
        <v>1.639344262295082</v>
      </c>
      <c r="L42" s="8"/>
      <c r="M42" s="8"/>
      <c r="N42" s="8"/>
      <c r="O42" s="8"/>
      <c r="P42" s="8"/>
      <c r="Q42" s="8"/>
      <c r="R42" s="8"/>
      <c r="S42" s="8"/>
      <c r="T42" s="9"/>
      <c r="U42" s="8"/>
      <c r="V42" s="8"/>
      <c r="W42" s="8"/>
      <c r="X42" s="8"/>
      <c r="Y42" s="8"/>
    </row>
    <row r="43" spans="1:25" ht="12.75" customHeight="1" x14ac:dyDescent="0.2">
      <c r="A43" s="8">
        <v>2000</v>
      </c>
      <c r="B43" s="8">
        <v>159</v>
      </c>
      <c r="C43" s="88">
        <v>135</v>
      </c>
      <c r="D43" s="51">
        <v>84.905660377358487</v>
      </c>
      <c r="E43" s="8">
        <v>3</v>
      </c>
      <c r="F43" s="51">
        <v>1.8867924528301887</v>
      </c>
      <c r="G43" s="8">
        <v>21</v>
      </c>
      <c r="H43" s="51">
        <v>13.20754716981132</v>
      </c>
      <c r="L43" s="8"/>
      <c r="M43" s="8"/>
      <c r="N43" s="8"/>
      <c r="O43" s="8"/>
      <c r="P43" s="8"/>
      <c r="Q43" s="8"/>
      <c r="R43" s="8"/>
      <c r="S43" s="8"/>
      <c r="T43" s="9"/>
      <c r="U43" s="8"/>
      <c r="V43" s="8"/>
      <c r="W43" s="8"/>
      <c r="X43" s="8"/>
      <c r="Y43" s="8"/>
    </row>
    <row r="44" spans="1:25" ht="12.75" customHeight="1" x14ac:dyDescent="0.2">
      <c r="A44" s="8">
        <v>2001</v>
      </c>
      <c r="B44" s="8">
        <v>117</v>
      </c>
      <c r="C44" s="88">
        <v>116</v>
      </c>
      <c r="D44" s="51">
        <v>99.145299145299148</v>
      </c>
      <c r="E44" s="8">
        <v>1</v>
      </c>
      <c r="F44" s="51">
        <v>0.85470085470085477</v>
      </c>
      <c r="G44" s="8">
        <v>0</v>
      </c>
      <c r="H44" s="51">
        <v>0</v>
      </c>
      <c r="L44" s="8"/>
      <c r="M44" s="8"/>
      <c r="N44" s="8"/>
      <c r="O44" s="8"/>
      <c r="P44" s="8"/>
      <c r="Q44" s="8"/>
      <c r="R44" s="8"/>
      <c r="S44" s="8"/>
      <c r="T44" s="9"/>
      <c r="U44" s="8"/>
      <c r="V44" s="8"/>
      <c r="W44" s="8"/>
      <c r="X44" s="8"/>
      <c r="Y44" s="8"/>
    </row>
    <row r="45" spans="1:25" ht="12.75" customHeight="1" x14ac:dyDescent="0.2">
      <c r="A45" s="8">
        <v>2002</v>
      </c>
      <c r="B45" s="8">
        <v>270</v>
      </c>
      <c r="C45" s="88">
        <v>261</v>
      </c>
      <c r="D45" s="51">
        <v>96.666666666666671</v>
      </c>
      <c r="E45" s="8">
        <v>9</v>
      </c>
      <c r="F45" s="51">
        <v>3.3333333333333335</v>
      </c>
      <c r="G45" s="8">
        <v>0</v>
      </c>
      <c r="H45" s="51">
        <v>0</v>
      </c>
      <c r="L45" s="8"/>
      <c r="M45" s="8"/>
      <c r="N45" s="8"/>
      <c r="O45" s="8"/>
      <c r="P45" s="8"/>
      <c r="Q45" s="8"/>
      <c r="R45" s="8"/>
      <c r="S45" s="8"/>
      <c r="T45" s="9"/>
      <c r="U45" s="8"/>
      <c r="V45" s="8"/>
      <c r="W45" s="8"/>
      <c r="X45" s="8"/>
      <c r="Y45" s="8"/>
    </row>
    <row r="46" spans="1:25" ht="12.75" customHeight="1" x14ac:dyDescent="0.2">
      <c r="A46" s="8">
        <v>2003</v>
      </c>
      <c r="B46" s="8">
        <v>79</v>
      </c>
      <c r="C46" s="88">
        <v>73</v>
      </c>
      <c r="D46" s="51">
        <v>92.405063291139243</v>
      </c>
      <c r="E46" s="8">
        <v>6</v>
      </c>
      <c r="F46" s="51">
        <v>7.59493670886076</v>
      </c>
      <c r="G46" s="8">
        <v>0</v>
      </c>
      <c r="H46" s="51">
        <v>0</v>
      </c>
      <c r="L46" s="8"/>
      <c r="M46" s="8"/>
      <c r="N46" s="8"/>
      <c r="O46" s="8"/>
      <c r="P46" s="8"/>
      <c r="Q46" s="8"/>
      <c r="R46" s="8"/>
      <c r="S46" s="8"/>
      <c r="T46" s="9"/>
      <c r="U46" s="8"/>
      <c r="V46" s="8"/>
      <c r="W46" s="8"/>
      <c r="X46" s="8"/>
      <c r="Y46" s="8"/>
    </row>
    <row r="47" spans="1:25" ht="12.75" customHeight="1" x14ac:dyDescent="0.2">
      <c r="A47" s="8">
        <v>2004</v>
      </c>
      <c r="B47" s="8">
        <v>161</v>
      </c>
      <c r="C47" s="88">
        <v>158</v>
      </c>
      <c r="D47" s="51">
        <v>98.136645962732914</v>
      </c>
      <c r="E47" s="8">
        <v>1</v>
      </c>
      <c r="F47" s="51">
        <v>0.6211180124223602</v>
      </c>
      <c r="G47" s="8">
        <v>2</v>
      </c>
      <c r="H47" s="51">
        <v>1.2422360248447204</v>
      </c>
      <c r="L47" s="8"/>
      <c r="M47" s="8"/>
      <c r="N47" s="8"/>
      <c r="O47" s="8"/>
      <c r="P47" s="8"/>
      <c r="Q47" s="8"/>
      <c r="R47" s="8"/>
      <c r="S47" s="8"/>
      <c r="T47" s="9"/>
      <c r="U47" s="8"/>
      <c r="V47" s="8"/>
      <c r="W47" s="8"/>
      <c r="X47" s="8"/>
      <c r="Y47" s="8"/>
    </row>
    <row r="48" spans="1:25" ht="12.75" customHeight="1" x14ac:dyDescent="0.2">
      <c r="A48" s="8">
        <v>2005</v>
      </c>
      <c r="B48" s="8">
        <v>110</v>
      </c>
      <c r="C48" s="88">
        <v>104</v>
      </c>
      <c r="D48" s="51">
        <v>94.545454545454547</v>
      </c>
      <c r="E48" s="8">
        <v>4</v>
      </c>
      <c r="F48" s="51">
        <v>3.6363636363636362</v>
      </c>
      <c r="G48" s="8">
        <v>2</v>
      </c>
      <c r="H48" s="51">
        <v>1.8181818181818181</v>
      </c>
      <c r="L48" s="8"/>
      <c r="M48" s="8"/>
      <c r="N48" s="8"/>
      <c r="O48" s="8"/>
      <c r="P48" s="8"/>
      <c r="Q48" s="8"/>
      <c r="R48" s="8"/>
      <c r="S48" s="8"/>
      <c r="T48" s="9"/>
      <c r="U48" s="8"/>
      <c r="V48" s="8"/>
      <c r="W48" s="8"/>
      <c r="X48" s="8"/>
      <c r="Y48" s="8"/>
    </row>
    <row r="49" spans="1:30" ht="12.75" customHeight="1" x14ac:dyDescent="0.2">
      <c r="A49" s="8">
        <v>2006</v>
      </c>
      <c r="B49" s="8">
        <v>28</v>
      </c>
      <c r="C49" s="88">
        <v>24</v>
      </c>
      <c r="D49" s="51">
        <v>85.714285714285708</v>
      </c>
      <c r="E49" s="8">
        <v>2</v>
      </c>
      <c r="F49" s="51">
        <v>7.1428571428571423</v>
      </c>
      <c r="G49" s="8">
        <v>2</v>
      </c>
      <c r="H49" s="51">
        <v>7.1428571428571423</v>
      </c>
      <c r="L49" s="8"/>
      <c r="M49" s="8"/>
      <c r="N49" s="8"/>
      <c r="O49" s="8"/>
      <c r="P49" s="8"/>
      <c r="Q49" s="8"/>
      <c r="R49" s="8"/>
      <c r="S49" s="8"/>
      <c r="T49" s="9"/>
      <c r="U49" s="8"/>
      <c r="V49" s="8"/>
      <c r="W49" s="8"/>
      <c r="X49" s="8"/>
      <c r="Y49" s="8"/>
    </row>
    <row r="50" spans="1:30" ht="12.75" customHeight="1" x14ac:dyDescent="0.2">
      <c r="A50" s="8">
        <v>2007</v>
      </c>
      <c r="B50" s="8">
        <v>150</v>
      </c>
      <c r="C50" s="88">
        <v>149</v>
      </c>
      <c r="D50" s="51">
        <v>99.333333333333329</v>
      </c>
      <c r="E50" s="8">
        <v>1</v>
      </c>
      <c r="F50" s="51">
        <v>0.66666666666666674</v>
      </c>
      <c r="G50" s="8">
        <v>0</v>
      </c>
      <c r="H50" s="51">
        <v>0</v>
      </c>
      <c r="L50" s="8"/>
      <c r="M50" s="8"/>
      <c r="N50" s="8"/>
      <c r="O50" s="8"/>
      <c r="P50" s="8"/>
      <c r="Q50" s="8"/>
      <c r="R50" s="8"/>
      <c r="S50" s="8"/>
      <c r="T50" s="9"/>
      <c r="U50" s="8"/>
      <c r="V50" s="8"/>
      <c r="W50" s="8"/>
      <c r="X50" s="8"/>
      <c r="Y50" s="8"/>
    </row>
    <row r="51" spans="1:30" ht="12.75" customHeight="1" x14ac:dyDescent="0.2">
      <c r="A51" s="8">
        <v>2008</v>
      </c>
      <c r="B51" s="8">
        <v>101</v>
      </c>
      <c r="C51" s="88">
        <v>101</v>
      </c>
      <c r="D51" s="51">
        <v>100</v>
      </c>
      <c r="E51" s="8">
        <v>0</v>
      </c>
      <c r="F51" s="51">
        <v>0</v>
      </c>
      <c r="G51" s="8">
        <v>0</v>
      </c>
      <c r="H51" s="51">
        <v>0</v>
      </c>
      <c r="L51" s="8"/>
      <c r="M51" s="8"/>
      <c r="N51" s="8"/>
      <c r="O51" s="8"/>
      <c r="P51" s="8"/>
      <c r="Q51" s="8"/>
      <c r="R51" s="8"/>
      <c r="S51" s="8"/>
      <c r="T51" s="9"/>
      <c r="U51" s="8"/>
      <c r="V51" s="8"/>
      <c r="W51" s="8"/>
      <c r="X51" s="8"/>
      <c r="Y51" s="8"/>
    </row>
    <row r="52" spans="1:30" ht="12.75" customHeight="1" x14ac:dyDescent="0.2">
      <c r="A52" s="8">
        <v>2009</v>
      </c>
      <c r="B52" s="8">
        <v>70</v>
      </c>
      <c r="C52" s="88">
        <v>58</v>
      </c>
      <c r="D52" s="51">
        <v>82.857142857142861</v>
      </c>
      <c r="E52" s="8">
        <v>0</v>
      </c>
      <c r="F52" s="51">
        <v>0</v>
      </c>
      <c r="G52" s="8">
        <v>12</v>
      </c>
      <c r="H52" s="51">
        <v>17.142857142857142</v>
      </c>
      <c r="L52" s="8"/>
      <c r="M52" s="8"/>
      <c r="N52" s="8"/>
      <c r="O52" s="8"/>
      <c r="P52" s="8"/>
      <c r="Q52" s="8"/>
      <c r="R52" s="8"/>
      <c r="S52" s="8"/>
      <c r="T52" s="9"/>
      <c r="U52" s="8"/>
      <c r="V52" s="8"/>
      <c r="W52" s="8"/>
      <c r="X52" s="8"/>
      <c r="Y52" s="8"/>
    </row>
    <row r="53" spans="1:30" ht="12.75" customHeight="1" x14ac:dyDescent="0.2">
      <c r="A53" s="8">
        <v>2010</v>
      </c>
      <c r="B53" s="8">
        <v>34</v>
      </c>
      <c r="C53" s="88">
        <v>27</v>
      </c>
      <c r="D53" s="51">
        <v>79.411764705882348</v>
      </c>
      <c r="E53" s="8">
        <v>7</v>
      </c>
      <c r="F53" s="51">
        <v>20.588235294117645</v>
      </c>
      <c r="G53" s="8">
        <v>0</v>
      </c>
      <c r="H53" s="51">
        <v>0</v>
      </c>
      <c r="L53" s="8"/>
      <c r="M53" s="8"/>
      <c r="N53" s="8"/>
      <c r="O53" s="8"/>
      <c r="P53" s="8"/>
      <c r="Q53" s="8"/>
      <c r="R53" s="8"/>
      <c r="S53" s="8"/>
      <c r="T53" s="9"/>
      <c r="U53" s="8"/>
      <c r="V53" s="8"/>
      <c r="W53" s="8"/>
      <c r="X53" s="8"/>
      <c r="Y53" s="8"/>
    </row>
    <row r="54" spans="1:30" ht="12.75" customHeight="1" x14ac:dyDescent="0.2">
      <c r="A54" s="8">
        <v>2011</v>
      </c>
      <c r="B54" s="8">
        <v>126</v>
      </c>
      <c r="C54" s="88">
        <v>90</v>
      </c>
      <c r="D54" s="51">
        <v>71.428571428571431</v>
      </c>
      <c r="E54" s="8">
        <v>36</v>
      </c>
      <c r="F54" s="51">
        <v>28.571428571428569</v>
      </c>
      <c r="G54" s="8">
        <v>0</v>
      </c>
      <c r="H54" s="51">
        <v>0</v>
      </c>
      <c r="L54" s="8"/>
      <c r="M54" s="8"/>
      <c r="N54" s="8"/>
      <c r="O54" s="8"/>
      <c r="P54" s="8"/>
      <c r="Q54" s="8"/>
      <c r="R54" s="8"/>
      <c r="S54" s="8"/>
      <c r="T54" s="9"/>
      <c r="U54" s="8"/>
      <c r="V54" s="8"/>
      <c r="W54" s="8"/>
      <c r="X54" s="8"/>
      <c r="Y54" s="8"/>
    </row>
    <row r="55" spans="1:30" ht="12.75" customHeight="1" x14ac:dyDescent="0.2">
      <c r="A55" s="8">
        <v>2012</v>
      </c>
      <c r="B55" s="8">
        <v>113</v>
      </c>
      <c r="C55" s="88">
        <v>104</v>
      </c>
      <c r="D55" s="51">
        <v>92.035398230088489</v>
      </c>
      <c r="E55" s="8">
        <v>2</v>
      </c>
      <c r="F55" s="51">
        <v>1.7699115044247788</v>
      </c>
      <c r="G55" s="8">
        <v>7</v>
      </c>
      <c r="H55" s="51">
        <v>6.1946902654867255</v>
      </c>
      <c r="L55" s="8"/>
      <c r="M55" s="8"/>
      <c r="N55" s="8"/>
      <c r="O55" s="8"/>
      <c r="P55" s="8"/>
      <c r="Q55" s="8"/>
      <c r="R55" s="8"/>
      <c r="S55" s="8"/>
      <c r="T55" s="9"/>
      <c r="U55" s="8"/>
      <c r="V55" s="8"/>
      <c r="W55" s="8"/>
      <c r="X55" s="8"/>
      <c r="Y55" s="8"/>
    </row>
    <row r="56" spans="1:30" ht="12.75" customHeight="1" x14ac:dyDescent="0.2">
      <c r="A56" s="8">
        <v>2013</v>
      </c>
      <c r="B56" s="45">
        <f>COUNTIFS(data!$B$373:$B$3404,A56,data!$J$373:$J$3404,"capelin")</f>
        <v>75</v>
      </c>
      <c r="C56" s="143">
        <f>COUNTIFS(data!$B$373:$B$3404,A56,data!$J$373:$J$3404,"capelin",data!$K$373:$K$3404,"female")</f>
        <v>70</v>
      </c>
      <c r="D56" s="144">
        <f>C56/B56*100</f>
        <v>93.333333333333329</v>
      </c>
      <c r="E56" s="137">
        <f>COUNTIFS(data!$B$373:$B$3404,A56,data!$J$373:$J$3404,"capelin",data!$K$373:$K$3404,"male")</f>
        <v>2</v>
      </c>
      <c r="F56" s="144">
        <f>E56/B56*100</f>
        <v>2.666666666666667</v>
      </c>
      <c r="G56" s="137">
        <f>COUNTIFS(data!$B$373:$B$3404,A56,data!$J$373:$J$3404,"capelin",data!$K$373:$K$3404,"unknown")</f>
        <v>3</v>
      </c>
      <c r="H56" s="144">
        <f>G56/B56*100</f>
        <v>4</v>
      </c>
      <c r="L56" s="8"/>
      <c r="M56" s="8"/>
      <c r="N56" s="8"/>
      <c r="O56" s="8"/>
      <c r="P56" s="8"/>
      <c r="Q56" s="8"/>
      <c r="R56" s="8"/>
      <c r="S56" s="9"/>
      <c r="T56" s="8"/>
      <c r="U56" s="8"/>
      <c r="V56" s="8"/>
      <c r="W56" s="8"/>
      <c r="X56" s="8"/>
      <c r="Y56" s="8"/>
    </row>
    <row r="57" spans="1:30" ht="12.75" customHeight="1" x14ac:dyDescent="0.2">
      <c r="A57" s="142">
        <v>2014</v>
      </c>
      <c r="B57" s="55">
        <v>92</v>
      </c>
      <c r="C57" s="145">
        <v>90</v>
      </c>
      <c r="D57" s="52">
        <v>97.83</v>
      </c>
      <c r="E57" s="109">
        <v>0</v>
      </c>
      <c r="F57" s="52">
        <v>0</v>
      </c>
      <c r="G57" s="138">
        <v>2</v>
      </c>
      <c r="H57" s="109">
        <v>2.17</v>
      </c>
      <c r="L57" s="8"/>
      <c r="M57" s="8"/>
      <c r="N57" s="8"/>
      <c r="O57" s="8"/>
      <c r="P57" s="8"/>
      <c r="Q57" s="8"/>
      <c r="R57" s="8"/>
      <c r="S57" s="9"/>
      <c r="T57" s="8"/>
      <c r="U57" s="8"/>
      <c r="V57" s="8"/>
      <c r="W57" s="8"/>
      <c r="X57" s="8"/>
      <c r="Y57" s="8"/>
    </row>
    <row r="58" spans="1:30" ht="12.75" customHeight="1" x14ac:dyDescent="0.2">
      <c r="A58" s="142">
        <v>2016</v>
      </c>
      <c r="B58" s="55">
        <v>40</v>
      </c>
      <c r="C58" s="145">
        <v>36</v>
      </c>
      <c r="D58" s="52">
        <v>90</v>
      </c>
      <c r="E58" s="109">
        <v>3</v>
      </c>
      <c r="F58" s="146">
        <v>7.5</v>
      </c>
      <c r="G58" s="138">
        <v>0</v>
      </c>
      <c r="H58" s="147">
        <v>0</v>
      </c>
      <c r="I58" s="51"/>
      <c r="J58" s="8"/>
      <c r="K58" s="8"/>
      <c r="L58" s="8"/>
      <c r="M58" s="8"/>
      <c r="N58" s="8"/>
      <c r="O58" s="8"/>
      <c r="P58" s="8"/>
      <c r="Q58" s="8"/>
      <c r="R58" s="8"/>
      <c r="S58" s="9"/>
      <c r="T58" s="8"/>
      <c r="U58" s="8"/>
      <c r="V58" s="8"/>
      <c r="W58" s="8"/>
      <c r="X58" s="8"/>
      <c r="Y58" s="8"/>
    </row>
    <row r="59" spans="1:30" s="230" customFormat="1" ht="12.75" customHeight="1" x14ac:dyDescent="0.2">
      <c r="A59" s="142">
        <v>2017</v>
      </c>
      <c r="B59" s="55">
        <v>209</v>
      </c>
      <c r="C59" s="145">
        <v>204</v>
      </c>
      <c r="D59" s="52">
        <v>97.61</v>
      </c>
      <c r="E59" s="113">
        <v>4</v>
      </c>
      <c r="F59" s="146">
        <v>1.91</v>
      </c>
      <c r="G59" s="142">
        <v>0</v>
      </c>
      <c r="H59" s="147">
        <v>0</v>
      </c>
      <c r="I59" s="118"/>
      <c r="J59" s="45"/>
      <c r="K59" s="45"/>
      <c r="L59" s="45"/>
      <c r="M59" s="45"/>
      <c r="N59" s="45"/>
      <c r="O59" s="45"/>
      <c r="P59" s="45"/>
      <c r="Q59" s="45"/>
      <c r="R59" s="45"/>
      <c r="S59" s="13"/>
      <c r="T59" s="45"/>
      <c r="U59" s="45"/>
      <c r="V59" s="45"/>
      <c r="W59" s="45"/>
      <c r="X59" s="45"/>
      <c r="Y59" s="45"/>
    </row>
    <row r="60" spans="1:30" ht="12.75" customHeight="1" x14ac:dyDescent="0.2">
      <c r="A60" s="8"/>
      <c r="B60" s="8"/>
      <c r="C60" s="8"/>
      <c r="D60" s="8"/>
      <c r="E60" s="8"/>
      <c r="F60" s="8"/>
      <c r="G60" s="8"/>
      <c r="H60" s="8"/>
      <c r="L60" s="8"/>
      <c r="P60" s="8"/>
      <c r="Q60" s="8"/>
      <c r="R60" s="8"/>
      <c r="S60" s="8"/>
      <c r="T60" s="9"/>
      <c r="U60" s="8"/>
      <c r="V60" s="8"/>
      <c r="W60" s="8"/>
      <c r="X60" s="8"/>
      <c r="Y60" s="8"/>
      <c r="Z60" s="8"/>
    </row>
    <row r="61" spans="1:30" ht="12.75" customHeight="1" x14ac:dyDescent="0.2">
      <c r="A61" s="8" t="s">
        <v>261</v>
      </c>
      <c r="B61" s="8"/>
      <c r="C61" s="8"/>
      <c r="D61" s="8"/>
      <c r="F61" s="257"/>
      <c r="G61" s="258" t="s">
        <v>283</v>
      </c>
      <c r="H61" s="263"/>
      <c r="I61" s="263"/>
      <c r="J61" s="263"/>
      <c r="K61" s="264"/>
      <c r="L61" s="8"/>
      <c r="P61" s="8"/>
      <c r="Q61" s="8"/>
      <c r="R61" s="8"/>
      <c r="S61" s="8"/>
      <c r="T61" s="9"/>
      <c r="U61" s="8"/>
      <c r="V61" s="8"/>
      <c r="W61" s="8"/>
      <c r="X61" s="8"/>
      <c r="Y61" s="8"/>
      <c r="Z61" s="8"/>
    </row>
    <row r="62" spans="1:30" ht="12.75" customHeight="1" x14ac:dyDescent="0.2">
      <c r="A62" s="8" t="s">
        <v>243</v>
      </c>
      <c r="B62" s="49" t="s">
        <v>293</v>
      </c>
      <c r="C62" s="104" t="s">
        <v>513</v>
      </c>
      <c r="D62" s="49" t="s">
        <v>294</v>
      </c>
      <c r="E62" s="104" t="s">
        <v>514</v>
      </c>
      <c r="F62" s="49" t="s">
        <v>295</v>
      </c>
      <c r="G62" s="105" t="s">
        <v>293</v>
      </c>
      <c r="H62" s="104" t="s">
        <v>513</v>
      </c>
      <c r="I62" s="105" t="s">
        <v>294</v>
      </c>
      <c r="J62" s="104" t="s">
        <v>514</v>
      </c>
      <c r="K62" s="105" t="s">
        <v>295</v>
      </c>
      <c r="P62" s="8"/>
      <c r="Q62" s="8"/>
      <c r="R62" s="8"/>
      <c r="S62" s="8"/>
      <c r="T62" s="8"/>
      <c r="U62" s="8"/>
      <c r="V62" s="8"/>
      <c r="W62" s="8"/>
      <c r="X62" s="8"/>
      <c r="Y62" s="9"/>
      <c r="Z62" s="8"/>
      <c r="AA62" s="8"/>
      <c r="AB62" s="8"/>
      <c r="AC62" s="8"/>
      <c r="AD62" s="8"/>
    </row>
    <row r="63" spans="1:30" ht="12.75" customHeight="1" x14ac:dyDescent="0.2">
      <c r="A63" s="8">
        <v>1990</v>
      </c>
      <c r="B63" s="51">
        <v>143.03846153846155</v>
      </c>
      <c r="C63" s="195">
        <v>11.057959194103654</v>
      </c>
      <c r="D63" s="51">
        <v>137.4</v>
      </c>
      <c r="E63" s="270">
        <v>21.030929603800192</v>
      </c>
      <c r="F63" s="146">
        <v>139.20833333333334</v>
      </c>
      <c r="G63" s="108">
        <v>143.47999999999999</v>
      </c>
      <c r="H63" s="234"/>
      <c r="I63" s="110">
        <v>137.4</v>
      </c>
      <c r="J63" s="270">
        <v>21.030929603800192</v>
      </c>
      <c r="K63" s="149">
        <v>138.72999999999999</v>
      </c>
      <c r="L63" s="55" t="s">
        <v>272</v>
      </c>
      <c r="P63" s="8"/>
      <c r="Q63" s="8"/>
      <c r="R63" s="8"/>
      <c r="S63" s="8"/>
      <c r="T63" s="8"/>
      <c r="U63" s="8"/>
      <c r="V63" s="8"/>
      <c r="W63" s="8"/>
      <c r="X63" s="8"/>
      <c r="Y63" s="9"/>
      <c r="Z63" s="8"/>
      <c r="AA63" s="8"/>
      <c r="AB63" s="8"/>
      <c r="AC63" s="8"/>
      <c r="AD63" s="8"/>
    </row>
    <row r="64" spans="1:30" ht="12.75" customHeight="1" x14ac:dyDescent="0.2">
      <c r="A64" s="8">
        <v>1991</v>
      </c>
      <c r="B64" s="51">
        <v>147.97142857142856</v>
      </c>
      <c r="C64" s="195">
        <v>17.525167976514254</v>
      </c>
      <c r="D64" s="146">
        <v>156</v>
      </c>
      <c r="E64" s="270">
        <v>1.4142135623730951</v>
      </c>
      <c r="F64" s="146">
        <v>100</v>
      </c>
      <c r="G64" s="77">
        <v>148.38</v>
      </c>
      <c r="H64" s="205"/>
      <c r="I64" s="110">
        <v>157</v>
      </c>
      <c r="J64" s="270" t="s">
        <v>498</v>
      </c>
      <c r="K64" s="76"/>
      <c r="L64" s="55" t="s">
        <v>272</v>
      </c>
      <c r="P64" s="8"/>
      <c r="Q64" s="8"/>
      <c r="R64" s="8"/>
      <c r="S64" s="8"/>
      <c r="T64" s="8"/>
      <c r="U64" s="8"/>
      <c r="V64" s="8"/>
      <c r="W64" s="8"/>
      <c r="X64" s="8"/>
      <c r="Y64" s="9"/>
      <c r="Z64" s="8"/>
      <c r="AA64" s="8"/>
      <c r="AB64" s="8"/>
      <c r="AC64" s="8"/>
      <c r="AD64" s="8"/>
    </row>
    <row r="65" spans="1:30" ht="12.75" customHeight="1" x14ac:dyDescent="0.2">
      <c r="A65" s="8">
        <v>1992</v>
      </c>
      <c r="B65" s="51">
        <v>137.44545454545454</v>
      </c>
      <c r="C65" s="195">
        <v>11.450400709014401</v>
      </c>
      <c r="D65" s="146">
        <v>151.31578947368422</v>
      </c>
      <c r="E65" s="270">
        <v>12.027988801952015</v>
      </c>
      <c r="F65" s="146">
        <v>114.69565217391305</v>
      </c>
      <c r="G65" s="77">
        <v>137.53</v>
      </c>
      <c r="H65" s="205"/>
      <c r="I65" s="110">
        <v>151.66999999999999</v>
      </c>
      <c r="J65" s="270">
        <v>13.51542328847553</v>
      </c>
      <c r="K65" s="149">
        <v>111.2</v>
      </c>
      <c r="L65" s="55" t="s">
        <v>272</v>
      </c>
      <c r="P65" s="8"/>
      <c r="Q65" s="8"/>
      <c r="R65" s="8"/>
      <c r="S65" s="8"/>
      <c r="T65" s="8"/>
      <c r="U65" s="8"/>
      <c r="V65" s="8"/>
      <c r="W65" s="8"/>
      <c r="X65" s="8"/>
      <c r="Y65" s="9"/>
      <c r="Z65" s="8"/>
      <c r="AA65" s="8"/>
      <c r="AB65" s="8"/>
      <c r="AC65" s="8"/>
      <c r="AD65" s="8"/>
    </row>
    <row r="66" spans="1:30" ht="12.75" customHeight="1" x14ac:dyDescent="0.2">
      <c r="A66" s="8">
        <v>1993</v>
      </c>
      <c r="B66" s="51">
        <v>149.69354838709677</v>
      </c>
      <c r="C66" s="195">
        <v>8.812571784270709</v>
      </c>
      <c r="D66" s="146">
        <v>164.33333333333334</v>
      </c>
      <c r="E66" s="270">
        <v>4.8492423650660639</v>
      </c>
      <c r="F66" s="146">
        <v>127.5</v>
      </c>
      <c r="G66" s="77">
        <v>149.05000000000001</v>
      </c>
      <c r="H66" s="205"/>
      <c r="I66" s="110">
        <v>164.44</v>
      </c>
      <c r="J66" s="270">
        <v>5.6149601759743391</v>
      </c>
      <c r="K66" s="149">
        <v>140.5</v>
      </c>
      <c r="L66" s="55" t="s">
        <v>272</v>
      </c>
      <c r="P66" s="8"/>
      <c r="Q66" s="8"/>
      <c r="R66" s="8"/>
      <c r="S66" s="8"/>
      <c r="T66" s="8"/>
      <c r="U66" s="8"/>
      <c r="V66" s="8"/>
      <c r="W66" s="8"/>
      <c r="X66" s="8"/>
      <c r="Y66" s="9"/>
      <c r="Z66" s="8"/>
      <c r="AA66" s="8"/>
      <c r="AB66" s="8"/>
      <c r="AC66" s="8"/>
      <c r="AD66" s="8"/>
    </row>
    <row r="67" spans="1:30" ht="12.75" customHeight="1" x14ac:dyDescent="0.2">
      <c r="A67" s="8">
        <v>1994</v>
      </c>
      <c r="B67" s="51">
        <v>149.09722222222223</v>
      </c>
      <c r="C67" s="195">
        <v>15.358770235965837</v>
      </c>
      <c r="D67" s="146">
        <v>160.92307692307693</v>
      </c>
      <c r="E67" s="270">
        <v>8.4109208618075666</v>
      </c>
      <c r="F67" s="146">
        <v>97</v>
      </c>
      <c r="G67" s="77">
        <v>147.47</v>
      </c>
      <c r="H67" s="205"/>
      <c r="I67" s="110">
        <v>163.13999999999999</v>
      </c>
      <c r="J67" s="270">
        <v>6.8417485929785382</v>
      </c>
      <c r="K67" s="149">
        <v>97</v>
      </c>
      <c r="L67" s="55" t="s">
        <v>272</v>
      </c>
      <c r="P67" s="8"/>
      <c r="Q67" s="8"/>
      <c r="R67" s="8"/>
      <c r="S67" s="8"/>
      <c r="T67" s="8"/>
      <c r="U67" s="8"/>
      <c r="V67" s="8"/>
      <c r="W67" s="8"/>
      <c r="X67" s="8"/>
      <c r="Y67" s="9"/>
      <c r="Z67" s="8"/>
      <c r="AA67" s="8"/>
      <c r="AB67" s="8"/>
      <c r="AC67" s="8"/>
      <c r="AD67" s="8"/>
    </row>
    <row r="68" spans="1:30" ht="12.75" customHeight="1" x14ac:dyDescent="0.2">
      <c r="A68" s="8">
        <v>1995</v>
      </c>
      <c r="B68" s="51">
        <v>138.67777777777778</v>
      </c>
      <c r="C68" s="195">
        <v>10.878106843076523</v>
      </c>
      <c r="D68" s="146">
        <v>151</v>
      </c>
      <c r="E68" s="270">
        <v>11.241158141563366</v>
      </c>
      <c r="F68" s="146">
        <v>108.57446808510639</v>
      </c>
      <c r="G68" s="77">
        <v>138.97</v>
      </c>
      <c r="H68" s="205"/>
      <c r="I68" s="110">
        <v>152.30000000000001</v>
      </c>
      <c r="J68" s="270">
        <v>10.667187487284965</v>
      </c>
      <c r="K68" s="149">
        <v>119.33</v>
      </c>
      <c r="L68" s="55" t="s">
        <v>272</v>
      </c>
      <c r="P68" s="8"/>
      <c r="Q68" s="8"/>
      <c r="R68" s="8"/>
      <c r="S68" s="8"/>
      <c r="T68" s="8"/>
      <c r="U68" s="8"/>
      <c r="V68" s="8"/>
      <c r="W68" s="8"/>
      <c r="X68" s="8"/>
      <c r="Y68" s="9"/>
      <c r="Z68" s="8"/>
      <c r="AA68" s="8"/>
      <c r="AB68" s="8"/>
      <c r="AC68" s="8"/>
      <c r="AD68" s="8"/>
    </row>
    <row r="69" spans="1:30" ht="12.75" customHeight="1" x14ac:dyDescent="0.2">
      <c r="A69" s="8">
        <v>1996</v>
      </c>
      <c r="B69" s="51">
        <v>149.47058823529412</v>
      </c>
      <c r="C69" s="195">
        <v>8.8207194823397597</v>
      </c>
      <c r="D69" s="146">
        <v>161</v>
      </c>
      <c r="E69" s="270" t="s">
        <v>498</v>
      </c>
      <c r="F69" s="146">
        <v>142.5</v>
      </c>
      <c r="G69" s="77">
        <v>151.18</v>
      </c>
      <c r="H69" s="205"/>
      <c r="I69" s="110">
        <v>152</v>
      </c>
      <c r="J69" s="270"/>
      <c r="K69" s="76"/>
      <c r="L69" s="55" t="s">
        <v>272</v>
      </c>
      <c r="P69" s="8"/>
      <c r="Q69" s="8"/>
      <c r="R69" s="8"/>
      <c r="S69" s="8"/>
      <c r="T69" s="8"/>
      <c r="U69" s="8"/>
      <c r="V69" s="8"/>
      <c r="W69" s="8"/>
      <c r="X69" s="8"/>
      <c r="Y69" s="9"/>
      <c r="Z69" s="8"/>
      <c r="AA69" s="8"/>
      <c r="AB69" s="8"/>
      <c r="AC69" s="8"/>
      <c r="AD69" s="8"/>
    </row>
    <row r="70" spans="1:30" ht="12.75" customHeight="1" x14ac:dyDescent="0.2">
      <c r="A70" s="8">
        <v>1997</v>
      </c>
      <c r="B70" s="51">
        <v>139.41434262948206</v>
      </c>
      <c r="C70" s="195">
        <v>13.219819721393153</v>
      </c>
      <c r="D70" s="146">
        <v>155.52173913043478</v>
      </c>
      <c r="E70" s="270">
        <v>7.2855371376034608</v>
      </c>
      <c r="F70" s="146">
        <v>105.13333333333334</v>
      </c>
      <c r="G70" s="77">
        <v>139.29</v>
      </c>
      <c r="H70" s="205"/>
      <c r="I70" s="110">
        <v>155.53</v>
      </c>
      <c r="J70" s="270">
        <v>7.4786245099886859</v>
      </c>
      <c r="K70" s="149">
        <v>131</v>
      </c>
      <c r="L70" s="55" t="s">
        <v>272</v>
      </c>
      <c r="P70" s="8"/>
      <c r="Q70" s="8"/>
      <c r="R70" s="8"/>
      <c r="S70" s="8"/>
      <c r="T70" s="8"/>
      <c r="U70" s="8"/>
      <c r="V70" s="8"/>
      <c r="W70" s="8"/>
      <c r="X70" s="8"/>
      <c r="Y70" s="9"/>
      <c r="Z70" s="8"/>
      <c r="AA70" s="8"/>
      <c r="AB70" s="8"/>
      <c r="AC70" s="8"/>
      <c r="AD70" s="8"/>
    </row>
    <row r="71" spans="1:30" ht="12.75" customHeight="1" x14ac:dyDescent="0.2">
      <c r="A71" s="8">
        <v>1998</v>
      </c>
      <c r="B71" s="51">
        <v>137.65384615384616</v>
      </c>
      <c r="C71" s="195">
        <v>12.086084004896977</v>
      </c>
      <c r="D71" s="146">
        <v>156.5</v>
      </c>
      <c r="E71" s="270">
        <v>7.7244201508376449</v>
      </c>
      <c r="F71" s="146">
        <v>146.66666666666666</v>
      </c>
      <c r="G71" s="77">
        <v>139.6</v>
      </c>
      <c r="H71" s="205"/>
      <c r="I71" s="110">
        <v>155.33000000000001</v>
      </c>
      <c r="J71" s="270">
        <v>9.0184995056457886</v>
      </c>
      <c r="K71" s="149">
        <v>135.5</v>
      </c>
      <c r="L71" s="55" t="s">
        <v>272</v>
      </c>
      <c r="P71" s="8"/>
      <c r="Q71" s="8"/>
      <c r="R71" s="8"/>
      <c r="S71" s="8"/>
      <c r="T71" s="8"/>
      <c r="U71" s="8"/>
      <c r="V71" s="8"/>
      <c r="W71" s="8"/>
      <c r="X71" s="8"/>
      <c r="Y71" s="9"/>
      <c r="Z71" s="8"/>
      <c r="AA71" s="8"/>
      <c r="AB71" s="8"/>
      <c r="AC71" s="8"/>
      <c r="AD71" s="8"/>
    </row>
    <row r="72" spans="1:30" ht="12.75" customHeight="1" x14ac:dyDescent="0.2">
      <c r="A72" s="8">
        <v>1999</v>
      </c>
      <c r="B72" s="51">
        <v>144.80357142857142</v>
      </c>
      <c r="C72" s="195">
        <v>11.829730870460768</v>
      </c>
      <c r="D72" s="146"/>
      <c r="E72" s="270"/>
      <c r="F72" s="146">
        <v>143</v>
      </c>
      <c r="G72" s="77">
        <v>145.6</v>
      </c>
      <c r="H72" s="205"/>
      <c r="I72" s="73"/>
      <c r="J72" s="270"/>
      <c r="K72" s="149">
        <v>123</v>
      </c>
      <c r="L72" s="55" t="s">
        <v>272</v>
      </c>
      <c r="P72" s="8"/>
      <c r="Q72" s="8"/>
      <c r="R72" s="8"/>
      <c r="S72" s="8"/>
      <c r="T72" s="8"/>
      <c r="U72" s="8"/>
      <c r="V72" s="8"/>
      <c r="W72" s="8"/>
      <c r="X72" s="8"/>
      <c r="Y72" s="9"/>
      <c r="Z72" s="8"/>
      <c r="AA72" s="8"/>
      <c r="AB72" s="8"/>
      <c r="AC72" s="8"/>
      <c r="AD72" s="8"/>
    </row>
    <row r="73" spans="1:30" ht="12.75" customHeight="1" x14ac:dyDescent="0.2">
      <c r="A73" s="8">
        <v>2000</v>
      </c>
      <c r="B73" s="51">
        <v>155.85714285714286</v>
      </c>
      <c r="C73" s="195">
        <v>13.006232656387779</v>
      </c>
      <c r="D73" s="146">
        <v>161</v>
      </c>
      <c r="E73" s="270">
        <v>0</v>
      </c>
      <c r="F73" s="146">
        <v>133.88235294117646</v>
      </c>
      <c r="G73" s="77">
        <v>156.35</v>
      </c>
      <c r="H73" s="205"/>
      <c r="I73" s="110">
        <v>161</v>
      </c>
      <c r="J73" s="270">
        <v>0</v>
      </c>
      <c r="K73" s="149">
        <v>137</v>
      </c>
      <c r="L73" s="55" t="s">
        <v>272</v>
      </c>
      <c r="P73" s="8"/>
      <c r="Q73" s="8"/>
      <c r="R73" s="8"/>
      <c r="S73" s="8"/>
      <c r="T73" s="8"/>
      <c r="U73" s="8"/>
      <c r="V73" s="8"/>
      <c r="W73" s="8"/>
      <c r="X73" s="8"/>
      <c r="Y73" s="9"/>
      <c r="Z73" s="8"/>
      <c r="AA73" s="8"/>
      <c r="AB73" s="8"/>
      <c r="AC73" s="8"/>
      <c r="AD73" s="8"/>
    </row>
    <row r="74" spans="1:30" ht="12.75" customHeight="1" x14ac:dyDescent="0.2">
      <c r="A74" s="8">
        <v>2001</v>
      </c>
      <c r="B74" s="51">
        <v>147.2882882882883</v>
      </c>
      <c r="C74" s="195">
        <v>12.15235658955787</v>
      </c>
      <c r="D74" s="146">
        <v>168</v>
      </c>
      <c r="E74" s="270" t="s">
        <v>498</v>
      </c>
      <c r="F74" s="146"/>
      <c r="G74" s="77">
        <v>147.94</v>
      </c>
      <c r="H74" s="205"/>
      <c r="I74" s="110">
        <v>168</v>
      </c>
      <c r="J74" s="270"/>
      <c r="K74" s="76"/>
      <c r="L74" s="55" t="s">
        <v>272</v>
      </c>
      <c r="P74" s="8"/>
      <c r="Q74" s="8"/>
      <c r="R74" s="8"/>
      <c r="S74" s="8"/>
      <c r="T74" s="8"/>
      <c r="U74" s="8"/>
      <c r="V74" s="8"/>
      <c r="W74" s="8"/>
      <c r="X74" s="8"/>
      <c r="Y74" s="9"/>
      <c r="Z74" s="8"/>
      <c r="AA74" s="8"/>
      <c r="AB74" s="8"/>
      <c r="AC74" s="8"/>
      <c r="AD74" s="8"/>
    </row>
    <row r="75" spans="1:30" ht="12.75" customHeight="1" x14ac:dyDescent="0.2">
      <c r="A75" s="8">
        <v>2002</v>
      </c>
      <c r="B75" s="51">
        <v>141.51028806584361</v>
      </c>
      <c r="C75" s="195">
        <v>12.236431899011835</v>
      </c>
      <c r="D75" s="146">
        <v>151.75</v>
      </c>
      <c r="E75" s="270">
        <v>10.23648935356816</v>
      </c>
      <c r="F75" s="146">
        <v>114</v>
      </c>
      <c r="G75" s="77">
        <v>142.83000000000001</v>
      </c>
      <c r="H75" s="205"/>
      <c r="I75" s="110">
        <v>151.75</v>
      </c>
      <c r="J75" s="270">
        <v>10.23648935356816</v>
      </c>
      <c r="K75" s="76"/>
      <c r="L75" s="55" t="s">
        <v>272</v>
      </c>
      <c r="P75" s="8"/>
      <c r="Q75" s="8"/>
      <c r="R75" s="8"/>
      <c r="S75" s="8"/>
      <c r="T75" s="8"/>
      <c r="U75" s="8"/>
      <c r="V75" s="8"/>
      <c r="W75" s="8"/>
      <c r="X75" s="8"/>
      <c r="Y75" s="9"/>
      <c r="Z75" s="8"/>
      <c r="AA75" s="8"/>
      <c r="AB75" s="8"/>
      <c r="AC75" s="8"/>
      <c r="AD75" s="8"/>
    </row>
    <row r="76" spans="1:30" ht="12.75" customHeight="1" x14ac:dyDescent="0.2">
      <c r="A76" s="8">
        <v>2003</v>
      </c>
      <c r="B76" s="51">
        <v>138.89855072463769</v>
      </c>
      <c r="C76" s="195">
        <v>11.667129451301149</v>
      </c>
      <c r="D76" s="146">
        <v>163.4</v>
      </c>
      <c r="E76" s="270">
        <v>16.195678435928517</v>
      </c>
      <c r="F76" s="146"/>
      <c r="G76" s="77">
        <v>138.9</v>
      </c>
      <c r="H76" s="205"/>
      <c r="I76" s="110">
        <v>163.4</v>
      </c>
      <c r="J76" s="270">
        <v>16.195678435928517</v>
      </c>
      <c r="K76" s="76"/>
      <c r="L76" s="55" t="s">
        <v>272</v>
      </c>
      <c r="P76" s="8"/>
      <c r="Q76" s="8"/>
      <c r="R76" s="8"/>
      <c r="S76" s="8"/>
      <c r="T76" s="8"/>
      <c r="U76" s="8"/>
      <c r="V76" s="8"/>
      <c r="W76" s="8"/>
      <c r="X76" s="8"/>
      <c r="Y76" s="9"/>
      <c r="Z76" s="8"/>
      <c r="AA76" s="8"/>
      <c r="AB76" s="8"/>
      <c r="AC76" s="8"/>
      <c r="AD76" s="8"/>
    </row>
    <row r="77" spans="1:30" ht="12.75" customHeight="1" x14ac:dyDescent="0.2">
      <c r="A77" s="8">
        <v>2004</v>
      </c>
      <c r="B77" s="51">
        <v>140.14093959731542</v>
      </c>
      <c r="C77" s="195">
        <v>11.365559720481889</v>
      </c>
      <c r="D77" s="146">
        <v>161</v>
      </c>
      <c r="E77" s="270" t="s">
        <v>498</v>
      </c>
      <c r="F77" s="146">
        <v>132</v>
      </c>
      <c r="G77" s="77">
        <v>142.26</v>
      </c>
      <c r="H77" s="205"/>
      <c r="I77" s="110">
        <v>161</v>
      </c>
      <c r="J77" s="270"/>
      <c r="K77" s="149">
        <v>132</v>
      </c>
      <c r="L77" s="55" t="s">
        <v>272</v>
      </c>
      <c r="P77" s="8"/>
      <c r="Q77" s="8"/>
      <c r="R77" s="8"/>
      <c r="S77" s="8"/>
      <c r="T77" s="8"/>
      <c r="U77" s="8"/>
      <c r="V77" s="8"/>
      <c r="W77" s="8"/>
      <c r="X77" s="8"/>
      <c r="Y77" s="9"/>
      <c r="Z77" s="8"/>
      <c r="AA77" s="8"/>
      <c r="AB77" s="8"/>
      <c r="AC77" s="8"/>
      <c r="AD77" s="8"/>
    </row>
    <row r="78" spans="1:30" ht="12.75" customHeight="1" x14ac:dyDescent="0.2">
      <c r="A78" s="8">
        <v>2005</v>
      </c>
      <c r="B78" s="51">
        <v>142.80198019801981</v>
      </c>
      <c r="C78" s="195">
        <v>15.90661485167742</v>
      </c>
      <c r="D78" s="146">
        <v>152</v>
      </c>
      <c r="E78" s="270">
        <v>16.822603841260722</v>
      </c>
      <c r="F78" s="146">
        <v>101</v>
      </c>
      <c r="G78" s="77">
        <v>144.38</v>
      </c>
      <c r="H78" s="205"/>
      <c r="I78" s="110">
        <v>152</v>
      </c>
      <c r="J78" s="270">
        <v>16.822603841260722</v>
      </c>
      <c r="K78" s="149">
        <v>101</v>
      </c>
      <c r="L78" s="55" t="s">
        <v>272</v>
      </c>
      <c r="P78" s="8"/>
      <c r="Q78" s="8"/>
      <c r="R78" s="8"/>
      <c r="S78" s="8"/>
      <c r="T78" s="8"/>
      <c r="U78" s="8"/>
      <c r="V78" s="8"/>
      <c r="W78" s="8"/>
      <c r="X78" s="8"/>
      <c r="Y78" s="9"/>
      <c r="Z78" s="8"/>
      <c r="AA78" s="8"/>
      <c r="AB78" s="8"/>
      <c r="AC78" s="8"/>
      <c r="AD78" s="8"/>
    </row>
    <row r="79" spans="1:30" ht="12.75" customHeight="1" x14ac:dyDescent="0.2">
      <c r="A79" s="8">
        <v>2006</v>
      </c>
      <c r="B79" s="51">
        <v>143.5</v>
      </c>
      <c r="C79" s="195">
        <v>11.00540992507992</v>
      </c>
      <c r="D79" s="146">
        <v>163</v>
      </c>
      <c r="E79" s="270" t="s">
        <v>498</v>
      </c>
      <c r="F79" s="146">
        <v>159.33333333333334</v>
      </c>
      <c r="G79" s="77">
        <v>144.1</v>
      </c>
      <c r="H79" s="205"/>
      <c r="I79" s="110">
        <v>163</v>
      </c>
      <c r="J79" s="270"/>
      <c r="K79" s="149">
        <v>126</v>
      </c>
      <c r="L79" s="55" t="s">
        <v>272</v>
      </c>
      <c r="P79" s="8"/>
      <c r="Q79" s="8"/>
      <c r="R79" s="8"/>
      <c r="S79" s="8"/>
      <c r="T79" s="8"/>
      <c r="U79" s="8"/>
      <c r="V79" s="8"/>
      <c r="W79" s="8"/>
      <c r="X79" s="8"/>
      <c r="Y79" s="9"/>
      <c r="Z79" s="8"/>
      <c r="AA79" s="8"/>
      <c r="AB79" s="8"/>
      <c r="AC79" s="8"/>
      <c r="AD79" s="8"/>
    </row>
    <row r="80" spans="1:30" ht="12.75" customHeight="1" x14ac:dyDescent="0.2">
      <c r="A80" s="8">
        <v>2007</v>
      </c>
      <c r="B80" s="51">
        <v>143.36170212765958</v>
      </c>
      <c r="C80" s="195">
        <v>12.403499849261831</v>
      </c>
      <c r="D80" s="146">
        <v>166</v>
      </c>
      <c r="E80" s="270" t="s">
        <v>498</v>
      </c>
      <c r="F80" s="146"/>
      <c r="G80" s="77">
        <v>144.03</v>
      </c>
      <c r="H80" s="205"/>
      <c r="I80" s="110">
        <v>166</v>
      </c>
      <c r="J80" s="270"/>
      <c r="K80" s="76"/>
      <c r="L80" s="55" t="s">
        <v>272</v>
      </c>
      <c r="P80" s="8"/>
      <c r="Q80" s="8"/>
      <c r="R80" s="8"/>
      <c r="S80" s="8"/>
      <c r="T80" s="8"/>
      <c r="U80" s="8"/>
      <c r="V80" s="8"/>
      <c r="W80" s="8"/>
      <c r="X80" s="8"/>
      <c r="Y80" s="9"/>
      <c r="Z80" s="8"/>
      <c r="AA80" s="8"/>
      <c r="AB80" s="8"/>
      <c r="AC80" s="8"/>
      <c r="AD80" s="8"/>
    </row>
    <row r="81" spans="1:30" ht="12.75" customHeight="1" x14ac:dyDescent="0.2">
      <c r="A81" s="8">
        <v>2008</v>
      </c>
      <c r="B81" s="51">
        <v>144.58426966292134</v>
      </c>
      <c r="C81" s="195">
        <v>10.594605176010408</v>
      </c>
      <c r="D81" s="146"/>
      <c r="E81" s="270"/>
      <c r="F81" s="146"/>
      <c r="G81" s="77">
        <v>148.41999999999999</v>
      </c>
      <c r="H81" s="205"/>
      <c r="I81" s="73"/>
      <c r="J81" s="270"/>
      <c r="K81" s="76"/>
      <c r="L81" s="55" t="s">
        <v>272</v>
      </c>
      <c r="P81" s="8"/>
      <c r="Q81" s="8"/>
      <c r="R81" s="8"/>
      <c r="S81" s="8"/>
      <c r="T81" s="8"/>
      <c r="U81" s="8"/>
      <c r="V81" s="8"/>
      <c r="W81" s="8"/>
      <c r="X81" s="8"/>
      <c r="Y81" s="9"/>
      <c r="Z81" s="8"/>
      <c r="AA81" s="8"/>
      <c r="AB81" s="8"/>
      <c r="AC81" s="8"/>
      <c r="AD81" s="8"/>
    </row>
    <row r="82" spans="1:30" ht="12.75" customHeight="1" x14ac:dyDescent="0.2">
      <c r="A82" s="8">
        <v>2009</v>
      </c>
      <c r="B82" s="51">
        <v>159.22916666666666</v>
      </c>
      <c r="C82" s="195">
        <v>12.937229114579388</v>
      </c>
      <c r="D82" s="146"/>
      <c r="E82" s="270"/>
      <c r="F82" s="146">
        <v>127.78947368421052</v>
      </c>
      <c r="G82" s="77">
        <v>159.47</v>
      </c>
      <c r="H82" s="205"/>
      <c r="I82" s="73"/>
      <c r="J82" s="270"/>
      <c r="K82" s="149">
        <v>143.71</v>
      </c>
      <c r="L82" s="55" t="s">
        <v>272</v>
      </c>
      <c r="P82" s="8"/>
      <c r="Q82" s="8"/>
      <c r="R82" s="8"/>
      <c r="S82" s="8"/>
      <c r="T82" s="8"/>
      <c r="U82" s="8"/>
      <c r="V82" s="8"/>
      <c r="W82" s="8"/>
      <c r="X82" s="8"/>
      <c r="Y82" s="9"/>
      <c r="Z82" s="8"/>
      <c r="AA82" s="8"/>
      <c r="AB82" s="8"/>
      <c r="AC82" s="8"/>
      <c r="AD82" s="8"/>
    </row>
    <row r="83" spans="1:30" ht="12.75" customHeight="1" x14ac:dyDescent="0.2">
      <c r="A83" s="8">
        <v>2010</v>
      </c>
      <c r="B83" s="51">
        <v>156.91666666666666</v>
      </c>
      <c r="C83" s="195">
        <v>7.8900965259244957</v>
      </c>
      <c r="D83" s="146">
        <v>172.66666666666666</v>
      </c>
      <c r="E83" s="270">
        <v>8.0911474258393472</v>
      </c>
      <c r="F83" s="146"/>
      <c r="G83" s="77">
        <v>157.32</v>
      </c>
      <c r="H83" s="205"/>
      <c r="I83" s="110">
        <v>177.67</v>
      </c>
      <c r="J83" s="270">
        <v>6.5064070986477116</v>
      </c>
      <c r="K83" s="76"/>
      <c r="L83" s="55" t="s">
        <v>272</v>
      </c>
      <c r="P83" s="8"/>
      <c r="Q83" s="8"/>
      <c r="R83" s="8"/>
      <c r="S83" s="8"/>
      <c r="T83" s="8"/>
      <c r="U83" s="8"/>
      <c r="V83" s="8"/>
      <c r="W83" s="8"/>
      <c r="X83" s="8"/>
      <c r="Y83" s="9"/>
      <c r="Z83" s="8"/>
      <c r="AA83" s="8"/>
      <c r="AB83" s="8"/>
      <c r="AC83" s="8"/>
      <c r="AD83" s="8"/>
    </row>
    <row r="84" spans="1:30" ht="12.75" customHeight="1" x14ac:dyDescent="0.2">
      <c r="A84" s="8">
        <v>2011</v>
      </c>
      <c r="B84" s="51">
        <v>139.92207792207793</v>
      </c>
      <c r="C84" s="195">
        <v>12.639524348549502</v>
      </c>
      <c r="D84" s="146">
        <v>146.51724137931035</v>
      </c>
      <c r="E84" s="270">
        <v>9.1246161941012733</v>
      </c>
      <c r="F84" s="146">
        <v>158.66666666666666</v>
      </c>
      <c r="G84" s="77">
        <v>141.47</v>
      </c>
      <c r="H84" s="205"/>
      <c r="I84" s="110">
        <v>146.66999999999999</v>
      </c>
      <c r="J84" s="270">
        <v>9.3685234038897907</v>
      </c>
      <c r="K84" s="76"/>
      <c r="L84" s="55" t="s">
        <v>272</v>
      </c>
      <c r="P84" s="8"/>
      <c r="Q84" s="8"/>
      <c r="R84" s="8"/>
      <c r="S84" s="8"/>
      <c r="T84" s="8"/>
      <c r="U84" s="8"/>
      <c r="V84" s="8"/>
      <c r="W84" s="8"/>
      <c r="X84" s="8"/>
      <c r="Y84" s="9"/>
      <c r="Z84" s="8"/>
      <c r="AA84" s="8"/>
      <c r="AB84" s="8"/>
      <c r="AC84" s="8"/>
      <c r="AD84" s="8"/>
    </row>
    <row r="85" spans="1:30" ht="12.75" customHeight="1" x14ac:dyDescent="0.2">
      <c r="A85" s="8">
        <v>2012</v>
      </c>
      <c r="B85" s="51">
        <v>152.91</v>
      </c>
      <c r="C85" s="195">
        <v>13.842009085435235</v>
      </c>
      <c r="D85" s="146">
        <v>168.5</v>
      </c>
      <c r="E85" s="270">
        <v>12.020815280171307</v>
      </c>
      <c r="F85" s="146">
        <v>176.9</v>
      </c>
      <c r="G85" s="77">
        <v>154.16</v>
      </c>
      <c r="H85" s="205"/>
      <c r="I85" s="110">
        <v>177</v>
      </c>
      <c r="J85" s="270" t="s">
        <v>498</v>
      </c>
      <c r="K85" s="149">
        <v>133</v>
      </c>
      <c r="L85" s="55" t="s">
        <v>272</v>
      </c>
      <c r="P85" s="8"/>
      <c r="Q85" s="8"/>
      <c r="R85" s="8"/>
      <c r="S85" s="8"/>
      <c r="T85" s="8"/>
      <c r="U85" s="8"/>
      <c r="V85" s="8"/>
      <c r="W85" s="8"/>
      <c r="X85" s="8"/>
      <c r="Y85" s="9"/>
      <c r="Z85" s="8"/>
      <c r="AA85" s="8"/>
      <c r="AB85" s="8"/>
      <c r="AC85" s="8"/>
      <c r="AD85" s="8"/>
    </row>
    <row r="86" spans="1:30" ht="12.75" customHeight="1" x14ac:dyDescent="0.2">
      <c r="A86" s="8">
        <v>2013</v>
      </c>
      <c r="B86" s="45">
        <v>150</v>
      </c>
      <c r="C86" s="195">
        <v>15.219231255224424</v>
      </c>
      <c r="D86" s="142">
        <v>168.5</v>
      </c>
      <c r="E86" s="270">
        <v>23.334523779156068</v>
      </c>
      <c r="F86" s="142">
        <v>144</v>
      </c>
      <c r="G86" s="77">
        <v>153.25</v>
      </c>
      <c r="H86" s="205"/>
      <c r="I86" s="110">
        <v>152</v>
      </c>
      <c r="J86" s="270" t="s">
        <v>498</v>
      </c>
      <c r="K86" s="149">
        <v>144</v>
      </c>
      <c r="L86" s="55" t="s">
        <v>272</v>
      </c>
      <c r="P86" s="8"/>
      <c r="Q86" s="8"/>
      <c r="R86" s="8"/>
      <c r="S86" s="8"/>
      <c r="T86" s="8"/>
      <c r="U86" s="8"/>
      <c r="V86" s="8"/>
      <c r="W86" s="8"/>
      <c r="X86" s="8"/>
      <c r="Y86" s="9"/>
      <c r="Z86" s="8"/>
      <c r="AA86" s="8"/>
      <c r="AB86" s="8"/>
      <c r="AC86" s="8"/>
      <c r="AD86" s="8"/>
    </row>
    <row r="87" spans="1:30" ht="12.75" customHeight="1" x14ac:dyDescent="0.2">
      <c r="A87" s="151">
        <v>2014</v>
      </c>
      <c r="B87" s="152">
        <v>145.33000000000001</v>
      </c>
      <c r="C87" s="195">
        <v>17.566463649843993</v>
      </c>
      <c r="D87" s="152"/>
      <c r="E87" s="270"/>
      <c r="F87" s="152"/>
      <c r="G87" s="116">
        <v>146.97999999999999</v>
      </c>
      <c r="H87" s="259"/>
      <c r="I87" s="128"/>
      <c r="J87" s="270"/>
      <c r="K87" s="153"/>
      <c r="L87" s="132" t="s">
        <v>272</v>
      </c>
      <c r="P87" s="8"/>
      <c r="Q87" s="49"/>
      <c r="R87" s="49"/>
      <c r="S87" s="49"/>
      <c r="T87" s="8"/>
      <c r="U87" s="8"/>
      <c r="V87" s="8"/>
      <c r="W87" s="8"/>
      <c r="X87" s="8"/>
      <c r="Y87" s="9"/>
      <c r="Z87" s="8"/>
      <c r="AA87" s="8"/>
      <c r="AB87" s="8"/>
      <c r="AC87" s="8"/>
      <c r="AD87" s="8"/>
    </row>
    <row r="88" spans="1:30" ht="12.75" customHeight="1" x14ac:dyDescent="0.2">
      <c r="A88" s="151">
        <v>2014</v>
      </c>
      <c r="B88" s="152">
        <v>137.88999999999999</v>
      </c>
      <c r="C88" s="195">
        <v>18.938188159384048</v>
      </c>
      <c r="D88" s="152"/>
      <c r="F88" s="152"/>
      <c r="G88" s="116">
        <v>137.88999999999999</v>
      </c>
      <c r="H88" s="259"/>
      <c r="I88" s="128"/>
      <c r="J88" s="270" t="s">
        <v>498</v>
      </c>
      <c r="K88" s="153"/>
      <c r="L88" s="132" t="s">
        <v>271</v>
      </c>
      <c r="P88" s="49"/>
      <c r="Q88" s="49"/>
      <c r="R88" s="8"/>
      <c r="S88" s="51"/>
      <c r="T88" s="8"/>
      <c r="U88" s="8"/>
      <c r="V88" s="8"/>
      <c r="W88" s="8"/>
      <c r="X88" s="8"/>
      <c r="Y88" s="9"/>
      <c r="Z88" s="8"/>
      <c r="AA88" s="8"/>
      <c r="AB88" s="8"/>
      <c r="AC88" s="8"/>
      <c r="AD88" s="8"/>
    </row>
    <row r="89" spans="1:30" ht="12.75" customHeight="1" x14ac:dyDescent="0.2">
      <c r="A89" s="49">
        <v>2016</v>
      </c>
      <c r="B89" s="138">
        <v>135.41999999999999</v>
      </c>
      <c r="C89" s="195">
        <v>12.552465651791044</v>
      </c>
      <c r="D89" s="142">
        <v>122.67</v>
      </c>
      <c r="E89" s="270">
        <v>35.355339059327378</v>
      </c>
      <c r="F89" s="142"/>
      <c r="G89" s="122">
        <v>140.47999999999999</v>
      </c>
      <c r="H89" s="260"/>
      <c r="I89" s="120">
        <v>134</v>
      </c>
      <c r="J89" s="270" t="s">
        <v>498</v>
      </c>
      <c r="K89" s="81"/>
      <c r="L89" s="55" t="s">
        <v>271</v>
      </c>
      <c r="P89" s="55"/>
      <c r="Q89" s="8"/>
      <c r="R89" s="8"/>
      <c r="S89" s="8"/>
      <c r="T89" s="8"/>
      <c r="U89" s="8"/>
      <c r="V89" s="8"/>
      <c r="W89" s="8"/>
      <c r="X89" s="8"/>
      <c r="Y89" s="9"/>
      <c r="Z89" s="8"/>
      <c r="AA89" s="8"/>
      <c r="AB89" s="8"/>
      <c r="AC89" s="8"/>
      <c r="AD89" s="8"/>
    </row>
    <row r="90" spans="1:30" s="230" customFormat="1" ht="12.75" customHeight="1" x14ac:dyDescent="0.2">
      <c r="A90">
        <v>2017</v>
      </c>
      <c r="B90">
        <v>124.4</v>
      </c>
      <c r="C90" s="195">
        <v>12.772241726891925</v>
      </c>
      <c r="D90" s="140">
        <v>142.5</v>
      </c>
      <c r="E90" s="270">
        <v>3.5355339059327378</v>
      </c>
      <c r="F90" s="140"/>
      <c r="G90">
        <v>127.96</v>
      </c>
      <c r="I90">
        <v>140</v>
      </c>
      <c r="K90" t="s">
        <v>29</v>
      </c>
      <c r="L90" s="55" t="s">
        <v>271</v>
      </c>
      <c r="P90" s="45"/>
      <c r="Q90" s="45"/>
      <c r="R90" s="45"/>
      <c r="S90" s="45"/>
      <c r="T90" s="45"/>
      <c r="U90" s="45"/>
      <c r="V90" s="45"/>
      <c r="W90" s="45"/>
      <c r="X90" s="13"/>
      <c r="Y90" s="45"/>
      <c r="Z90" s="45"/>
      <c r="AA90" s="45"/>
      <c r="AB90" s="45"/>
      <c r="AC90" s="45"/>
    </row>
    <row r="91" spans="1:30" s="230" customFormat="1" ht="12.75" customHeight="1" x14ac:dyDescent="0.2">
      <c r="A91" s="104"/>
      <c r="B91" s="142"/>
      <c r="C91" s="142"/>
      <c r="D91" s="142"/>
      <c r="E91" s="142"/>
      <c r="F91" s="142"/>
      <c r="G91" s="122"/>
      <c r="H91" s="234"/>
      <c r="I91" s="204"/>
      <c r="J91" s="55"/>
      <c r="N91" s="45"/>
      <c r="O91" s="55"/>
      <c r="P91" s="45"/>
      <c r="Q91" s="45"/>
      <c r="R91" s="45"/>
      <c r="S91" s="45"/>
      <c r="T91" s="45"/>
      <c r="U91" s="45"/>
      <c r="V91" s="45"/>
      <c r="W91" s="13"/>
      <c r="X91" s="45"/>
      <c r="Y91" s="45"/>
      <c r="Z91" s="45"/>
      <c r="AA91" s="45"/>
      <c r="AB91" s="45"/>
    </row>
    <row r="92" spans="1:30" ht="12.75" customHeight="1" x14ac:dyDescent="0.2">
      <c r="A92" s="8"/>
      <c r="B92" s="8"/>
      <c r="D92" s="8"/>
      <c r="E92" s="45"/>
      <c r="G92" s="105" t="s">
        <v>283</v>
      </c>
      <c r="H92" s="171"/>
      <c r="I92" s="148"/>
      <c r="M92" s="45"/>
      <c r="N92" s="55"/>
      <c r="O92" s="45"/>
      <c r="T92" s="8"/>
      <c r="U92" s="8"/>
      <c r="V92" s="8"/>
      <c r="W92" s="9"/>
      <c r="X92" s="8"/>
      <c r="Y92" s="8"/>
      <c r="Z92" s="8"/>
      <c r="AA92" s="8"/>
      <c r="AB92" s="8"/>
    </row>
    <row r="93" spans="1:30" ht="12.75" customHeight="1" x14ac:dyDescent="0.2">
      <c r="A93" s="8"/>
      <c r="B93" s="8" t="s">
        <v>297</v>
      </c>
      <c r="C93" s="45" t="s">
        <v>511</v>
      </c>
      <c r="D93" s="142" t="s">
        <v>298</v>
      </c>
      <c r="E93" s="142" t="s">
        <v>512</v>
      </c>
      <c r="F93" s="8" t="s">
        <v>299</v>
      </c>
      <c r="G93" s="105" t="s">
        <v>300</v>
      </c>
      <c r="H93" s="171" t="s">
        <v>511</v>
      </c>
      <c r="I93" s="105" t="s">
        <v>301</v>
      </c>
      <c r="J93" s="171" t="s">
        <v>512</v>
      </c>
      <c r="K93" s="105" t="s">
        <v>302</v>
      </c>
      <c r="O93" s="55"/>
      <c r="Q93" s="154"/>
      <c r="V93" s="8"/>
      <c r="W93" s="8"/>
      <c r="X93" s="8"/>
      <c r="Y93" s="8"/>
      <c r="Z93" s="8"/>
      <c r="AA93" s="8"/>
      <c r="AB93" s="8"/>
      <c r="AC93" s="8"/>
      <c r="AD93" s="8"/>
    </row>
    <row r="94" spans="1:30" ht="12.75" customHeight="1" x14ac:dyDescent="0.2">
      <c r="A94" s="8">
        <v>1990</v>
      </c>
      <c r="B94" s="51">
        <v>11.942105263157897</v>
      </c>
      <c r="C94" s="195">
        <v>3.0175994486923661</v>
      </c>
      <c r="D94" s="146">
        <v>14.033333333333333</v>
      </c>
      <c r="E94" s="195">
        <v>3.9068316233660902</v>
      </c>
      <c r="F94" s="146">
        <v>10.71111111111111</v>
      </c>
      <c r="G94" s="108">
        <v>12.28</v>
      </c>
      <c r="H94" s="234"/>
      <c r="I94" s="110">
        <v>14.03</v>
      </c>
      <c r="J94" s="195">
        <v>3.9068316233660902</v>
      </c>
      <c r="K94" s="149">
        <v>10.41</v>
      </c>
      <c r="M94" s="55"/>
      <c r="P94" s="8"/>
      <c r="Q94" s="8"/>
      <c r="R94" s="155"/>
      <c r="S94" s="8"/>
      <c r="T94" s="8"/>
      <c r="U94" s="49"/>
      <c r="V94" s="8"/>
      <c r="W94" s="8"/>
      <c r="X94" s="8"/>
      <c r="Y94" s="8"/>
      <c r="Z94" s="155"/>
      <c r="AA94" s="8"/>
      <c r="AB94" s="8"/>
      <c r="AC94" s="8"/>
      <c r="AD94" s="8"/>
    </row>
    <row r="95" spans="1:30" ht="12.75" customHeight="1" x14ac:dyDescent="0.2">
      <c r="A95" s="8">
        <v>1991</v>
      </c>
      <c r="B95" s="51">
        <v>18.2</v>
      </c>
      <c r="C95" s="195">
        <v>4.6614256283768913</v>
      </c>
      <c r="D95" s="146">
        <v>21.5</v>
      </c>
      <c r="E95" s="195"/>
      <c r="F95" s="146"/>
      <c r="G95" s="77">
        <v>18.260000000000002</v>
      </c>
      <c r="H95" s="205"/>
      <c r="I95" s="110"/>
      <c r="J95" s="195"/>
      <c r="K95" s="76"/>
      <c r="M95" s="8"/>
      <c r="N95" s="8"/>
      <c r="O95" s="8"/>
      <c r="P95" s="45"/>
      <c r="R95" s="155"/>
      <c r="S95" s="8"/>
      <c r="T95" s="8"/>
      <c r="U95" s="45"/>
      <c r="V95" s="104"/>
      <c r="W95" s="104"/>
      <c r="X95" s="104"/>
      <c r="Z95" s="155"/>
      <c r="AA95" s="8"/>
      <c r="AB95" s="8"/>
      <c r="AC95" s="8"/>
      <c r="AD95" s="8"/>
    </row>
    <row r="96" spans="1:30" ht="12.75" customHeight="1" x14ac:dyDescent="0.2">
      <c r="A96" s="8">
        <v>1992</v>
      </c>
      <c r="B96" s="51">
        <v>13.875454545454547</v>
      </c>
      <c r="C96" s="195">
        <v>3.7680254572572491</v>
      </c>
      <c r="D96" s="146">
        <v>20.963157894736845</v>
      </c>
      <c r="E96" s="195">
        <v>3.0173959572076368</v>
      </c>
      <c r="F96" s="146">
        <v>7.5269230769230777</v>
      </c>
      <c r="G96" s="77">
        <v>14.03</v>
      </c>
      <c r="H96" s="205"/>
      <c r="I96" s="110">
        <v>21.13</v>
      </c>
      <c r="J96" s="195">
        <v>2.9649058444858869</v>
      </c>
      <c r="K96" s="149">
        <v>6.26</v>
      </c>
      <c r="M96" s="45"/>
      <c r="N96" s="45"/>
      <c r="O96" s="104"/>
      <c r="P96" s="150"/>
      <c r="Q96" s="51"/>
      <c r="R96" s="156"/>
      <c r="S96" s="8"/>
      <c r="T96" s="8"/>
      <c r="U96" s="45"/>
      <c r="V96" s="51"/>
      <c r="W96" s="51"/>
      <c r="X96" s="51"/>
      <c r="Y96" s="51"/>
      <c r="Z96" s="156"/>
      <c r="AA96" s="8"/>
      <c r="AB96" s="8"/>
      <c r="AC96" s="8"/>
      <c r="AD96" s="8"/>
    </row>
    <row r="97" spans="1:30" ht="12.75" customHeight="1" x14ac:dyDescent="0.2">
      <c r="A97" s="8">
        <v>1993</v>
      </c>
      <c r="B97" s="51">
        <v>15.338461538461537</v>
      </c>
      <c r="C97" s="195">
        <v>3.0318381289769349</v>
      </c>
      <c r="D97" s="146">
        <v>21.509090909090908</v>
      </c>
      <c r="E97" s="195">
        <v>2.7409686409933851</v>
      </c>
      <c r="F97" s="146">
        <v>9.75</v>
      </c>
      <c r="G97" s="77">
        <v>15.18</v>
      </c>
      <c r="H97" s="205"/>
      <c r="I97" s="110">
        <v>21.46</v>
      </c>
      <c r="J97" s="195">
        <v>3.0590485085689236</v>
      </c>
      <c r="K97" s="149">
        <v>9.5</v>
      </c>
      <c r="M97" s="45"/>
      <c r="N97" s="73"/>
      <c r="O97" s="51"/>
      <c r="P97" s="150"/>
      <c r="Q97" s="51"/>
      <c r="R97" s="156"/>
      <c r="S97" s="8"/>
      <c r="T97" s="8"/>
      <c r="U97" s="45"/>
      <c r="V97" s="51"/>
      <c r="W97" s="51"/>
      <c r="X97" s="51"/>
      <c r="Y97" s="51"/>
      <c r="Z97" s="156"/>
      <c r="AA97" s="8"/>
      <c r="AB97" s="8"/>
      <c r="AC97" s="8"/>
      <c r="AD97" s="8"/>
    </row>
    <row r="98" spans="1:30" ht="12.75" customHeight="1" x14ac:dyDescent="0.2">
      <c r="A98" s="8">
        <v>1994</v>
      </c>
      <c r="B98" s="51">
        <v>12.49259259259259</v>
      </c>
      <c r="C98" s="195">
        <v>3.842063707046091</v>
      </c>
      <c r="D98" s="146">
        <v>19.25</v>
      </c>
      <c r="E98" s="195">
        <v>3.9528470752104741</v>
      </c>
      <c r="F98" s="146">
        <v>4.833333333333333</v>
      </c>
      <c r="G98" s="77">
        <v>12.43</v>
      </c>
      <c r="H98" s="205"/>
      <c r="I98" s="110">
        <v>20.75</v>
      </c>
      <c r="J98" s="195">
        <v>4.0218155104380413</v>
      </c>
      <c r="K98" s="149">
        <v>4.83</v>
      </c>
      <c r="M98" s="45"/>
      <c r="N98" s="73"/>
      <c r="O98" s="51"/>
      <c r="P98" s="150"/>
      <c r="Q98" s="51"/>
      <c r="R98" s="156"/>
      <c r="S98" s="8"/>
      <c r="T98" s="8"/>
      <c r="U98" s="45"/>
      <c r="V98" s="51"/>
      <c r="W98" s="51"/>
      <c r="X98" s="51"/>
      <c r="Y98" s="51"/>
      <c r="Z98" s="156"/>
      <c r="AA98" s="8"/>
      <c r="AB98" s="8"/>
      <c r="AC98" s="8"/>
      <c r="AD98" s="8"/>
    </row>
    <row r="99" spans="1:30" ht="12.75" customHeight="1" x14ac:dyDescent="0.2">
      <c r="A99" s="8">
        <v>1995</v>
      </c>
      <c r="B99" s="51">
        <v>11.96129032258065</v>
      </c>
      <c r="C99" s="195">
        <v>3.1231962536333655</v>
      </c>
      <c r="D99" s="146">
        <v>17.783333333333331</v>
      </c>
      <c r="E99" s="195">
        <v>2.6350205565295779</v>
      </c>
      <c r="F99" s="146">
        <v>3.8760869565217386</v>
      </c>
      <c r="G99" s="77">
        <v>12.54</v>
      </c>
      <c r="H99" s="205"/>
      <c r="I99" s="110">
        <v>17.87</v>
      </c>
      <c r="J99" s="195">
        <v>2.9021256577435315</v>
      </c>
      <c r="K99" s="149">
        <v>6.62</v>
      </c>
      <c r="M99" s="45"/>
      <c r="N99" s="73"/>
      <c r="O99" s="51"/>
      <c r="P99" s="150"/>
      <c r="Q99" s="51"/>
      <c r="R99" s="156"/>
      <c r="S99" s="8"/>
      <c r="T99" s="8"/>
      <c r="U99" s="45"/>
      <c r="V99" s="51"/>
      <c r="W99" s="51"/>
      <c r="X99" s="51"/>
      <c r="Y99" s="51"/>
      <c r="Z99" s="156"/>
      <c r="AA99" s="8"/>
      <c r="AB99" s="8"/>
      <c r="AC99" s="8"/>
      <c r="AD99" s="8"/>
    </row>
    <row r="100" spans="1:30" ht="12.75" customHeight="1" x14ac:dyDescent="0.2">
      <c r="A100" s="8">
        <v>1996</v>
      </c>
      <c r="B100" s="51">
        <v>11.857142857142858</v>
      </c>
      <c r="C100" s="195">
        <v>3.1336681024635533</v>
      </c>
      <c r="D100" s="146">
        <v>21</v>
      </c>
      <c r="E100" s="195"/>
      <c r="F100" s="146">
        <v>13.5</v>
      </c>
      <c r="G100" s="77">
        <v>12.64</v>
      </c>
      <c r="H100" s="205"/>
      <c r="I100" s="110">
        <v>21</v>
      </c>
      <c r="J100" s="195"/>
      <c r="K100" s="76"/>
      <c r="M100" s="45"/>
      <c r="N100" s="73"/>
      <c r="O100" s="51"/>
      <c r="P100" s="150"/>
      <c r="Q100" s="51"/>
      <c r="R100" s="156"/>
      <c r="S100" s="8"/>
      <c r="T100" s="8"/>
      <c r="U100" s="45"/>
      <c r="V100" s="51"/>
      <c r="W100" s="51"/>
      <c r="X100" s="51"/>
      <c r="Y100" s="51"/>
      <c r="Z100" s="156"/>
      <c r="AA100" s="8"/>
      <c r="AB100" s="8"/>
      <c r="AC100" s="8"/>
      <c r="AD100" s="8"/>
    </row>
    <row r="101" spans="1:30" ht="12.75" customHeight="1" x14ac:dyDescent="0.2">
      <c r="A101" s="8">
        <v>1997</v>
      </c>
      <c r="B101" s="51">
        <v>12.077430555555555</v>
      </c>
      <c r="C101" s="195">
        <v>3.8704830023033154</v>
      </c>
      <c r="D101" s="146">
        <v>18.109375</v>
      </c>
      <c r="E101" s="195">
        <v>4.3970928354113479</v>
      </c>
      <c r="F101" s="146">
        <v>7.5062499999999996</v>
      </c>
      <c r="G101" s="77">
        <v>12.28</v>
      </c>
      <c r="H101" s="205"/>
      <c r="I101" s="110">
        <v>18.64</v>
      </c>
      <c r="J101" s="195">
        <v>4.875062437162601</v>
      </c>
      <c r="K101" s="149">
        <v>8.5</v>
      </c>
      <c r="M101" s="45"/>
      <c r="N101" s="73"/>
      <c r="O101" s="51"/>
      <c r="P101" s="150"/>
      <c r="Q101" s="51"/>
      <c r="R101" s="156"/>
      <c r="S101" s="8"/>
      <c r="T101" s="8"/>
      <c r="U101" s="45"/>
      <c r="V101" s="51"/>
      <c r="W101" s="51"/>
      <c r="X101" s="51"/>
      <c r="Y101" s="51"/>
      <c r="Z101" s="156"/>
      <c r="AA101" s="8"/>
      <c r="AB101" s="8"/>
      <c r="AC101" s="8"/>
      <c r="AD101" s="8"/>
    </row>
    <row r="102" spans="1:30" ht="12.75" customHeight="1" x14ac:dyDescent="0.2">
      <c r="A102" s="8">
        <v>1998</v>
      </c>
      <c r="B102" s="51">
        <v>10.981176470588235</v>
      </c>
      <c r="C102" s="195">
        <v>3.4213090685141165</v>
      </c>
      <c r="D102" s="146">
        <v>16.05</v>
      </c>
      <c r="E102" s="195">
        <v>5.2703573566378443</v>
      </c>
      <c r="F102" s="146">
        <v>9.5400000000000009</v>
      </c>
      <c r="G102" s="77">
        <v>11.72</v>
      </c>
      <c r="H102" s="205"/>
      <c r="I102" s="110">
        <v>13.9</v>
      </c>
      <c r="J102" s="195">
        <v>3.732291521304298</v>
      </c>
      <c r="K102" s="149">
        <v>8.8800000000000008</v>
      </c>
      <c r="M102" s="45"/>
      <c r="N102" s="73"/>
      <c r="O102" s="51"/>
      <c r="P102" s="150"/>
      <c r="Q102" s="51"/>
      <c r="R102" s="156"/>
      <c r="S102" s="8"/>
      <c r="T102" s="8"/>
      <c r="U102" s="45"/>
      <c r="V102" s="51"/>
      <c r="W102" s="51"/>
      <c r="X102" s="51"/>
      <c r="Y102" s="51"/>
      <c r="Z102" s="156"/>
      <c r="AA102" s="8"/>
      <c r="AB102" s="8"/>
      <c r="AC102" s="8"/>
      <c r="AD102" s="8"/>
    </row>
    <row r="103" spans="1:30" ht="12.75" customHeight="1" x14ac:dyDescent="0.2">
      <c r="A103" s="8">
        <v>1999</v>
      </c>
      <c r="B103" s="51">
        <v>12.728070175438596</v>
      </c>
      <c r="C103" s="195">
        <v>3.8336738434359021</v>
      </c>
      <c r="D103" s="146"/>
      <c r="E103" s="195"/>
      <c r="F103" s="146">
        <v>6.75</v>
      </c>
      <c r="G103" s="77">
        <v>13.23</v>
      </c>
      <c r="H103" s="205"/>
      <c r="I103" s="73"/>
      <c r="J103" s="195"/>
      <c r="K103" s="149">
        <v>6.5</v>
      </c>
      <c r="M103" s="45"/>
      <c r="N103" s="73"/>
      <c r="O103" s="51"/>
      <c r="P103" s="150"/>
      <c r="Q103" s="51"/>
      <c r="R103" s="156"/>
      <c r="S103" s="8"/>
      <c r="T103" s="8"/>
      <c r="U103" s="45"/>
      <c r="V103" s="51"/>
      <c r="W103" s="51"/>
      <c r="X103" s="51"/>
      <c r="Y103" s="51"/>
      <c r="Z103" s="156"/>
      <c r="AA103" s="8"/>
      <c r="AB103" s="8"/>
      <c r="AC103" s="8"/>
      <c r="AD103" s="8"/>
    </row>
    <row r="104" spans="1:30" ht="12.75" customHeight="1" x14ac:dyDescent="0.2">
      <c r="A104" s="8">
        <v>2000</v>
      </c>
      <c r="B104" s="51">
        <v>12.083554292929291</v>
      </c>
      <c r="C104" s="195">
        <v>3.8231626162604759</v>
      </c>
      <c r="D104" s="146">
        <v>17.5</v>
      </c>
      <c r="E104" s="195">
        <v>2.2912878474779199</v>
      </c>
      <c r="F104" s="146">
        <v>8.4250000000000007</v>
      </c>
      <c r="G104" s="77">
        <v>12.96</v>
      </c>
      <c r="H104" s="205"/>
      <c r="I104" s="110">
        <v>18.5</v>
      </c>
      <c r="J104" s="195">
        <v>2.1213203435596424</v>
      </c>
      <c r="K104" s="149">
        <v>8.9600000000000009</v>
      </c>
      <c r="M104" s="45"/>
      <c r="N104" s="73"/>
      <c r="O104" s="51"/>
      <c r="P104" s="150"/>
      <c r="Q104" s="51"/>
      <c r="R104" s="156"/>
      <c r="S104" s="8"/>
      <c r="T104" s="8"/>
      <c r="U104" s="45"/>
      <c r="V104" s="51"/>
      <c r="W104" s="51"/>
      <c r="X104" s="51"/>
      <c r="Y104" s="51"/>
      <c r="Z104" s="156"/>
      <c r="AA104" s="8"/>
      <c r="AB104" s="8"/>
      <c r="AC104" s="8"/>
      <c r="AD104" s="8"/>
    </row>
    <row r="105" spans="1:30" ht="12.75" customHeight="1" x14ac:dyDescent="0.2">
      <c r="A105" s="8">
        <v>2001</v>
      </c>
      <c r="B105" s="51">
        <v>12.438181818181819</v>
      </c>
      <c r="C105" s="195">
        <v>3.2920527551644176</v>
      </c>
      <c r="D105" s="146">
        <v>19.5</v>
      </c>
      <c r="E105" s="195"/>
      <c r="F105" s="146"/>
      <c r="G105" s="77">
        <v>12.73</v>
      </c>
      <c r="H105" s="205"/>
      <c r="I105" s="110">
        <v>19.5</v>
      </c>
      <c r="J105" s="195"/>
      <c r="K105" s="76"/>
      <c r="M105" s="45"/>
      <c r="N105" s="73"/>
      <c r="O105" s="51"/>
      <c r="P105" s="150"/>
      <c r="Q105" s="51"/>
      <c r="R105" s="156"/>
      <c r="S105" s="8"/>
      <c r="T105" s="8"/>
      <c r="U105" s="45"/>
      <c r="V105" s="51"/>
      <c r="W105" s="51"/>
      <c r="X105" s="51"/>
      <c r="Y105" s="51"/>
      <c r="Z105" s="156"/>
      <c r="AA105" s="8"/>
      <c r="AB105" s="8"/>
      <c r="AC105" s="8"/>
      <c r="AD105" s="8"/>
    </row>
    <row r="106" spans="1:30" ht="12.75" customHeight="1" x14ac:dyDescent="0.2">
      <c r="A106" s="8">
        <v>2002</v>
      </c>
      <c r="B106" s="51">
        <v>12.021400778210117</v>
      </c>
      <c r="C106" s="195">
        <v>3.423341464148097</v>
      </c>
      <c r="D106" s="146">
        <v>17.777777777777779</v>
      </c>
      <c r="E106" s="195">
        <v>3.8738797663898215</v>
      </c>
      <c r="F106" s="146">
        <v>10.125</v>
      </c>
      <c r="G106" s="77">
        <v>12.23</v>
      </c>
      <c r="H106" s="205"/>
      <c r="I106" s="110">
        <v>17.940000000000001</v>
      </c>
      <c r="J106" s="195">
        <v>4.109548984638443</v>
      </c>
      <c r="K106" s="76"/>
      <c r="M106" s="45"/>
      <c r="N106" s="73"/>
      <c r="O106" s="51"/>
      <c r="P106" s="150"/>
      <c r="Q106" s="51"/>
      <c r="R106" s="156"/>
      <c r="S106" s="8"/>
      <c r="T106" s="8"/>
      <c r="U106" s="45"/>
      <c r="V106" s="51"/>
      <c r="W106" s="51"/>
      <c r="X106" s="51"/>
      <c r="Y106" s="51"/>
      <c r="Z106" s="156"/>
      <c r="AA106" s="8"/>
      <c r="AB106" s="8"/>
      <c r="AC106" s="8"/>
      <c r="AD106" s="8"/>
    </row>
    <row r="107" spans="1:30" ht="12.75" customHeight="1" x14ac:dyDescent="0.2">
      <c r="A107" s="8">
        <v>2003</v>
      </c>
      <c r="B107" s="51">
        <v>12.998550724637681</v>
      </c>
      <c r="C107" s="195">
        <v>3.2483250323469046</v>
      </c>
      <c r="D107" s="146">
        <v>18.633333333333333</v>
      </c>
      <c r="E107" s="195">
        <v>3.6642416223096879</v>
      </c>
      <c r="F107" s="146"/>
      <c r="G107" s="77">
        <v>12.98</v>
      </c>
      <c r="H107" s="205"/>
      <c r="I107" s="110">
        <v>19.36</v>
      </c>
      <c r="J107" s="195">
        <v>3.5809216690679002</v>
      </c>
      <c r="K107" s="76"/>
      <c r="M107" s="45"/>
      <c r="N107" s="73"/>
      <c r="O107" s="51"/>
      <c r="P107" s="150"/>
      <c r="Q107" s="51"/>
      <c r="R107" s="156"/>
      <c r="S107" s="8"/>
      <c r="T107" s="8"/>
      <c r="U107" s="45"/>
      <c r="V107" s="51"/>
      <c r="W107" s="51"/>
      <c r="X107" s="51"/>
      <c r="Y107" s="51"/>
      <c r="Z107" s="156"/>
      <c r="AA107" s="8"/>
      <c r="AB107" s="8"/>
      <c r="AC107" s="8"/>
      <c r="AD107" s="8"/>
    </row>
    <row r="108" spans="1:30" ht="12.75" customHeight="1" x14ac:dyDescent="0.2">
      <c r="A108" s="8">
        <v>2004</v>
      </c>
      <c r="B108" s="51">
        <v>11.584563758389262</v>
      </c>
      <c r="C108" s="195">
        <v>2.8279188420685517</v>
      </c>
      <c r="D108" s="146">
        <v>24</v>
      </c>
      <c r="E108" s="195"/>
      <c r="F108" s="146">
        <v>11.333333333333334</v>
      </c>
      <c r="G108" s="77">
        <v>12.28</v>
      </c>
      <c r="H108" s="205"/>
      <c r="I108" s="110">
        <v>24</v>
      </c>
      <c r="J108" s="195"/>
      <c r="K108" s="149">
        <v>8.5</v>
      </c>
      <c r="M108" s="45"/>
      <c r="N108" s="73"/>
      <c r="O108" s="51"/>
      <c r="P108" s="150"/>
      <c r="Q108" s="51"/>
      <c r="R108" s="156"/>
      <c r="S108" s="8"/>
      <c r="T108" s="8"/>
      <c r="U108" s="45"/>
      <c r="V108" s="51"/>
      <c r="W108" s="51"/>
      <c r="X108" s="51"/>
      <c r="Y108" s="51"/>
      <c r="Z108" s="156"/>
      <c r="AA108" s="8"/>
      <c r="AB108" s="8"/>
      <c r="AC108" s="8"/>
      <c r="AD108" s="8"/>
    </row>
    <row r="109" spans="1:30" ht="12.75" customHeight="1" x14ac:dyDescent="0.2">
      <c r="A109" s="8">
        <v>2005</v>
      </c>
      <c r="B109" s="51">
        <v>9.8848484848484848</v>
      </c>
      <c r="C109" s="195">
        <v>2.8644322597482414</v>
      </c>
      <c r="D109" s="146">
        <v>12.966666666666667</v>
      </c>
      <c r="E109" s="195">
        <v>5.8054572027819953</v>
      </c>
      <c r="F109" s="146">
        <v>3.5</v>
      </c>
      <c r="G109" s="77">
        <v>9.98</v>
      </c>
      <c r="H109" s="205"/>
      <c r="I109" s="110">
        <v>12.97</v>
      </c>
      <c r="J109" s="195">
        <v>5.8054572027819953</v>
      </c>
      <c r="K109" s="149">
        <v>3.5</v>
      </c>
      <c r="M109" s="45"/>
      <c r="N109" s="73"/>
      <c r="O109" s="51"/>
      <c r="P109" s="150"/>
      <c r="Q109" s="51"/>
      <c r="R109" s="156"/>
      <c r="S109" s="8"/>
      <c r="T109" s="8"/>
      <c r="U109" s="45"/>
      <c r="V109" s="51"/>
      <c r="W109" s="51"/>
      <c r="X109" s="51"/>
      <c r="Y109" s="51"/>
      <c r="Z109" s="156"/>
      <c r="AA109" s="8"/>
      <c r="AB109" s="8"/>
      <c r="AC109" s="8"/>
      <c r="AD109" s="8"/>
    </row>
    <row r="110" spans="1:30" ht="12.75" customHeight="1" x14ac:dyDescent="0.2">
      <c r="A110" s="8">
        <v>2006</v>
      </c>
      <c r="B110" s="51">
        <v>9.1681818181818198</v>
      </c>
      <c r="C110" s="195">
        <v>2.42906730358958</v>
      </c>
      <c r="D110" s="146">
        <v>19.8</v>
      </c>
      <c r="E110" s="195"/>
      <c r="F110" s="146">
        <v>12.066666666666668</v>
      </c>
      <c r="G110" s="77">
        <v>9.17</v>
      </c>
      <c r="H110" s="205"/>
      <c r="I110" s="110">
        <v>19.8</v>
      </c>
      <c r="J110" s="195"/>
      <c r="K110" s="149">
        <v>5.6</v>
      </c>
      <c r="M110" s="45"/>
      <c r="N110" s="73"/>
      <c r="O110" s="51"/>
      <c r="P110" s="150"/>
      <c r="Q110" s="51"/>
      <c r="R110" s="156"/>
      <c r="S110" s="8"/>
      <c r="T110" s="8"/>
      <c r="U110" s="45"/>
      <c r="V110" s="51"/>
      <c r="W110" s="51"/>
      <c r="X110" s="51"/>
      <c r="Y110" s="51"/>
      <c r="Z110" s="156"/>
      <c r="AA110" s="8"/>
      <c r="AB110" s="8"/>
      <c r="AC110" s="8"/>
      <c r="AD110" s="8"/>
    </row>
    <row r="111" spans="1:30" ht="12.75" customHeight="1" x14ac:dyDescent="0.2">
      <c r="A111" s="8">
        <v>2007</v>
      </c>
      <c r="B111" s="51">
        <v>12.396071428571426</v>
      </c>
      <c r="C111" s="195">
        <v>3.2955281880188538</v>
      </c>
      <c r="D111" s="146">
        <v>21.5</v>
      </c>
      <c r="E111" s="195"/>
      <c r="F111" s="146"/>
      <c r="G111" s="77">
        <v>12.76</v>
      </c>
      <c r="H111" s="205"/>
      <c r="I111" s="110">
        <v>21.5</v>
      </c>
      <c r="J111" s="195"/>
      <c r="K111" s="76"/>
      <c r="M111" s="45"/>
      <c r="N111" s="73"/>
      <c r="O111" s="51"/>
      <c r="P111" s="150"/>
      <c r="Q111" s="51"/>
      <c r="R111" s="156"/>
      <c r="S111" s="8"/>
      <c r="T111" s="8"/>
      <c r="U111" s="45"/>
      <c r="V111" s="51"/>
      <c r="W111" s="51"/>
      <c r="X111" s="51"/>
      <c r="Y111" s="51"/>
      <c r="Z111" s="156"/>
      <c r="AA111" s="8"/>
      <c r="AB111" s="8"/>
      <c r="AC111" s="8"/>
      <c r="AD111" s="8"/>
    </row>
    <row r="112" spans="1:30" ht="12.75" customHeight="1" x14ac:dyDescent="0.2">
      <c r="A112" s="8">
        <v>2008</v>
      </c>
      <c r="B112" s="51">
        <v>12.388043478260871</v>
      </c>
      <c r="C112" s="195">
        <v>3.9129776299072789</v>
      </c>
      <c r="D112" s="146"/>
      <c r="E112" s="195"/>
      <c r="F112" s="146"/>
      <c r="G112" s="77">
        <v>13.33</v>
      </c>
      <c r="H112" s="205"/>
      <c r="I112" s="73"/>
      <c r="J112" s="195"/>
      <c r="K112" s="76"/>
      <c r="M112" s="45"/>
      <c r="N112" s="73"/>
      <c r="O112" s="51"/>
      <c r="P112" s="150"/>
      <c r="Q112" s="51"/>
      <c r="R112" s="156"/>
      <c r="S112" s="8"/>
      <c r="T112" s="8"/>
      <c r="U112" s="45"/>
      <c r="V112" s="51"/>
      <c r="W112" s="51"/>
      <c r="X112" s="51"/>
      <c r="Y112" s="51"/>
      <c r="Z112" s="156"/>
      <c r="AA112" s="8"/>
      <c r="AB112" s="8"/>
      <c r="AC112" s="8"/>
      <c r="AD112" s="8"/>
    </row>
    <row r="113" spans="1:30" ht="12.75" customHeight="1" x14ac:dyDescent="0.2">
      <c r="A113" s="8">
        <v>2009</v>
      </c>
      <c r="B113" s="51">
        <v>12.604444444444445</v>
      </c>
      <c r="C113" s="195">
        <v>3.6508999859035716</v>
      </c>
      <c r="D113" s="146"/>
      <c r="E113" s="195"/>
      <c r="F113" s="146">
        <v>4.1111111111111116</v>
      </c>
      <c r="G113" s="77">
        <v>12.79</v>
      </c>
      <c r="H113" s="205"/>
      <c r="I113" s="73"/>
      <c r="J113" s="195"/>
      <c r="K113" s="149">
        <v>9.1</v>
      </c>
      <c r="M113" s="45"/>
      <c r="N113" s="73"/>
      <c r="O113" s="51"/>
      <c r="P113" s="150"/>
      <c r="Q113" s="51"/>
      <c r="R113" s="156"/>
      <c r="S113" s="8"/>
      <c r="T113" s="8"/>
      <c r="U113" s="45"/>
      <c r="V113" s="51"/>
      <c r="W113" s="51"/>
      <c r="X113" s="51"/>
      <c r="Y113" s="51"/>
      <c r="Z113" s="156"/>
      <c r="AA113" s="8"/>
      <c r="AB113" s="8"/>
      <c r="AC113" s="8"/>
      <c r="AD113" s="8"/>
    </row>
    <row r="114" spans="1:30" ht="12.75" customHeight="1" x14ac:dyDescent="0.2">
      <c r="A114" s="8">
        <v>2010</v>
      </c>
      <c r="B114" s="51">
        <v>12.488</v>
      </c>
      <c r="C114" s="195">
        <v>2.418560177736607</v>
      </c>
      <c r="D114" s="146">
        <v>18.916666666666668</v>
      </c>
      <c r="E114" s="195">
        <v>4.4318919962772894</v>
      </c>
      <c r="F114" s="146"/>
      <c r="G114" s="77">
        <v>12.49</v>
      </c>
      <c r="H114" s="205"/>
      <c r="I114" s="110">
        <v>22.5</v>
      </c>
      <c r="J114" s="195">
        <v>1.7320508075688772</v>
      </c>
      <c r="K114" s="76"/>
      <c r="M114" s="45"/>
      <c r="N114" s="73"/>
      <c r="O114" s="51"/>
      <c r="P114" s="150"/>
      <c r="Q114" s="51"/>
      <c r="R114" s="156"/>
      <c r="S114" s="8"/>
      <c r="T114" s="8"/>
      <c r="U114" s="45"/>
      <c r="V114" s="51"/>
      <c r="W114" s="51"/>
      <c r="X114" s="51"/>
      <c r="Y114" s="51"/>
      <c r="Z114" s="156"/>
      <c r="AA114" s="8"/>
      <c r="AB114" s="8"/>
      <c r="AC114" s="8"/>
      <c r="AD114" s="8"/>
    </row>
    <row r="115" spans="1:30" ht="12.75" customHeight="1" x14ac:dyDescent="0.2">
      <c r="A115" s="8">
        <v>2011</v>
      </c>
      <c r="B115" s="51">
        <v>10.786708860759497</v>
      </c>
      <c r="C115" s="195">
        <v>3.0463346283232675</v>
      </c>
      <c r="D115" s="146">
        <v>12.969696969696969</v>
      </c>
      <c r="E115" s="195">
        <v>4.4115958598111726</v>
      </c>
      <c r="F115" s="146"/>
      <c r="G115" s="77">
        <v>11.12</v>
      </c>
      <c r="H115" s="205"/>
      <c r="I115" s="110">
        <v>12.99</v>
      </c>
      <c r="J115" s="195">
        <v>4.5756275871285723</v>
      </c>
      <c r="K115" s="76"/>
      <c r="M115" s="45"/>
      <c r="N115" s="73"/>
      <c r="O115" s="51"/>
      <c r="P115" s="150"/>
      <c r="Q115" s="51"/>
      <c r="R115" s="156"/>
      <c r="S115" s="8"/>
      <c r="T115" s="8"/>
      <c r="U115" s="45"/>
      <c r="V115" s="51"/>
      <c r="W115" s="51"/>
      <c r="X115" s="51"/>
      <c r="Y115" s="51"/>
      <c r="Z115" s="156"/>
      <c r="AA115" s="8"/>
      <c r="AB115" s="8"/>
      <c r="AC115" s="8"/>
      <c r="AD115" s="8"/>
    </row>
    <row r="116" spans="1:30" ht="12.75" customHeight="1" x14ac:dyDescent="0.2">
      <c r="A116" s="8">
        <v>2012</v>
      </c>
      <c r="B116" s="51">
        <v>9.8333333333333321</v>
      </c>
      <c r="C116" s="195">
        <v>3.1146684286276587</v>
      </c>
      <c r="D116" s="146">
        <v>17.600000000000001</v>
      </c>
      <c r="E116" s="195">
        <v>2.2627416997969516</v>
      </c>
      <c r="F116" s="146">
        <v>11.555737704918036</v>
      </c>
      <c r="G116" s="77">
        <v>10.210000000000001</v>
      </c>
      <c r="H116" s="205"/>
      <c r="I116" s="110">
        <v>19.2</v>
      </c>
      <c r="J116" s="195"/>
      <c r="K116" s="149">
        <v>5.13</v>
      </c>
      <c r="M116" s="45"/>
      <c r="N116" s="73"/>
      <c r="O116" s="51"/>
      <c r="P116" s="150"/>
      <c r="Q116" s="51"/>
      <c r="R116" s="156"/>
      <c r="S116" s="8"/>
      <c r="T116" s="8"/>
      <c r="U116" s="49"/>
      <c r="V116" s="8"/>
      <c r="W116" s="51"/>
      <c r="X116" s="8"/>
      <c r="Y116" s="73"/>
      <c r="Z116" s="157"/>
      <c r="AA116" s="8"/>
      <c r="AB116" s="8"/>
      <c r="AC116" s="8"/>
      <c r="AD116" s="8"/>
    </row>
    <row r="117" spans="1:30" ht="12.75" customHeight="1" x14ac:dyDescent="0.2">
      <c r="A117" s="8">
        <v>2013</v>
      </c>
      <c r="B117" s="51">
        <v>10.614062499999999</v>
      </c>
      <c r="C117" s="195">
        <v>3.1999934120715943</v>
      </c>
      <c r="D117" s="142">
        <v>20.5</v>
      </c>
      <c r="E117" s="195">
        <v>6.3639610306789276</v>
      </c>
      <c r="F117" s="142">
        <v>8.25</v>
      </c>
      <c r="G117" s="77">
        <v>11.04</v>
      </c>
      <c r="H117" s="205"/>
      <c r="I117" s="110">
        <v>16</v>
      </c>
      <c r="J117" s="195"/>
      <c r="K117" s="149">
        <v>8.25</v>
      </c>
      <c r="M117" s="45"/>
      <c r="N117" s="73"/>
      <c r="O117" s="51"/>
      <c r="P117" s="150"/>
      <c r="Q117" s="51"/>
      <c r="R117" s="156"/>
      <c r="S117" s="8"/>
      <c r="T117" s="8"/>
      <c r="U117" s="49"/>
      <c r="V117" s="138"/>
      <c r="W117" s="51"/>
      <c r="X117" s="49"/>
      <c r="Y117" s="73"/>
      <c r="Z117" s="157"/>
      <c r="AA117" s="8"/>
      <c r="AB117" s="8"/>
      <c r="AC117" s="8"/>
      <c r="AD117" s="8"/>
    </row>
    <row r="118" spans="1:30" ht="12.75" customHeight="1" x14ac:dyDescent="0.2">
      <c r="A118" s="49">
        <v>2014</v>
      </c>
      <c r="B118" s="138">
        <v>10.88</v>
      </c>
      <c r="C118" s="195">
        <v>3.386326444707227</v>
      </c>
      <c r="D118" s="142"/>
      <c r="E118" s="195"/>
      <c r="F118" s="142"/>
      <c r="G118" s="158">
        <v>10.88</v>
      </c>
      <c r="H118" s="261"/>
      <c r="I118" s="119"/>
      <c r="J118" s="195"/>
      <c r="K118" s="159"/>
      <c r="M118" s="45"/>
      <c r="N118" s="73"/>
      <c r="O118" s="51"/>
      <c r="P118" s="150"/>
      <c r="Q118" s="51"/>
      <c r="R118" s="156"/>
      <c r="S118" s="8"/>
      <c r="T118" s="8"/>
      <c r="U118" s="104"/>
      <c r="AA118" s="8"/>
      <c r="AB118" s="8"/>
      <c r="AC118" s="8"/>
      <c r="AD118" s="8"/>
    </row>
    <row r="119" spans="1:30" ht="12.75" customHeight="1" x14ac:dyDescent="0.2">
      <c r="A119" s="49">
        <v>2016</v>
      </c>
      <c r="B119" s="138">
        <v>10.98</v>
      </c>
      <c r="C119" s="195">
        <v>2.8318534459597191</v>
      </c>
      <c r="D119" s="142">
        <v>12.33</v>
      </c>
      <c r="E119" s="195">
        <v>4.9497474683058327</v>
      </c>
      <c r="F119" s="142"/>
      <c r="G119" s="160">
        <v>11.24</v>
      </c>
      <c r="H119" s="262"/>
      <c r="I119" s="161">
        <v>12.5</v>
      </c>
      <c r="J119" s="195" t="s">
        <v>498</v>
      </c>
      <c r="K119" s="162"/>
      <c r="M119" s="45"/>
      <c r="N119" s="73"/>
      <c r="O119" s="51"/>
      <c r="P119" s="49"/>
      <c r="Q119" s="73"/>
      <c r="R119" s="157"/>
      <c r="S119" s="8"/>
      <c r="T119" s="8"/>
      <c r="AA119" s="8"/>
      <c r="AB119" s="8"/>
      <c r="AC119" s="8"/>
      <c r="AD119" s="8"/>
    </row>
    <row r="120" spans="1:30" s="230" customFormat="1" ht="12.75" customHeight="1" x14ac:dyDescent="0.2">
      <c r="A120">
        <v>2017</v>
      </c>
      <c r="B120">
        <v>11.26</v>
      </c>
      <c r="C120" s="195">
        <v>2.639023071019083</v>
      </c>
      <c r="D120" s="140">
        <v>18.350000000000001</v>
      </c>
      <c r="E120" s="195">
        <v>0.49497474683058273</v>
      </c>
      <c r="F120" s="140"/>
      <c r="G120">
        <v>11.97</v>
      </c>
      <c r="I120">
        <v>18.7</v>
      </c>
      <c r="J120" s="195" t="s">
        <v>498</v>
      </c>
      <c r="K120" t="s">
        <v>29</v>
      </c>
      <c r="L120" s="104"/>
      <c r="M120" s="49"/>
      <c r="N120" s="73"/>
      <c r="O120" s="51"/>
      <c r="P120" s="49"/>
      <c r="Q120" s="73"/>
      <c r="R120" s="157"/>
      <c r="S120" s="45"/>
      <c r="Z120" s="45"/>
      <c r="AA120" s="45"/>
      <c r="AB120" s="45"/>
      <c r="AC120" s="45"/>
    </row>
    <row r="121" spans="1:30" ht="12.75" customHeight="1" x14ac:dyDescent="0.2">
      <c r="A121" s="8"/>
      <c r="B121" s="8"/>
      <c r="D121" s="8"/>
      <c r="E121" s="52"/>
      <c r="F121" s="110"/>
      <c r="G121" s="73"/>
      <c r="M121" s="49"/>
      <c r="N121" s="110"/>
      <c r="O121" s="51"/>
      <c r="P121" s="49"/>
      <c r="Q121" s="73"/>
      <c r="R121" s="157"/>
      <c r="S121" s="51"/>
      <c r="T121" s="49"/>
      <c r="U121" s="73"/>
      <c r="V121" s="157"/>
      <c r="W121" s="8"/>
      <c r="X121" s="8"/>
      <c r="Y121" s="8"/>
      <c r="Z121" s="8"/>
    </row>
    <row r="122" spans="1:30" ht="12.75" customHeight="1" x14ac:dyDescent="0.2">
      <c r="A122" s="49" t="s">
        <v>307</v>
      </c>
      <c r="B122" s="8"/>
      <c r="C122" s="8"/>
      <c r="D122" s="8"/>
      <c r="E122" s="52"/>
      <c r="F122" s="110"/>
      <c r="G122" s="73"/>
      <c r="M122" s="49"/>
      <c r="N122" s="110"/>
      <c r="O122" s="51"/>
      <c r="P122" s="8"/>
      <c r="Q122" s="55"/>
      <c r="R122" s="163"/>
      <c r="S122" s="51"/>
      <c r="T122" s="138"/>
      <c r="U122" s="73"/>
      <c r="V122" s="157"/>
      <c r="W122" s="8"/>
      <c r="X122" s="8"/>
      <c r="Y122" s="8"/>
      <c r="Z122" s="8"/>
    </row>
    <row r="123" spans="1:30" ht="12.75" customHeight="1" x14ac:dyDescent="0.2">
      <c r="A123" s="8" t="s">
        <v>243</v>
      </c>
      <c r="B123" s="8" t="s">
        <v>308</v>
      </c>
      <c r="C123" s="8" t="s">
        <v>309</v>
      </c>
      <c r="D123" s="8" t="s">
        <v>310</v>
      </c>
      <c r="E123" s="52"/>
      <c r="F123" s="110"/>
      <c r="G123" s="73"/>
      <c r="M123" s="104"/>
      <c r="O123" s="8"/>
      <c r="P123" s="8"/>
      <c r="W123" s="8"/>
      <c r="X123" s="8"/>
      <c r="Y123" s="8"/>
      <c r="Z123" s="8"/>
    </row>
    <row r="124" spans="1:30" ht="12.75" customHeight="1" x14ac:dyDescent="0.2">
      <c r="A124" s="8">
        <v>1990</v>
      </c>
      <c r="B124" s="8">
        <v>3</v>
      </c>
      <c r="C124" s="8">
        <v>0</v>
      </c>
      <c r="D124" s="8">
        <v>2</v>
      </c>
      <c r="E124" s="8"/>
      <c r="O124" s="8"/>
      <c r="P124" s="8"/>
      <c r="W124" s="8"/>
      <c r="X124" s="8"/>
      <c r="Y124" s="8"/>
      <c r="Z124" s="8"/>
    </row>
    <row r="125" spans="1:30" ht="12.75" customHeight="1" x14ac:dyDescent="0.2">
      <c r="A125" s="8">
        <v>1991</v>
      </c>
      <c r="B125" s="8">
        <v>5</v>
      </c>
      <c r="C125" s="8">
        <v>1</v>
      </c>
      <c r="D125" s="8">
        <v>0</v>
      </c>
      <c r="E125" s="8"/>
      <c r="N125" s="8"/>
      <c r="O125" s="8"/>
      <c r="P125" s="8"/>
      <c r="W125" s="8"/>
      <c r="X125" s="8"/>
      <c r="Y125" s="8"/>
      <c r="Z125" s="8"/>
    </row>
    <row r="126" spans="1:30" ht="12.75" customHeight="1" x14ac:dyDescent="0.2">
      <c r="A126" s="8">
        <v>1992</v>
      </c>
      <c r="B126" s="8">
        <v>7</v>
      </c>
      <c r="C126" s="8">
        <v>4</v>
      </c>
      <c r="D126" s="8">
        <v>4</v>
      </c>
      <c r="E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30" ht="12.75" customHeight="1" x14ac:dyDescent="0.2">
      <c r="A127" s="8">
        <v>1993</v>
      </c>
      <c r="B127" s="8">
        <v>28</v>
      </c>
      <c r="C127" s="8">
        <v>3</v>
      </c>
      <c r="D127" s="8">
        <v>0</v>
      </c>
      <c r="E127" s="8"/>
      <c r="F127" s="8"/>
      <c r="G127" s="8"/>
      <c r="H127" s="8"/>
      <c r="N127" s="8"/>
      <c r="O127" s="8"/>
      <c r="P127" s="8"/>
      <c r="Q127" s="155"/>
      <c r="R127" s="45"/>
      <c r="S127" s="8"/>
      <c r="T127" s="8"/>
      <c r="U127" s="8"/>
      <c r="V127" s="8"/>
      <c r="W127" s="8"/>
      <c r="X127" s="8"/>
      <c r="Y127" s="8"/>
      <c r="Z127" s="8"/>
    </row>
    <row r="128" spans="1:30" ht="12.75" customHeight="1" x14ac:dyDescent="0.2">
      <c r="A128" s="8">
        <v>1994</v>
      </c>
      <c r="B128" s="8">
        <v>20</v>
      </c>
      <c r="C128" s="8">
        <v>6</v>
      </c>
      <c r="D128" s="8">
        <v>1</v>
      </c>
      <c r="E128" s="8"/>
      <c r="F128" s="8"/>
      <c r="G128" s="8"/>
      <c r="H128" s="8"/>
      <c r="N128" s="8"/>
      <c r="O128" s="8"/>
      <c r="P128" s="8"/>
      <c r="Q128" s="8"/>
      <c r="R128" s="8"/>
      <c r="S128" s="45"/>
      <c r="T128" s="8"/>
      <c r="U128" s="155"/>
      <c r="V128" s="8"/>
      <c r="W128" s="8"/>
      <c r="X128" s="8"/>
      <c r="Y128" s="8"/>
      <c r="Z128" s="8"/>
    </row>
    <row r="129" spans="1:26" ht="12.75" customHeight="1" x14ac:dyDescent="0.2">
      <c r="A129" s="8">
        <v>1995</v>
      </c>
      <c r="B129" s="8">
        <v>31</v>
      </c>
      <c r="C129" s="8">
        <v>3</v>
      </c>
      <c r="D129" s="8">
        <v>6</v>
      </c>
      <c r="E129" s="8"/>
      <c r="F129" s="8"/>
      <c r="G129" s="8"/>
      <c r="H129" s="8"/>
      <c r="O129" s="8"/>
      <c r="P129" s="8"/>
      <c r="Q129" s="51"/>
      <c r="R129" s="164"/>
      <c r="S129" s="45"/>
      <c r="T129" s="51"/>
      <c r="U129" s="8"/>
      <c r="V129" s="8"/>
      <c r="W129" s="8"/>
      <c r="X129" s="8"/>
      <c r="Y129" s="8"/>
      <c r="Z129" s="8"/>
    </row>
    <row r="130" spans="1:26" ht="12.75" customHeight="1" x14ac:dyDescent="0.2">
      <c r="A130" s="8">
        <v>1996</v>
      </c>
      <c r="B130" s="8">
        <v>23</v>
      </c>
      <c r="C130" s="8">
        <v>0</v>
      </c>
      <c r="D130" s="8">
        <v>0</v>
      </c>
      <c r="E130" s="8"/>
      <c r="F130" s="8"/>
      <c r="G130" s="8"/>
      <c r="H130" s="8"/>
      <c r="O130" s="8"/>
      <c r="P130" s="8"/>
      <c r="Q130" s="8"/>
      <c r="R130" s="164"/>
      <c r="S130" s="45"/>
      <c r="T130" s="8"/>
      <c r="U130" s="9"/>
      <c r="V130" s="8"/>
      <c r="W130" s="8"/>
      <c r="X130" s="8"/>
      <c r="Y130" s="8"/>
      <c r="Z130" s="8"/>
    </row>
    <row r="131" spans="1:26" ht="12.75" customHeight="1" x14ac:dyDescent="0.2">
      <c r="A131" s="8">
        <v>1997</v>
      </c>
      <c r="B131" s="8">
        <v>52</v>
      </c>
      <c r="C131" s="8">
        <v>10</v>
      </c>
      <c r="D131" s="8">
        <v>3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164"/>
      <c r="S131" s="45"/>
      <c r="T131" s="8"/>
      <c r="U131" s="9"/>
      <c r="V131" s="8"/>
      <c r="W131" s="8"/>
      <c r="X131" s="8"/>
      <c r="Y131" s="8"/>
      <c r="Z131" s="8"/>
    </row>
    <row r="132" spans="1:26" ht="12.75" customHeight="1" x14ac:dyDescent="0.2">
      <c r="A132" s="8">
        <v>1998</v>
      </c>
      <c r="B132" s="8">
        <v>30</v>
      </c>
      <c r="C132" s="8">
        <v>1</v>
      </c>
      <c r="D132" s="8">
        <v>2</v>
      </c>
      <c r="E132" s="8"/>
      <c r="F132" s="8"/>
      <c r="G132" s="8"/>
      <c r="H132" s="8"/>
      <c r="I132" s="8"/>
      <c r="J132" s="8"/>
      <c r="K132" s="45"/>
      <c r="L132" s="8"/>
      <c r="M132" s="8"/>
      <c r="N132" s="8"/>
      <c r="O132" s="8"/>
      <c r="P132" s="8"/>
      <c r="Q132" s="8"/>
      <c r="R132" s="164"/>
      <c r="S132" s="45"/>
      <c r="T132" s="8"/>
      <c r="U132" s="9"/>
      <c r="V132" s="8"/>
      <c r="W132" s="8"/>
      <c r="X132" s="8"/>
      <c r="Y132" s="8"/>
      <c r="Z132" s="8"/>
    </row>
    <row r="133" spans="1:26" ht="12.75" customHeight="1" x14ac:dyDescent="0.2">
      <c r="A133" s="8">
        <v>1999</v>
      </c>
      <c r="B133" s="8">
        <v>12</v>
      </c>
      <c r="C133" s="8">
        <v>0</v>
      </c>
      <c r="D133" s="8">
        <v>0</v>
      </c>
      <c r="E133" s="8"/>
      <c r="F133" s="8"/>
      <c r="G133" s="8"/>
      <c r="H133" s="8"/>
      <c r="I133" s="8"/>
      <c r="J133" s="8"/>
      <c r="K133" s="45"/>
      <c r="L133" s="8"/>
      <c r="M133" s="8"/>
      <c r="N133" s="8"/>
      <c r="O133" s="8"/>
      <c r="P133" s="8"/>
      <c r="Q133" s="8"/>
      <c r="R133" s="164"/>
      <c r="S133" s="45"/>
      <c r="T133" s="8"/>
      <c r="U133" s="9"/>
      <c r="V133" s="8"/>
      <c r="W133" s="8"/>
      <c r="X133" s="8"/>
      <c r="Y133" s="8"/>
      <c r="Z133" s="8"/>
    </row>
    <row r="134" spans="1:26" ht="12.75" customHeight="1" x14ac:dyDescent="0.2">
      <c r="A134" s="8">
        <v>2000</v>
      </c>
      <c r="B134" s="8">
        <v>49</v>
      </c>
      <c r="C134" s="8">
        <v>1</v>
      </c>
      <c r="D134" s="8">
        <v>6</v>
      </c>
      <c r="E134" s="8"/>
      <c r="F134" s="8"/>
      <c r="G134" s="8"/>
      <c r="H134" s="8"/>
      <c r="I134" s="8"/>
      <c r="J134" s="8"/>
      <c r="K134" s="45"/>
      <c r="L134" s="8"/>
      <c r="M134" s="8"/>
      <c r="N134" s="8"/>
      <c r="O134" s="8"/>
      <c r="P134" s="8"/>
      <c r="Q134" s="8"/>
      <c r="R134" s="164"/>
      <c r="S134" s="45"/>
      <c r="T134" s="8"/>
      <c r="U134" s="9"/>
      <c r="V134" s="8"/>
      <c r="W134" s="8"/>
      <c r="X134" s="8"/>
      <c r="Y134" s="8"/>
      <c r="Z134" s="8"/>
    </row>
    <row r="135" spans="1:26" ht="12.75" customHeight="1" x14ac:dyDescent="0.2">
      <c r="A135" s="8">
        <v>2001</v>
      </c>
      <c r="B135" s="8">
        <v>24</v>
      </c>
      <c r="C135" s="8">
        <v>0</v>
      </c>
      <c r="D135" s="8">
        <v>0</v>
      </c>
      <c r="E135" s="8"/>
      <c r="F135" s="8"/>
      <c r="G135" s="8"/>
      <c r="H135" s="8"/>
      <c r="I135" s="8"/>
      <c r="J135" s="8"/>
      <c r="K135" s="45"/>
      <c r="L135" s="8"/>
      <c r="M135" s="8"/>
      <c r="N135" s="8"/>
      <c r="O135" s="8"/>
      <c r="P135" s="8"/>
      <c r="Q135" s="8"/>
      <c r="R135" s="164"/>
      <c r="S135" s="45"/>
      <c r="T135" s="8"/>
      <c r="U135" s="9"/>
      <c r="V135" s="8"/>
      <c r="W135" s="8"/>
      <c r="X135" s="8"/>
      <c r="Y135" s="8"/>
      <c r="Z135" s="8"/>
    </row>
    <row r="136" spans="1:26" ht="12.75" customHeight="1" x14ac:dyDescent="0.2">
      <c r="A136" s="8">
        <v>2002</v>
      </c>
      <c r="B136" s="8">
        <v>76</v>
      </c>
      <c r="C136" s="8">
        <v>1</v>
      </c>
      <c r="D136" s="8">
        <v>2</v>
      </c>
      <c r="E136" s="8"/>
      <c r="F136" s="8"/>
      <c r="G136" s="8"/>
      <c r="H136" s="8"/>
      <c r="I136" s="8"/>
      <c r="J136" s="8"/>
      <c r="K136" s="45"/>
      <c r="L136" s="8"/>
      <c r="M136" s="45"/>
      <c r="N136" s="8"/>
      <c r="O136" s="8"/>
      <c r="P136" s="8"/>
      <c r="Q136" s="8"/>
      <c r="R136" s="164"/>
      <c r="S136" s="45"/>
      <c r="T136" s="8"/>
      <c r="U136" s="9"/>
      <c r="V136" s="8"/>
      <c r="W136" s="8"/>
      <c r="X136" s="8"/>
      <c r="Y136" s="8"/>
      <c r="Z136" s="8"/>
    </row>
    <row r="137" spans="1:26" ht="12.75" customHeight="1" x14ac:dyDescent="0.2">
      <c r="A137" s="8">
        <v>2003</v>
      </c>
      <c r="B137" s="8">
        <v>1</v>
      </c>
      <c r="C137" s="8">
        <v>1</v>
      </c>
      <c r="D137" s="8">
        <v>0</v>
      </c>
      <c r="E137" s="8"/>
      <c r="F137" s="8"/>
      <c r="G137" s="8"/>
      <c r="H137" s="8"/>
      <c r="I137" s="8"/>
      <c r="J137" s="8"/>
      <c r="K137" s="45"/>
      <c r="L137" s="8"/>
      <c r="M137" s="45"/>
      <c r="N137" s="8"/>
      <c r="O137" s="8"/>
      <c r="P137" s="8"/>
      <c r="Q137" s="8"/>
      <c r="R137" s="164"/>
      <c r="S137" s="45"/>
      <c r="T137" s="8"/>
      <c r="U137" s="9"/>
      <c r="V137" s="8"/>
      <c r="W137" s="8"/>
      <c r="X137" s="8"/>
      <c r="Y137" s="8"/>
      <c r="Z137" s="8"/>
    </row>
    <row r="138" spans="1:26" ht="12.75" customHeight="1" x14ac:dyDescent="0.2">
      <c r="A138" s="8">
        <v>2004</v>
      </c>
      <c r="B138" s="8">
        <v>59</v>
      </c>
      <c r="C138" s="8">
        <v>0</v>
      </c>
      <c r="D138" s="8">
        <v>1</v>
      </c>
      <c r="E138" s="8"/>
      <c r="F138" s="8"/>
      <c r="G138" s="8"/>
      <c r="H138" s="8"/>
      <c r="I138" s="8"/>
      <c r="J138" s="8"/>
      <c r="K138" s="45"/>
      <c r="L138" s="8"/>
      <c r="M138" s="45"/>
      <c r="N138" s="8"/>
      <c r="O138" s="8"/>
      <c r="P138" s="8"/>
      <c r="Q138" s="8"/>
      <c r="R138" s="164"/>
      <c r="S138" s="45"/>
      <c r="T138" s="8"/>
      <c r="U138" s="9"/>
      <c r="V138" s="8"/>
      <c r="W138" s="8"/>
      <c r="X138" s="8"/>
      <c r="Y138" s="8"/>
      <c r="Z138" s="8"/>
    </row>
    <row r="139" spans="1:26" ht="12.75" customHeight="1" x14ac:dyDescent="0.2">
      <c r="A139" s="8">
        <v>2005</v>
      </c>
      <c r="B139" s="8">
        <v>13</v>
      </c>
      <c r="C139" s="8">
        <v>0</v>
      </c>
      <c r="D139" s="8">
        <v>0</v>
      </c>
      <c r="E139" s="8"/>
      <c r="F139" s="8"/>
      <c r="G139" s="8"/>
      <c r="H139" s="8"/>
      <c r="I139" s="8"/>
      <c r="J139" s="8"/>
      <c r="K139" s="45"/>
      <c r="L139" s="8"/>
      <c r="M139" s="45"/>
      <c r="N139" s="8"/>
      <c r="O139" s="8"/>
      <c r="P139" s="8"/>
      <c r="Q139" s="8"/>
      <c r="R139" s="164"/>
      <c r="S139" s="45"/>
      <c r="T139" s="8"/>
      <c r="U139" s="8"/>
      <c r="V139" s="8"/>
      <c r="W139" s="8"/>
      <c r="X139" s="8"/>
      <c r="Y139" s="8"/>
      <c r="Z139" s="8"/>
    </row>
    <row r="140" spans="1:26" ht="12.75" customHeight="1" x14ac:dyDescent="0.2">
      <c r="A140" s="8">
        <v>2006</v>
      </c>
      <c r="B140" s="8">
        <v>2</v>
      </c>
      <c r="C140" s="8">
        <v>0</v>
      </c>
      <c r="D140" s="8">
        <v>1</v>
      </c>
      <c r="E140" s="8"/>
      <c r="F140" s="8"/>
      <c r="G140" s="8"/>
      <c r="H140" s="8"/>
      <c r="I140" s="8"/>
      <c r="J140" s="8"/>
      <c r="K140" s="45"/>
      <c r="L140" s="8"/>
      <c r="M140" s="45"/>
      <c r="N140" s="8"/>
      <c r="O140" s="8"/>
      <c r="P140" s="8"/>
      <c r="Q140" s="8"/>
      <c r="R140" s="164"/>
      <c r="S140" s="45"/>
      <c r="T140" s="8"/>
      <c r="U140" s="8"/>
      <c r="V140" s="8"/>
      <c r="W140" s="8"/>
      <c r="X140" s="8"/>
      <c r="Y140" s="8"/>
      <c r="Z140" s="8"/>
    </row>
    <row r="141" spans="1:26" ht="12.75" customHeight="1" x14ac:dyDescent="0.2">
      <c r="A141" s="8">
        <v>2007</v>
      </c>
      <c r="B141" s="8">
        <v>30</v>
      </c>
      <c r="C141" s="8">
        <v>0</v>
      </c>
      <c r="D141" s="8">
        <v>0</v>
      </c>
      <c r="E141" s="8"/>
      <c r="F141" s="8"/>
      <c r="G141" s="8"/>
      <c r="H141" s="8"/>
      <c r="I141" s="8"/>
      <c r="J141" s="8"/>
      <c r="K141" s="45"/>
      <c r="L141" s="8"/>
      <c r="M141" s="45"/>
      <c r="N141" s="8"/>
      <c r="O141" s="8"/>
      <c r="P141" s="8"/>
      <c r="Q141" s="8"/>
      <c r="R141" s="164"/>
      <c r="S141" s="45"/>
      <c r="T141" s="8"/>
      <c r="U141" s="8"/>
      <c r="V141" s="8"/>
      <c r="W141" s="8"/>
      <c r="X141" s="8"/>
      <c r="Y141" s="8"/>
      <c r="Z141" s="8"/>
    </row>
    <row r="142" spans="1:26" ht="12.75" customHeight="1" x14ac:dyDescent="0.2">
      <c r="A142" s="8">
        <v>2008</v>
      </c>
      <c r="B142" s="8">
        <v>45</v>
      </c>
      <c r="C142" s="8">
        <v>0</v>
      </c>
      <c r="D142" s="8">
        <v>0</v>
      </c>
      <c r="E142" s="8"/>
      <c r="F142" s="8"/>
      <c r="G142" s="8"/>
      <c r="H142" s="8"/>
      <c r="I142" s="8"/>
      <c r="J142" s="8"/>
      <c r="K142" s="45"/>
      <c r="L142" s="8"/>
      <c r="M142" s="45"/>
      <c r="N142" s="8"/>
      <c r="O142" s="8"/>
      <c r="P142" s="45"/>
      <c r="Q142" s="8"/>
      <c r="R142" s="164"/>
      <c r="S142" s="45"/>
      <c r="T142" s="8"/>
      <c r="U142" s="8"/>
      <c r="V142" s="8"/>
      <c r="W142" s="8"/>
      <c r="X142" s="8"/>
      <c r="Y142" s="8"/>
      <c r="Z142" s="8"/>
    </row>
    <row r="143" spans="1:26" ht="12.75" customHeight="1" x14ac:dyDescent="0.2">
      <c r="A143" s="8">
        <v>2009</v>
      </c>
      <c r="B143" s="8">
        <v>10</v>
      </c>
      <c r="C143" s="8">
        <v>0</v>
      </c>
      <c r="D143" s="8">
        <v>8</v>
      </c>
      <c r="E143" s="8"/>
      <c r="F143" s="8"/>
      <c r="G143" s="8"/>
      <c r="H143" s="8"/>
      <c r="I143" s="8"/>
      <c r="J143" s="8"/>
      <c r="K143" s="45"/>
      <c r="L143" s="8"/>
      <c r="M143" s="45"/>
      <c r="N143" s="8"/>
      <c r="O143" s="45"/>
      <c r="P143" s="45"/>
      <c r="Q143" s="8"/>
      <c r="R143" s="164"/>
      <c r="S143" s="45"/>
      <c r="T143" s="8"/>
      <c r="U143" s="8"/>
      <c r="V143" s="8"/>
      <c r="W143" s="8"/>
      <c r="X143" s="8"/>
      <c r="Y143" s="8"/>
      <c r="Z143" s="8"/>
    </row>
    <row r="144" spans="1:26" ht="12.75" customHeight="1" x14ac:dyDescent="0.2">
      <c r="A144" s="8">
        <v>2010</v>
      </c>
      <c r="B144" s="8">
        <v>5</v>
      </c>
      <c r="C144" s="8">
        <v>3</v>
      </c>
      <c r="D144" s="8">
        <v>0</v>
      </c>
      <c r="E144" s="8"/>
      <c r="F144" s="8"/>
      <c r="G144" s="8"/>
      <c r="H144" s="8"/>
      <c r="I144" s="8"/>
      <c r="J144" s="8"/>
      <c r="K144" s="45"/>
      <c r="L144" s="8"/>
      <c r="M144" s="45"/>
      <c r="N144" s="8"/>
      <c r="O144" s="45"/>
      <c r="P144" s="45"/>
      <c r="Q144" s="8"/>
      <c r="R144" s="164"/>
      <c r="S144" s="45"/>
      <c r="T144" s="8"/>
      <c r="U144" s="8"/>
      <c r="V144" s="8"/>
      <c r="W144" s="8"/>
      <c r="X144" s="8"/>
      <c r="Y144" s="8"/>
      <c r="Z144" s="8"/>
    </row>
    <row r="145" spans="1:26" ht="12.75" customHeight="1" x14ac:dyDescent="0.2">
      <c r="A145" s="8">
        <v>2011</v>
      </c>
      <c r="B145" s="8">
        <v>24</v>
      </c>
      <c r="C145" s="8">
        <v>4</v>
      </c>
      <c r="D145" s="8">
        <v>1</v>
      </c>
      <c r="E145" s="8"/>
      <c r="F145" s="8"/>
      <c r="G145" s="8"/>
      <c r="H145" s="8"/>
      <c r="I145" s="8"/>
      <c r="J145" s="8"/>
      <c r="K145" s="45"/>
      <c r="L145" s="8"/>
      <c r="M145" s="45"/>
      <c r="N145" s="8"/>
      <c r="O145" s="45"/>
      <c r="P145" s="45"/>
      <c r="Q145" s="8"/>
      <c r="R145" s="164"/>
      <c r="S145" s="45"/>
      <c r="T145" s="8"/>
      <c r="U145" s="8"/>
      <c r="V145" s="8"/>
      <c r="W145" s="8"/>
      <c r="X145" s="8"/>
      <c r="Y145" s="8"/>
      <c r="Z145" s="8"/>
    </row>
    <row r="146" spans="1:26" ht="12.75" customHeight="1" x14ac:dyDescent="0.2">
      <c r="A146" s="8">
        <v>2012</v>
      </c>
      <c r="B146" s="8">
        <v>18</v>
      </c>
      <c r="C146" s="8">
        <v>1</v>
      </c>
      <c r="D146" s="8">
        <v>10</v>
      </c>
      <c r="E146" s="8"/>
      <c r="F146" s="8"/>
      <c r="G146" s="8"/>
      <c r="H146" s="8"/>
      <c r="I146" s="8"/>
      <c r="J146" s="8"/>
      <c r="K146" s="45"/>
      <c r="L146" s="8"/>
      <c r="M146" s="45"/>
      <c r="N146" s="8"/>
      <c r="O146" s="45"/>
      <c r="P146" s="45"/>
      <c r="Q146" s="8"/>
      <c r="R146" s="164"/>
      <c r="S146" s="45"/>
      <c r="T146" s="8"/>
      <c r="U146" s="8"/>
      <c r="V146" s="8"/>
      <c r="W146" s="8"/>
      <c r="X146" s="8"/>
      <c r="Y146" s="8"/>
      <c r="Z146" s="8"/>
    </row>
    <row r="147" spans="1:26" ht="12.75" customHeight="1" x14ac:dyDescent="0.2">
      <c r="A147" s="8">
        <v>2013</v>
      </c>
      <c r="B147" s="8">
        <v>17</v>
      </c>
      <c r="C147" s="8">
        <v>1</v>
      </c>
      <c r="D147" s="8">
        <v>0</v>
      </c>
      <c r="E147" s="8"/>
      <c r="F147" s="8"/>
      <c r="G147" s="8"/>
      <c r="H147" s="8"/>
      <c r="I147" s="8"/>
      <c r="J147" s="8"/>
      <c r="K147" s="45"/>
      <c r="L147" s="8"/>
      <c r="M147" s="45"/>
      <c r="N147" s="8"/>
      <c r="O147" s="45"/>
      <c r="P147" s="45"/>
      <c r="Q147" s="8"/>
      <c r="R147" s="164"/>
      <c r="S147" s="45"/>
      <c r="T147" s="8"/>
      <c r="U147" s="8"/>
      <c r="V147" s="8"/>
      <c r="W147" s="8"/>
      <c r="X147" s="8"/>
      <c r="Y147" s="8"/>
      <c r="Z147" s="8"/>
    </row>
    <row r="148" spans="1:26" ht="12.75" customHeight="1" x14ac:dyDescent="0.2">
      <c r="A148" s="49">
        <v>2014</v>
      </c>
      <c r="B148" s="49">
        <v>23</v>
      </c>
      <c r="C148" s="49">
        <v>0</v>
      </c>
      <c r="D148" s="49">
        <v>0</v>
      </c>
      <c r="E148" s="8"/>
      <c r="F148" s="8"/>
      <c r="G148" s="8"/>
      <c r="H148" s="8"/>
      <c r="I148" s="8"/>
      <c r="J148" s="8"/>
      <c r="K148" s="45"/>
      <c r="L148" s="8"/>
      <c r="M148" s="45"/>
      <c r="N148" s="8"/>
      <c r="O148" s="45"/>
      <c r="P148" s="45"/>
      <c r="Q148" s="8"/>
      <c r="R148" s="164"/>
      <c r="S148" s="45"/>
      <c r="T148" s="8"/>
      <c r="U148" s="8"/>
      <c r="V148" s="8"/>
      <c r="W148" s="8"/>
      <c r="X148" s="8"/>
      <c r="Y148" s="8"/>
      <c r="Z148" s="8"/>
    </row>
    <row r="149" spans="1:26" ht="12.75" customHeight="1" x14ac:dyDescent="0.2">
      <c r="A149" s="49">
        <v>2016</v>
      </c>
      <c r="B149" s="49">
        <v>12</v>
      </c>
      <c r="C149" s="49">
        <v>1</v>
      </c>
      <c r="D149" s="49">
        <v>0</v>
      </c>
      <c r="E149" s="8"/>
      <c r="F149" s="8"/>
      <c r="G149" s="8"/>
      <c r="H149" s="8"/>
      <c r="I149" s="8"/>
      <c r="J149" s="8"/>
      <c r="K149" s="45"/>
      <c r="L149" s="8"/>
      <c r="M149" s="45"/>
      <c r="N149" s="8"/>
      <c r="O149" s="45"/>
      <c r="P149" s="45"/>
      <c r="Q149" s="8"/>
      <c r="R149" s="164"/>
      <c r="S149" s="45"/>
      <c r="T149" s="8"/>
      <c r="U149" s="8"/>
      <c r="V149" s="8"/>
      <c r="W149" s="8"/>
      <c r="X149" s="8"/>
      <c r="Y149" s="8"/>
      <c r="Z149" s="8"/>
    </row>
    <row r="150" spans="1:26" s="230" customFormat="1" ht="12.75" customHeight="1" x14ac:dyDescent="0.2">
      <c r="A150">
        <v>2017</v>
      </c>
      <c r="B150">
        <v>82</v>
      </c>
      <c r="C150">
        <v>1</v>
      </c>
      <c r="D150">
        <v>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8"/>
      <c r="O150" s="45"/>
      <c r="P150" s="45"/>
      <c r="Q150" s="45"/>
      <c r="R150" s="166"/>
      <c r="S150" s="45"/>
      <c r="T150" s="45"/>
      <c r="U150" s="45"/>
      <c r="V150" s="45"/>
      <c r="W150" s="45"/>
      <c r="X150" s="45"/>
      <c r="Y150" s="45"/>
      <c r="Z150" s="45"/>
    </row>
    <row r="151" spans="1:26" ht="12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49"/>
      <c r="K151" s="45"/>
      <c r="L151" s="8"/>
      <c r="M151" s="45"/>
      <c r="N151" s="45"/>
      <c r="O151" s="45"/>
      <c r="P151" s="45"/>
      <c r="Q151" s="8"/>
      <c r="R151" s="164"/>
      <c r="S151" s="45"/>
      <c r="T151" s="8"/>
      <c r="U151" s="8"/>
      <c r="V151" s="8"/>
      <c r="W151" s="8"/>
      <c r="X151" s="8"/>
      <c r="Y151" s="8"/>
      <c r="Z151" s="8"/>
    </row>
    <row r="152" spans="1:26" ht="12.75" customHeight="1" x14ac:dyDescent="0.2">
      <c r="A152" s="49" t="s">
        <v>314</v>
      </c>
      <c r="B152" s="8"/>
      <c r="C152" s="8"/>
      <c r="D152" s="8"/>
      <c r="E152" s="8"/>
      <c r="F152" s="8"/>
      <c r="G152" s="8"/>
      <c r="H152" s="8"/>
      <c r="I152" s="8"/>
      <c r="J152" s="49"/>
      <c r="K152" s="45"/>
      <c r="L152" s="8"/>
      <c r="M152" s="45"/>
      <c r="N152" s="8"/>
      <c r="O152" s="45"/>
      <c r="P152" s="45"/>
      <c r="Q152" s="8"/>
      <c r="R152" s="164"/>
      <c r="S152" s="45"/>
      <c r="T152" s="8"/>
      <c r="U152" s="8"/>
      <c r="V152" s="8"/>
      <c r="W152" s="8"/>
      <c r="X152" s="8"/>
      <c r="Y152" s="8"/>
      <c r="Z152" s="8"/>
    </row>
    <row r="153" spans="1:26" ht="12.75" customHeight="1" x14ac:dyDescent="0.2">
      <c r="A153" s="8" t="s">
        <v>243</v>
      </c>
      <c r="B153" s="8" t="s">
        <v>276</v>
      </c>
      <c r="C153" s="8" t="s">
        <v>277</v>
      </c>
      <c r="D153" s="8" t="s">
        <v>278</v>
      </c>
      <c r="E153" s="8" t="s">
        <v>279</v>
      </c>
      <c r="F153" s="8" t="s">
        <v>280</v>
      </c>
      <c r="G153" s="8" t="s">
        <v>259</v>
      </c>
      <c r="H153" s="49" t="s">
        <v>260</v>
      </c>
      <c r="J153" s="45"/>
      <c r="K153" s="8"/>
      <c r="L153" s="45"/>
      <c r="M153" s="8"/>
      <c r="N153" s="45"/>
      <c r="O153" s="45"/>
      <c r="P153" s="8"/>
      <c r="Q153" s="164"/>
      <c r="R153" s="45"/>
      <c r="S153" s="8"/>
      <c r="T153" s="8"/>
      <c r="U153" s="8"/>
      <c r="V153" s="8"/>
      <c r="W153" s="8"/>
      <c r="X153" s="8"/>
      <c r="Y153" s="8"/>
    </row>
    <row r="154" spans="1:26" ht="12.75" customHeight="1" x14ac:dyDescent="0.2">
      <c r="A154" s="45">
        <v>1990</v>
      </c>
      <c r="B154" s="45">
        <v>26</v>
      </c>
      <c r="C154" s="45">
        <v>1</v>
      </c>
      <c r="D154" s="51">
        <v>3.8461538461538463</v>
      </c>
      <c r="E154" s="45">
        <v>0</v>
      </c>
      <c r="F154" s="51">
        <v>0</v>
      </c>
      <c r="G154" s="45">
        <v>25</v>
      </c>
      <c r="H154" s="8"/>
      <c r="J154" s="45"/>
      <c r="K154" s="45"/>
      <c r="L154" s="118"/>
      <c r="M154" s="8"/>
      <c r="N154" s="45"/>
      <c r="O154" s="45"/>
      <c r="P154" s="8"/>
      <c r="Q154" s="164"/>
      <c r="R154" s="49"/>
      <c r="S154" s="8"/>
      <c r="T154" s="8"/>
      <c r="U154" s="8"/>
      <c r="V154" s="8"/>
      <c r="W154" s="8"/>
      <c r="X154" s="8"/>
      <c r="Y154" s="8"/>
    </row>
    <row r="155" spans="1:26" ht="12.75" customHeight="1" x14ac:dyDescent="0.2">
      <c r="A155" s="45">
        <v>1991</v>
      </c>
      <c r="B155" s="45">
        <v>45</v>
      </c>
      <c r="C155" s="45">
        <v>21</v>
      </c>
      <c r="D155" s="51">
        <v>46.666666666666664</v>
      </c>
      <c r="E155" s="45">
        <v>24</v>
      </c>
      <c r="F155" s="51">
        <v>53.333333333333336</v>
      </c>
      <c r="G155" s="45">
        <v>0</v>
      </c>
      <c r="H155" s="8"/>
      <c r="J155" s="45"/>
      <c r="K155" s="45"/>
      <c r="L155" s="118"/>
      <c r="M155" s="8"/>
      <c r="N155" s="45"/>
      <c r="O155" s="45"/>
      <c r="P155" s="8"/>
      <c r="Q155" s="165"/>
      <c r="R155" s="49"/>
      <c r="S155" s="8"/>
      <c r="T155" s="8"/>
      <c r="U155" s="8"/>
      <c r="V155" s="8"/>
      <c r="W155" s="8"/>
      <c r="X155" s="8"/>
      <c r="Y155" s="8"/>
    </row>
    <row r="156" spans="1:26" ht="12.75" customHeight="1" x14ac:dyDescent="0.2">
      <c r="A156" s="45">
        <v>1992</v>
      </c>
      <c r="B156" s="45">
        <v>119</v>
      </c>
      <c r="C156" s="45">
        <v>110</v>
      </c>
      <c r="D156" s="51">
        <v>92.436974789915965</v>
      </c>
      <c r="E156" s="45">
        <v>9</v>
      </c>
      <c r="F156" s="51">
        <v>7.5630252100840334</v>
      </c>
      <c r="G156" s="45">
        <v>0</v>
      </c>
      <c r="H156" s="8"/>
      <c r="J156" s="45"/>
      <c r="K156" s="45"/>
      <c r="L156" s="118"/>
      <c r="M156" s="8"/>
      <c r="N156" s="45"/>
      <c r="P156" s="8"/>
      <c r="Q156" s="165"/>
      <c r="R156" s="55"/>
    </row>
    <row r="157" spans="1:26" ht="12.75" customHeight="1" x14ac:dyDescent="0.2">
      <c r="A157" s="45">
        <v>1993</v>
      </c>
      <c r="B157" s="45">
        <v>136</v>
      </c>
      <c r="C157" s="45">
        <v>122</v>
      </c>
      <c r="D157" s="51">
        <v>89.705882352941174</v>
      </c>
      <c r="E157" s="45">
        <v>14</v>
      </c>
      <c r="F157" s="51">
        <v>10.294117647058822</v>
      </c>
      <c r="G157" s="45">
        <v>0</v>
      </c>
      <c r="H157" s="8"/>
      <c r="J157" s="45"/>
      <c r="K157" s="45"/>
      <c r="L157" s="118"/>
      <c r="M157" s="8"/>
      <c r="P157" s="8"/>
      <c r="Q157" s="166"/>
      <c r="R157" s="49"/>
    </row>
    <row r="158" spans="1:26" ht="12.75" customHeight="1" x14ac:dyDescent="0.2">
      <c r="A158" s="45">
        <v>1994</v>
      </c>
      <c r="B158" s="45">
        <v>77</v>
      </c>
      <c r="C158" s="45">
        <v>43</v>
      </c>
      <c r="D158" s="51">
        <v>55.844155844155843</v>
      </c>
      <c r="E158" s="45">
        <v>25</v>
      </c>
      <c r="F158" s="51">
        <v>32.467532467532465</v>
      </c>
      <c r="G158" s="45">
        <v>9</v>
      </c>
      <c r="H158" s="8"/>
      <c r="J158" s="49"/>
      <c r="K158" s="45"/>
      <c r="L158" s="118"/>
      <c r="M158" s="8"/>
      <c r="P158" s="8"/>
      <c r="Q158" s="165"/>
      <c r="R158" s="164"/>
    </row>
    <row r="159" spans="1:26" ht="12.75" customHeight="1" x14ac:dyDescent="0.2">
      <c r="A159" s="45">
        <v>1995</v>
      </c>
      <c r="B159" s="45">
        <v>118</v>
      </c>
      <c r="C159" s="45">
        <v>83</v>
      </c>
      <c r="D159" s="51">
        <v>70.33898305084746</v>
      </c>
      <c r="E159" s="45">
        <v>31</v>
      </c>
      <c r="F159" s="51">
        <v>26.271186440677969</v>
      </c>
      <c r="G159" s="45">
        <v>4</v>
      </c>
      <c r="H159" s="8"/>
      <c r="J159" s="49"/>
      <c r="K159" s="45"/>
      <c r="L159" s="118"/>
      <c r="M159" s="8"/>
      <c r="P159" s="8"/>
      <c r="Q159" s="8"/>
    </row>
    <row r="160" spans="1:26" ht="12.75" customHeight="1" x14ac:dyDescent="0.2">
      <c r="A160" s="8">
        <v>1996</v>
      </c>
      <c r="B160" s="8">
        <v>78</v>
      </c>
      <c r="C160" s="8">
        <v>6</v>
      </c>
      <c r="D160" s="51">
        <v>7.6923076923076925</v>
      </c>
      <c r="E160" s="8">
        <v>70</v>
      </c>
      <c r="F160" s="51">
        <v>89.743589743589752</v>
      </c>
      <c r="G160" s="8">
        <v>2</v>
      </c>
      <c r="H160" s="8"/>
      <c r="J160" s="55"/>
      <c r="K160" s="45"/>
      <c r="L160" s="118"/>
      <c r="M160" s="8"/>
      <c r="P160" s="8"/>
      <c r="Q160" s="8"/>
    </row>
    <row r="161" spans="1:17" ht="12.75" customHeight="1" x14ac:dyDescent="0.2">
      <c r="A161" s="8">
        <v>1997</v>
      </c>
      <c r="B161" s="8">
        <v>290</v>
      </c>
      <c r="C161" s="8">
        <v>229</v>
      </c>
      <c r="D161" s="51">
        <v>78.965517241379317</v>
      </c>
      <c r="E161" s="8">
        <v>56</v>
      </c>
      <c r="F161" s="51">
        <v>19.310344827586206</v>
      </c>
      <c r="G161" s="8">
        <v>5</v>
      </c>
      <c r="H161" s="8"/>
      <c r="J161" s="49"/>
      <c r="K161" s="45"/>
      <c r="L161" s="118"/>
      <c r="M161" s="8"/>
      <c r="P161" s="8"/>
      <c r="Q161" s="8"/>
    </row>
    <row r="162" spans="1:17" ht="12.75" customHeight="1" x14ac:dyDescent="0.2">
      <c r="A162" s="8">
        <v>1998</v>
      </c>
      <c r="B162" s="8">
        <v>87</v>
      </c>
      <c r="C162" s="8">
        <v>21</v>
      </c>
      <c r="D162" s="51">
        <v>24.137931034482758</v>
      </c>
      <c r="E162" s="8">
        <v>51</v>
      </c>
      <c r="F162" s="51">
        <v>58.620689655172406</v>
      </c>
      <c r="G162" s="8">
        <v>15</v>
      </c>
      <c r="H162" s="8"/>
      <c r="K162" s="45"/>
      <c r="L162" s="118"/>
      <c r="M162" s="8"/>
      <c r="P162" s="8"/>
      <c r="Q162" s="8"/>
    </row>
    <row r="163" spans="1:17" ht="12.75" customHeight="1" x14ac:dyDescent="0.2">
      <c r="A163" s="8">
        <v>1999</v>
      </c>
      <c r="B163" s="8">
        <v>60</v>
      </c>
      <c r="C163" s="8">
        <v>10</v>
      </c>
      <c r="D163" s="51">
        <v>16.666666666666664</v>
      </c>
      <c r="E163" s="8">
        <v>50</v>
      </c>
      <c r="F163" s="51">
        <v>83.333333333333343</v>
      </c>
      <c r="G163" s="8">
        <v>0</v>
      </c>
      <c r="H163" s="8"/>
      <c r="J163" s="8"/>
      <c r="K163" s="45"/>
      <c r="L163" s="118"/>
      <c r="M163" s="8"/>
      <c r="O163" s="8"/>
      <c r="P163" s="8"/>
      <c r="Q163" s="8"/>
    </row>
    <row r="164" spans="1:17" ht="12.75" customHeight="1" x14ac:dyDescent="0.2">
      <c r="A164" s="8">
        <v>2000</v>
      </c>
      <c r="B164" s="8">
        <v>135</v>
      </c>
      <c r="C164" s="8">
        <v>9</v>
      </c>
      <c r="D164" s="51">
        <v>6.666666666666667</v>
      </c>
      <c r="E164" s="8">
        <v>118</v>
      </c>
      <c r="F164" s="51">
        <v>87.407407407407405</v>
      </c>
      <c r="G164" s="8">
        <v>8</v>
      </c>
      <c r="H164" s="8"/>
      <c r="J164" s="8"/>
      <c r="K164" s="45"/>
      <c r="L164" s="118"/>
      <c r="M164" s="8"/>
      <c r="N164" s="8"/>
      <c r="O164" s="8"/>
      <c r="P164" s="8"/>
      <c r="Q164" s="8"/>
    </row>
    <row r="165" spans="1:17" ht="12.75" customHeight="1" x14ac:dyDescent="0.2">
      <c r="A165" s="8">
        <v>2001</v>
      </c>
      <c r="B165" s="8">
        <v>116</v>
      </c>
      <c r="C165" s="8">
        <v>21</v>
      </c>
      <c r="D165" s="51">
        <v>18.103448275862068</v>
      </c>
      <c r="E165" s="8">
        <v>93</v>
      </c>
      <c r="F165" s="51">
        <v>80.172413793103445</v>
      </c>
      <c r="G165" s="8">
        <v>2</v>
      </c>
      <c r="H165" s="8"/>
      <c r="J165" s="8"/>
      <c r="K165" s="45"/>
      <c r="L165" s="118"/>
      <c r="M165" s="8"/>
      <c r="N165" s="8"/>
      <c r="O165" s="8"/>
      <c r="P165" s="8"/>
      <c r="Q165" s="8"/>
    </row>
    <row r="166" spans="1:17" ht="12.75" customHeight="1" x14ac:dyDescent="0.2">
      <c r="A166" s="8">
        <v>2002</v>
      </c>
      <c r="B166" s="8">
        <v>261</v>
      </c>
      <c r="C166" s="8">
        <v>150</v>
      </c>
      <c r="D166" s="51">
        <v>57.47126436781609</v>
      </c>
      <c r="E166" s="8">
        <v>103</v>
      </c>
      <c r="F166" s="51">
        <v>39.463601532567047</v>
      </c>
      <c r="G166" s="8">
        <v>8</v>
      </c>
      <c r="H166" s="8"/>
      <c r="J166" s="8"/>
      <c r="K166" s="45"/>
      <c r="L166" s="118"/>
      <c r="M166" s="8"/>
      <c r="N166" s="8"/>
      <c r="O166" s="8"/>
      <c r="P166" s="8"/>
      <c r="Q166" s="8"/>
    </row>
    <row r="167" spans="1:17" ht="12.75" customHeight="1" x14ac:dyDescent="0.2">
      <c r="A167" s="8">
        <v>2003</v>
      </c>
      <c r="B167" s="8">
        <v>73</v>
      </c>
      <c r="C167" s="8">
        <v>58</v>
      </c>
      <c r="D167" s="51">
        <v>79.452054794520549</v>
      </c>
      <c r="E167" s="8">
        <v>15</v>
      </c>
      <c r="F167" s="51">
        <v>20.547945205479451</v>
      </c>
      <c r="G167" s="8">
        <v>0</v>
      </c>
      <c r="H167" s="8"/>
      <c r="J167" s="8"/>
      <c r="K167" s="45"/>
      <c r="L167" s="118"/>
      <c r="M167" s="8"/>
      <c r="N167" s="8"/>
      <c r="O167" s="8"/>
      <c r="P167" s="8"/>
      <c r="Q167" s="8"/>
    </row>
    <row r="168" spans="1:17" ht="12.75" customHeight="1" x14ac:dyDescent="0.2">
      <c r="A168" s="8">
        <v>2004</v>
      </c>
      <c r="B168" s="8">
        <v>158</v>
      </c>
      <c r="C168" s="8">
        <v>62</v>
      </c>
      <c r="D168" s="51">
        <v>39.24050632911392</v>
      </c>
      <c r="E168" s="8">
        <v>80</v>
      </c>
      <c r="F168" s="51">
        <v>50.632911392405063</v>
      </c>
      <c r="G168" s="8">
        <v>16</v>
      </c>
      <c r="H168" s="8"/>
      <c r="J168" s="8"/>
      <c r="K168" s="45"/>
      <c r="L168" s="118"/>
      <c r="M168" s="8"/>
      <c r="N168" s="8"/>
      <c r="O168" s="8"/>
      <c r="P168" s="8"/>
      <c r="Q168" s="8"/>
    </row>
    <row r="169" spans="1:17" ht="12.75" customHeight="1" x14ac:dyDescent="0.2">
      <c r="A169" s="8">
        <v>2005</v>
      </c>
      <c r="B169" s="8">
        <v>104</v>
      </c>
      <c r="C169" s="8">
        <v>5</v>
      </c>
      <c r="D169" s="51">
        <v>4.8076923076923084</v>
      </c>
      <c r="E169" s="8">
        <v>76</v>
      </c>
      <c r="F169" s="51">
        <v>73.076923076923066</v>
      </c>
      <c r="G169" s="8">
        <v>23</v>
      </c>
      <c r="H169" s="8"/>
      <c r="J169" s="8"/>
      <c r="K169" s="45"/>
      <c r="L169" s="118"/>
      <c r="M169" s="8"/>
      <c r="N169" s="8"/>
      <c r="O169" s="8"/>
      <c r="P169" s="23"/>
      <c r="Q169" s="8"/>
    </row>
    <row r="170" spans="1:17" ht="12.75" customHeight="1" x14ac:dyDescent="0.2">
      <c r="A170" s="8">
        <v>2006</v>
      </c>
      <c r="B170" s="8">
        <v>24</v>
      </c>
      <c r="C170" s="8">
        <v>1</v>
      </c>
      <c r="D170" s="51">
        <v>4.1666666666666661</v>
      </c>
      <c r="E170" s="8">
        <v>19</v>
      </c>
      <c r="F170" s="51">
        <v>79.166666666666657</v>
      </c>
      <c r="G170" s="8">
        <v>4</v>
      </c>
      <c r="H170" s="8"/>
      <c r="J170" s="8"/>
      <c r="K170" s="45"/>
      <c r="L170" s="118"/>
      <c r="M170" s="8"/>
      <c r="N170" s="8"/>
      <c r="O170" s="8"/>
      <c r="P170" s="23"/>
      <c r="Q170" s="8"/>
    </row>
    <row r="171" spans="1:17" ht="12.75" customHeight="1" x14ac:dyDescent="0.2">
      <c r="A171" s="8">
        <v>2007</v>
      </c>
      <c r="B171" s="8">
        <v>149</v>
      </c>
      <c r="C171" s="8">
        <v>49</v>
      </c>
      <c r="D171" s="51">
        <v>32.885906040268459</v>
      </c>
      <c r="E171" s="8">
        <v>86</v>
      </c>
      <c r="F171" s="51">
        <v>57.718120805369132</v>
      </c>
      <c r="G171" s="8">
        <v>14</v>
      </c>
      <c r="H171" s="51"/>
      <c r="K171" s="45"/>
      <c r="L171" s="118"/>
      <c r="M171" s="8"/>
      <c r="N171" s="8"/>
    </row>
    <row r="172" spans="1:17" ht="12.75" customHeight="1" x14ac:dyDescent="0.2">
      <c r="A172" s="8">
        <v>2008</v>
      </c>
      <c r="B172" s="8">
        <v>101</v>
      </c>
      <c r="C172" s="8">
        <v>40</v>
      </c>
      <c r="D172" s="51">
        <v>39.603960396039604</v>
      </c>
      <c r="E172" s="8">
        <v>60</v>
      </c>
      <c r="F172" s="51">
        <v>59.405940594059402</v>
      </c>
      <c r="G172" s="8">
        <v>1</v>
      </c>
      <c r="H172" s="51"/>
      <c r="K172" s="45"/>
      <c r="L172" s="118"/>
      <c r="M172" s="8"/>
      <c r="N172" s="8"/>
    </row>
    <row r="173" spans="1:17" ht="12.75" customHeight="1" x14ac:dyDescent="0.2">
      <c r="A173" s="8">
        <v>2009</v>
      </c>
      <c r="B173" s="8">
        <v>58</v>
      </c>
      <c r="C173" s="8">
        <v>42</v>
      </c>
      <c r="D173" s="51">
        <v>72.41379310344827</v>
      </c>
      <c r="E173" s="8">
        <v>16</v>
      </c>
      <c r="F173" s="51">
        <v>27.586206896551722</v>
      </c>
      <c r="G173" s="8">
        <v>0</v>
      </c>
      <c r="H173" s="51"/>
      <c r="K173" s="45"/>
      <c r="L173" s="118"/>
    </row>
    <row r="174" spans="1:17" ht="12.75" customHeight="1" x14ac:dyDescent="0.2">
      <c r="A174" s="8">
        <v>2010</v>
      </c>
      <c r="B174" s="8">
        <v>27</v>
      </c>
      <c r="C174" s="8">
        <v>24</v>
      </c>
      <c r="D174" s="51">
        <v>88.888888888888886</v>
      </c>
      <c r="E174" s="8">
        <v>3</v>
      </c>
      <c r="F174" s="51">
        <v>11.111111111111111</v>
      </c>
      <c r="G174" s="8">
        <v>0</v>
      </c>
      <c r="H174" s="51"/>
      <c r="K174" s="45"/>
      <c r="L174" s="118"/>
    </row>
    <row r="175" spans="1:17" ht="12.75" customHeight="1" x14ac:dyDescent="0.2">
      <c r="A175" s="8">
        <v>2011</v>
      </c>
      <c r="B175" s="8">
        <v>89</v>
      </c>
      <c r="C175" s="8">
        <v>46</v>
      </c>
      <c r="D175" s="51">
        <v>51.68539325842697</v>
      </c>
      <c r="E175" s="8">
        <v>41</v>
      </c>
      <c r="F175" s="51">
        <v>46.067415730337082</v>
      </c>
      <c r="G175" s="8">
        <v>2</v>
      </c>
      <c r="H175" s="45"/>
      <c r="K175" s="45"/>
      <c r="L175" s="118"/>
    </row>
    <row r="176" spans="1:17" ht="12.75" customHeight="1" x14ac:dyDescent="0.2">
      <c r="A176" s="8">
        <v>2012</v>
      </c>
      <c r="B176" s="8">
        <v>104</v>
      </c>
      <c r="C176" s="8">
        <v>35</v>
      </c>
      <c r="D176" s="51">
        <v>33.653846153846153</v>
      </c>
      <c r="E176" s="8">
        <v>54</v>
      </c>
      <c r="F176" s="51">
        <v>51.923076923076927</v>
      </c>
      <c r="G176" s="8">
        <v>15</v>
      </c>
      <c r="H176" s="45"/>
      <c r="K176" s="45"/>
      <c r="L176" s="118"/>
    </row>
    <row r="177" spans="1:26" ht="12.75" customHeight="1" x14ac:dyDescent="0.2">
      <c r="A177" s="8">
        <v>2013</v>
      </c>
      <c r="B177" s="143">
        <v>70</v>
      </c>
      <c r="C177" s="45">
        <f>COUNTIFS(data!$B$373:$B$3404,$A177,data!$J$373:$J$3404,"capelin",data!$K$373:$K$3404,"female",data!$L$373:$L$3404,"gravid")</f>
        <v>17</v>
      </c>
      <c r="D177" s="167">
        <v>24.285714285714285</v>
      </c>
      <c r="E177" s="45">
        <v>51</v>
      </c>
      <c r="F177" s="51">
        <v>72.857142857142847</v>
      </c>
      <c r="G177" s="45">
        <v>2</v>
      </c>
      <c r="H177" s="51"/>
      <c r="J177" s="167"/>
      <c r="K177" s="45"/>
      <c r="L177" s="167"/>
    </row>
    <row r="178" spans="1:26" ht="12.75" customHeight="1" x14ac:dyDescent="0.2">
      <c r="A178" s="104">
        <v>2014</v>
      </c>
      <c r="B178" s="104">
        <v>90</v>
      </c>
      <c r="C178" s="104">
        <v>8</v>
      </c>
      <c r="D178" s="104">
        <v>8.89</v>
      </c>
      <c r="E178" s="104">
        <v>81</v>
      </c>
      <c r="F178" s="104">
        <v>90</v>
      </c>
      <c r="G178" s="104">
        <v>0</v>
      </c>
      <c r="H178" s="104">
        <v>0</v>
      </c>
      <c r="K178" s="104"/>
      <c r="L178" s="104"/>
    </row>
    <row r="179" spans="1:26" ht="12.75" customHeight="1" x14ac:dyDescent="0.2">
      <c r="A179" s="104">
        <v>2016</v>
      </c>
      <c r="B179" s="104">
        <v>36</v>
      </c>
      <c r="C179" s="104">
        <v>8</v>
      </c>
      <c r="D179" s="104">
        <v>22.22</v>
      </c>
      <c r="E179" s="104">
        <v>28</v>
      </c>
      <c r="F179" s="104">
        <v>77.78</v>
      </c>
      <c r="G179" s="104">
        <v>0</v>
      </c>
      <c r="H179" s="104">
        <v>0</v>
      </c>
      <c r="K179" s="104"/>
      <c r="L179" s="104"/>
    </row>
    <row r="180" spans="1:26" s="230" customFormat="1" ht="12.75" customHeight="1" x14ac:dyDescent="0.2">
      <c r="A180">
        <v>2017</v>
      </c>
      <c r="B180">
        <v>204</v>
      </c>
      <c r="C180">
        <v>101</v>
      </c>
      <c r="D180">
        <v>49.51</v>
      </c>
      <c r="E180">
        <v>99</v>
      </c>
      <c r="F180">
        <v>48.53</v>
      </c>
      <c r="G180">
        <v>0</v>
      </c>
      <c r="H180">
        <v>0</v>
      </c>
      <c r="K180" s="316"/>
      <c r="L180" s="316"/>
      <c r="M180"/>
      <c r="N180"/>
    </row>
    <row r="181" spans="1:26" ht="12.75" customHeight="1" x14ac:dyDescent="0.2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M181" s="230"/>
      <c r="N181" s="230"/>
      <c r="O181" s="230"/>
    </row>
    <row r="182" spans="1:26" ht="12.75" customHeight="1" x14ac:dyDescent="0.2">
      <c r="A182" s="104" t="s">
        <v>315</v>
      </c>
      <c r="B182" s="45"/>
      <c r="C182" s="45"/>
      <c r="D182" s="45"/>
      <c r="E182" s="45"/>
      <c r="F182" s="45"/>
      <c r="G182" s="45"/>
      <c r="H182" s="45"/>
      <c r="I182" s="45"/>
      <c r="J182" s="45"/>
    </row>
    <row r="183" spans="1:26" ht="12.75" customHeight="1" x14ac:dyDescent="0.2">
      <c r="A183" s="55" t="s">
        <v>316</v>
      </c>
      <c r="E183" s="55" t="s">
        <v>317</v>
      </c>
      <c r="H183" s="230"/>
      <c r="I183" s="104" t="s">
        <v>318</v>
      </c>
      <c r="J183" s="45"/>
      <c r="K183" s="45"/>
      <c r="L183" s="45"/>
      <c r="M183" s="104" t="s">
        <v>319</v>
      </c>
      <c r="N183" s="45"/>
    </row>
    <row r="184" spans="1:26" ht="12.75" customHeight="1" x14ac:dyDescent="0.2">
      <c r="A184" s="105" t="s">
        <v>1</v>
      </c>
      <c r="B184" s="106" t="s">
        <v>289</v>
      </c>
      <c r="C184" s="266" t="s">
        <v>516</v>
      </c>
      <c r="D184" s="219"/>
      <c r="E184" s="105" t="s">
        <v>1</v>
      </c>
      <c r="F184" s="106" t="s">
        <v>289</v>
      </c>
      <c r="G184" s="236" t="s">
        <v>517</v>
      </c>
      <c r="H184" s="267"/>
      <c r="I184" s="106" t="s">
        <v>1</v>
      </c>
      <c r="J184" s="106" t="s">
        <v>289</v>
      </c>
      <c r="K184" s="236" t="s">
        <v>518</v>
      </c>
      <c r="L184" s="267"/>
      <c r="M184" s="106" t="s">
        <v>1</v>
      </c>
      <c r="N184" s="106" t="s">
        <v>289</v>
      </c>
      <c r="O184" s="236" t="s">
        <v>519</v>
      </c>
    </row>
    <row r="185" spans="1:26" ht="12.75" customHeight="1" x14ac:dyDescent="0.2">
      <c r="A185" s="8">
        <v>1990</v>
      </c>
      <c r="B185" s="73">
        <v>133.86956521739131</v>
      </c>
      <c r="C185" s="195">
        <v>10.826332997188288</v>
      </c>
      <c r="D185" s="195"/>
      <c r="E185" s="45">
        <v>1990</v>
      </c>
      <c r="F185" s="73">
        <v>128.19999999999999</v>
      </c>
      <c r="G185" s="73">
        <v>19.728152473052329</v>
      </c>
      <c r="H185" s="73"/>
      <c r="I185" s="8">
        <v>1990</v>
      </c>
      <c r="J185" s="73">
        <v>126</v>
      </c>
      <c r="K185" s="195"/>
      <c r="L185" s="195"/>
      <c r="M185" s="8">
        <v>1991</v>
      </c>
      <c r="N185" s="73">
        <v>133.73684210526315</v>
      </c>
      <c r="O185" s="195">
        <v>19.874165545761905</v>
      </c>
    </row>
    <row r="186" spans="1:26" ht="12.75" customHeight="1" x14ac:dyDescent="0.2">
      <c r="A186" s="8">
        <v>1991</v>
      </c>
      <c r="B186" s="73">
        <v>138.38235294117646</v>
      </c>
      <c r="C186" s="195">
        <v>16.450135314691412</v>
      </c>
      <c r="D186" s="195"/>
      <c r="E186" s="45">
        <v>1991</v>
      </c>
      <c r="F186" s="73">
        <v>146</v>
      </c>
      <c r="G186" s="73"/>
      <c r="H186" s="73"/>
      <c r="I186" s="8">
        <v>1991</v>
      </c>
      <c r="J186" s="73">
        <v>144.26666666666668</v>
      </c>
      <c r="K186" s="195">
        <v>7.9773488853186825</v>
      </c>
      <c r="L186" s="195"/>
      <c r="M186" s="8">
        <v>1992</v>
      </c>
      <c r="N186" s="73">
        <v>125.375</v>
      </c>
      <c r="O186" s="195">
        <v>12.489281118508897</v>
      </c>
      <c r="Y186" s="8"/>
      <c r="Z186" s="73"/>
    </row>
    <row r="187" spans="1:26" ht="12.75" customHeight="1" x14ac:dyDescent="0.2">
      <c r="A187" s="8">
        <v>1992</v>
      </c>
      <c r="B187" s="73">
        <v>128.28846153846155</v>
      </c>
      <c r="C187" s="195">
        <v>10.724867280888894</v>
      </c>
      <c r="D187" s="195"/>
      <c r="E187" s="45">
        <v>1992</v>
      </c>
      <c r="F187" s="73">
        <v>141.4</v>
      </c>
      <c r="G187" s="73">
        <v>12.528823910145301</v>
      </c>
      <c r="H187" s="73"/>
      <c r="I187" s="8">
        <v>1992</v>
      </c>
      <c r="J187" s="73">
        <v>128.53125</v>
      </c>
      <c r="K187" s="195">
        <v>10.603825650257205</v>
      </c>
      <c r="L187" s="195"/>
      <c r="M187" s="8">
        <v>1993</v>
      </c>
      <c r="N187" s="73">
        <v>142.69999999999999</v>
      </c>
      <c r="O187" s="195">
        <v>10.975224624378107</v>
      </c>
      <c r="Y187" s="8"/>
      <c r="Z187" s="73"/>
    </row>
    <row r="188" spans="1:26" ht="12.75" customHeight="1" x14ac:dyDescent="0.2">
      <c r="A188" s="8">
        <v>1993</v>
      </c>
      <c r="B188" s="73">
        <v>139.05940594059405</v>
      </c>
      <c r="C188" s="195">
        <v>8.1973432064031773</v>
      </c>
      <c r="D188" s="195"/>
      <c r="E188" s="45">
        <v>1993</v>
      </c>
      <c r="F188" s="73">
        <v>153.22222222222223</v>
      </c>
      <c r="G188" s="73">
        <v>5.2625511346156486</v>
      </c>
      <c r="H188" s="73"/>
      <c r="I188" s="8">
        <v>1993</v>
      </c>
      <c r="J188" s="73">
        <v>138.65934065934067</v>
      </c>
      <c r="K188" s="195">
        <v>7.809139631397418</v>
      </c>
      <c r="L188" s="195"/>
      <c r="M188" s="8">
        <v>1994</v>
      </c>
      <c r="N188" s="73">
        <v>141.94444444444446</v>
      </c>
      <c r="O188" s="195">
        <v>13.427242817242957</v>
      </c>
      <c r="Y188" s="8"/>
      <c r="Z188" s="121"/>
    </row>
    <row r="189" spans="1:26" ht="12.75" customHeight="1" x14ac:dyDescent="0.2">
      <c r="A189" s="8">
        <v>1994</v>
      </c>
      <c r="B189" s="73">
        <v>137.62264150943398</v>
      </c>
      <c r="C189" s="195">
        <v>14.928324156415313</v>
      </c>
      <c r="D189" s="195"/>
      <c r="E189" s="45">
        <v>1994</v>
      </c>
      <c r="F189" s="73">
        <v>152.28571428571428</v>
      </c>
      <c r="G189" s="73">
        <v>6.5246784266681335</v>
      </c>
      <c r="H189" s="73"/>
      <c r="I189" s="8">
        <v>1994</v>
      </c>
      <c r="J189" s="73">
        <v>137.21428571428572</v>
      </c>
      <c r="K189" s="195">
        <v>15.237276763733224</v>
      </c>
      <c r="L189" s="195"/>
      <c r="M189" s="8">
        <v>1995</v>
      </c>
      <c r="N189" s="73">
        <v>132.69230769230768</v>
      </c>
      <c r="O189" s="195">
        <v>8.9478546347212493</v>
      </c>
      <c r="Y189" s="8"/>
      <c r="Z189" s="111"/>
    </row>
    <row r="190" spans="1:26" ht="12.75" customHeight="1" x14ac:dyDescent="0.2">
      <c r="A190" s="8">
        <v>1995</v>
      </c>
      <c r="B190" s="73">
        <v>129.66666666666666</v>
      </c>
      <c r="C190" s="195">
        <v>10.35187375901487</v>
      </c>
      <c r="D190" s="195"/>
      <c r="E190" s="45">
        <v>1995</v>
      </c>
      <c r="F190" s="73">
        <v>142</v>
      </c>
      <c r="G190" s="73">
        <v>9.7638790105845388</v>
      </c>
      <c r="H190" s="73"/>
      <c r="I190" s="8">
        <v>1995</v>
      </c>
      <c r="J190" s="73">
        <v>128.9795918367347</v>
      </c>
      <c r="K190" s="195">
        <v>10.71309517195032</v>
      </c>
      <c r="L190" s="195"/>
      <c r="M190" s="8">
        <v>1996</v>
      </c>
      <c r="N190" s="73">
        <v>141.17391304347825</v>
      </c>
      <c r="O190" s="195">
        <v>7.3008503243757303</v>
      </c>
      <c r="Y190" s="8"/>
      <c r="Z190" s="111"/>
    </row>
    <row r="191" spans="1:26" ht="12.75" customHeight="1" x14ac:dyDescent="0.2">
      <c r="A191" s="8">
        <v>1996</v>
      </c>
      <c r="B191" s="73">
        <v>141.0612244897959</v>
      </c>
      <c r="C191" s="195">
        <v>7.2468618589511635</v>
      </c>
      <c r="D191" s="195"/>
      <c r="E191" s="45">
        <v>1996</v>
      </c>
      <c r="F191" s="73">
        <v>150</v>
      </c>
      <c r="G191" s="73"/>
      <c r="H191" s="230"/>
      <c r="I191" s="8">
        <v>1996</v>
      </c>
      <c r="J191" s="73">
        <v>139.33333333333334</v>
      </c>
      <c r="K191" s="195">
        <v>7.5055534994651349</v>
      </c>
      <c r="L191" s="195"/>
      <c r="M191" s="8">
        <v>1997</v>
      </c>
      <c r="N191" s="73">
        <v>128.13513513513513</v>
      </c>
      <c r="O191" s="195">
        <v>9.333815946338353</v>
      </c>
      <c r="Y191" s="8"/>
      <c r="Z191" s="111"/>
    </row>
    <row r="192" spans="1:26" ht="12.75" customHeight="1" x14ac:dyDescent="0.2">
      <c r="A192" s="8">
        <v>1997</v>
      </c>
      <c r="B192" s="73">
        <v>129.87557603686636</v>
      </c>
      <c r="C192" s="195">
        <v>12.305080355697147</v>
      </c>
      <c r="D192" s="195"/>
      <c r="E192" s="45">
        <v>1997</v>
      </c>
      <c r="F192" s="73">
        <v>145.10526315789474</v>
      </c>
      <c r="G192" s="73">
        <v>7.03873991912777</v>
      </c>
      <c r="H192" s="73"/>
      <c r="I192" s="8">
        <v>1997</v>
      </c>
      <c r="J192" s="73">
        <v>130.4180790960452</v>
      </c>
      <c r="K192" s="195">
        <v>12.763375815130328</v>
      </c>
      <c r="L192" s="195"/>
      <c r="M192" s="8">
        <v>1998</v>
      </c>
      <c r="N192" s="73">
        <v>134.48387096774192</v>
      </c>
      <c r="O192" s="195">
        <v>10.686037518625056</v>
      </c>
      <c r="Y192" s="8"/>
      <c r="Z192" s="111"/>
    </row>
    <row r="193" spans="1:26" ht="12.75" customHeight="1" x14ac:dyDescent="0.2">
      <c r="A193" s="8">
        <v>1998</v>
      </c>
      <c r="B193" s="73">
        <v>130.20754716981133</v>
      </c>
      <c r="C193" s="195">
        <v>11.042502661162038</v>
      </c>
      <c r="D193" s="195"/>
      <c r="E193" s="45">
        <v>1998</v>
      </c>
      <c r="F193" s="73">
        <v>145</v>
      </c>
      <c r="G193" s="73">
        <v>8.5440037453175304</v>
      </c>
      <c r="H193" s="73"/>
      <c r="I193" s="8">
        <v>1998</v>
      </c>
      <c r="J193" s="73">
        <v>127</v>
      </c>
      <c r="K193" s="195">
        <v>5.7445626465380286</v>
      </c>
      <c r="L193" s="195"/>
      <c r="M193" s="8">
        <v>1999</v>
      </c>
      <c r="N193" s="73">
        <v>136.38461538461539</v>
      </c>
      <c r="O193" s="195">
        <v>11.259184285250454</v>
      </c>
      <c r="Y193" s="8"/>
      <c r="Z193" s="111"/>
    </row>
    <row r="194" spans="1:26" ht="12.75" customHeight="1" x14ac:dyDescent="0.2">
      <c r="A194" s="8">
        <v>1999</v>
      </c>
      <c r="B194" s="73">
        <v>135.87234042553192</v>
      </c>
      <c r="C194" s="195">
        <v>10.981440907427872</v>
      </c>
      <c r="D194" s="195"/>
      <c r="E194" s="45">
        <v>2000</v>
      </c>
      <c r="F194" s="73">
        <v>150</v>
      </c>
      <c r="G194" s="73">
        <v>0</v>
      </c>
      <c r="H194" s="73"/>
      <c r="I194" s="104">
        <v>1999</v>
      </c>
      <c r="J194" s="73">
        <v>133.375</v>
      </c>
      <c r="K194" s="195">
        <v>9.7824551402717184</v>
      </c>
      <c r="L194" s="195"/>
      <c r="M194" s="8">
        <v>2000</v>
      </c>
      <c r="N194" s="73">
        <v>147.05479452054794</v>
      </c>
      <c r="O194" s="195">
        <v>11.429603875413109</v>
      </c>
      <c r="Y194" s="8"/>
      <c r="Z194" s="111"/>
    </row>
    <row r="195" spans="1:26" ht="12.75" customHeight="1" x14ac:dyDescent="0.2">
      <c r="A195" s="8">
        <v>2000</v>
      </c>
      <c r="B195" s="73">
        <v>145.82499999999999</v>
      </c>
      <c r="C195" s="195">
        <v>11.74494235345904</v>
      </c>
      <c r="D195" s="195"/>
      <c r="E195" s="45">
        <v>2001</v>
      </c>
      <c r="F195" s="73">
        <v>157</v>
      </c>
      <c r="G195" s="73"/>
      <c r="H195" s="230"/>
      <c r="I195" s="8">
        <v>2000</v>
      </c>
      <c r="J195" s="73">
        <v>131</v>
      </c>
      <c r="K195" s="195">
        <v>9.1651513899116797</v>
      </c>
      <c r="L195" s="195"/>
      <c r="M195" s="8">
        <v>2001</v>
      </c>
      <c r="N195" s="73">
        <v>139.69999999999999</v>
      </c>
      <c r="O195" s="195">
        <v>10.188584120318762</v>
      </c>
      <c r="Y195" s="8"/>
      <c r="Z195" s="111"/>
    </row>
    <row r="196" spans="1:26" ht="12.75" customHeight="1" x14ac:dyDescent="0.2">
      <c r="A196" s="8">
        <v>2001</v>
      </c>
      <c r="B196" s="73">
        <v>137.98850574712642</v>
      </c>
      <c r="C196" s="195">
        <v>10.666720963507887</v>
      </c>
      <c r="D196" s="195"/>
      <c r="E196" s="45">
        <v>2002</v>
      </c>
      <c r="F196" s="73">
        <v>141.5</v>
      </c>
      <c r="G196" s="73">
        <v>9.5767575783396399</v>
      </c>
      <c r="H196" s="73"/>
      <c r="I196" s="8">
        <v>2001</v>
      </c>
      <c r="J196" s="73">
        <v>130.94117647058823</v>
      </c>
      <c r="K196" s="195">
        <v>9.915080611342086</v>
      </c>
      <c r="L196" s="195"/>
      <c r="M196" s="8">
        <v>2002</v>
      </c>
      <c r="N196" s="73">
        <v>138.81081081081081</v>
      </c>
      <c r="O196" s="195">
        <v>11.269641211334562</v>
      </c>
      <c r="Y196" s="8"/>
      <c r="Z196" s="111"/>
    </row>
    <row r="197" spans="1:26" ht="12.75" customHeight="1" x14ac:dyDescent="0.2">
      <c r="A197" s="8">
        <v>2002</v>
      </c>
      <c r="B197" s="73">
        <v>133.22674418604652</v>
      </c>
      <c r="C197" s="195">
        <v>11.793088712651535</v>
      </c>
      <c r="D197" s="195"/>
      <c r="E197" s="45">
        <v>2003</v>
      </c>
      <c r="F197" s="73">
        <v>152.4</v>
      </c>
      <c r="G197" s="73">
        <v>14.99333185119305</v>
      </c>
      <c r="H197" s="73"/>
      <c r="I197" s="8">
        <v>2002</v>
      </c>
      <c r="J197" s="73">
        <v>129.39361702127658</v>
      </c>
      <c r="K197" s="195">
        <v>10.122070089932869</v>
      </c>
      <c r="L197" s="195"/>
      <c r="M197" s="8">
        <v>2003</v>
      </c>
      <c r="N197" s="73">
        <v>133.42857142857142</v>
      </c>
      <c r="O197" s="195">
        <v>7.6128867032186918</v>
      </c>
      <c r="Y197" s="8"/>
      <c r="Z197" s="111"/>
    </row>
    <row r="198" spans="1:26" ht="12.75" customHeight="1" x14ac:dyDescent="0.2">
      <c r="A198" s="8">
        <v>2003</v>
      </c>
      <c r="B198" s="73">
        <v>129.55072463768116</v>
      </c>
      <c r="C198" s="195">
        <v>10.864860021680336</v>
      </c>
      <c r="D198" s="195"/>
      <c r="E198" s="45">
        <v>2004</v>
      </c>
      <c r="F198" s="73">
        <v>150.21</v>
      </c>
      <c r="G198" s="73"/>
      <c r="H198" s="230"/>
      <c r="I198" s="8">
        <v>2003</v>
      </c>
      <c r="J198" s="73">
        <v>128.56363636363636</v>
      </c>
      <c r="K198" s="195">
        <v>11.393246271632185</v>
      </c>
      <c r="L198" s="195"/>
      <c r="M198" s="8">
        <v>2004</v>
      </c>
      <c r="N198" s="73">
        <v>133.96882352941176</v>
      </c>
      <c r="O198" s="195">
        <v>10.074988565166477</v>
      </c>
      <c r="Y198" s="8"/>
      <c r="Z198" s="111"/>
    </row>
    <row r="199" spans="1:26" ht="12.75" customHeight="1" x14ac:dyDescent="0.2">
      <c r="A199" s="8">
        <v>2004</v>
      </c>
      <c r="B199" s="73">
        <v>132.7248888888889</v>
      </c>
      <c r="C199" s="195">
        <v>10.015359467758236</v>
      </c>
      <c r="D199" s="195"/>
      <c r="E199" s="45">
        <v>2005</v>
      </c>
      <c r="F199" s="73">
        <v>141.81666666666666</v>
      </c>
      <c r="G199" s="73">
        <v>15.692279418023796</v>
      </c>
      <c r="H199" s="73"/>
      <c r="I199" s="8">
        <v>2004</v>
      </c>
      <c r="J199" s="73">
        <v>131.01942857142859</v>
      </c>
      <c r="K199" s="195">
        <v>10.12327369244262</v>
      </c>
      <c r="L199" s="195"/>
      <c r="M199" s="8">
        <v>2005</v>
      </c>
      <c r="N199" s="73">
        <v>136.23307692307685</v>
      </c>
      <c r="O199" s="195">
        <v>10.427562623145228</v>
      </c>
      <c r="Y199" s="8"/>
      <c r="Z199" s="111"/>
    </row>
    <row r="200" spans="1:26" ht="12.75" customHeight="1" x14ac:dyDescent="0.2">
      <c r="A200" s="8">
        <v>2005</v>
      </c>
      <c r="B200" s="73">
        <v>134.70522222222215</v>
      </c>
      <c r="C200" s="195">
        <v>12.071708519479582</v>
      </c>
      <c r="D200" s="195"/>
      <c r="E200" s="45">
        <v>2006</v>
      </c>
      <c r="F200" s="73">
        <v>152.08000000000001</v>
      </c>
      <c r="G200" s="73"/>
      <c r="H200" s="230"/>
      <c r="I200" s="8">
        <v>2005</v>
      </c>
      <c r="J200" s="73">
        <v>133.23199999999997</v>
      </c>
      <c r="K200" s="195">
        <v>13.25176101505004</v>
      </c>
      <c r="L200" s="195"/>
      <c r="M200" s="8">
        <v>2006</v>
      </c>
      <c r="N200" s="73">
        <v>136.76764705882351</v>
      </c>
      <c r="O200" s="195">
        <v>9.515485753110406</v>
      </c>
      <c r="Y200" s="8"/>
      <c r="Z200" s="111"/>
    </row>
    <row r="201" spans="1:26" ht="12.75" customHeight="1" x14ac:dyDescent="0.2">
      <c r="A201" s="8">
        <v>2006</v>
      </c>
      <c r="B201" s="73">
        <v>134.44599999999997</v>
      </c>
      <c r="C201" s="195">
        <v>10.624859330338152</v>
      </c>
      <c r="D201" s="195"/>
      <c r="E201" s="45">
        <v>2007</v>
      </c>
      <c r="F201" s="73">
        <v>154.88</v>
      </c>
      <c r="G201" s="73"/>
      <c r="H201" s="230"/>
      <c r="I201" s="8">
        <v>2006</v>
      </c>
      <c r="J201" s="73">
        <v>127.82</v>
      </c>
      <c r="K201" s="195"/>
      <c r="L201" s="195"/>
      <c r="M201" s="8">
        <v>2007</v>
      </c>
      <c r="N201" s="73">
        <v>136.33338028169015</v>
      </c>
      <c r="O201" s="195">
        <v>11.677727267099042</v>
      </c>
      <c r="Y201" s="8"/>
      <c r="Z201" s="111"/>
    </row>
    <row r="202" spans="1:26" ht="12.75" customHeight="1" x14ac:dyDescent="0.2">
      <c r="A202" s="8">
        <v>2007</v>
      </c>
      <c r="B202" s="73">
        <v>134.37576576576581</v>
      </c>
      <c r="C202" s="195">
        <v>11.92275940830276</v>
      </c>
      <c r="D202" s="195"/>
      <c r="E202" s="45">
        <v>2010</v>
      </c>
      <c r="F202" s="73">
        <v>165.76</v>
      </c>
      <c r="G202" s="73">
        <v>6.0709389718559992</v>
      </c>
      <c r="H202" s="73"/>
      <c r="I202" s="8">
        <v>2007</v>
      </c>
      <c r="J202" s="73">
        <v>131.55416666666667</v>
      </c>
      <c r="K202" s="195">
        <v>11.628877202894524</v>
      </c>
      <c r="L202" s="195"/>
      <c r="M202" s="8">
        <v>2008</v>
      </c>
      <c r="N202" s="73">
        <v>140.60030303030308</v>
      </c>
      <c r="O202" s="195">
        <v>9.0527970418154773</v>
      </c>
      <c r="Y202" s="8"/>
      <c r="Z202" s="111"/>
    </row>
    <row r="203" spans="1:26" ht="12.75" customHeight="1" x14ac:dyDescent="0.2">
      <c r="A203" s="8">
        <v>2008</v>
      </c>
      <c r="B203" s="73">
        <v>138.47600000000003</v>
      </c>
      <c r="C203" s="195">
        <v>9.5477493875440089</v>
      </c>
      <c r="D203" s="195"/>
      <c r="E203" s="45">
        <v>2011</v>
      </c>
      <c r="F203" s="73">
        <v>136.84074074074073</v>
      </c>
      <c r="G203" s="73">
        <v>8.7408765296806763</v>
      </c>
      <c r="H203" s="73"/>
      <c r="I203" s="8">
        <v>2008</v>
      </c>
      <c r="J203" s="73">
        <v>134.35235294117646</v>
      </c>
      <c r="K203" s="195">
        <v>9.3752410165097668</v>
      </c>
      <c r="L203" s="195"/>
      <c r="M203" s="8">
        <v>2009</v>
      </c>
      <c r="N203" s="73">
        <v>144.38166666666669</v>
      </c>
      <c r="O203" s="195">
        <v>11.174657068834852</v>
      </c>
      <c r="Y203" s="8"/>
      <c r="Z203" s="111"/>
    </row>
    <row r="204" spans="1:26" ht="12.75" customHeight="1" x14ac:dyDescent="0.2">
      <c r="A204" s="8">
        <v>2009</v>
      </c>
      <c r="B204" s="73">
        <v>148.78162790697669</v>
      </c>
      <c r="C204" s="195">
        <v>12.234733525078463</v>
      </c>
      <c r="D204" s="195"/>
      <c r="E204" s="45">
        <v>2012</v>
      </c>
      <c r="F204" s="73">
        <v>165.14</v>
      </c>
      <c r="G204" s="73"/>
      <c r="H204" s="73"/>
      <c r="I204" s="8">
        <v>2009</v>
      </c>
      <c r="J204" s="73">
        <v>150.4848387096774</v>
      </c>
      <c r="K204" s="195">
        <v>12.370769814625589</v>
      </c>
      <c r="L204" s="195"/>
      <c r="M204" s="8">
        <v>2010</v>
      </c>
      <c r="N204" s="73">
        <v>153.94499999999999</v>
      </c>
      <c r="O204" s="195">
        <v>2.6375082938258148</v>
      </c>
      <c r="Y204" s="8"/>
      <c r="Z204" s="111"/>
    </row>
    <row r="205" spans="1:26" ht="12.75" customHeight="1" x14ac:dyDescent="0.2">
      <c r="A205" s="8">
        <v>2010</v>
      </c>
      <c r="B205" s="73">
        <v>146.77526315789473</v>
      </c>
      <c r="C205" s="195">
        <v>7.2677631958770537</v>
      </c>
      <c r="D205" s="195"/>
      <c r="E205" s="45">
        <v>2013</v>
      </c>
      <c r="F205" s="73">
        <v>141.82</v>
      </c>
      <c r="G205" s="73"/>
      <c r="H205" s="73"/>
      <c r="I205" s="8">
        <v>2010</v>
      </c>
      <c r="J205" s="73">
        <v>145.93176470588233</v>
      </c>
      <c r="K205" s="195">
        <v>7.1976769128084985</v>
      </c>
      <c r="L205" s="195"/>
      <c r="M205" s="8">
        <v>2011</v>
      </c>
      <c r="N205" s="73">
        <v>136.95791666666665</v>
      </c>
      <c r="O205" s="195">
        <v>10.363741132121316</v>
      </c>
      <c r="Y205" s="8"/>
      <c r="Z205" s="111"/>
    </row>
    <row r="206" spans="1:26" ht="12.75" customHeight="1" x14ac:dyDescent="0.2">
      <c r="A206" s="8">
        <v>2011</v>
      </c>
      <c r="B206" s="73">
        <v>131.6373214285714</v>
      </c>
      <c r="C206" s="195">
        <v>12.545366474022687</v>
      </c>
      <c r="D206" s="195"/>
      <c r="E206" s="104">
        <v>2016</v>
      </c>
      <c r="F206" s="234">
        <v>134</v>
      </c>
      <c r="G206" s="73"/>
      <c r="H206" s="73"/>
      <c r="I206" s="8">
        <v>2011</v>
      </c>
      <c r="J206" s="73">
        <v>126.63137931034485</v>
      </c>
      <c r="K206" s="195">
        <v>11.277878069204437</v>
      </c>
      <c r="L206" s="195"/>
      <c r="M206" s="8">
        <v>2012</v>
      </c>
      <c r="N206" s="73">
        <v>147.70128205128208</v>
      </c>
      <c r="O206" s="195">
        <v>12.374515658674262</v>
      </c>
      <c r="Y206" s="8"/>
      <c r="Z206" s="111"/>
    </row>
    <row r="207" spans="1:26" ht="12.75" customHeight="1" x14ac:dyDescent="0.2">
      <c r="A207" s="8">
        <v>2012</v>
      </c>
      <c r="B207" s="73">
        <v>143.83632911392408</v>
      </c>
      <c r="C207" s="195">
        <v>13.152096369626262</v>
      </c>
      <c r="D207" s="195"/>
      <c r="E207" s="235">
        <v>2017</v>
      </c>
      <c r="F207" s="55">
        <v>142.5</v>
      </c>
      <c r="G207" s="73"/>
      <c r="H207" s="73"/>
      <c r="I207" s="8">
        <v>2012</v>
      </c>
      <c r="J207" s="73">
        <v>141.6</v>
      </c>
      <c r="K207" s="195">
        <v>11.450623533692164</v>
      </c>
      <c r="L207" s="195"/>
      <c r="M207" s="8">
        <v>2013</v>
      </c>
      <c r="N207" s="73">
        <v>144.35849999999999</v>
      </c>
      <c r="O207" s="195">
        <v>14.706974893322569</v>
      </c>
      <c r="Y207" s="8"/>
      <c r="Z207" s="111"/>
    </row>
    <row r="208" spans="1:26" ht="12.75" customHeight="1" x14ac:dyDescent="0.2">
      <c r="A208" s="8">
        <v>2013</v>
      </c>
      <c r="B208" s="73">
        <v>142.97354166666665</v>
      </c>
      <c r="C208" s="195">
        <v>14.541484674936939</v>
      </c>
      <c r="D208" s="195"/>
      <c r="H208" s="230"/>
      <c r="I208" s="8">
        <v>2013</v>
      </c>
      <c r="J208" s="121">
        <v>136.04874999999998</v>
      </c>
      <c r="K208" s="195">
        <v>12.203739985875526</v>
      </c>
      <c r="L208" s="195"/>
      <c r="M208" s="115">
        <v>2014</v>
      </c>
      <c r="N208" s="269">
        <v>138.33000000000001</v>
      </c>
      <c r="O208" s="269">
        <v>17.920000000000002</v>
      </c>
      <c r="P208" s="318"/>
      <c r="Y208" s="8"/>
      <c r="Z208" s="111"/>
    </row>
    <row r="209" spans="1:26" ht="12.75" customHeight="1" x14ac:dyDescent="0.2">
      <c r="A209" s="115">
        <v>2014</v>
      </c>
      <c r="B209" s="116">
        <v>137.51</v>
      </c>
      <c r="C209" s="269">
        <v>17.53</v>
      </c>
      <c r="D209" s="195"/>
      <c r="H209" s="230"/>
      <c r="I209" s="115">
        <v>2014</v>
      </c>
      <c r="J209" s="268">
        <v>125.89</v>
      </c>
      <c r="K209" s="269">
        <v>4.91</v>
      </c>
      <c r="L209" s="318"/>
      <c r="M209" s="55">
        <v>2016</v>
      </c>
      <c r="N209" s="195">
        <v>141.88</v>
      </c>
      <c r="O209" s="195">
        <v>8.0224867789013565</v>
      </c>
      <c r="P209" s="319"/>
      <c r="Y209" s="104"/>
      <c r="Z209" s="121"/>
    </row>
    <row r="210" spans="1:26" ht="12.75" customHeight="1" x14ac:dyDescent="0.2">
      <c r="A210" s="104">
        <v>2016</v>
      </c>
      <c r="B210">
        <v>140.47999999999999</v>
      </c>
      <c r="C210" s="195">
        <v>9.1739797668135683</v>
      </c>
      <c r="D210" s="195"/>
      <c r="H210" s="230"/>
      <c r="I210" s="55">
        <v>2016</v>
      </c>
      <c r="J210" s="195">
        <v>134.5</v>
      </c>
      <c r="K210" s="195">
        <v>12.609520212918492</v>
      </c>
      <c r="L210" s="318"/>
      <c r="M210" s="104">
        <v>2017</v>
      </c>
      <c r="N210" s="195">
        <v>126.59</v>
      </c>
      <c r="O210" s="195">
        <v>8.2599599742075185</v>
      </c>
      <c r="P210" s="319"/>
    </row>
    <row r="211" spans="1:26" s="230" customFormat="1" ht="12.75" customHeight="1" x14ac:dyDescent="0.2">
      <c r="A211" s="104">
        <v>2017</v>
      </c>
      <c r="B211">
        <v>127.96</v>
      </c>
      <c r="C211" s="195">
        <v>13.146557502860242</v>
      </c>
      <c r="D211" s="195"/>
      <c r="I211" s="104">
        <v>2017</v>
      </c>
      <c r="J211" s="195">
        <v>122.76</v>
      </c>
      <c r="K211" s="195">
        <v>13.063204351344487</v>
      </c>
      <c r="L211" s="318"/>
      <c r="P211" s="195"/>
      <c r="Q211"/>
    </row>
    <row r="212" spans="1:26" ht="12.75" customHeight="1" x14ac:dyDescent="0.2">
      <c r="D212" s="195"/>
      <c r="H212" s="230"/>
      <c r="L212" s="195"/>
      <c r="P212" s="230"/>
      <c r="Q212" s="230"/>
      <c r="R212" s="230"/>
    </row>
    <row r="213" spans="1:26" ht="12.75" customHeight="1" x14ac:dyDescent="0.2">
      <c r="B213" s="268" t="s">
        <v>530</v>
      </c>
      <c r="D213" s="230"/>
      <c r="H213" s="230"/>
      <c r="I213" s="230"/>
      <c r="J213" s="268" t="s">
        <v>530</v>
      </c>
      <c r="L213" s="230"/>
      <c r="N213" s="268" t="s">
        <v>530</v>
      </c>
      <c r="Y213" s="115"/>
      <c r="Z213" s="111"/>
    </row>
    <row r="214" spans="1:26" ht="12.75" customHeight="1" x14ac:dyDescent="0.2">
      <c r="B214" s="123" t="s">
        <v>320</v>
      </c>
      <c r="C214" s="112"/>
      <c r="D214" s="123"/>
      <c r="E214" s="112"/>
      <c r="F214" s="123" t="s">
        <v>320</v>
      </c>
      <c r="J214" s="104" t="s">
        <v>320</v>
      </c>
      <c r="L214" s="230"/>
      <c r="N214" s="55" t="s">
        <v>320</v>
      </c>
      <c r="Y214" s="55"/>
      <c r="Z214" s="111"/>
    </row>
    <row r="215" spans="1:26" ht="12.75" customHeight="1" x14ac:dyDescent="0.2">
      <c r="B215" s="124"/>
      <c r="C215" s="112"/>
      <c r="D215" s="123"/>
      <c r="E215" s="112"/>
      <c r="F215" s="124"/>
      <c r="J215" s="124"/>
      <c r="L215" s="230"/>
      <c r="N215" s="124"/>
    </row>
    <row r="216" spans="1:26" ht="12.75" customHeight="1" x14ac:dyDescent="0.2">
      <c r="A216" s="168"/>
      <c r="B216" s="169"/>
      <c r="C216" s="127"/>
      <c r="D216" s="127"/>
    </row>
    <row r="217" spans="1:26" ht="12.75" customHeight="1" x14ac:dyDescent="0.2">
      <c r="A217" s="45"/>
      <c r="B217" s="124"/>
      <c r="C217" s="124"/>
      <c r="D217" s="124"/>
      <c r="E217" s="112"/>
      <c r="F217" s="112"/>
      <c r="I217" s="112"/>
      <c r="L217" s="112"/>
    </row>
    <row r="218" spans="1:26" ht="12.75" customHeight="1" x14ac:dyDescent="0.2">
      <c r="A218" s="45"/>
      <c r="B218" s="45"/>
      <c r="C218" s="45"/>
      <c r="D218" s="45"/>
      <c r="E218" s="45"/>
      <c r="F218" s="45"/>
      <c r="G218" s="45"/>
      <c r="H218" s="45"/>
      <c r="I218" s="45"/>
      <c r="J218" s="45"/>
    </row>
    <row r="219" spans="1:26" ht="12.75" customHeight="1" x14ac:dyDescent="0.2">
      <c r="B219" s="104" t="s">
        <v>321</v>
      </c>
      <c r="C219" s="170" t="s">
        <v>283</v>
      </c>
      <c r="E219" s="55" t="s">
        <v>322</v>
      </c>
      <c r="F219" s="170" t="s">
        <v>283</v>
      </c>
      <c r="H219" s="55" t="s">
        <v>323</v>
      </c>
      <c r="I219" s="170" t="s">
        <v>283</v>
      </c>
      <c r="K219" s="55" t="s">
        <v>324</v>
      </c>
      <c r="L219" s="170" t="s">
        <v>283</v>
      </c>
    </row>
    <row r="220" spans="1:26" ht="12.75" customHeight="1" x14ac:dyDescent="0.2">
      <c r="B220" s="171" t="s">
        <v>1</v>
      </c>
      <c r="C220" s="170" t="s">
        <v>300</v>
      </c>
      <c r="D220" s="258" t="s">
        <v>511</v>
      </c>
      <c r="E220" s="171" t="s">
        <v>1</v>
      </c>
      <c r="F220" s="105" t="s">
        <v>301</v>
      </c>
      <c r="G220" s="233" t="s">
        <v>512</v>
      </c>
      <c r="H220" s="171" t="s">
        <v>1</v>
      </c>
      <c r="I220" s="105" t="s">
        <v>264</v>
      </c>
      <c r="J220" s="236" t="s">
        <v>520</v>
      </c>
      <c r="K220" s="171" t="s">
        <v>1</v>
      </c>
      <c r="L220" s="105" t="s">
        <v>264</v>
      </c>
      <c r="M220" s="236" t="s">
        <v>521</v>
      </c>
    </row>
    <row r="221" spans="1:26" ht="12.75" customHeight="1" x14ac:dyDescent="0.2">
      <c r="B221" s="8">
        <v>1990</v>
      </c>
      <c r="C221" s="108">
        <v>12.28</v>
      </c>
      <c r="D221" s="110">
        <v>3.0008822232215353</v>
      </c>
      <c r="E221" s="8">
        <v>1990</v>
      </c>
      <c r="F221" s="110">
        <v>14.03</v>
      </c>
      <c r="G221" s="45">
        <v>3.9068316233660902</v>
      </c>
      <c r="H221" s="8">
        <v>1990</v>
      </c>
      <c r="I221" s="55">
        <v>9</v>
      </c>
      <c r="K221" s="8">
        <v>1991</v>
      </c>
      <c r="L221" s="118">
        <v>15.078571428571431</v>
      </c>
      <c r="M221">
        <v>3.3247738087155385</v>
      </c>
    </row>
    <row r="222" spans="1:26" ht="12.75" customHeight="1" x14ac:dyDescent="0.2">
      <c r="B222" s="8">
        <v>1991</v>
      </c>
      <c r="C222" s="77">
        <v>18.260000000000002</v>
      </c>
      <c r="D222" s="73">
        <v>4.7394627461883374</v>
      </c>
      <c r="E222" s="8">
        <v>1992</v>
      </c>
      <c r="F222" s="110">
        <v>21.13</v>
      </c>
      <c r="G222" s="45">
        <v>2.9649058444858869</v>
      </c>
      <c r="H222" s="8">
        <v>1991</v>
      </c>
      <c r="I222" s="118">
        <v>21.684615384615384</v>
      </c>
      <c r="J222">
        <v>3.4899489379851558</v>
      </c>
      <c r="K222" s="8">
        <v>1992</v>
      </c>
      <c r="L222" s="118">
        <v>10.5625</v>
      </c>
      <c r="M222">
        <v>2.6912225050018765</v>
      </c>
    </row>
    <row r="223" spans="1:26" ht="12.75" customHeight="1" x14ac:dyDescent="0.2">
      <c r="B223" s="8">
        <v>1992</v>
      </c>
      <c r="C223" s="77">
        <v>14.03</v>
      </c>
      <c r="D223" s="110">
        <v>3.7965684557024426</v>
      </c>
      <c r="E223" s="8">
        <v>1993</v>
      </c>
      <c r="F223" s="110">
        <v>21.46</v>
      </c>
      <c r="G223" s="45">
        <v>3.0590485085689236</v>
      </c>
      <c r="H223" s="8">
        <v>1992</v>
      </c>
      <c r="I223" s="118">
        <v>14.313541666666671</v>
      </c>
      <c r="J223">
        <v>3.7417029557103807</v>
      </c>
      <c r="K223" s="8">
        <v>1993</v>
      </c>
      <c r="L223" s="118">
        <v>12.68</v>
      </c>
      <c r="M223">
        <v>3.9046411131142653</v>
      </c>
    </row>
    <row r="224" spans="1:26" ht="12.75" customHeight="1" x14ac:dyDescent="0.2">
      <c r="B224" s="8">
        <v>1993</v>
      </c>
      <c r="C224" s="77">
        <v>15.18</v>
      </c>
      <c r="D224" s="110">
        <v>3.070153860907388</v>
      </c>
      <c r="E224" s="8">
        <v>1994</v>
      </c>
      <c r="F224" s="110">
        <v>20.75</v>
      </c>
      <c r="G224" s="45">
        <v>4.0218155104380413</v>
      </c>
      <c r="H224" s="8">
        <v>1993</v>
      </c>
      <c r="I224" s="118">
        <v>15.465909090909092</v>
      </c>
      <c r="J224">
        <v>2.8514923039448457</v>
      </c>
      <c r="K224" s="8">
        <v>1994</v>
      </c>
      <c r="L224" s="73">
        <v>11.574999999999999</v>
      </c>
      <c r="M224">
        <v>3.5884072604244217</v>
      </c>
    </row>
    <row r="225" spans="2:13" ht="12.75" customHeight="1" x14ac:dyDescent="0.2">
      <c r="B225" s="8">
        <v>1994</v>
      </c>
      <c r="C225" s="77">
        <v>12.43</v>
      </c>
      <c r="D225" s="110">
        <v>3.9009372291758035</v>
      </c>
      <c r="E225" s="8">
        <v>1995</v>
      </c>
      <c r="F225" s="110">
        <v>17.87</v>
      </c>
      <c r="G225" s="45">
        <v>2.9021256577435315</v>
      </c>
      <c r="H225" s="8">
        <v>1994</v>
      </c>
      <c r="I225" s="73">
        <v>13.836363636363638</v>
      </c>
      <c r="J225">
        <v>3.7335729669536426</v>
      </c>
      <c r="K225" s="8">
        <v>1995</v>
      </c>
      <c r="L225" s="73">
        <v>11.446153846153845</v>
      </c>
      <c r="M225">
        <v>2.8494488895853189</v>
      </c>
    </row>
    <row r="226" spans="2:13" ht="12.75" customHeight="1" x14ac:dyDescent="0.2">
      <c r="B226" s="8">
        <v>1995</v>
      </c>
      <c r="C226" s="77">
        <v>12.54</v>
      </c>
      <c r="D226" s="110">
        <v>3.0628591202964408</v>
      </c>
      <c r="E226" s="8">
        <v>1996</v>
      </c>
      <c r="F226" s="110">
        <v>21</v>
      </c>
      <c r="G226" s="45"/>
      <c r="H226" s="8">
        <v>1995</v>
      </c>
      <c r="I226" s="73">
        <v>12.897959183673478</v>
      </c>
      <c r="J226">
        <v>3.0636640506043933</v>
      </c>
      <c r="K226" s="8">
        <v>1996</v>
      </c>
      <c r="L226" s="118">
        <v>12.233333333333333</v>
      </c>
      <c r="M226">
        <v>2.3611437906235198</v>
      </c>
    </row>
    <row r="227" spans="2:13" ht="12.75" customHeight="1" x14ac:dyDescent="0.2">
      <c r="B227" s="8">
        <v>1996</v>
      </c>
      <c r="C227" s="77">
        <v>12.64</v>
      </c>
      <c r="D227" s="73">
        <v>2.8448153350929739</v>
      </c>
      <c r="E227" s="8">
        <v>1997</v>
      </c>
      <c r="F227" s="110">
        <v>18.64</v>
      </c>
      <c r="G227" s="45">
        <v>4.875062437162601</v>
      </c>
      <c r="H227" s="8">
        <v>1996</v>
      </c>
      <c r="I227" s="118">
        <v>18.666666666666668</v>
      </c>
      <c r="J227">
        <v>3.0550504633038997</v>
      </c>
      <c r="K227" s="8">
        <v>1997</v>
      </c>
      <c r="L227" s="118">
        <v>9.63170731707317</v>
      </c>
      <c r="M227">
        <v>2.5785111037564166</v>
      </c>
    </row>
    <row r="228" spans="2:13" ht="12.75" customHeight="1" x14ac:dyDescent="0.2">
      <c r="B228" s="8">
        <v>1997</v>
      </c>
      <c r="C228" s="77">
        <v>12.28</v>
      </c>
      <c r="D228" s="110">
        <v>3.9459657944802395</v>
      </c>
      <c r="E228" s="8">
        <v>1998</v>
      </c>
      <c r="F228" s="110">
        <v>13.9</v>
      </c>
      <c r="G228" s="45">
        <v>3.732291521304298</v>
      </c>
      <c r="H228" s="8">
        <v>1997</v>
      </c>
      <c r="I228" s="118">
        <v>12.969473684210525</v>
      </c>
      <c r="J228">
        <v>3.905187804065017</v>
      </c>
      <c r="K228" s="8">
        <v>1998</v>
      </c>
      <c r="L228" s="118">
        <v>12.559375000000001</v>
      </c>
      <c r="M228">
        <v>3.355386557702841</v>
      </c>
    </row>
    <row r="229" spans="2:13" ht="12.75" customHeight="1" x14ac:dyDescent="0.2">
      <c r="B229" s="8">
        <v>1998</v>
      </c>
      <c r="C229" s="77">
        <v>11.72</v>
      </c>
      <c r="D229" s="110">
        <v>3.1833341266062805</v>
      </c>
      <c r="E229" s="8">
        <v>2000</v>
      </c>
      <c r="F229" s="110">
        <v>18.5</v>
      </c>
      <c r="G229" s="45">
        <v>2.1213203435596424</v>
      </c>
      <c r="H229" s="8">
        <v>1998</v>
      </c>
      <c r="I229" s="118">
        <v>11.607142857142858</v>
      </c>
      <c r="J229">
        <v>2.0730743746034213</v>
      </c>
      <c r="K229" s="8">
        <v>1999</v>
      </c>
      <c r="L229" s="118">
        <v>13.108108108108109</v>
      </c>
      <c r="M229">
        <v>3.7400518696921821</v>
      </c>
    </row>
    <row r="230" spans="2:13" ht="12.75" customHeight="1" x14ac:dyDescent="0.2">
      <c r="B230" s="8">
        <v>1999</v>
      </c>
      <c r="C230" s="77">
        <v>13.23</v>
      </c>
      <c r="D230" s="110">
        <v>3.7697962327377379</v>
      </c>
      <c r="E230" s="8">
        <v>2001</v>
      </c>
      <c r="F230" s="110">
        <v>19.5</v>
      </c>
      <c r="G230" s="45"/>
      <c r="H230" s="8">
        <v>1999</v>
      </c>
      <c r="I230" s="118">
        <v>14.25</v>
      </c>
      <c r="J230">
        <v>4.1138919702463195</v>
      </c>
      <c r="K230" s="8">
        <v>2000</v>
      </c>
      <c r="L230" s="118">
        <v>13.07894736842105</v>
      </c>
      <c r="M230">
        <v>3.5764532072794908</v>
      </c>
    </row>
    <row r="231" spans="2:13" ht="12.75" customHeight="1" x14ac:dyDescent="0.2">
      <c r="B231" s="8">
        <v>2000</v>
      </c>
      <c r="C231" s="77">
        <v>12.96</v>
      </c>
      <c r="D231" s="110">
        <v>3.6231006961066901</v>
      </c>
      <c r="E231" s="8">
        <v>2002</v>
      </c>
      <c r="F231" s="110">
        <v>17.940000000000001</v>
      </c>
      <c r="G231" s="45">
        <v>4.109548984638443</v>
      </c>
      <c r="H231" s="8">
        <v>2000</v>
      </c>
      <c r="I231" s="118">
        <v>15.333333333333334</v>
      </c>
      <c r="J231">
        <v>3.6855573979159941</v>
      </c>
      <c r="K231" s="8">
        <v>2001</v>
      </c>
      <c r="L231" s="118">
        <v>12.385714285714286</v>
      </c>
      <c r="M231">
        <v>3.3200439020270789</v>
      </c>
    </row>
    <row r="232" spans="2:13" ht="12.75" customHeight="1" x14ac:dyDescent="0.2">
      <c r="B232" s="8">
        <v>2001</v>
      </c>
      <c r="C232" s="77">
        <v>12.73</v>
      </c>
      <c r="D232" s="73">
        <v>3.3480455864375478</v>
      </c>
      <c r="E232" s="8">
        <v>2003</v>
      </c>
      <c r="F232" s="110">
        <v>19.36</v>
      </c>
      <c r="G232" s="45">
        <v>3.5809216690679002</v>
      </c>
      <c r="H232" s="8">
        <v>2001</v>
      </c>
      <c r="I232" s="118">
        <v>14.129411764705882</v>
      </c>
      <c r="J232">
        <v>3.1805590518575424</v>
      </c>
      <c r="K232" s="8">
        <v>2002</v>
      </c>
      <c r="L232" s="118">
        <v>12.16</v>
      </c>
      <c r="M232">
        <v>3.5831437201037466</v>
      </c>
    </row>
    <row r="233" spans="2:13" ht="12.75" customHeight="1" x14ac:dyDescent="0.2">
      <c r="B233" s="8">
        <v>2002</v>
      </c>
      <c r="C233" s="77">
        <v>12.23</v>
      </c>
      <c r="D233" s="73">
        <v>3.5757838782903799</v>
      </c>
      <c r="E233" s="8">
        <v>2004</v>
      </c>
      <c r="F233" s="110">
        <v>24</v>
      </c>
      <c r="G233" s="45"/>
      <c r="H233" s="8">
        <v>2002</v>
      </c>
      <c r="I233" s="118">
        <v>12.625</v>
      </c>
      <c r="J233">
        <v>3.3973957643757049</v>
      </c>
      <c r="K233" s="8">
        <v>2003</v>
      </c>
      <c r="L233" s="118">
        <v>10.653846153846153</v>
      </c>
      <c r="M233">
        <v>2.1446116138730034</v>
      </c>
    </row>
    <row r="234" spans="2:13" ht="12.75" customHeight="1" x14ac:dyDescent="0.2">
      <c r="B234" s="8">
        <v>2003</v>
      </c>
      <c r="C234" s="77">
        <v>12.98</v>
      </c>
      <c r="D234" s="73">
        <v>3.2701549689016498</v>
      </c>
      <c r="E234" s="8">
        <v>2005</v>
      </c>
      <c r="F234" s="110">
        <v>12.97</v>
      </c>
      <c r="G234" s="45">
        <v>5.8054572027819953</v>
      </c>
      <c r="H234" s="8">
        <v>2003</v>
      </c>
      <c r="I234" s="118">
        <v>13.534545454545453</v>
      </c>
      <c r="J234">
        <v>3.2604372679828044</v>
      </c>
      <c r="K234" s="8">
        <v>2004</v>
      </c>
      <c r="L234" s="118">
        <v>12.558823529411766</v>
      </c>
      <c r="M234">
        <v>2.9062812300662206</v>
      </c>
    </row>
    <row r="235" spans="2:13" ht="12.75" customHeight="1" x14ac:dyDescent="0.2">
      <c r="B235" s="8">
        <v>2004</v>
      </c>
      <c r="C235" s="77">
        <v>12.28</v>
      </c>
      <c r="D235" s="110">
        <v>2.7522375416455112</v>
      </c>
      <c r="E235" s="8">
        <v>2006</v>
      </c>
      <c r="F235" s="110">
        <v>19.8</v>
      </c>
      <c r="G235" s="45"/>
      <c r="H235" s="8">
        <v>2004</v>
      </c>
      <c r="I235" s="118">
        <v>11.874285714285714</v>
      </c>
      <c r="J235">
        <v>2.636769732428061</v>
      </c>
      <c r="K235" s="8">
        <v>2005</v>
      </c>
      <c r="L235" s="118">
        <v>10.279032258064515</v>
      </c>
      <c r="M235">
        <v>2.8250714249943147</v>
      </c>
    </row>
    <row r="236" spans="2:13" ht="12.75" customHeight="1" x14ac:dyDescent="0.2">
      <c r="B236" s="8">
        <v>2005</v>
      </c>
      <c r="C236" s="77">
        <v>9.98</v>
      </c>
      <c r="D236" s="110">
        <v>2.7990432550327848</v>
      </c>
      <c r="E236" s="8">
        <v>2007</v>
      </c>
      <c r="F236" s="110">
        <v>21.5</v>
      </c>
      <c r="G236" s="45"/>
      <c r="H236" s="8">
        <v>2005</v>
      </c>
      <c r="I236" s="118">
        <v>10.64</v>
      </c>
      <c r="J236">
        <v>3.169858040985432</v>
      </c>
      <c r="K236" s="8">
        <v>2006</v>
      </c>
      <c r="L236" s="118">
        <v>9.447058823529412</v>
      </c>
      <c r="M236">
        <v>2.4362157250177057</v>
      </c>
    </row>
    <row r="237" spans="2:13" ht="12.75" customHeight="1" x14ac:dyDescent="0.2">
      <c r="B237" s="8">
        <v>2006</v>
      </c>
      <c r="C237" s="77">
        <v>9.17</v>
      </c>
      <c r="D237" s="110">
        <v>2.5536918579310131</v>
      </c>
      <c r="E237" s="8">
        <v>2010</v>
      </c>
      <c r="F237" s="110">
        <v>22.5</v>
      </c>
      <c r="G237" s="45">
        <v>1.7320508075688772</v>
      </c>
      <c r="H237" s="8">
        <v>2006</v>
      </c>
      <c r="I237" s="118">
        <v>11.2</v>
      </c>
      <c r="K237" s="8">
        <v>2007</v>
      </c>
      <c r="L237" s="118">
        <v>12.382142857142858</v>
      </c>
      <c r="M237">
        <v>3.306307495478658</v>
      </c>
    </row>
    <row r="238" spans="2:13" ht="12.75" customHeight="1" x14ac:dyDescent="0.2">
      <c r="B238" s="8">
        <v>2007</v>
      </c>
      <c r="C238" s="77">
        <v>12.76</v>
      </c>
      <c r="D238" s="73">
        <v>3.3669312779134577</v>
      </c>
      <c r="E238" s="8">
        <v>2011</v>
      </c>
      <c r="F238" s="110">
        <v>12.99</v>
      </c>
      <c r="G238" s="45">
        <v>4.5756275871285723</v>
      </c>
      <c r="H238" s="8">
        <v>2007</v>
      </c>
      <c r="I238" s="118">
        <v>13.430555555555552</v>
      </c>
      <c r="J238">
        <v>3.2686886356496956</v>
      </c>
      <c r="K238" s="8">
        <v>2008</v>
      </c>
      <c r="L238" s="118">
        <v>12.742424242424242</v>
      </c>
      <c r="M238">
        <v>3.1477204353935146</v>
      </c>
    </row>
    <row r="239" spans="2:13" ht="12.75" customHeight="1" x14ac:dyDescent="0.2">
      <c r="B239" s="8">
        <v>2008</v>
      </c>
      <c r="C239" s="77">
        <v>13.33</v>
      </c>
      <c r="D239" s="73">
        <v>3.7505555144093892</v>
      </c>
      <c r="E239" s="8">
        <v>2012</v>
      </c>
      <c r="F239" s="110">
        <v>19.2</v>
      </c>
      <c r="G239" s="45"/>
      <c r="H239" s="8">
        <v>2008</v>
      </c>
      <c r="I239" s="118">
        <v>14.416666666666666</v>
      </c>
      <c r="J239">
        <v>4.5608629214475735</v>
      </c>
      <c r="K239" s="8">
        <v>2009</v>
      </c>
      <c r="L239" s="118">
        <v>9.9272727272727277</v>
      </c>
      <c r="M239">
        <v>2.3807943670510063</v>
      </c>
    </row>
    <row r="240" spans="2:13" ht="12.75" customHeight="1" x14ac:dyDescent="0.2">
      <c r="B240" s="8">
        <v>2009</v>
      </c>
      <c r="C240" s="77">
        <v>12.79</v>
      </c>
      <c r="D240" s="110">
        <v>3.7349621561258588</v>
      </c>
      <c r="E240" s="8">
        <v>2013</v>
      </c>
      <c r="F240" s="110">
        <v>16</v>
      </c>
      <c r="G240" s="45"/>
      <c r="H240" s="8">
        <v>2009</v>
      </c>
      <c r="I240" s="118">
        <v>13.879310344827585</v>
      </c>
      <c r="J240">
        <v>3.5996407866762863</v>
      </c>
      <c r="K240" s="8">
        <v>2010</v>
      </c>
      <c r="L240" s="118">
        <v>10.5</v>
      </c>
      <c r="M240">
        <v>1.4142135623730951</v>
      </c>
    </row>
    <row r="241" spans="1:18" ht="12.75" customHeight="1" x14ac:dyDescent="0.2">
      <c r="B241" s="8">
        <v>2010</v>
      </c>
      <c r="C241" s="77">
        <v>12.49</v>
      </c>
      <c r="D241" s="73">
        <v>2.327020910045603</v>
      </c>
      <c r="E241" s="49">
        <v>2016</v>
      </c>
      <c r="F241" s="161">
        <v>12.5</v>
      </c>
      <c r="G241" s="45"/>
      <c r="H241" s="8">
        <v>2010</v>
      </c>
      <c r="I241" s="118">
        <v>12.705555555555556</v>
      </c>
      <c r="J241">
        <v>2.3279559886233541</v>
      </c>
      <c r="K241" s="8">
        <v>2011</v>
      </c>
      <c r="L241" s="118">
        <v>9.8279999999999994</v>
      </c>
      <c r="M241">
        <v>2.15494006103805</v>
      </c>
    </row>
    <row r="242" spans="1:18" ht="12.75" customHeight="1" x14ac:dyDescent="0.2">
      <c r="B242" s="8">
        <v>2011</v>
      </c>
      <c r="C242" s="77">
        <v>11.12</v>
      </c>
      <c r="D242" s="73">
        <v>3.1343311986635798</v>
      </c>
      <c r="E242" s="104">
        <v>2017</v>
      </c>
      <c r="F242">
        <v>18.7</v>
      </c>
      <c r="G242" s="45"/>
      <c r="H242" s="8">
        <v>2011</v>
      </c>
      <c r="I242" s="73">
        <v>12.006666666666666</v>
      </c>
      <c r="J242">
        <v>2.8301252967673203</v>
      </c>
      <c r="K242" s="8">
        <v>2012</v>
      </c>
      <c r="L242" s="73">
        <v>10.253846153846155</v>
      </c>
      <c r="M242">
        <v>3.013377730077917</v>
      </c>
    </row>
    <row r="243" spans="1:18" ht="12.75" customHeight="1" x14ac:dyDescent="0.2">
      <c r="B243" s="8">
        <v>2012</v>
      </c>
      <c r="C243" s="77">
        <v>10.210000000000001</v>
      </c>
      <c r="D243" s="110">
        <v>3.1720224955233904</v>
      </c>
      <c r="G243" s="45"/>
      <c r="H243" s="8">
        <v>2012</v>
      </c>
      <c r="I243" s="118">
        <v>11.016666666666669</v>
      </c>
      <c r="J243">
        <v>3.0348644613640552</v>
      </c>
      <c r="K243" s="8">
        <v>2013</v>
      </c>
      <c r="L243" s="118">
        <v>11.117500000000001</v>
      </c>
      <c r="M243">
        <v>3.0526900705224964</v>
      </c>
    </row>
    <row r="244" spans="1:18" ht="12.75" customHeight="1" x14ac:dyDescent="0.2">
      <c r="B244" s="8">
        <v>2013</v>
      </c>
      <c r="C244" s="77">
        <v>11.04</v>
      </c>
      <c r="D244" s="110">
        <v>3.0246566153983556</v>
      </c>
      <c r="G244" s="45"/>
      <c r="H244" s="49">
        <v>2013</v>
      </c>
      <c r="I244" s="118">
        <v>10.599999999999998</v>
      </c>
      <c r="J244">
        <v>3.0495901363953863</v>
      </c>
      <c r="K244" s="49">
        <v>2014</v>
      </c>
      <c r="L244" s="118">
        <v>10.849137931034482</v>
      </c>
      <c r="M244">
        <v>3.3517799850766661</v>
      </c>
    </row>
    <row r="245" spans="1:18" ht="12.75" customHeight="1" x14ac:dyDescent="0.2">
      <c r="B245" s="49">
        <v>2014</v>
      </c>
      <c r="C245" s="158">
        <v>10.88</v>
      </c>
      <c r="D245" s="119">
        <v>3.2666402158871417</v>
      </c>
      <c r="E245" s="49"/>
      <c r="F245" s="119"/>
      <c r="G245" s="45"/>
      <c r="H245" s="49">
        <v>2014</v>
      </c>
      <c r="I245" s="55">
        <v>11.3</v>
      </c>
      <c r="J245">
        <v>2.2527760652137596</v>
      </c>
      <c r="K245" s="49">
        <v>2016</v>
      </c>
      <c r="L245" s="55">
        <v>11.35</v>
      </c>
      <c r="M245" s="8">
        <v>2.4415972351769111</v>
      </c>
      <c r="N245" s="8"/>
      <c r="O245" s="8"/>
      <c r="P245" s="8"/>
    </row>
    <row r="246" spans="1:18" ht="12.75" customHeight="1" x14ac:dyDescent="0.2">
      <c r="B246" s="49">
        <v>2016</v>
      </c>
      <c r="C246" s="160">
        <v>11.24</v>
      </c>
      <c r="D246" s="119">
        <v>2.5080821737886088</v>
      </c>
      <c r="E246" s="49"/>
      <c r="F246" s="119"/>
      <c r="G246" s="45"/>
      <c r="H246" s="104">
        <v>2016</v>
      </c>
      <c r="I246">
        <v>10.75</v>
      </c>
      <c r="J246">
        <v>3.1224989991991992</v>
      </c>
      <c r="K246" s="49">
        <v>2017</v>
      </c>
      <c r="L246">
        <v>11.59</v>
      </c>
      <c r="M246" s="45">
        <v>2.491147592281644</v>
      </c>
      <c r="N246" s="45"/>
      <c r="O246" s="8"/>
      <c r="P246" s="8"/>
      <c r="Q246" s="8"/>
    </row>
    <row r="247" spans="1:18" ht="12.75" customHeight="1" x14ac:dyDescent="0.2">
      <c r="B247" s="104">
        <v>2017</v>
      </c>
      <c r="C247">
        <v>11.97</v>
      </c>
      <c r="D247" s="119">
        <v>2.6549357432192262</v>
      </c>
      <c r="G247" s="45"/>
      <c r="H247">
        <v>2017</v>
      </c>
      <c r="I247">
        <v>12.3</v>
      </c>
      <c r="J247">
        <v>2.7679852396194908</v>
      </c>
      <c r="M247" s="8"/>
      <c r="N247" s="8"/>
      <c r="O247" s="8"/>
      <c r="P247" s="8"/>
      <c r="Q247" s="8"/>
    </row>
    <row r="248" spans="1:18" ht="12.75" customHeight="1" x14ac:dyDescent="0.2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230"/>
      <c r="M248" s="51"/>
      <c r="N248" s="8"/>
      <c r="O248" s="8"/>
      <c r="P248" s="51"/>
      <c r="Q248" s="155"/>
    </row>
    <row r="249" spans="1:18" ht="12.75" customHeight="1" x14ac:dyDescent="0.2">
      <c r="A249" s="45"/>
      <c r="B249" s="104"/>
      <c r="C249" s="45"/>
      <c r="D249" s="45"/>
      <c r="E249" s="45"/>
      <c r="F249" s="45"/>
      <c r="G249" s="45"/>
      <c r="H249" s="155"/>
      <c r="I249" s="45"/>
      <c r="J249" s="45"/>
      <c r="K249" s="45"/>
      <c r="L249" s="45"/>
      <c r="Q249" s="8"/>
    </row>
    <row r="250" spans="1:18" ht="12.75" customHeight="1" x14ac:dyDescent="0.2">
      <c r="A250" s="45"/>
      <c r="B250" s="123" t="s">
        <v>290</v>
      </c>
      <c r="C250" s="124">
        <v>-0.13416175699999999</v>
      </c>
      <c r="D250" s="112"/>
      <c r="E250" s="123" t="s">
        <v>290</v>
      </c>
      <c r="F250" s="124">
        <v>-0.10328180000000001</v>
      </c>
      <c r="H250" s="45"/>
      <c r="I250" s="45"/>
      <c r="J250" s="45"/>
      <c r="K250" s="45"/>
      <c r="L250" s="45"/>
    </row>
    <row r="251" spans="1:18" ht="12.75" customHeight="1" x14ac:dyDescent="0.2">
      <c r="A251" s="45"/>
      <c r="B251" s="123"/>
      <c r="C251" s="124"/>
      <c r="D251" s="112"/>
      <c r="E251" s="123"/>
      <c r="F251" s="124"/>
      <c r="H251" s="118"/>
      <c r="I251" s="45"/>
      <c r="J251" s="45"/>
      <c r="K251" s="118"/>
      <c r="L251" s="155"/>
      <c r="M251" s="8"/>
      <c r="N251" s="8"/>
      <c r="O251" s="8"/>
      <c r="P251" s="8"/>
    </row>
    <row r="252" spans="1:18" s="230" customFormat="1" ht="12.75" customHeight="1" x14ac:dyDescent="0.2">
      <c r="A252" s="45"/>
      <c r="B252" s="123"/>
      <c r="C252" s="124"/>
      <c r="D252" s="123"/>
      <c r="E252" s="123"/>
      <c r="F252" s="124"/>
      <c r="H252" s="118"/>
      <c r="I252" s="45"/>
      <c r="J252" s="45"/>
      <c r="K252" s="118"/>
      <c r="L252" s="45"/>
      <c r="M252" s="45"/>
      <c r="N252" s="45"/>
      <c r="O252" s="45"/>
      <c r="P252" s="45"/>
    </row>
    <row r="253" spans="1:18" ht="12.75" customHeight="1" x14ac:dyDescent="0.2">
      <c r="A253" s="104" t="s">
        <v>325</v>
      </c>
      <c r="B253" s="123" t="s">
        <v>326</v>
      </c>
      <c r="C253" s="124"/>
      <c r="D253" s="112"/>
      <c r="E253" s="123"/>
      <c r="F253" s="124"/>
      <c r="H253" s="230"/>
      <c r="I253" s="230"/>
      <c r="J253" s="230"/>
      <c r="K253" s="230"/>
    </row>
    <row r="254" spans="1:18" ht="12.75" customHeight="1" x14ac:dyDescent="0.2">
      <c r="A254" s="148"/>
      <c r="B254" s="347" t="s">
        <v>263</v>
      </c>
      <c r="C254" s="348"/>
      <c r="D254" s="349" t="s">
        <v>264</v>
      </c>
      <c r="E254" s="350"/>
      <c r="F254" s="106" t="s">
        <v>327</v>
      </c>
      <c r="G254" s="148"/>
      <c r="H254" s="106" t="s">
        <v>266</v>
      </c>
      <c r="I254" s="148"/>
      <c r="J254" s="106" t="s">
        <v>267</v>
      </c>
      <c r="K254" s="148"/>
      <c r="R254" s="118"/>
    </row>
    <row r="255" spans="1:18" ht="12.75" customHeight="1" x14ac:dyDescent="0.2">
      <c r="A255" s="172" t="s">
        <v>243</v>
      </c>
      <c r="B255" s="171" t="s">
        <v>328</v>
      </c>
      <c r="C255" s="106" t="s">
        <v>21</v>
      </c>
      <c r="D255" s="106" t="s">
        <v>30</v>
      </c>
      <c r="E255" s="106" t="s">
        <v>21</v>
      </c>
      <c r="F255" s="106" t="s">
        <v>30</v>
      </c>
      <c r="G255" s="106" t="s">
        <v>21</v>
      </c>
      <c r="H255" s="106" t="s">
        <v>30</v>
      </c>
      <c r="I255" s="106" t="s">
        <v>21</v>
      </c>
      <c r="J255" s="106" t="s">
        <v>328</v>
      </c>
      <c r="K255" s="106" t="s">
        <v>21</v>
      </c>
      <c r="L255" s="55" t="s">
        <v>329</v>
      </c>
      <c r="R255" s="118"/>
    </row>
    <row r="256" spans="1:18" ht="12.75" customHeight="1" x14ac:dyDescent="0.2">
      <c r="A256" s="8">
        <v>1990</v>
      </c>
      <c r="B256" s="118">
        <v>135</v>
      </c>
      <c r="D256" s="118">
        <v>9</v>
      </c>
      <c r="F256" s="55">
        <v>0</v>
      </c>
      <c r="G256" s="55"/>
      <c r="H256" s="55">
        <v>135</v>
      </c>
      <c r="I256" s="55"/>
      <c r="J256" s="55">
        <v>9</v>
      </c>
      <c r="L256" s="55" t="s">
        <v>288</v>
      </c>
      <c r="R256" s="118"/>
    </row>
    <row r="257" spans="1:18" ht="12.75" customHeight="1" x14ac:dyDescent="0.2">
      <c r="A257" s="8">
        <v>1991</v>
      </c>
      <c r="B257" s="118">
        <v>153.375</v>
      </c>
      <c r="C257" s="118">
        <v>143.42105263157896</v>
      </c>
      <c r="D257" s="118">
        <v>21.321428571428573</v>
      </c>
      <c r="E257" s="118">
        <v>15.078571428571431</v>
      </c>
      <c r="F257" s="55">
        <v>4</v>
      </c>
      <c r="G257" s="55">
        <v>1</v>
      </c>
      <c r="H257" s="118">
        <v>154.66666666666666</v>
      </c>
      <c r="I257" s="118">
        <v>143.42105263157896</v>
      </c>
      <c r="J257" s="118">
        <v>21.684615384615384</v>
      </c>
      <c r="K257" s="118">
        <v>15.078571428571431</v>
      </c>
      <c r="L257" s="55" t="s">
        <v>288</v>
      </c>
      <c r="R257" s="118"/>
    </row>
    <row r="258" spans="1:18" ht="12.75" customHeight="1" x14ac:dyDescent="0.2">
      <c r="A258" s="8">
        <v>1992</v>
      </c>
      <c r="B258" s="118">
        <v>137.55445544554456</v>
      </c>
      <c r="C258" s="118">
        <v>136.22222222222223</v>
      </c>
      <c r="D258" s="118">
        <v>14.141584158415844</v>
      </c>
      <c r="E258" s="118">
        <v>10.888888888888889</v>
      </c>
      <c r="F258" s="55">
        <v>6</v>
      </c>
      <c r="G258" s="55">
        <v>1</v>
      </c>
      <c r="H258" s="118">
        <v>137.78125</v>
      </c>
      <c r="I258" s="118">
        <v>134.5</v>
      </c>
      <c r="J258" s="118">
        <v>14.313541666666671</v>
      </c>
      <c r="K258" s="118">
        <v>10.5625</v>
      </c>
      <c r="L258" s="55" t="s">
        <v>288</v>
      </c>
      <c r="R258" s="118"/>
    </row>
    <row r="259" spans="1:18" ht="12.75" customHeight="1" x14ac:dyDescent="0.2">
      <c r="A259" s="8">
        <v>1993</v>
      </c>
      <c r="B259" s="118">
        <v>149.21621621621622</v>
      </c>
      <c r="C259" s="118">
        <v>153.76923076923077</v>
      </c>
      <c r="D259" s="118">
        <v>15.632692307692306</v>
      </c>
      <c r="E259" s="118">
        <v>12.984615384615385</v>
      </c>
      <c r="F259" s="55">
        <v>24</v>
      </c>
      <c r="G259" s="55">
        <v>4</v>
      </c>
      <c r="H259" s="118">
        <v>148.61538461538461</v>
      </c>
      <c r="I259" s="118">
        <v>153</v>
      </c>
      <c r="J259" s="118">
        <v>15.465909090909092</v>
      </c>
      <c r="K259" s="118">
        <v>12.68</v>
      </c>
      <c r="L259" s="55" t="s">
        <v>288</v>
      </c>
      <c r="R259" s="118"/>
    </row>
    <row r="260" spans="1:18" ht="12.75" customHeight="1" x14ac:dyDescent="0.2">
      <c r="A260" s="8">
        <v>1994</v>
      </c>
      <c r="B260" s="73">
        <v>149.02500000000001</v>
      </c>
      <c r="C260" s="73">
        <v>152.52000000000001</v>
      </c>
      <c r="D260" s="73">
        <v>14.100000000000001</v>
      </c>
      <c r="E260" s="73">
        <v>11.104761904761904</v>
      </c>
      <c r="F260" s="55">
        <v>12</v>
      </c>
      <c r="G260" s="55">
        <v>7</v>
      </c>
      <c r="H260" s="73">
        <v>147</v>
      </c>
      <c r="I260" s="73">
        <v>152.16666666666666</v>
      </c>
      <c r="J260" s="73">
        <v>13.836363636363638</v>
      </c>
      <c r="K260" s="73">
        <v>11.574999999999999</v>
      </c>
      <c r="L260" s="55" t="s">
        <v>288</v>
      </c>
      <c r="R260" s="118"/>
    </row>
    <row r="261" spans="1:18" ht="12.75" customHeight="1" x14ac:dyDescent="0.2">
      <c r="A261" s="8">
        <v>1995</v>
      </c>
      <c r="B261" s="73">
        <v>137.65151515151516</v>
      </c>
      <c r="C261" s="73">
        <v>142</v>
      </c>
      <c r="D261" s="73">
        <v>12.60757575757577</v>
      </c>
      <c r="E261" s="73">
        <v>10.673913043478256</v>
      </c>
      <c r="F261" s="55">
        <v>17</v>
      </c>
      <c r="G261" s="55">
        <v>11</v>
      </c>
      <c r="H261" s="73">
        <v>138.22448979591837</v>
      </c>
      <c r="I261" s="73">
        <v>142.23076923076923</v>
      </c>
      <c r="J261" s="73">
        <v>12.897959183673478</v>
      </c>
      <c r="K261" s="73">
        <v>11.446153846153845</v>
      </c>
      <c r="L261" s="55" t="s">
        <v>288</v>
      </c>
      <c r="R261" s="73"/>
    </row>
    <row r="262" spans="1:18" ht="12.75" customHeight="1" x14ac:dyDescent="0.2">
      <c r="A262" s="8">
        <v>1996</v>
      </c>
      <c r="B262" s="118">
        <v>148.19999999999999</v>
      </c>
      <c r="C262" s="118">
        <v>149.57142857142858</v>
      </c>
      <c r="D262" s="118">
        <v>16.3</v>
      </c>
      <c r="E262" s="118">
        <v>11.515384615384615</v>
      </c>
      <c r="F262" s="55">
        <v>2</v>
      </c>
      <c r="G262" s="55">
        <v>21</v>
      </c>
      <c r="H262" s="118">
        <v>149.66666666666666</v>
      </c>
      <c r="I262" s="118">
        <v>151.28260869565219</v>
      </c>
      <c r="J262" s="118">
        <v>18.666666666666668</v>
      </c>
      <c r="K262" s="118">
        <v>12.233333333333333</v>
      </c>
      <c r="L262" s="55" t="s">
        <v>288</v>
      </c>
      <c r="R262" s="73"/>
    </row>
    <row r="263" spans="1:18" ht="12.75" customHeight="1" x14ac:dyDescent="0.2">
      <c r="A263" s="8">
        <v>1997</v>
      </c>
      <c r="B263" s="118">
        <v>139.57487922705315</v>
      </c>
      <c r="C263" s="118">
        <v>139.46341463414635</v>
      </c>
      <c r="D263" s="118">
        <v>12.688646288209606</v>
      </c>
      <c r="E263" s="118">
        <v>9.8962962962962955</v>
      </c>
      <c r="F263" s="55">
        <v>39</v>
      </c>
      <c r="G263" s="55">
        <v>13</v>
      </c>
      <c r="H263" s="118">
        <v>139.88202247191012</v>
      </c>
      <c r="I263" s="118">
        <v>137.37837837837839</v>
      </c>
      <c r="J263" s="118">
        <v>12.969473684210525</v>
      </c>
      <c r="K263" s="118">
        <v>9.63170731707317</v>
      </c>
      <c r="L263" s="55" t="s">
        <v>288</v>
      </c>
      <c r="R263" s="73"/>
    </row>
    <row r="264" spans="1:18" ht="12.75" customHeight="1" x14ac:dyDescent="0.2">
      <c r="A264" s="8">
        <v>1998</v>
      </c>
      <c r="B264" s="118">
        <v>137.19999999999999</v>
      </c>
      <c r="C264" s="118">
        <v>141.72727272727272</v>
      </c>
      <c r="D264" s="118">
        <v>11.804761904761905</v>
      </c>
      <c r="E264" s="118">
        <v>11.446</v>
      </c>
      <c r="F264" s="55">
        <v>7</v>
      </c>
      <c r="G264" s="55">
        <v>18</v>
      </c>
      <c r="H264" s="118">
        <v>136.23076923076923</v>
      </c>
      <c r="I264" s="118">
        <v>144.16129032258064</v>
      </c>
      <c r="J264" s="118">
        <v>11.607142857142858</v>
      </c>
      <c r="K264" s="118">
        <v>12.559375000000001</v>
      </c>
      <c r="L264" s="55" t="s">
        <v>288</v>
      </c>
      <c r="R264" s="73"/>
    </row>
    <row r="265" spans="1:18" ht="12.75" customHeight="1" x14ac:dyDescent="0.2">
      <c r="A265" s="8">
        <v>1999</v>
      </c>
      <c r="B265" s="45"/>
      <c r="C265" s="118">
        <v>144.82978723404256</v>
      </c>
      <c r="E265" s="118">
        <v>12.404255319148936</v>
      </c>
      <c r="F265" s="55">
        <v>0</v>
      </c>
      <c r="G265" s="55">
        <v>10</v>
      </c>
      <c r="I265" s="118">
        <v>146.15384615384616</v>
      </c>
      <c r="K265" s="118">
        <v>13.108108108108109</v>
      </c>
      <c r="L265" s="55" t="s">
        <v>288</v>
      </c>
      <c r="R265" s="118"/>
    </row>
    <row r="266" spans="1:18" ht="12.75" customHeight="1" x14ac:dyDescent="0.2">
      <c r="A266" s="8">
        <v>2000</v>
      </c>
      <c r="B266" s="118">
        <v>147.16666666666666</v>
      </c>
      <c r="C266" s="118">
        <v>157.52173913043478</v>
      </c>
      <c r="D266" s="118">
        <v>13.5625</v>
      </c>
      <c r="E266" s="118">
        <v>12.171189458689456</v>
      </c>
      <c r="F266" s="55">
        <v>5</v>
      </c>
      <c r="G266" s="55">
        <v>41</v>
      </c>
      <c r="H266" s="118">
        <v>140.33333333333334</v>
      </c>
      <c r="I266" s="118">
        <v>157.65753424657535</v>
      </c>
      <c r="J266" s="118">
        <v>15.333333333333334</v>
      </c>
      <c r="K266" s="118">
        <v>13.07894736842105</v>
      </c>
      <c r="L266" s="55" t="s">
        <v>288</v>
      </c>
      <c r="R266" s="118"/>
    </row>
    <row r="267" spans="1:18" ht="12.75" customHeight="1" x14ac:dyDescent="0.2">
      <c r="A267" s="8">
        <v>2001</v>
      </c>
      <c r="B267" s="118">
        <v>139.85714285714286</v>
      </c>
      <c r="C267" s="118">
        <v>149.02222222222221</v>
      </c>
      <c r="D267" s="118">
        <v>13.652380952380952</v>
      </c>
      <c r="E267" s="118">
        <v>12.151685393258427</v>
      </c>
      <c r="F267" s="55">
        <v>4</v>
      </c>
      <c r="G267" s="55">
        <v>20</v>
      </c>
      <c r="H267" s="118">
        <v>140.35294117647058</v>
      </c>
      <c r="I267" s="118">
        <v>149.78571428571428</v>
      </c>
      <c r="J267" s="118">
        <v>14.129411764705882</v>
      </c>
      <c r="K267" s="118">
        <v>12.385714285714286</v>
      </c>
      <c r="L267" s="55" t="s">
        <v>288</v>
      </c>
      <c r="R267" s="118"/>
    </row>
    <row r="268" spans="1:18" ht="12.75" customHeight="1" x14ac:dyDescent="0.2">
      <c r="A268" s="8">
        <v>2002</v>
      </c>
      <c r="B268" s="118">
        <v>138</v>
      </c>
      <c r="C268" s="118">
        <v>146.98989898989899</v>
      </c>
      <c r="D268" s="118">
        <v>12.489864864864865</v>
      </c>
      <c r="E268" s="118">
        <v>11.661764705882353</v>
      </c>
      <c r="F268" s="55">
        <v>48</v>
      </c>
      <c r="G268" s="55">
        <v>28</v>
      </c>
      <c r="H268" s="118">
        <v>138.69148936170214</v>
      </c>
      <c r="I268" s="118">
        <v>148.83783783783784</v>
      </c>
      <c r="J268" s="118">
        <v>12.625</v>
      </c>
      <c r="K268" s="118">
        <v>12.16</v>
      </c>
      <c r="L268" s="55" t="s">
        <v>288</v>
      </c>
      <c r="R268" s="118"/>
    </row>
    <row r="269" spans="1:18" ht="12.75" customHeight="1" x14ac:dyDescent="0.2">
      <c r="A269" s="8">
        <v>2003</v>
      </c>
      <c r="B269" s="118">
        <v>137.85454545454544</v>
      </c>
      <c r="C269" s="118">
        <v>143</v>
      </c>
      <c r="D269" s="118">
        <v>13.542857142857143</v>
      </c>
      <c r="E269" s="118">
        <v>10.653846153846153</v>
      </c>
      <c r="F269" s="55">
        <v>1</v>
      </c>
      <c r="G269" s="55">
        <v>0</v>
      </c>
      <c r="H269" s="118">
        <v>137.85454545454544</v>
      </c>
      <c r="I269" s="118">
        <v>143</v>
      </c>
      <c r="J269" s="118">
        <v>13.534545454545453</v>
      </c>
      <c r="K269" s="118">
        <v>10.653846153846153</v>
      </c>
      <c r="L269" s="55" t="s">
        <v>288</v>
      </c>
      <c r="R269" s="118"/>
    </row>
    <row r="270" spans="1:18" ht="12.75" customHeight="1" x14ac:dyDescent="0.2">
      <c r="A270" s="8">
        <v>2004</v>
      </c>
      <c r="B270" s="73">
        <v>137.92063492063491</v>
      </c>
      <c r="C270" s="73">
        <v>141.5</v>
      </c>
      <c r="D270" s="73">
        <v>11.107936507936508</v>
      </c>
      <c r="E270" s="73">
        <v>11.834999999999999</v>
      </c>
      <c r="F270" s="55">
        <v>28</v>
      </c>
      <c r="G270" s="55">
        <v>29</v>
      </c>
      <c r="H270" s="73">
        <v>140.42857142857142</v>
      </c>
      <c r="I270" s="73">
        <v>143.58823529411765</v>
      </c>
      <c r="J270" s="118">
        <v>11.874285714285714</v>
      </c>
      <c r="K270" s="118">
        <v>12.558823529411766</v>
      </c>
      <c r="L270" s="55" t="s">
        <v>288</v>
      </c>
      <c r="R270" s="118"/>
    </row>
    <row r="271" spans="1:18" ht="12.75" customHeight="1" x14ac:dyDescent="0.2">
      <c r="A271" s="8">
        <v>2005</v>
      </c>
      <c r="B271" s="118">
        <v>142.80000000000001</v>
      </c>
      <c r="C271" s="118">
        <v>143.95945945945945</v>
      </c>
      <c r="D271" s="118">
        <v>10.64</v>
      </c>
      <c r="E271" s="118">
        <v>10.138888888888889</v>
      </c>
      <c r="F271" s="55">
        <v>0</v>
      </c>
      <c r="G271" s="55">
        <v>11</v>
      </c>
      <c r="H271" s="118">
        <v>142.80000000000001</v>
      </c>
      <c r="I271" s="118">
        <v>146.01538461538462</v>
      </c>
      <c r="J271" s="118">
        <v>10.64</v>
      </c>
      <c r="K271" s="118">
        <v>10.279032258064515</v>
      </c>
      <c r="L271" s="55" t="s">
        <v>288</v>
      </c>
      <c r="R271" s="118"/>
    </row>
    <row r="272" spans="1:18" ht="12.75" customHeight="1" x14ac:dyDescent="0.2">
      <c r="A272" s="8">
        <v>2006</v>
      </c>
      <c r="B272" s="118">
        <v>137</v>
      </c>
      <c r="C272" s="118">
        <v>145.63157894736841</v>
      </c>
      <c r="D272" s="118">
        <v>11.2</v>
      </c>
      <c r="E272" s="118">
        <v>9.4210526315789469</v>
      </c>
      <c r="F272" s="55">
        <v>0</v>
      </c>
      <c r="G272" s="55">
        <v>2</v>
      </c>
      <c r="H272" s="118">
        <v>137</v>
      </c>
      <c r="I272" s="118">
        <v>146.58823529411765</v>
      </c>
      <c r="J272" s="118">
        <v>11.2</v>
      </c>
      <c r="K272" s="118">
        <v>9.447058823529412</v>
      </c>
      <c r="L272" s="55" t="s">
        <v>288</v>
      </c>
      <c r="R272" s="118"/>
    </row>
    <row r="273" spans="1:15" ht="12.75" customHeight="1" x14ac:dyDescent="0.2">
      <c r="A273" s="8">
        <v>2007</v>
      </c>
      <c r="B273" s="118">
        <v>140.61702127659575</v>
      </c>
      <c r="C273" s="118">
        <v>145.48235294117646</v>
      </c>
      <c r="D273" s="118">
        <v>13.04042553191489</v>
      </c>
      <c r="E273" s="118">
        <v>12.079166666666667</v>
      </c>
      <c r="F273" s="55">
        <v>11</v>
      </c>
      <c r="G273" s="55">
        <v>14</v>
      </c>
      <c r="H273" s="118">
        <v>141</v>
      </c>
      <c r="I273" s="118">
        <v>146.12676056338029</v>
      </c>
      <c r="J273" s="118">
        <v>13.430555555555552</v>
      </c>
      <c r="K273" s="118">
        <v>12.382142857142858</v>
      </c>
      <c r="L273" s="55" t="s">
        <v>288</v>
      </c>
    </row>
    <row r="274" spans="1:15" ht="12.75" customHeight="1" x14ac:dyDescent="0.2">
      <c r="A274" s="8">
        <v>2008</v>
      </c>
      <c r="B274" s="118">
        <v>142.62857142857143</v>
      </c>
      <c r="C274" s="118">
        <v>145.85185185185185</v>
      </c>
      <c r="D274" s="118">
        <v>13.728947368421053</v>
      </c>
      <c r="E274" s="118">
        <v>11.444444444444445</v>
      </c>
      <c r="F274" s="55">
        <v>21</v>
      </c>
      <c r="G274" s="55">
        <v>24</v>
      </c>
      <c r="H274" s="118">
        <v>144</v>
      </c>
      <c r="I274" s="118">
        <v>150.69696969696969</v>
      </c>
      <c r="J274" s="118">
        <v>14.416666666666666</v>
      </c>
      <c r="K274" s="118">
        <v>12.742424242424242</v>
      </c>
      <c r="L274" s="55" t="s">
        <v>288</v>
      </c>
    </row>
    <row r="275" spans="1:15" ht="12.75" customHeight="1" x14ac:dyDescent="0.2">
      <c r="A275" s="8">
        <v>2009</v>
      </c>
      <c r="B275" s="118">
        <v>160.28571428571428</v>
      </c>
      <c r="C275" s="118">
        <v>156.38461538461539</v>
      </c>
      <c r="D275" s="118">
        <v>13.439393939393939</v>
      </c>
      <c r="E275" s="118">
        <v>10.308333333333334</v>
      </c>
      <c r="F275" s="55">
        <v>5</v>
      </c>
      <c r="G275" s="55">
        <v>2</v>
      </c>
      <c r="H275" s="118">
        <v>161.29032258064515</v>
      </c>
      <c r="I275" s="118">
        <v>154.75</v>
      </c>
      <c r="J275" s="118">
        <v>13.879310344827585</v>
      </c>
      <c r="K275" s="118">
        <v>9.9272727272727277</v>
      </c>
      <c r="L275" s="55" t="s">
        <v>288</v>
      </c>
    </row>
    <row r="276" spans="1:15" ht="12.75" customHeight="1" x14ac:dyDescent="0.2">
      <c r="A276" s="8">
        <v>2010</v>
      </c>
      <c r="B276" s="118">
        <v>156.18181818181819</v>
      </c>
      <c r="C276" s="118">
        <v>165</v>
      </c>
      <c r="D276" s="118">
        <v>12.660869565217391</v>
      </c>
      <c r="E276" s="118">
        <v>10.5</v>
      </c>
      <c r="F276" s="55">
        <v>5</v>
      </c>
      <c r="G276" s="55">
        <v>0</v>
      </c>
      <c r="H276" s="118">
        <v>156.41176470588235</v>
      </c>
      <c r="I276" s="118">
        <v>165</v>
      </c>
      <c r="J276" s="118">
        <v>12.705555555555556</v>
      </c>
      <c r="K276" s="118">
        <v>10.5</v>
      </c>
      <c r="L276" s="55" t="s">
        <v>288</v>
      </c>
    </row>
    <row r="277" spans="1:15" ht="12.75" customHeight="1" x14ac:dyDescent="0.2">
      <c r="A277" s="8">
        <v>2011</v>
      </c>
      <c r="B277" s="118">
        <v>135.35897435897436</v>
      </c>
      <c r="C277" s="118">
        <v>143.69444444444446</v>
      </c>
      <c r="D277" s="118">
        <v>11.987179487179487</v>
      </c>
      <c r="E277" s="118">
        <v>9.3855263157894733</v>
      </c>
      <c r="F277" s="55">
        <v>11</v>
      </c>
      <c r="G277" s="55">
        <v>13</v>
      </c>
      <c r="H277" s="118">
        <v>135.72413793103448</v>
      </c>
      <c r="I277" s="118">
        <v>146.79166666666666</v>
      </c>
      <c r="J277" s="118">
        <v>12.006666666666666</v>
      </c>
      <c r="K277" s="118">
        <v>9.8279999999999994</v>
      </c>
      <c r="L277" s="55" t="s">
        <v>288</v>
      </c>
    </row>
    <row r="278" spans="1:15" ht="12.75" customHeight="1" x14ac:dyDescent="0.2">
      <c r="A278" s="8">
        <v>2012</v>
      </c>
      <c r="B278" s="73">
        <v>151.57575757575756</v>
      </c>
      <c r="C278" s="73">
        <v>156.02083333333334</v>
      </c>
      <c r="D278" s="73">
        <v>10.80909090909091</v>
      </c>
      <c r="E278" s="73">
        <v>9.6520833333333353</v>
      </c>
      <c r="F278" s="55">
        <v>4</v>
      </c>
      <c r="G278" s="55">
        <v>11</v>
      </c>
      <c r="H278" s="73">
        <v>151.76666666666668</v>
      </c>
      <c r="I278" s="73">
        <v>158.30769230769232</v>
      </c>
      <c r="J278" s="73">
        <v>11.016666666666669</v>
      </c>
      <c r="K278" s="73">
        <v>10.253846153846155</v>
      </c>
      <c r="L278" s="55" t="s">
        <v>288</v>
      </c>
    </row>
    <row r="279" spans="1:15" ht="12.75" customHeight="1" x14ac:dyDescent="0.2">
      <c r="A279" s="8">
        <v>2013</v>
      </c>
      <c r="B279" s="118">
        <v>143.6875</v>
      </c>
      <c r="C279" s="118">
        <v>152.0612244897959</v>
      </c>
      <c r="D279" s="118">
        <v>10.94</v>
      </c>
      <c r="E279" s="118">
        <v>10.514285714285716</v>
      </c>
      <c r="F279" s="55">
        <v>8</v>
      </c>
      <c r="G279" s="55">
        <v>9</v>
      </c>
      <c r="H279" s="118">
        <v>145.875</v>
      </c>
      <c r="I279" s="118">
        <v>154.72499999999999</v>
      </c>
      <c r="J279" s="118">
        <v>10.599999999999998</v>
      </c>
      <c r="K279" s="118">
        <v>11.117500000000001</v>
      </c>
      <c r="L279" s="55" t="s">
        <v>288</v>
      </c>
    </row>
    <row r="280" spans="1:15" ht="12.75" customHeight="1" x14ac:dyDescent="0.2">
      <c r="A280" s="115">
        <v>2014</v>
      </c>
      <c r="B280" s="118">
        <v>137.4</v>
      </c>
      <c r="C280" s="173">
        <v>145.61403508771929</v>
      </c>
      <c r="D280" s="118">
        <v>12.642857142857142</v>
      </c>
      <c r="E280" s="118">
        <v>10.715540540540539</v>
      </c>
      <c r="F280" s="55">
        <v>2</v>
      </c>
      <c r="G280" s="55">
        <v>21</v>
      </c>
      <c r="H280" s="118">
        <v>132.66666666666666</v>
      </c>
      <c r="I280" s="173">
        <v>147.48780487804879</v>
      </c>
      <c r="J280" s="118">
        <v>11.3</v>
      </c>
      <c r="K280" s="118">
        <v>10.849137931034482</v>
      </c>
      <c r="L280" s="55" t="s">
        <v>288</v>
      </c>
    </row>
    <row r="281" spans="1:15" ht="12.75" customHeight="1" x14ac:dyDescent="0.2">
      <c r="A281" s="49">
        <v>2014</v>
      </c>
      <c r="B281" s="130">
        <v>128</v>
      </c>
      <c r="C281" s="118">
        <v>139.05882352941177</v>
      </c>
      <c r="H281" s="130">
        <v>128</v>
      </c>
      <c r="I281" s="118">
        <v>139.05882352941177</v>
      </c>
      <c r="L281" s="55" t="s">
        <v>289</v>
      </c>
    </row>
    <row r="282" spans="1:15" ht="12.75" customHeight="1" x14ac:dyDescent="0.2">
      <c r="A282" s="104">
        <v>2016</v>
      </c>
      <c r="B282" s="118">
        <v>128.28571428571428</v>
      </c>
      <c r="C282" s="118">
        <v>137.34615384615384</v>
      </c>
      <c r="D282" s="118">
        <v>10.857142857142858</v>
      </c>
      <c r="E282" s="118">
        <v>11.007692307692308</v>
      </c>
      <c r="F282" s="55">
        <v>3</v>
      </c>
      <c r="G282" s="55">
        <v>9</v>
      </c>
      <c r="H282" s="118">
        <v>134.5</v>
      </c>
      <c r="I282" s="118">
        <v>141.88235294117646</v>
      </c>
      <c r="J282" s="118">
        <v>10.75</v>
      </c>
      <c r="K282" s="118">
        <v>11.352941176470589</v>
      </c>
      <c r="L282" s="55" t="s">
        <v>289</v>
      </c>
    </row>
    <row r="283" spans="1:15" s="230" customFormat="1" ht="12.75" customHeight="1" x14ac:dyDescent="0.2">
      <c r="A283">
        <v>2017</v>
      </c>
      <c r="B283">
        <v>122.76</v>
      </c>
      <c r="C283">
        <v>126.59</v>
      </c>
      <c r="D283">
        <v>11.72</v>
      </c>
      <c r="E283">
        <v>10.76</v>
      </c>
      <c r="F283">
        <v>36</v>
      </c>
      <c r="G283">
        <v>45</v>
      </c>
      <c r="H283">
        <v>125.86</v>
      </c>
      <c r="I283">
        <v>131.76</v>
      </c>
      <c r="J283">
        <v>12.3</v>
      </c>
      <c r="K283">
        <v>11.59</v>
      </c>
      <c r="L283" t="s">
        <v>289</v>
      </c>
      <c r="M283"/>
      <c r="N283"/>
      <c r="O283"/>
    </row>
    <row r="284" spans="1:15" ht="12.75" customHeight="1" x14ac:dyDescent="0.2">
      <c r="A284" s="45"/>
      <c r="B284" s="45"/>
      <c r="C284" s="45"/>
      <c r="D284" s="45"/>
      <c r="E284" s="45"/>
      <c r="F284" s="45"/>
      <c r="G284" s="45"/>
      <c r="H284" s="45"/>
      <c r="I284" s="45"/>
      <c r="M284" s="230"/>
      <c r="N284" s="230"/>
      <c r="O284" s="230"/>
    </row>
    <row r="285" spans="1:15" ht="15.95" customHeight="1" x14ac:dyDescent="0.25">
      <c r="A285" s="272" t="s">
        <v>303</v>
      </c>
      <c r="B285" s="274"/>
      <c r="C285" s="297"/>
      <c r="D285" s="104"/>
      <c r="E285" s="104"/>
      <c r="F285" s="52"/>
      <c r="G285" s="55"/>
      <c r="H285" s="104"/>
      <c r="I285" s="45"/>
      <c r="J285" s="45"/>
      <c r="K285" s="230"/>
      <c r="L285" s="230"/>
      <c r="O285" s="230"/>
    </row>
    <row r="286" spans="1:15" ht="12.75" customHeight="1" x14ac:dyDescent="0.2">
      <c r="A286" s="298" t="s">
        <v>304</v>
      </c>
      <c r="B286" s="299"/>
      <c r="C286" s="300"/>
      <c r="D286" s="284" t="s">
        <v>305</v>
      </c>
      <c r="E286" s="305"/>
      <c r="F286" s="300"/>
      <c r="G286" s="284" t="s">
        <v>330</v>
      </c>
      <c r="H286" s="299"/>
      <c r="I286" s="286"/>
      <c r="J286" s="284" t="s">
        <v>331</v>
      </c>
      <c r="K286" s="299"/>
      <c r="L286" s="300"/>
    </row>
    <row r="287" spans="1:15" ht="12.75" customHeight="1" x14ac:dyDescent="0.2">
      <c r="A287" s="301" t="s">
        <v>243</v>
      </c>
      <c r="B287" s="302" t="s">
        <v>306</v>
      </c>
      <c r="C287" s="303" t="s">
        <v>528</v>
      </c>
      <c r="D287" s="301" t="s">
        <v>243</v>
      </c>
      <c r="E287" s="302" t="s">
        <v>306</v>
      </c>
      <c r="F287" s="303" t="s">
        <v>528</v>
      </c>
      <c r="G287" s="301" t="s">
        <v>243</v>
      </c>
      <c r="H287" s="302" t="s">
        <v>306</v>
      </c>
      <c r="I287" s="303" t="s">
        <v>528</v>
      </c>
      <c r="J287" s="301" t="s">
        <v>243</v>
      </c>
      <c r="K287" s="302" t="s">
        <v>306</v>
      </c>
      <c r="L287" s="303" t="s">
        <v>528</v>
      </c>
      <c r="O287" s="45"/>
    </row>
    <row r="288" spans="1:15" ht="12.75" customHeight="1" x14ac:dyDescent="0.2">
      <c r="A288" s="301">
        <v>1990</v>
      </c>
      <c r="B288" s="200">
        <v>4.8217647058823525</v>
      </c>
      <c r="C288" s="306">
        <v>0.67565926410910981</v>
      </c>
      <c r="D288" s="301">
        <v>1990</v>
      </c>
      <c r="E288" s="200">
        <v>5.0100000000000007</v>
      </c>
      <c r="F288" s="306">
        <v>0.3051229260478473</v>
      </c>
      <c r="G288" s="301">
        <v>1990</v>
      </c>
      <c r="H288" s="200">
        <v>4.5</v>
      </c>
      <c r="I288" s="306"/>
      <c r="J288" s="301">
        <v>1991</v>
      </c>
      <c r="K288" s="200">
        <v>5.54</v>
      </c>
      <c r="L288" s="306">
        <v>1.0939835464941856</v>
      </c>
      <c r="O288" s="45"/>
    </row>
    <row r="289" spans="1:15" ht="12.75" customHeight="1" x14ac:dyDescent="0.2">
      <c r="A289" s="301">
        <v>1991</v>
      </c>
      <c r="B289" s="200">
        <v>6.3466666666666676</v>
      </c>
      <c r="C289" s="306">
        <v>1.3201806403204486</v>
      </c>
      <c r="D289" s="301">
        <v>1992</v>
      </c>
      <c r="E289" s="200">
        <v>7.6406666666666654</v>
      </c>
      <c r="F289" s="306">
        <v>1.4596744581616572</v>
      </c>
      <c r="G289" s="301">
        <v>1991</v>
      </c>
      <c r="H289" s="200">
        <v>7.2153846153846155</v>
      </c>
      <c r="I289" s="306">
        <v>0.95025097899288158</v>
      </c>
      <c r="J289" s="301">
        <v>1992</v>
      </c>
      <c r="K289" s="200">
        <v>5.2824999999999998</v>
      </c>
      <c r="L289" s="306">
        <v>0.5910946262172122</v>
      </c>
      <c r="O289" s="45"/>
    </row>
    <row r="290" spans="1:15" ht="12.75" customHeight="1" x14ac:dyDescent="0.2">
      <c r="A290" s="301">
        <v>1992</v>
      </c>
      <c r="B290" s="200">
        <v>6.4771844660194171</v>
      </c>
      <c r="C290" s="306">
        <v>0.85498585870168797</v>
      </c>
      <c r="D290" s="301">
        <v>1993</v>
      </c>
      <c r="E290" s="200">
        <v>5.9711111111111101</v>
      </c>
      <c r="F290" s="306">
        <v>0.9157434745118922</v>
      </c>
      <c r="G290" s="301">
        <v>1992</v>
      </c>
      <c r="H290" s="200">
        <v>6.5777894736842093</v>
      </c>
      <c r="I290" s="306">
        <v>0.7971801085199941</v>
      </c>
      <c r="J290" s="301">
        <v>1993</v>
      </c>
      <c r="K290" s="200">
        <v>4.2620000000000005</v>
      </c>
      <c r="L290" s="306">
        <v>0.67998039187415571</v>
      </c>
      <c r="O290" s="45"/>
    </row>
    <row r="291" spans="1:15" ht="12.75" customHeight="1" x14ac:dyDescent="0.2">
      <c r="A291" s="301">
        <v>1993</v>
      </c>
      <c r="B291" s="200">
        <v>5.5978571428571424</v>
      </c>
      <c r="C291" s="306">
        <v>0.75162538651212651</v>
      </c>
      <c r="D291" s="301">
        <v>1994</v>
      </c>
      <c r="E291" s="200">
        <v>5.9466666666666663</v>
      </c>
      <c r="F291" s="306">
        <v>0.56666274508446957</v>
      </c>
      <c r="G291" s="301">
        <v>1993</v>
      </c>
      <c r="H291" s="200">
        <v>5.7496590909090921</v>
      </c>
      <c r="I291" s="306">
        <v>0.59465908104982312</v>
      </c>
      <c r="J291" s="301">
        <v>1994</v>
      </c>
      <c r="K291" s="200">
        <v>3.9274999999999998</v>
      </c>
      <c r="L291" s="306">
        <v>0.84456300337314572</v>
      </c>
      <c r="O291" s="45"/>
    </row>
    <row r="292" spans="1:15" ht="12.75" customHeight="1" x14ac:dyDescent="0.2">
      <c r="A292" s="301">
        <v>1994</v>
      </c>
      <c r="B292" s="200">
        <v>4.4416666666666655</v>
      </c>
      <c r="C292" s="306">
        <v>1.0644016220431767</v>
      </c>
      <c r="D292" s="301">
        <v>1995</v>
      </c>
      <c r="E292" s="200">
        <v>6.2530000000000001</v>
      </c>
      <c r="F292" s="306">
        <v>0.86098199748891668</v>
      </c>
      <c r="G292" s="301">
        <v>1994</v>
      </c>
      <c r="H292" s="200">
        <v>5.0250000000000004</v>
      </c>
      <c r="I292" s="306">
        <v>0.93087132761269342</v>
      </c>
      <c r="J292" s="301">
        <v>1995</v>
      </c>
      <c r="K292" s="200">
        <v>4.8353846153846156</v>
      </c>
      <c r="L292" s="306">
        <v>0.66554007373229773</v>
      </c>
      <c r="O292" s="45"/>
    </row>
    <row r="293" spans="1:15" ht="12.75" customHeight="1" x14ac:dyDescent="0.2">
      <c r="A293" s="301">
        <v>1995</v>
      </c>
      <c r="B293" s="200">
        <v>5.6969841269841277</v>
      </c>
      <c r="C293" s="306">
        <v>0.7507150030957187</v>
      </c>
      <c r="D293" s="301">
        <v>1996</v>
      </c>
      <c r="E293" s="200">
        <v>6.2</v>
      </c>
      <c r="F293" s="306"/>
      <c r="G293" s="301">
        <v>1995</v>
      </c>
      <c r="H293" s="200">
        <v>5.9446938775510212</v>
      </c>
      <c r="I293" s="306">
        <v>0.57899014830714912</v>
      </c>
      <c r="J293" s="301">
        <v>1996</v>
      </c>
      <c r="K293" s="200">
        <v>4.3195555555555574</v>
      </c>
      <c r="L293" s="306">
        <v>0.59703416818452215</v>
      </c>
      <c r="O293" s="45"/>
    </row>
    <row r="294" spans="1:15" ht="12.75" customHeight="1" x14ac:dyDescent="0.2">
      <c r="A294" s="301">
        <v>1996</v>
      </c>
      <c r="B294" s="200">
        <v>4.476041666666668</v>
      </c>
      <c r="C294" s="306">
        <v>0.84618729274147575</v>
      </c>
      <c r="D294" s="301">
        <v>1997</v>
      </c>
      <c r="E294" s="200">
        <v>6.4284210526315801</v>
      </c>
      <c r="F294" s="306">
        <v>0.90585909597154435</v>
      </c>
      <c r="G294" s="301">
        <v>1996</v>
      </c>
      <c r="H294" s="200">
        <v>6.8233333333333333</v>
      </c>
      <c r="I294" s="306">
        <v>0.4113797920818828</v>
      </c>
      <c r="J294" s="301">
        <v>1997</v>
      </c>
      <c r="K294" s="200">
        <v>4.7002777777777771</v>
      </c>
      <c r="L294" s="306">
        <v>0.64433126400772345</v>
      </c>
      <c r="O294" s="45"/>
    </row>
    <row r="295" spans="1:15" ht="12.75" customHeight="1" x14ac:dyDescent="0.2">
      <c r="A295" s="301">
        <v>1997</v>
      </c>
      <c r="B295" s="200">
        <v>5.6303703703703709</v>
      </c>
      <c r="C295" s="306">
        <v>1.0686230444010481</v>
      </c>
      <c r="D295" s="301">
        <v>1998</v>
      </c>
      <c r="E295" s="200">
        <v>4.5433333333333339</v>
      </c>
      <c r="F295" s="306">
        <v>0.9314683748433582</v>
      </c>
      <c r="G295" s="301">
        <v>1997</v>
      </c>
      <c r="H295" s="200">
        <v>5.8396045197740118</v>
      </c>
      <c r="I295" s="306">
        <v>1.0310119486025617</v>
      </c>
      <c r="J295" s="301">
        <v>1998</v>
      </c>
      <c r="K295" s="200">
        <v>5.1683870967741923</v>
      </c>
      <c r="L295" s="306">
        <v>0.99317368999316202</v>
      </c>
      <c r="O295" s="45"/>
    </row>
    <row r="296" spans="1:15" ht="12.75" customHeight="1" x14ac:dyDescent="0.2">
      <c r="A296" s="301">
        <v>1998</v>
      </c>
      <c r="B296" s="200">
        <v>5.3015094339622646</v>
      </c>
      <c r="C296" s="306">
        <v>0.97128858942527285</v>
      </c>
      <c r="D296" s="301">
        <v>2000</v>
      </c>
      <c r="E296" s="200">
        <v>5.46</v>
      </c>
      <c r="F296" s="306">
        <v>0.62225396744416239</v>
      </c>
      <c r="G296" s="301">
        <v>1998</v>
      </c>
      <c r="H296" s="200">
        <v>5.7692307692307692</v>
      </c>
      <c r="I296" s="306">
        <v>0.6634940534581768</v>
      </c>
      <c r="J296" s="301">
        <v>1999</v>
      </c>
      <c r="K296" s="200">
        <v>5.1380555555555567</v>
      </c>
      <c r="L296" s="306">
        <v>0.8396421667912799</v>
      </c>
      <c r="O296" s="45"/>
    </row>
    <row r="297" spans="1:15" ht="12.75" customHeight="1" x14ac:dyDescent="0.2">
      <c r="A297" s="301">
        <v>1999</v>
      </c>
      <c r="B297" s="200">
        <v>5.2422727272727281</v>
      </c>
      <c r="C297" s="306">
        <v>0.84139934283466811</v>
      </c>
      <c r="D297" s="301">
        <v>2001</v>
      </c>
      <c r="E297" s="200">
        <v>5.0599999999999996</v>
      </c>
      <c r="F297" s="306"/>
      <c r="G297" s="301">
        <v>1999</v>
      </c>
      <c r="H297" s="200">
        <v>5.7112499999999997</v>
      </c>
      <c r="I297" s="306">
        <v>0.71877748394657726</v>
      </c>
      <c r="J297" s="301">
        <v>2000</v>
      </c>
      <c r="K297" s="200">
        <v>4.1159999999999988</v>
      </c>
      <c r="L297" s="306">
        <v>0.62463827370165237</v>
      </c>
      <c r="O297" s="45"/>
    </row>
    <row r="298" spans="1:15" ht="12.75" customHeight="1" x14ac:dyDescent="0.2">
      <c r="A298" s="301">
        <v>2000</v>
      </c>
      <c r="B298" s="200">
        <v>4.2052499999999995</v>
      </c>
      <c r="C298" s="306">
        <v>0.79334570337482391</v>
      </c>
      <c r="D298" s="301">
        <v>2002</v>
      </c>
      <c r="E298" s="200">
        <v>6.2349999999999994</v>
      </c>
      <c r="F298" s="306">
        <v>0.48320359506704247</v>
      </c>
      <c r="G298" s="301">
        <v>2000</v>
      </c>
      <c r="H298" s="200">
        <v>6.7399999999999993</v>
      </c>
      <c r="I298" s="306">
        <v>0.20952326839756963</v>
      </c>
      <c r="J298" s="301">
        <v>2001</v>
      </c>
      <c r="K298" s="200">
        <v>4.4665714285714291</v>
      </c>
      <c r="L298" s="306">
        <v>0.62855916607651185</v>
      </c>
      <c r="O298" s="45"/>
    </row>
    <row r="299" spans="1:15" ht="12.75" customHeight="1" x14ac:dyDescent="0.2">
      <c r="A299" s="301">
        <v>2001</v>
      </c>
      <c r="B299" s="200">
        <v>4.8112643678160927</v>
      </c>
      <c r="C299" s="306">
        <v>0.94281222648693652</v>
      </c>
      <c r="D299" s="301">
        <v>2003</v>
      </c>
      <c r="E299" s="200">
        <v>5.75</v>
      </c>
      <c r="F299" s="306">
        <v>1.7799297738955875</v>
      </c>
      <c r="G299" s="301">
        <v>2001</v>
      </c>
      <c r="H299" s="200">
        <v>6.2305882352941175</v>
      </c>
      <c r="I299" s="306">
        <v>0.64327745363329891</v>
      </c>
      <c r="J299" s="301">
        <v>2002</v>
      </c>
      <c r="K299" s="200">
        <v>4.5291891891891911</v>
      </c>
      <c r="L299" s="306">
        <v>0.65269254075576399</v>
      </c>
      <c r="O299" s="45"/>
    </row>
    <row r="300" spans="1:15" ht="12.75" customHeight="1" x14ac:dyDescent="0.2">
      <c r="A300" s="301">
        <v>2002</v>
      </c>
      <c r="B300" s="200">
        <v>5.2906395348837201</v>
      </c>
      <c r="C300" s="306">
        <v>1.0677150266231952</v>
      </c>
      <c r="D300" s="301">
        <v>2004</v>
      </c>
      <c r="E300" s="200">
        <v>7.08</v>
      </c>
      <c r="F300" s="306"/>
      <c r="G300" s="301">
        <v>2002</v>
      </c>
      <c r="H300" s="200">
        <v>5.9376595744680865</v>
      </c>
      <c r="I300" s="306">
        <v>0.90674465058192211</v>
      </c>
      <c r="J300" s="301">
        <v>2003</v>
      </c>
      <c r="K300" s="200">
        <v>4.4353846153846153</v>
      </c>
      <c r="L300" s="306">
        <v>0.64949487276158913</v>
      </c>
      <c r="O300" s="45"/>
    </row>
    <row r="301" spans="1:15" ht="12.75" customHeight="1" x14ac:dyDescent="0.2">
      <c r="A301" s="301">
        <v>2003</v>
      </c>
      <c r="B301" s="200">
        <v>6.0704411764705872</v>
      </c>
      <c r="C301" s="306">
        <v>2.0533070768182844</v>
      </c>
      <c r="D301" s="301">
        <v>2005</v>
      </c>
      <c r="E301" s="200">
        <v>4.333333333333333</v>
      </c>
      <c r="F301" s="306">
        <v>0.47521924764610829</v>
      </c>
      <c r="G301" s="301">
        <v>2003</v>
      </c>
      <c r="H301" s="200">
        <v>6.4569090909090896</v>
      </c>
      <c r="I301" s="306">
        <v>2.083646974370831</v>
      </c>
      <c r="J301" s="301">
        <v>2004</v>
      </c>
      <c r="K301" s="200">
        <v>5.1919607843137259</v>
      </c>
      <c r="L301" s="306">
        <v>0.79073388597641714</v>
      </c>
      <c r="O301" s="45"/>
    </row>
    <row r="302" spans="1:15" ht="12.75" customHeight="1" x14ac:dyDescent="0.2">
      <c r="A302" s="301">
        <v>2004</v>
      </c>
      <c r="B302" s="200">
        <v>5.2363333333333335</v>
      </c>
      <c r="C302" s="306">
        <v>0.83214552800292907</v>
      </c>
      <c r="D302" s="301">
        <v>2006</v>
      </c>
      <c r="E302" s="200">
        <v>5.63</v>
      </c>
      <c r="F302" s="306"/>
      <c r="G302" s="301">
        <v>2004</v>
      </c>
      <c r="H302" s="200">
        <v>5.2648571428571422</v>
      </c>
      <c r="I302" s="306">
        <v>0.81158295371226097</v>
      </c>
      <c r="J302" s="301">
        <v>2005</v>
      </c>
      <c r="K302" s="200">
        <v>4.0230645161290326</v>
      </c>
      <c r="L302" s="306">
        <v>0.86680984491688962</v>
      </c>
      <c r="O302" s="45"/>
    </row>
    <row r="303" spans="1:15" ht="12.75" customHeight="1" x14ac:dyDescent="0.2">
      <c r="A303" s="301">
        <v>2005</v>
      </c>
      <c r="B303" s="200">
        <v>4.0510344827586211</v>
      </c>
      <c r="C303" s="306">
        <v>0.85629411715611925</v>
      </c>
      <c r="D303" s="301">
        <v>2007</v>
      </c>
      <c r="E303" s="200">
        <v>5.79</v>
      </c>
      <c r="F303" s="306"/>
      <c r="G303" s="301">
        <v>2005</v>
      </c>
      <c r="H303" s="200">
        <v>4.54</v>
      </c>
      <c r="I303" s="306">
        <v>1.2123324626520555</v>
      </c>
      <c r="J303" s="301">
        <v>2006</v>
      </c>
      <c r="K303" s="200">
        <v>3.6335294117647057</v>
      </c>
      <c r="L303" s="306">
        <v>0.50461546221442943</v>
      </c>
      <c r="O303" s="45"/>
    </row>
    <row r="304" spans="1:15" ht="12.75" customHeight="1" x14ac:dyDescent="0.2">
      <c r="A304" s="301">
        <v>2006</v>
      </c>
      <c r="B304" s="200">
        <v>3.7065000000000006</v>
      </c>
      <c r="C304" s="306">
        <v>0.60798437479921663</v>
      </c>
      <c r="D304" s="301">
        <v>2010</v>
      </c>
      <c r="E304" s="200">
        <v>4.9400000000000004</v>
      </c>
      <c r="F304" s="306">
        <v>0.3122498999199198</v>
      </c>
      <c r="G304" s="301">
        <v>2006</v>
      </c>
      <c r="H304" s="200">
        <v>5.36</v>
      </c>
      <c r="I304" s="306"/>
      <c r="J304" s="301">
        <v>2007</v>
      </c>
      <c r="K304" s="200">
        <v>4.7831428571428578</v>
      </c>
      <c r="L304" s="306">
        <v>0.49747345091825923</v>
      </c>
      <c r="O304" s="45"/>
    </row>
    <row r="305" spans="1:15" ht="12.75" customHeight="1" x14ac:dyDescent="0.2">
      <c r="A305" s="301">
        <v>2007</v>
      </c>
      <c r="B305" s="200">
        <v>5.2099090909090924</v>
      </c>
      <c r="C305" s="306">
        <v>0.99868123635281469</v>
      </c>
      <c r="D305" s="301">
        <v>2011</v>
      </c>
      <c r="E305" s="200">
        <v>5.23</v>
      </c>
      <c r="F305" s="306">
        <v>1.3585144601591617</v>
      </c>
      <c r="G305" s="301">
        <v>2007</v>
      </c>
      <c r="H305" s="200">
        <v>5.8477777777777762</v>
      </c>
      <c r="I305" s="306">
        <v>0.72807421564842711</v>
      </c>
      <c r="J305" s="301">
        <v>2008</v>
      </c>
      <c r="K305" s="200">
        <v>4.538484848484849</v>
      </c>
      <c r="L305" s="306">
        <v>0.70075013919068174</v>
      </c>
      <c r="O305" s="45"/>
    </row>
    <row r="306" spans="1:15" ht="12.75" customHeight="1" x14ac:dyDescent="0.2">
      <c r="A306" s="301">
        <v>2008</v>
      </c>
      <c r="B306" s="200">
        <v>5.0584000000000007</v>
      </c>
      <c r="C306" s="306">
        <v>1.0344363741888116</v>
      </c>
      <c r="D306" s="301">
        <v>2012</v>
      </c>
      <c r="E306" s="200">
        <v>4.26</v>
      </c>
      <c r="F306" s="306"/>
      <c r="G306" s="301">
        <v>2008</v>
      </c>
      <c r="H306" s="200">
        <v>6.0676470588235309</v>
      </c>
      <c r="I306" s="306">
        <v>0.80944062021067498</v>
      </c>
      <c r="J306" s="301">
        <v>2009</v>
      </c>
      <c r="K306" s="200">
        <v>3.2936363636363635</v>
      </c>
      <c r="L306" s="306">
        <v>0.62055253971396873</v>
      </c>
      <c r="O306" s="45"/>
    </row>
    <row r="307" spans="1:15" ht="12.75" customHeight="1" x14ac:dyDescent="0.2">
      <c r="A307" s="301">
        <v>2009</v>
      </c>
      <c r="B307" s="200">
        <v>3.7700000000000005</v>
      </c>
      <c r="C307" s="306">
        <v>0.60932497329169022</v>
      </c>
      <c r="D307" s="291">
        <v>2013</v>
      </c>
      <c r="E307" s="200">
        <v>5.61</v>
      </c>
      <c r="F307" s="306"/>
      <c r="G307" s="301">
        <v>2009</v>
      </c>
      <c r="H307" s="200">
        <v>3.9506896551724129</v>
      </c>
      <c r="I307" s="306">
        <v>0.50659882010524571</v>
      </c>
      <c r="J307" s="301">
        <v>2010</v>
      </c>
      <c r="K307" s="200">
        <v>2.87</v>
      </c>
      <c r="L307" s="306">
        <v>0.24041630560342606</v>
      </c>
      <c r="O307" s="45"/>
    </row>
    <row r="308" spans="1:15" ht="12.75" customHeight="1" x14ac:dyDescent="0.2">
      <c r="A308" s="301">
        <v>2010</v>
      </c>
      <c r="B308" s="200">
        <v>3.8789473684210529</v>
      </c>
      <c r="C308" s="306">
        <v>0.54874497959578505</v>
      </c>
      <c r="D308" s="291">
        <v>2016</v>
      </c>
      <c r="E308" s="200">
        <v>5.63</v>
      </c>
      <c r="F308" s="306"/>
      <c r="G308" s="301">
        <v>2010</v>
      </c>
      <c r="H308" s="200">
        <v>3.9976470588235289</v>
      </c>
      <c r="I308" s="306">
        <v>0.43923981792075967</v>
      </c>
      <c r="J308" s="301">
        <v>2011</v>
      </c>
      <c r="K308" s="200">
        <v>3.7753125000000001</v>
      </c>
      <c r="L308" s="306">
        <v>0.7155777470665039</v>
      </c>
      <c r="O308" s="45"/>
    </row>
    <row r="309" spans="1:15" ht="12.75" customHeight="1" x14ac:dyDescent="0.2">
      <c r="A309" s="301">
        <v>2011</v>
      </c>
      <c r="B309" s="200">
        <v>4.8469642857142858</v>
      </c>
      <c r="C309" s="306">
        <v>1.3794820103513916</v>
      </c>
      <c r="D309" s="304">
        <v>2017</v>
      </c>
      <c r="E309" s="225">
        <v>6.81</v>
      </c>
      <c r="F309" s="310"/>
      <c r="G309" s="301">
        <v>2011</v>
      </c>
      <c r="H309" s="200">
        <v>5.7744186046511627</v>
      </c>
      <c r="I309" s="306">
        <v>0.91012375486493258</v>
      </c>
      <c r="J309" s="301">
        <v>2012</v>
      </c>
      <c r="K309" s="200">
        <v>3.1223076923076922</v>
      </c>
      <c r="L309" s="306">
        <v>0.53613363190072427</v>
      </c>
      <c r="O309" s="45"/>
    </row>
    <row r="310" spans="1:15" ht="12.75" customHeight="1" x14ac:dyDescent="0.2">
      <c r="A310" s="301">
        <v>2012</v>
      </c>
      <c r="B310" s="200">
        <v>3.3535443037974693</v>
      </c>
      <c r="C310" s="306">
        <v>0.63577539570294261</v>
      </c>
      <c r="G310" s="301">
        <v>2012</v>
      </c>
      <c r="H310" s="200">
        <v>3.8049999999999997</v>
      </c>
      <c r="I310" s="306">
        <v>0.52100532792298659</v>
      </c>
      <c r="J310" s="291">
        <v>2013</v>
      </c>
      <c r="K310" s="200">
        <v>3.6512499999999997</v>
      </c>
      <c r="L310" s="306">
        <v>0.498547569934085</v>
      </c>
      <c r="O310" s="45"/>
    </row>
    <row r="311" spans="1:15" ht="12.75" customHeight="1" x14ac:dyDescent="0.2">
      <c r="A311" s="291">
        <v>2013</v>
      </c>
      <c r="B311" s="200">
        <v>3.7395744680851055</v>
      </c>
      <c r="C311" s="306">
        <v>0.63544560690428276</v>
      </c>
      <c r="D311" s="45"/>
      <c r="E311" s="230"/>
      <c r="F311" s="230"/>
      <c r="G311" s="291">
        <v>2013</v>
      </c>
      <c r="H311" s="200">
        <v>4.2442857142857138</v>
      </c>
      <c r="I311" s="306">
        <v>1.0634669269713579</v>
      </c>
      <c r="J311" s="291">
        <v>2014</v>
      </c>
      <c r="K311" s="200">
        <v>4.1112068965517237</v>
      </c>
      <c r="L311" s="306">
        <v>0.82394659507188761</v>
      </c>
      <c r="O311" s="45"/>
    </row>
    <row r="312" spans="1:15" ht="12.75" customHeight="1" x14ac:dyDescent="0.2">
      <c r="A312" s="291">
        <v>2014</v>
      </c>
      <c r="B312" s="200">
        <v>4.2334920634920632</v>
      </c>
      <c r="C312" s="306">
        <v>0.9018603688687078</v>
      </c>
      <c r="D312" s="118"/>
      <c r="E312" s="230"/>
      <c r="F312" s="230"/>
      <c r="G312" s="291">
        <v>2014</v>
      </c>
      <c r="H312" s="200">
        <v>5.6520000000000001</v>
      </c>
      <c r="I312" s="306">
        <v>0.44807365465958837</v>
      </c>
      <c r="J312" s="291">
        <v>2016</v>
      </c>
      <c r="K312" s="200">
        <v>3.9352941176470591</v>
      </c>
      <c r="L312" s="306">
        <v>0.49862457880476702</v>
      </c>
      <c r="O312" s="45"/>
    </row>
    <row r="313" spans="1:15" ht="12.75" customHeight="1" x14ac:dyDescent="0.2">
      <c r="A313" s="291">
        <v>2016</v>
      </c>
      <c r="B313" s="200">
        <v>4.0266666666666664</v>
      </c>
      <c r="C313" s="306">
        <v>0.63779568306264012</v>
      </c>
      <c r="D313" s="118"/>
      <c r="E313" s="104"/>
      <c r="F313" s="73"/>
      <c r="G313" s="291">
        <v>2016</v>
      </c>
      <c r="H313" s="200">
        <v>4.415</v>
      </c>
      <c r="I313" s="306">
        <v>1.0665364503850763</v>
      </c>
      <c r="J313" s="308">
        <v>2017</v>
      </c>
      <c r="K313" s="225">
        <v>5.0263999999999989</v>
      </c>
      <c r="L313" s="310">
        <v>0.70829130407522278</v>
      </c>
      <c r="O313" s="45"/>
    </row>
    <row r="314" spans="1:15" ht="12.75" customHeight="1" x14ac:dyDescent="0.2">
      <c r="A314" s="304">
        <v>2017</v>
      </c>
      <c r="B314" s="225">
        <v>5.7008333333333336</v>
      </c>
      <c r="C314" s="310">
        <v>1.5699473918205367</v>
      </c>
      <c r="D314" s="230"/>
      <c r="E314" s="142"/>
      <c r="F314" s="73"/>
      <c r="G314" s="308">
        <v>2017</v>
      </c>
      <c r="H314" s="225">
        <v>6.2822413793103467</v>
      </c>
      <c r="I314" s="310">
        <v>1.8581041489736594</v>
      </c>
      <c r="J314" s="307"/>
      <c r="K314" s="307"/>
      <c r="L314" s="309"/>
      <c r="O314" s="230"/>
    </row>
    <row r="315" spans="1:15" ht="12.75" customHeight="1" x14ac:dyDescent="0.2">
      <c r="A315" s="230"/>
      <c r="B315" s="230"/>
      <c r="C315" s="45"/>
      <c r="D315" s="45"/>
      <c r="E315" s="230"/>
      <c r="F315" s="230"/>
      <c r="G315" s="230"/>
      <c r="H315" s="230"/>
      <c r="I315" s="230"/>
      <c r="J315" s="230"/>
      <c r="K315" s="45"/>
      <c r="L315" s="45"/>
      <c r="O315" s="230"/>
    </row>
    <row r="316" spans="1:15" ht="12.75" customHeight="1" x14ac:dyDescent="0.2">
      <c r="G316" s="8"/>
      <c r="O316" s="230"/>
    </row>
    <row r="317" spans="1:15" ht="12.75" customHeight="1" x14ac:dyDescent="0.2">
      <c r="G317" s="45"/>
      <c r="O317" s="230"/>
    </row>
    <row r="318" spans="1:15" ht="12.75" customHeight="1" x14ac:dyDescent="0.2">
      <c r="A318" s="104" t="s">
        <v>332</v>
      </c>
    </row>
    <row r="319" spans="1:15" ht="12.75" customHeight="1" x14ac:dyDescent="0.2">
      <c r="A319" s="104" t="s">
        <v>1</v>
      </c>
      <c r="B319" s="104" t="s">
        <v>333</v>
      </c>
      <c r="C319" s="55" t="s">
        <v>334</v>
      </c>
      <c r="D319" s="104" t="s">
        <v>335</v>
      </c>
      <c r="E319" s="45"/>
      <c r="F319" s="45"/>
      <c r="G319" s="45"/>
      <c r="H319" s="45"/>
      <c r="I319" s="45"/>
      <c r="J319" s="45"/>
    </row>
    <row r="320" spans="1:15" ht="12.75" customHeight="1" x14ac:dyDescent="0.2">
      <c r="A320" s="8">
        <v>1990</v>
      </c>
      <c r="B320" s="104" t="s">
        <v>336</v>
      </c>
      <c r="C320" s="174">
        <v>42593</v>
      </c>
      <c r="D320" s="51">
        <v>3.8461538461538463</v>
      </c>
      <c r="E320" s="45"/>
      <c r="F320" s="265">
        <v>42941</v>
      </c>
      <c r="G320">
        <v>39.6</v>
      </c>
      <c r="H320">
        <v>2008</v>
      </c>
      <c r="I320" s="45"/>
      <c r="J320" s="265"/>
      <c r="K320" s="316"/>
    </row>
    <row r="321" spans="1:14" ht="12.75" customHeight="1" x14ac:dyDescent="0.2">
      <c r="A321" s="8">
        <v>1991</v>
      </c>
      <c r="B321" s="104" t="s">
        <v>337</v>
      </c>
      <c r="C321" s="174">
        <v>42596</v>
      </c>
      <c r="D321" s="51">
        <v>46.666666666666664</v>
      </c>
      <c r="E321" s="45"/>
      <c r="F321" s="265">
        <v>42945</v>
      </c>
      <c r="G321">
        <v>39.24</v>
      </c>
      <c r="H321">
        <v>2004</v>
      </c>
      <c r="I321" s="45"/>
      <c r="J321" s="265"/>
      <c r="K321" s="316"/>
      <c r="L321" s="118"/>
    </row>
    <row r="322" spans="1:14" ht="12.75" customHeight="1" x14ac:dyDescent="0.2">
      <c r="A322" s="8">
        <v>1992</v>
      </c>
      <c r="B322" s="104" t="s">
        <v>338</v>
      </c>
      <c r="C322" s="174">
        <v>42589</v>
      </c>
      <c r="D322" s="51">
        <v>92.436974789915965</v>
      </c>
      <c r="E322" s="45"/>
      <c r="F322" s="265">
        <v>42946</v>
      </c>
      <c r="G322">
        <v>32.89</v>
      </c>
      <c r="H322">
        <v>2007</v>
      </c>
      <c r="I322" s="45"/>
      <c r="J322" s="265"/>
      <c r="K322" s="316"/>
      <c r="L322" s="118"/>
    </row>
    <row r="323" spans="1:14" ht="12.75" customHeight="1" x14ac:dyDescent="0.2">
      <c r="A323" s="8">
        <v>1993</v>
      </c>
      <c r="B323" s="104" t="s">
        <v>339</v>
      </c>
      <c r="C323" s="177">
        <v>42591</v>
      </c>
      <c r="D323" s="51">
        <v>89.705882352941174</v>
      </c>
      <c r="E323" s="45"/>
      <c r="F323" s="265">
        <v>42947</v>
      </c>
      <c r="G323">
        <v>16.670000000000002</v>
      </c>
      <c r="H323">
        <v>1999</v>
      </c>
      <c r="I323" s="45"/>
      <c r="J323" s="265"/>
      <c r="K323" s="316"/>
      <c r="L323" s="118"/>
    </row>
    <row r="324" spans="1:14" ht="12.75" customHeight="1" x14ac:dyDescent="0.2">
      <c r="A324" s="8">
        <v>1994</v>
      </c>
      <c r="B324" s="104" t="s">
        <v>340</v>
      </c>
      <c r="C324" s="174">
        <v>42596</v>
      </c>
      <c r="D324" s="51">
        <v>55.844155844155843</v>
      </c>
      <c r="E324" s="45"/>
      <c r="F324" s="265">
        <v>42947</v>
      </c>
      <c r="G324">
        <v>33.65</v>
      </c>
      <c r="H324">
        <v>2012</v>
      </c>
      <c r="I324" s="45"/>
      <c r="J324" s="265"/>
      <c r="K324" s="316"/>
      <c r="L324" s="118"/>
    </row>
    <row r="325" spans="1:14" ht="12.75" customHeight="1" x14ac:dyDescent="0.2">
      <c r="A325" s="8">
        <v>1995</v>
      </c>
      <c r="B325" s="104" t="s">
        <v>341</v>
      </c>
      <c r="C325" s="174">
        <v>42589</v>
      </c>
      <c r="D325" s="51">
        <v>70.33898305084746</v>
      </c>
      <c r="E325" s="45"/>
      <c r="F325" s="265">
        <v>42948</v>
      </c>
      <c r="G325">
        <v>24.29</v>
      </c>
      <c r="H325">
        <v>2013</v>
      </c>
      <c r="I325" s="112"/>
      <c r="J325" s="265"/>
      <c r="K325" s="316"/>
      <c r="L325" s="118"/>
    </row>
    <row r="326" spans="1:14" ht="12.75" customHeight="1" x14ac:dyDescent="0.2">
      <c r="A326" s="8">
        <v>1996</v>
      </c>
      <c r="B326" s="104" t="s">
        <v>342</v>
      </c>
      <c r="C326" s="174">
        <v>42589</v>
      </c>
      <c r="D326" s="51">
        <v>7.6923076923076925</v>
      </c>
      <c r="E326" s="45"/>
      <c r="F326" s="265">
        <v>42949</v>
      </c>
      <c r="G326">
        <v>79.45</v>
      </c>
      <c r="H326">
        <v>2003</v>
      </c>
      <c r="I326" s="123"/>
      <c r="J326" s="265"/>
      <c r="K326" s="316"/>
      <c r="L326" s="118"/>
    </row>
    <row r="327" spans="1:14" ht="12.75" customHeight="1" x14ac:dyDescent="0.2">
      <c r="A327" s="8">
        <v>1997</v>
      </c>
      <c r="B327" s="104" t="s">
        <v>343</v>
      </c>
      <c r="C327" s="174">
        <v>42587</v>
      </c>
      <c r="D327" s="51">
        <v>78.965517241379317</v>
      </c>
      <c r="E327" s="45"/>
      <c r="F327" s="265">
        <v>42950</v>
      </c>
      <c r="G327">
        <v>72.41</v>
      </c>
      <c r="H327">
        <v>2009</v>
      </c>
      <c r="I327" s="112"/>
      <c r="J327" s="265"/>
      <c r="K327" s="316"/>
      <c r="L327" s="118"/>
    </row>
    <row r="328" spans="1:14" ht="12.75" customHeight="1" x14ac:dyDescent="0.2">
      <c r="A328" s="8">
        <v>1998</v>
      </c>
      <c r="B328" s="104" t="s">
        <v>344</v>
      </c>
      <c r="C328" s="174">
        <v>42592</v>
      </c>
      <c r="D328" s="51">
        <v>24.137931034482758</v>
      </c>
      <c r="E328" s="45"/>
      <c r="F328" s="265">
        <v>42950</v>
      </c>
      <c r="G328">
        <v>88.89</v>
      </c>
      <c r="H328">
        <v>2010</v>
      </c>
      <c r="I328" s="123"/>
      <c r="J328" s="265"/>
      <c r="K328" s="316"/>
      <c r="L328" s="118"/>
    </row>
    <row r="329" spans="1:14" ht="12.75" customHeight="1" x14ac:dyDescent="0.2">
      <c r="A329" s="8">
        <v>1999</v>
      </c>
      <c r="B329" s="104" t="s">
        <v>345</v>
      </c>
      <c r="C329" s="176">
        <v>42582</v>
      </c>
      <c r="D329" s="51">
        <v>16.666666666666664</v>
      </c>
      <c r="E329" s="45"/>
      <c r="F329" s="265">
        <v>42951</v>
      </c>
      <c r="G329">
        <v>18.100000000000001</v>
      </c>
      <c r="H329">
        <v>2001</v>
      </c>
      <c r="I329" s="123"/>
      <c r="J329" s="265"/>
      <c r="K329" s="316"/>
      <c r="L329" s="118"/>
    </row>
    <row r="330" spans="1:14" ht="12.75" customHeight="1" x14ac:dyDescent="0.2">
      <c r="A330" s="8">
        <v>2000</v>
      </c>
      <c r="B330" s="104" t="s">
        <v>346</v>
      </c>
      <c r="C330" s="174">
        <v>42591</v>
      </c>
      <c r="D330" s="51">
        <v>6.666666666666667</v>
      </c>
      <c r="E330" s="45"/>
      <c r="F330" s="265">
        <v>42951</v>
      </c>
      <c r="G330">
        <v>8.89</v>
      </c>
      <c r="H330">
        <v>2014</v>
      </c>
      <c r="I330" s="123"/>
      <c r="J330" s="265"/>
      <c r="K330" s="316"/>
      <c r="L330" s="118"/>
    </row>
    <row r="331" spans="1:14" s="230" customFormat="1" ht="12.75" customHeight="1" x14ac:dyDescent="0.2">
      <c r="A331" s="8">
        <v>2001</v>
      </c>
      <c r="B331" s="104" t="s">
        <v>347</v>
      </c>
      <c r="C331" s="174">
        <v>42586</v>
      </c>
      <c r="D331" s="51">
        <v>18.103448275862068</v>
      </c>
      <c r="E331" s="45"/>
      <c r="F331" s="265">
        <v>42952</v>
      </c>
      <c r="G331">
        <v>78.97</v>
      </c>
      <c r="H331">
        <v>1997</v>
      </c>
      <c r="I331" s="123"/>
      <c r="J331" s="265"/>
      <c r="K331" s="316"/>
      <c r="L331" s="118"/>
      <c r="M331"/>
      <c r="N331"/>
    </row>
    <row r="332" spans="1:14" ht="12.75" customHeight="1" x14ac:dyDescent="0.2">
      <c r="A332" s="8">
        <v>2002</v>
      </c>
      <c r="B332" s="104" t="s">
        <v>348</v>
      </c>
      <c r="C332" s="174">
        <v>42592</v>
      </c>
      <c r="D332" s="51">
        <v>57.47126436781609</v>
      </c>
      <c r="E332" s="45"/>
      <c r="F332" s="265">
        <v>42952</v>
      </c>
      <c r="G332">
        <v>51.69</v>
      </c>
      <c r="H332">
        <v>2011</v>
      </c>
      <c r="I332" s="123"/>
      <c r="J332" s="265"/>
      <c r="K332" s="316"/>
      <c r="L332" s="118"/>
    </row>
    <row r="333" spans="1:14" ht="12.75" customHeight="1" x14ac:dyDescent="0.2">
      <c r="A333" s="8">
        <v>2003</v>
      </c>
      <c r="B333" s="104" t="s">
        <v>349</v>
      </c>
      <c r="C333" s="174">
        <v>42584</v>
      </c>
      <c r="D333" s="51">
        <v>79.452054794520549</v>
      </c>
      <c r="E333" s="45"/>
      <c r="F333" s="265">
        <v>42953</v>
      </c>
      <c r="G333">
        <v>4.8099999999999996</v>
      </c>
      <c r="H333">
        <v>2005</v>
      </c>
      <c r="I333" s="123"/>
      <c r="J333" s="265"/>
      <c r="K333" s="316"/>
      <c r="L333" s="118"/>
    </row>
    <row r="334" spans="1:14" ht="12.75" customHeight="1" x14ac:dyDescent="0.2">
      <c r="A334" s="8">
        <v>2004</v>
      </c>
      <c r="B334" s="104" t="s">
        <v>350</v>
      </c>
      <c r="C334" s="176">
        <v>42580</v>
      </c>
      <c r="D334" s="51">
        <v>39.24050632911392</v>
      </c>
      <c r="E334" s="45"/>
      <c r="F334" s="265">
        <v>42954</v>
      </c>
      <c r="G334">
        <v>92.44</v>
      </c>
      <c r="H334">
        <v>1992</v>
      </c>
      <c r="I334" s="123"/>
      <c r="J334" s="265"/>
      <c r="K334" s="316"/>
      <c r="L334" s="118"/>
    </row>
    <row r="335" spans="1:14" ht="12.75" customHeight="1" x14ac:dyDescent="0.2">
      <c r="A335" s="8">
        <v>2005</v>
      </c>
      <c r="B335" s="104" t="s">
        <v>351</v>
      </c>
      <c r="C335" s="174">
        <v>42588</v>
      </c>
      <c r="D335" s="51">
        <v>4.8076923076923084</v>
      </c>
      <c r="E335" s="45"/>
      <c r="F335" s="265">
        <v>42954</v>
      </c>
      <c r="G335">
        <v>70.34</v>
      </c>
      <c r="H335">
        <v>1995</v>
      </c>
      <c r="I335" s="123"/>
      <c r="J335" s="265"/>
      <c r="K335" s="316"/>
      <c r="L335" s="118"/>
    </row>
    <row r="336" spans="1:14" ht="12.75" customHeight="1" x14ac:dyDescent="0.2">
      <c r="A336" s="8">
        <v>2006</v>
      </c>
      <c r="B336" s="104" t="s">
        <v>352</v>
      </c>
      <c r="C336" s="174">
        <v>42592</v>
      </c>
      <c r="D336" s="51">
        <v>4.1666666666666661</v>
      </c>
      <c r="E336" s="45"/>
      <c r="F336" s="265">
        <v>42954</v>
      </c>
      <c r="G336">
        <v>7.69</v>
      </c>
      <c r="H336">
        <v>1996</v>
      </c>
      <c r="I336" s="123"/>
      <c r="J336" s="265"/>
      <c r="K336" s="316"/>
      <c r="L336" s="118"/>
    </row>
    <row r="337" spans="1:12" ht="12.75" customHeight="1" x14ac:dyDescent="0.2">
      <c r="A337" s="8">
        <v>2007</v>
      </c>
      <c r="B337" s="104" t="s">
        <v>353</v>
      </c>
      <c r="C337" s="176">
        <v>42581</v>
      </c>
      <c r="D337" s="51">
        <v>32.885906040268459</v>
      </c>
      <c r="E337" s="45"/>
      <c r="F337" s="265">
        <v>42955</v>
      </c>
      <c r="G337">
        <v>49.51</v>
      </c>
      <c r="H337">
        <v>2017</v>
      </c>
      <c r="I337" s="123"/>
      <c r="J337" s="265"/>
      <c r="K337" s="316"/>
      <c r="L337" s="118"/>
    </row>
    <row r="338" spans="1:12" ht="12.75" customHeight="1" x14ac:dyDescent="0.2">
      <c r="A338" s="8">
        <v>2008</v>
      </c>
      <c r="B338" s="104" t="s">
        <v>354</v>
      </c>
      <c r="C338" s="176">
        <v>42576</v>
      </c>
      <c r="D338" s="51">
        <v>39.603960396039604</v>
      </c>
      <c r="E338" s="45"/>
      <c r="F338" s="265">
        <v>42956</v>
      </c>
      <c r="G338">
        <v>89.71</v>
      </c>
      <c r="H338">
        <v>1993</v>
      </c>
      <c r="I338" s="123"/>
      <c r="J338" s="265"/>
      <c r="K338" s="316"/>
      <c r="L338" s="118"/>
    </row>
    <row r="339" spans="1:12" ht="12.75" customHeight="1" x14ac:dyDescent="0.2">
      <c r="A339" s="8">
        <v>2009</v>
      </c>
      <c r="B339" s="104" t="s">
        <v>355</v>
      </c>
      <c r="C339" s="174">
        <v>42585</v>
      </c>
      <c r="D339" s="51">
        <v>72.41379310344827</v>
      </c>
      <c r="E339" s="45"/>
      <c r="F339" s="265">
        <v>42956</v>
      </c>
      <c r="G339">
        <v>6.67</v>
      </c>
      <c r="H339">
        <v>2000</v>
      </c>
      <c r="I339" s="123"/>
      <c r="J339" s="265"/>
      <c r="K339" s="316"/>
      <c r="L339" s="118"/>
    </row>
    <row r="340" spans="1:12" ht="12.75" customHeight="1" x14ac:dyDescent="0.2">
      <c r="A340" s="8">
        <v>2010</v>
      </c>
      <c r="B340" s="104" t="s">
        <v>356</v>
      </c>
      <c r="C340" s="174">
        <v>42585</v>
      </c>
      <c r="D340" s="51">
        <v>88.888888888888886</v>
      </c>
      <c r="E340" s="45"/>
      <c r="F340" s="265">
        <v>42957</v>
      </c>
      <c r="G340">
        <v>24.14</v>
      </c>
      <c r="H340">
        <v>1998</v>
      </c>
      <c r="I340" s="123"/>
      <c r="J340" s="265"/>
      <c r="K340" s="316"/>
      <c r="L340" s="118"/>
    </row>
    <row r="341" spans="1:12" ht="12.75" customHeight="1" x14ac:dyDescent="0.2">
      <c r="A341" s="8">
        <v>2011</v>
      </c>
      <c r="B341" s="104" t="s">
        <v>351</v>
      </c>
      <c r="C341" s="174">
        <v>42587</v>
      </c>
      <c r="D341" s="51">
        <v>51.68539325842697</v>
      </c>
      <c r="E341" s="45"/>
      <c r="F341" s="265">
        <v>42957</v>
      </c>
      <c r="G341">
        <v>57.47</v>
      </c>
      <c r="H341">
        <v>2002</v>
      </c>
      <c r="I341" s="123"/>
      <c r="J341" s="265"/>
      <c r="K341" s="316"/>
      <c r="L341" s="118"/>
    </row>
    <row r="342" spans="1:12" ht="12.75" customHeight="1" x14ac:dyDescent="0.2">
      <c r="A342" s="8">
        <v>2012</v>
      </c>
      <c r="B342" s="104" t="s">
        <v>357</v>
      </c>
      <c r="C342" s="176">
        <v>42582</v>
      </c>
      <c r="D342" s="51">
        <v>33.653846153846153</v>
      </c>
      <c r="E342" s="45"/>
      <c r="F342" s="265">
        <v>42957</v>
      </c>
      <c r="G342">
        <v>4.17</v>
      </c>
      <c r="H342">
        <v>2006</v>
      </c>
      <c r="I342" s="123"/>
      <c r="J342" s="265"/>
      <c r="K342" s="316"/>
      <c r="L342" s="118"/>
    </row>
    <row r="343" spans="1:12" ht="12.75" customHeight="1" x14ac:dyDescent="0.2">
      <c r="A343" s="8">
        <v>2013</v>
      </c>
      <c r="B343" s="104" t="s">
        <v>358</v>
      </c>
      <c r="C343" s="174">
        <v>42583</v>
      </c>
      <c r="D343" s="167">
        <v>24.285714285714285</v>
      </c>
      <c r="E343" s="45"/>
      <c r="F343" s="265">
        <v>42958</v>
      </c>
      <c r="G343">
        <v>3.85</v>
      </c>
      <c r="H343">
        <v>1990</v>
      </c>
      <c r="I343" s="123"/>
      <c r="J343" s="265"/>
      <c r="K343" s="316"/>
      <c r="L343" s="118"/>
    </row>
    <row r="344" spans="1:12" ht="12.75" customHeight="1" x14ac:dyDescent="0.2">
      <c r="A344" s="115">
        <v>2014</v>
      </c>
      <c r="B344" s="104" t="s">
        <v>359</v>
      </c>
      <c r="C344" s="174">
        <v>42586</v>
      </c>
      <c r="D344" s="104">
        <v>8.89</v>
      </c>
      <c r="E344" s="45"/>
      <c r="F344" s="265">
        <v>42958</v>
      </c>
      <c r="G344">
        <v>22.22</v>
      </c>
      <c r="H344">
        <v>2016</v>
      </c>
      <c r="I344" s="123"/>
      <c r="J344" s="265"/>
      <c r="K344" s="316"/>
      <c r="L344" s="167"/>
    </row>
    <row r="345" spans="1:12" ht="12.75" customHeight="1" x14ac:dyDescent="0.2">
      <c r="A345" s="55">
        <v>2016</v>
      </c>
      <c r="B345" s="104" t="s">
        <v>336</v>
      </c>
      <c r="C345" s="174">
        <v>42593</v>
      </c>
      <c r="D345" s="104">
        <v>22.22</v>
      </c>
      <c r="E345" s="45"/>
      <c r="F345" s="265">
        <v>42961</v>
      </c>
      <c r="G345">
        <v>46.67</v>
      </c>
      <c r="H345">
        <v>1991</v>
      </c>
      <c r="I345" s="123"/>
      <c r="J345" s="265"/>
      <c r="K345" s="316"/>
      <c r="L345" s="104"/>
    </row>
    <row r="346" spans="1:12" ht="12.75" customHeight="1" x14ac:dyDescent="0.2">
      <c r="A346">
        <v>2017</v>
      </c>
      <c r="B346" t="s">
        <v>515</v>
      </c>
      <c r="C346" s="265">
        <v>42955</v>
      </c>
      <c r="D346">
        <v>49.51</v>
      </c>
      <c r="E346" s="123"/>
      <c r="F346" s="265">
        <v>42961</v>
      </c>
      <c r="G346">
        <v>55.84</v>
      </c>
      <c r="H346">
        <v>1994</v>
      </c>
      <c r="I346" s="123"/>
      <c r="J346" s="265"/>
      <c r="K346" s="316"/>
      <c r="L346" s="104"/>
    </row>
    <row r="347" spans="1:12" ht="12.75" customHeight="1" x14ac:dyDescent="0.2">
      <c r="A347" s="45"/>
      <c r="B347" s="45"/>
      <c r="C347" s="45"/>
      <c r="D347" s="45"/>
      <c r="E347" s="123"/>
      <c r="F347" s="123"/>
      <c r="G347" s="112"/>
      <c r="H347" s="123"/>
      <c r="I347" s="123"/>
      <c r="J347" s="123"/>
      <c r="K347" s="123"/>
      <c r="L347" s="316"/>
    </row>
    <row r="348" spans="1:12" ht="12.75" customHeight="1" x14ac:dyDescent="0.2">
      <c r="A348" s="45"/>
      <c r="B348" s="45"/>
      <c r="C348" s="45"/>
      <c r="D348" s="45"/>
      <c r="E348" s="123"/>
      <c r="F348" s="123"/>
      <c r="G348" s="112"/>
      <c r="I348" s="123"/>
      <c r="J348" s="45"/>
    </row>
    <row r="349" spans="1:12" ht="12.75" customHeight="1" x14ac:dyDescent="0.2">
      <c r="A349" s="45"/>
      <c r="B349" s="45"/>
      <c r="C349" s="45"/>
      <c r="D349" s="45"/>
      <c r="E349" s="178"/>
      <c r="F349" s="124"/>
      <c r="G349" s="112"/>
      <c r="H349" s="123"/>
      <c r="I349" s="123"/>
      <c r="J349" s="45"/>
    </row>
    <row r="350" spans="1:12" ht="12.75" customHeight="1" x14ac:dyDescent="0.2">
      <c r="A350" s="45"/>
      <c r="B350" s="45"/>
      <c r="C350" s="45"/>
      <c r="D350" s="45"/>
      <c r="E350" s="123"/>
      <c r="F350" s="123"/>
      <c r="G350" s="112"/>
      <c r="H350" s="123"/>
      <c r="I350" s="123"/>
      <c r="J350" s="45"/>
    </row>
    <row r="351" spans="1:12" ht="12.75" customHeight="1" x14ac:dyDescent="0.2">
      <c r="A351" s="45"/>
      <c r="B351" s="45"/>
      <c r="C351" s="45"/>
      <c r="D351" s="45"/>
      <c r="E351" s="112"/>
      <c r="F351" s="112"/>
      <c r="G351" s="112"/>
      <c r="H351" s="178"/>
      <c r="I351" s="123"/>
      <c r="J351" s="45"/>
    </row>
    <row r="352" spans="1:12" ht="12.75" customHeight="1" x14ac:dyDescent="0.2">
      <c r="A352" s="45"/>
      <c r="B352" s="45"/>
      <c r="C352" s="45"/>
      <c r="D352" s="45"/>
      <c r="E352" s="112"/>
      <c r="F352" s="112"/>
      <c r="G352" s="112"/>
      <c r="H352" s="123"/>
      <c r="I352" s="123"/>
      <c r="J352" s="45"/>
    </row>
    <row r="353" spans="1:10" ht="12.75" customHeight="1" x14ac:dyDescent="0.2">
      <c r="A353" s="45"/>
      <c r="B353" s="45"/>
      <c r="C353" s="45"/>
      <c r="D353" s="45"/>
      <c r="E353" s="112"/>
      <c r="F353" s="112"/>
      <c r="G353" s="112"/>
      <c r="H353" s="112"/>
      <c r="I353" s="112"/>
      <c r="J353" s="45"/>
    </row>
    <row r="354" spans="1:10" ht="12.75" customHeight="1" x14ac:dyDescent="0.2">
      <c r="A354" s="45"/>
      <c r="B354" s="45"/>
      <c r="C354" s="45"/>
      <c r="D354" s="45"/>
      <c r="E354" s="124"/>
      <c r="F354" s="112"/>
      <c r="G354" s="112"/>
      <c r="H354" s="112"/>
      <c r="I354" s="112"/>
      <c r="J354" s="45"/>
    </row>
    <row r="355" spans="1:10" ht="12.75" customHeight="1" x14ac:dyDescent="0.2">
      <c r="A355" s="45"/>
      <c r="B355" s="45"/>
      <c r="C355" s="45"/>
      <c r="D355" s="45"/>
      <c r="E355" s="45"/>
      <c r="F355" s="45"/>
      <c r="G355" s="45"/>
      <c r="H355" s="124"/>
      <c r="I355" s="112"/>
      <c r="J355" s="45"/>
    </row>
    <row r="356" spans="1:10" ht="12.75" customHeight="1" x14ac:dyDescent="0.2">
      <c r="A356" s="45"/>
      <c r="B356" s="45"/>
      <c r="C356" s="45"/>
      <c r="D356" s="45"/>
      <c r="E356" s="45"/>
      <c r="F356" s="45"/>
      <c r="G356" s="45"/>
      <c r="H356" s="45"/>
      <c r="I356" s="45"/>
      <c r="J356" s="45"/>
    </row>
    <row r="357" spans="1:10" ht="12.75" customHeight="1" x14ac:dyDescent="0.2">
      <c r="A357" s="45"/>
      <c r="B357" s="45"/>
      <c r="C357" s="45"/>
      <c r="D357" s="45"/>
      <c r="E357" s="45"/>
      <c r="F357" s="45"/>
      <c r="G357" s="45"/>
      <c r="H357" s="45"/>
      <c r="I357" s="45"/>
      <c r="J357" s="45"/>
    </row>
    <row r="358" spans="1:10" ht="12.75" customHeight="1" x14ac:dyDescent="0.2">
      <c r="A358" s="45"/>
      <c r="B358" s="45"/>
      <c r="C358" s="45"/>
      <c r="D358" s="45"/>
      <c r="E358" s="45"/>
      <c r="F358" s="45"/>
      <c r="G358" s="45"/>
      <c r="H358" s="45"/>
      <c r="I358" s="45"/>
      <c r="J358" s="45"/>
    </row>
    <row r="359" spans="1:10" ht="12.75" customHeight="1" x14ac:dyDescent="0.2">
      <c r="A359" s="45"/>
      <c r="B359" s="45"/>
      <c r="C359" s="45"/>
      <c r="D359" s="45"/>
      <c r="E359" s="45"/>
      <c r="F359" s="45"/>
      <c r="G359" s="45"/>
      <c r="H359" s="45"/>
      <c r="I359" s="45"/>
      <c r="J359" s="45"/>
    </row>
    <row r="360" spans="1:10" ht="12.75" customHeight="1" x14ac:dyDescent="0.2">
      <c r="A360" s="45"/>
      <c r="B360" s="45"/>
      <c r="C360" s="45"/>
      <c r="D360" s="45"/>
      <c r="E360" s="45"/>
      <c r="F360" s="45"/>
      <c r="G360" s="45"/>
      <c r="H360" s="45"/>
      <c r="I360" s="45"/>
      <c r="J360" s="45"/>
    </row>
    <row r="361" spans="1:10" ht="12.75" customHeight="1" x14ac:dyDescent="0.2">
      <c r="A361" s="45"/>
      <c r="B361" s="45"/>
      <c r="C361" s="45"/>
      <c r="D361" s="45"/>
      <c r="E361" s="45"/>
      <c r="F361" s="45"/>
      <c r="G361" s="45"/>
      <c r="H361" s="45"/>
      <c r="I361" s="45"/>
      <c r="J361" s="45"/>
    </row>
    <row r="362" spans="1:10" ht="12.75" customHeight="1" x14ac:dyDescent="0.2">
      <c r="A362" s="45"/>
      <c r="B362" s="45"/>
      <c r="C362" s="45"/>
      <c r="D362" s="45"/>
      <c r="E362" s="45"/>
      <c r="F362" s="45"/>
      <c r="G362" s="45"/>
      <c r="H362" s="45"/>
      <c r="I362" s="45"/>
      <c r="J362" s="45"/>
    </row>
    <row r="363" spans="1:10" ht="12.75" customHeight="1" x14ac:dyDescent="0.2">
      <c r="A363" s="45"/>
      <c r="B363" s="45"/>
      <c r="C363" s="45"/>
      <c r="D363" s="45"/>
      <c r="E363" s="45"/>
      <c r="F363" s="45"/>
      <c r="G363" s="45"/>
      <c r="H363" s="45"/>
      <c r="I363" s="45"/>
      <c r="J363" s="45"/>
    </row>
    <row r="364" spans="1:10" ht="12.75" customHeight="1" x14ac:dyDescent="0.2">
      <c r="A364" s="45"/>
      <c r="B364" s="45"/>
      <c r="C364" s="45"/>
      <c r="D364" s="45"/>
      <c r="E364" s="45"/>
      <c r="F364" s="45"/>
      <c r="G364" s="45"/>
      <c r="H364" s="45"/>
      <c r="I364" s="45"/>
      <c r="J364" s="45"/>
    </row>
    <row r="365" spans="1:10" ht="12.75" customHeight="1" x14ac:dyDescent="0.2">
      <c r="A365" s="45"/>
      <c r="B365" s="45"/>
      <c r="C365" s="45"/>
      <c r="D365" s="45"/>
      <c r="E365" s="45"/>
      <c r="F365" s="45"/>
      <c r="G365" s="45"/>
      <c r="H365" s="45"/>
      <c r="I365" s="45"/>
      <c r="J365" s="45"/>
    </row>
    <row r="366" spans="1:10" ht="12.75" customHeight="1" x14ac:dyDescent="0.2">
      <c r="A366" s="45"/>
      <c r="B366" s="45"/>
      <c r="C366" s="45"/>
      <c r="D366" s="45"/>
      <c r="E366" s="45"/>
      <c r="F366" s="45"/>
      <c r="G366" s="45"/>
      <c r="H366" s="45"/>
      <c r="I366" s="45"/>
      <c r="J366" s="45"/>
    </row>
    <row r="367" spans="1:10" ht="12.75" customHeight="1" x14ac:dyDescent="0.2">
      <c r="A367" s="45"/>
      <c r="B367" s="45"/>
      <c r="C367" s="45"/>
      <c r="D367" s="45"/>
      <c r="E367" s="45"/>
      <c r="F367" s="45"/>
      <c r="G367" s="45"/>
      <c r="H367" s="45"/>
      <c r="I367" s="45"/>
      <c r="J367" s="45"/>
    </row>
    <row r="368" spans="1:10" ht="12.75" customHeight="1" x14ac:dyDescent="0.2">
      <c r="A368" s="45"/>
      <c r="B368" s="45"/>
      <c r="C368" s="45"/>
      <c r="D368" s="45"/>
      <c r="E368" s="45"/>
      <c r="F368" s="45"/>
      <c r="G368" s="45"/>
      <c r="H368" s="45"/>
      <c r="I368" s="45"/>
      <c r="J368" s="45"/>
    </row>
    <row r="369" spans="1:10" ht="12.75" customHeight="1" x14ac:dyDescent="0.2">
      <c r="A369" s="45"/>
      <c r="B369" s="45"/>
      <c r="C369" s="45"/>
      <c r="D369" s="45"/>
      <c r="E369" s="45"/>
      <c r="F369" s="45"/>
      <c r="G369" s="45"/>
      <c r="H369" s="45"/>
      <c r="I369" s="45"/>
      <c r="J369" s="45"/>
    </row>
    <row r="370" spans="1:10" ht="12.75" customHeight="1" x14ac:dyDescent="0.2">
      <c r="A370" s="45"/>
      <c r="B370" s="45"/>
      <c r="C370" s="45"/>
      <c r="D370" s="45"/>
      <c r="E370" s="45"/>
      <c r="F370" s="45"/>
      <c r="G370" s="45"/>
      <c r="H370" s="45"/>
      <c r="I370" s="45"/>
      <c r="J370" s="45"/>
    </row>
    <row r="371" spans="1:10" ht="12.75" customHeight="1" x14ac:dyDescent="0.2">
      <c r="A371" s="45"/>
      <c r="B371" s="45"/>
      <c r="C371" s="45"/>
      <c r="D371" s="45"/>
      <c r="E371" s="45"/>
      <c r="F371" s="45"/>
      <c r="G371" s="45"/>
      <c r="H371" s="45"/>
      <c r="I371" s="45"/>
      <c r="J371" s="45"/>
    </row>
    <row r="372" spans="1:10" ht="12.75" customHeight="1" x14ac:dyDescent="0.2">
      <c r="A372" s="45"/>
      <c r="B372" s="45"/>
      <c r="C372" s="45"/>
      <c r="D372" s="45"/>
      <c r="E372" s="45"/>
      <c r="F372" s="45"/>
      <c r="G372" s="45"/>
      <c r="H372" s="45"/>
      <c r="I372" s="45"/>
      <c r="J372" s="45"/>
    </row>
    <row r="373" spans="1:10" ht="12.75" customHeight="1" x14ac:dyDescent="0.2">
      <c r="A373" s="45"/>
      <c r="B373" s="45"/>
      <c r="C373" s="45"/>
      <c r="D373" s="45"/>
      <c r="E373" s="45"/>
      <c r="F373" s="45"/>
      <c r="G373" s="45"/>
      <c r="H373" s="45"/>
      <c r="I373" s="45"/>
      <c r="J373" s="45"/>
    </row>
    <row r="374" spans="1:10" ht="12.75" customHeight="1" x14ac:dyDescent="0.2">
      <c r="A374" s="45"/>
      <c r="B374" s="45"/>
      <c r="C374" s="45"/>
      <c r="D374" s="45"/>
      <c r="E374" s="45"/>
      <c r="F374" s="45"/>
      <c r="G374" s="45"/>
      <c r="H374" s="45"/>
      <c r="I374" s="45"/>
      <c r="J374" s="45"/>
    </row>
    <row r="375" spans="1:10" ht="12.75" customHeight="1" x14ac:dyDescent="0.2">
      <c r="A375" s="45"/>
      <c r="B375" s="45"/>
      <c r="C375" s="45"/>
      <c r="D375" s="45"/>
      <c r="E375" s="45"/>
      <c r="F375" s="45"/>
      <c r="G375" s="45"/>
      <c r="H375" s="45"/>
      <c r="I375" s="45"/>
      <c r="J375" s="45"/>
    </row>
    <row r="376" spans="1:10" ht="12.75" customHeight="1" x14ac:dyDescent="0.2">
      <c r="A376" s="45"/>
      <c r="B376" s="45"/>
      <c r="C376" s="45"/>
      <c r="D376" s="45"/>
      <c r="E376" s="45"/>
      <c r="F376" s="45"/>
      <c r="G376" s="45"/>
      <c r="H376" s="45"/>
      <c r="I376" s="45"/>
      <c r="J376" s="45"/>
    </row>
    <row r="377" spans="1:10" ht="12.75" customHeight="1" x14ac:dyDescent="0.2">
      <c r="A377" s="45"/>
      <c r="B377" s="45"/>
      <c r="C377" s="45"/>
      <c r="D377" s="45"/>
      <c r="E377" s="45"/>
      <c r="F377" s="45"/>
      <c r="G377" s="45"/>
      <c r="H377" s="45"/>
      <c r="I377" s="45"/>
      <c r="J377" s="45"/>
    </row>
    <row r="378" spans="1:10" ht="12.75" customHeight="1" x14ac:dyDescent="0.2">
      <c r="A378" s="45"/>
      <c r="B378" s="45"/>
      <c r="C378" s="45"/>
      <c r="D378" s="45"/>
      <c r="E378" s="45"/>
      <c r="F378" s="45"/>
      <c r="G378" s="45"/>
      <c r="H378" s="45"/>
      <c r="I378" s="45"/>
      <c r="J378" s="45"/>
    </row>
    <row r="379" spans="1:10" ht="12.75" customHeight="1" x14ac:dyDescent="0.2">
      <c r="A379" s="45"/>
      <c r="B379" s="45"/>
      <c r="C379" s="45"/>
      <c r="D379" s="45"/>
      <c r="E379" s="45"/>
      <c r="F379" s="45"/>
      <c r="G379" s="45"/>
      <c r="H379" s="45"/>
      <c r="I379" s="45"/>
      <c r="J379" s="45"/>
    </row>
    <row r="380" spans="1:10" ht="12.75" customHeight="1" x14ac:dyDescent="0.2">
      <c r="A380" s="45"/>
      <c r="B380" s="45"/>
      <c r="C380" s="45"/>
      <c r="D380" s="45"/>
      <c r="E380" s="45"/>
      <c r="F380" s="45"/>
      <c r="G380" s="45"/>
      <c r="H380" s="45"/>
      <c r="I380" s="45"/>
      <c r="J380" s="45"/>
    </row>
    <row r="381" spans="1:10" ht="12.75" customHeight="1" x14ac:dyDescent="0.2">
      <c r="A381" s="45"/>
      <c r="B381" s="45"/>
      <c r="C381" s="45"/>
      <c r="D381" s="45"/>
      <c r="E381" s="45"/>
      <c r="F381" s="45"/>
      <c r="G381" s="45"/>
      <c r="H381" s="45"/>
      <c r="I381" s="45"/>
      <c r="J381" s="45"/>
    </row>
    <row r="382" spans="1:10" ht="12.75" customHeight="1" x14ac:dyDescent="0.2">
      <c r="A382" s="45"/>
      <c r="B382" s="45"/>
      <c r="C382" s="45"/>
      <c r="D382" s="45"/>
      <c r="E382" s="45"/>
      <c r="F382" s="45"/>
      <c r="G382" s="45"/>
      <c r="H382" s="45"/>
      <c r="I382" s="45"/>
      <c r="J382" s="45"/>
    </row>
    <row r="383" spans="1:10" ht="12.75" customHeight="1" x14ac:dyDescent="0.2">
      <c r="A383" s="45"/>
      <c r="B383" s="45"/>
      <c r="C383" s="45"/>
      <c r="D383" s="45"/>
      <c r="E383" s="45"/>
      <c r="F383" s="45"/>
      <c r="G383" s="45"/>
      <c r="H383" s="45"/>
      <c r="I383" s="45"/>
      <c r="J383" s="45"/>
    </row>
    <row r="384" spans="1:10" ht="12.75" customHeight="1" x14ac:dyDescent="0.2">
      <c r="A384" s="45"/>
      <c r="B384" s="45"/>
      <c r="C384" s="45"/>
      <c r="D384" s="45"/>
      <c r="E384" s="45"/>
      <c r="F384" s="45"/>
      <c r="G384" s="45"/>
      <c r="H384" s="45"/>
      <c r="I384" s="45"/>
      <c r="J384" s="45"/>
    </row>
    <row r="385" spans="1:10" ht="12.75" customHeight="1" x14ac:dyDescent="0.2">
      <c r="A385" s="45"/>
      <c r="B385" s="45"/>
      <c r="C385" s="45"/>
      <c r="D385" s="45"/>
      <c r="E385" s="45"/>
      <c r="F385" s="45"/>
      <c r="G385" s="45"/>
      <c r="H385" s="45"/>
      <c r="I385" s="45"/>
      <c r="J385" s="45"/>
    </row>
    <row r="386" spans="1:10" ht="12.75" customHeight="1" x14ac:dyDescent="0.2">
      <c r="A386" s="45"/>
      <c r="B386" s="45"/>
      <c r="C386" s="45"/>
      <c r="D386" s="45"/>
      <c r="E386" s="45"/>
      <c r="F386" s="45"/>
      <c r="G386" s="45"/>
      <c r="H386" s="45"/>
      <c r="I386" s="45"/>
      <c r="J386" s="45"/>
    </row>
    <row r="387" spans="1:10" ht="12.75" customHeight="1" x14ac:dyDescent="0.2">
      <c r="A387" s="45"/>
      <c r="B387" s="45"/>
      <c r="C387" s="45"/>
      <c r="D387" s="45"/>
      <c r="E387" s="45"/>
      <c r="F387" s="45"/>
      <c r="G387" s="45"/>
      <c r="H387" s="45"/>
      <c r="I387" s="45"/>
      <c r="J387" s="45"/>
    </row>
    <row r="388" spans="1:10" ht="12.75" customHeight="1" x14ac:dyDescent="0.2">
      <c r="A388" s="45"/>
      <c r="B388" s="45"/>
      <c r="C388" s="45"/>
      <c r="D388" s="45"/>
      <c r="E388" s="45"/>
      <c r="F388" s="45"/>
      <c r="G388" s="45"/>
      <c r="H388" s="45"/>
      <c r="I388" s="45"/>
      <c r="J388" s="45"/>
    </row>
    <row r="389" spans="1:10" ht="12.75" customHeight="1" x14ac:dyDescent="0.2">
      <c r="A389" s="45"/>
      <c r="B389" s="45"/>
      <c r="C389" s="45"/>
      <c r="D389" s="45"/>
      <c r="E389" s="45"/>
      <c r="F389" s="45"/>
      <c r="G389" s="45"/>
      <c r="H389" s="45"/>
      <c r="I389" s="45"/>
      <c r="J389" s="45"/>
    </row>
    <row r="390" spans="1:10" ht="12.75" customHeight="1" x14ac:dyDescent="0.2">
      <c r="A390" s="45"/>
      <c r="B390" s="45"/>
      <c r="C390" s="45"/>
      <c r="D390" s="45"/>
      <c r="E390" s="45"/>
      <c r="F390" s="45"/>
      <c r="G390" s="45"/>
      <c r="H390" s="45"/>
      <c r="I390" s="45"/>
      <c r="J390" s="45"/>
    </row>
    <row r="391" spans="1:10" ht="12.75" customHeight="1" x14ac:dyDescent="0.2">
      <c r="A391" s="45"/>
      <c r="B391" s="45"/>
      <c r="C391" s="45"/>
      <c r="D391" s="45"/>
      <c r="E391" s="45"/>
      <c r="F391" s="45"/>
      <c r="G391" s="45"/>
      <c r="H391" s="45"/>
      <c r="I391" s="45"/>
      <c r="J391" s="45"/>
    </row>
    <row r="392" spans="1:10" ht="12.75" customHeight="1" x14ac:dyDescent="0.2">
      <c r="A392" s="45"/>
      <c r="B392" s="45"/>
      <c r="C392" s="45"/>
      <c r="D392" s="45"/>
      <c r="E392" s="45"/>
      <c r="F392" s="45"/>
      <c r="G392" s="45"/>
      <c r="H392" s="45"/>
      <c r="I392" s="45"/>
      <c r="J392" s="45"/>
    </row>
    <row r="393" spans="1:10" ht="12.75" customHeight="1" x14ac:dyDescent="0.2">
      <c r="A393" s="45"/>
      <c r="B393" s="45"/>
      <c r="C393" s="45"/>
      <c r="D393" s="45"/>
      <c r="E393" s="45"/>
      <c r="F393" s="45"/>
      <c r="G393" s="45"/>
      <c r="H393" s="45"/>
      <c r="I393" s="45"/>
      <c r="J393" s="45"/>
    </row>
    <row r="394" spans="1:10" ht="12.75" customHeight="1" x14ac:dyDescent="0.2">
      <c r="A394" s="45"/>
      <c r="B394" s="45"/>
      <c r="C394" s="45"/>
      <c r="D394" s="45"/>
      <c r="E394" s="45"/>
      <c r="F394" s="45"/>
      <c r="G394" s="45"/>
      <c r="H394" s="45"/>
      <c r="I394" s="45"/>
      <c r="J394" s="45"/>
    </row>
    <row r="395" spans="1:10" ht="12.75" customHeight="1" x14ac:dyDescent="0.2">
      <c r="A395" s="45"/>
      <c r="B395" s="45"/>
      <c r="C395" s="45"/>
      <c r="D395" s="45"/>
      <c r="E395" s="45"/>
      <c r="F395" s="45"/>
      <c r="G395" s="45"/>
      <c r="H395" s="45"/>
      <c r="I395" s="45"/>
      <c r="J395" s="45"/>
    </row>
    <row r="396" spans="1:10" ht="12.75" customHeight="1" x14ac:dyDescent="0.2">
      <c r="A396" s="45"/>
      <c r="B396" s="45"/>
      <c r="C396" s="45"/>
      <c r="D396" s="45"/>
      <c r="E396" s="45"/>
      <c r="F396" s="45"/>
      <c r="G396" s="45"/>
      <c r="H396" s="45"/>
      <c r="I396" s="45"/>
      <c r="J396" s="45"/>
    </row>
    <row r="397" spans="1:10" ht="12.75" customHeight="1" x14ac:dyDescent="0.2">
      <c r="A397" s="45"/>
      <c r="B397" s="45"/>
      <c r="C397" s="45"/>
      <c r="D397" s="45"/>
      <c r="E397" s="45"/>
      <c r="F397" s="45"/>
      <c r="G397" s="45"/>
      <c r="H397" s="45"/>
      <c r="I397" s="45"/>
      <c r="J397" s="45"/>
    </row>
    <row r="398" spans="1:10" ht="12.75" customHeight="1" x14ac:dyDescent="0.2">
      <c r="A398" s="45"/>
      <c r="B398" s="45"/>
      <c r="C398" s="45"/>
      <c r="D398" s="45"/>
      <c r="E398" s="45"/>
      <c r="F398" s="45"/>
      <c r="G398" s="45"/>
      <c r="H398" s="45"/>
      <c r="I398" s="45"/>
      <c r="J398" s="45"/>
    </row>
    <row r="399" spans="1:10" ht="12.75" customHeight="1" x14ac:dyDescent="0.2">
      <c r="A399" s="45"/>
      <c r="B399" s="45"/>
      <c r="C399" s="45"/>
      <c r="D399" s="45"/>
      <c r="E399" s="45"/>
      <c r="F399" s="45"/>
      <c r="G399" s="45"/>
      <c r="H399" s="45"/>
      <c r="I399" s="45"/>
      <c r="J399" s="45"/>
    </row>
    <row r="400" spans="1:10" ht="12.75" customHeight="1" x14ac:dyDescent="0.2">
      <c r="A400" s="45"/>
      <c r="B400" s="45"/>
      <c r="C400" s="45"/>
      <c r="D400" s="45"/>
      <c r="E400" s="45"/>
      <c r="F400" s="45"/>
      <c r="G400" s="45"/>
      <c r="H400" s="45"/>
      <c r="I400" s="45"/>
      <c r="J400" s="45"/>
    </row>
    <row r="401" spans="1:10" ht="12.75" customHeight="1" x14ac:dyDescent="0.2">
      <c r="A401" s="45"/>
      <c r="B401" s="45"/>
      <c r="C401" s="45"/>
      <c r="D401" s="45"/>
      <c r="E401" s="45"/>
      <c r="F401" s="45"/>
      <c r="G401" s="45"/>
      <c r="H401" s="45"/>
      <c r="I401" s="45"/>
      <c r="J401" s="45"/>
    </row>
    <row r="402" spans="1:10" ht="12.75" customHeight="1" x14ac:dyDescent="0.2">
      <c r="A402" s="45"/>
      <c r="B402" s="45"/>
      <c r="C402" s="45"/>
      <c r="D402" s="45"/>
      <c r="E402" s="45"/>
      <c r="F402" s="45"/>
      <c r="G402" s="45"/>
      <c r="H402" s="45"/>
      <c r="I402" s="45"/>
      <c r="J402" s="45"/>
    </row>
    <row r="403" spans="1:10" ht="12.75" customHeight="1" x14ac:dyDescent="0.2">
      <c r="A403" s="45"/>
      <c r="B403" s="45"/>
      <c r="C403" s="45"/>
      <c r="D403" s="45"/>
      <c r="E403" s="45"/>
      <c r="F403" s="45"/>
      <c r="G403" s="45"/>
      <c r="H403" s="45"/>
      <c r="I403" s="45"/>
      <c r="J403" s="45"/>
    </row>
    <row r="404" spans="1:10" ht="12.75" customHeight="1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</row>
    <row r="405" spans="1:10" ht="12.75" customHeight="1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</row>
    <row r="406" spans="1:10" ht="12.75" customHeight="1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</row>
    <row r="407" spans="1:10" ht="12.75" customHeight="1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</row>
    <row r="408" spans="1:10" ht="12.75" customHeight="1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</row>
    <row r="409" spans="1:10" ht="12.75" customHeight="1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</row>
    <row r="410" spans="1:10" ht="12.75" customHeight="1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</row>
    <row r="411" spans="1:10" ht="12.75" customHeight="1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</row>
    <row r="412" spans="1:10" ht="12.75" customHeight="1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</row>
    <row r="413" spans="1:10" ht="12.75" customHeight="1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</row>
    <row r="414" spans="1:10" ht="12.75" customHeight="1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</row>
    <row r="415" spans="1:10" ht="12.75" customHeight="1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</row>
    <row r="416" spans="1:10" ht="12.75" customHeight="1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</row>
    <row r="417" spans="1:10" ht="12.75" customHeight="1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</row>
    <row r="418" spans="1:10" ht="12.75" customHeight="1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</row>
    <row r="419" spans="1:10" ht="12.75" customHeight="1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</row>
    <row r="420" spans="1:10" ht="12.75" customHeight="1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</row>
    <row r="421" spans="1:10" ht="12.75" customHeight="1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</row>
    <row r="422" spans="1:10" ht="12.75" customHeight="1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</row>
    <row r="423" spans="1:10" ht="12.75" customHeight="1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</row>
    <row r="424" spans="1:10" ht="12.75" customHeight="1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</row>
    <row r="425" spans="1:10" ht="12.75" customHeight="1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</row>
    <row r="426" spans="1:10" ht="12.75" customHeight="1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</row>
    <row r="427" spans="1:10" ht="12.75" customHeight="1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</row>
    <row r="428" spans="1:10" ht="12.75" customHeight="1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</row>
    <row r="429" spans="1:10" ht="12.75" customHeight="1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</row>
    <row r="430" spans="1:10" ht="12.75" customHeight="1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</row>
    <row r="431" spans="1:10" ht="12.75" customHeight="1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</row>
    <row r="432" spans="1:10" ht="12.75" customHeight="1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</row>
    <row r="433" spans="1:10" ht="12.75" customHeight="1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</row>
    <row r="434" spans="1:10" ht="12.75" customHeight="1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</row>
    <row r="435" spans="1:10" ht="12.75" customHeight="1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</row>
    <row r="436" spans="1:10" ht="12.75" customHeight="1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</row>
    <row r="437" spans="1:10" ht="12.75" customHeight="1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</row>
    <row r="438" spans="1:10" ht="12.75" customHeight="1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</row>
    <row r="439" spans="1:10" ht="12.75" customHeight="1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</row>
    <row r="440" spans="1:10" ht="12.75" customHeight="1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</row>
    <row r="441" spans="1:10" ht="12.75" customHeight="1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</row>
    <row r="442" spans="1:10" ht="12.75" customHeight="1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</row>
    <row r="443" spans="1:10" ht="12.75" customHeight="1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</row>
    <row r="444" spans="1:10" ht="12.75" customHeight="1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</row>
    <row r="445" spans="1:10" ht="12.75" customHeight="1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</row>
    <row r="446" spans="1:10" ht="12.75" customHeight="1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</row>
    <row r="447" spans="1:10" ht="12.75" customHeight="1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</row>
    <row r="448" spans="1:10" ht="12.75" customHeight="1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</row>
    <row r="449" spans="1:10" ht="12.75" customHeight="1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</row>
    <row r="450" spans="1:10" ht="12.75" customHeight="1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</row>
    <row r="451" spans="1:10" ht="12.75" customHeight="1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</row>
    <row r="452" spans="1:10" ht="12.75" customHeight="1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</row>
    <row r="453" spans="1:10" ht="12.75" customHeight="1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</row>
    <row r="454" spans="1:10" ht="12.75" customHeight="1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</row>
    <row r="455" spans="1:10" ht="12.75" customHeight="1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</row>
    <row r="456" spans="1:10" ht="12.75" customHeight="1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</row>
    <row r="457" spans="1:10" ht="12.75" customHeight="1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</row>
    <row r="458" spans="1:10" ht="12.75" customHeight="1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</row>
    <row r="459" spans="1:10" ht="12.75" customHeight="1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</row>
    <row r="460" spans="1:10" ht="12.75" customHeight="1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</row>
    <row r="461" spans="1:10" ht="12.75" customHeight="1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</row>
    <row r="462" spans="1:10" ht="12.75" customHeight="1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</row>
    <row r="463" spans="1:10" ht="12.75" customHeight="1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</row>
    <row r="464" spans="1:10" ht="12.75" customHeight="1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</row>
    <row r="465" spans="1:10" ht="12.75" customHeight="1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</row>
    <row r="466" spans="1:10" ht="12.75" customHeight="1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</row>
    <row r="467" spans="1:10" ht="12.75" customHeight="1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</row>
    <row r="468" spans="1:10" ht="12.75" customHeight="1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</row>
    <row r="469" spans="1:10" ht="12.75" customHeight="1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</row>
    <row r="470" spans="1:10" ht="12.75" customHeight="1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</row>
    <row r="471" spans="1:10" ht="12.75" customHeight="1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</row>
    <row r="472" spans="1:10" ht="12.75" customHeight="1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</row>
    <row r="473" spans="1:10" ht="12.75" customHeight="1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</row>
    <row r="474" spans="1:10" ht="12.75" customHeight="1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</row>
    <row r="475" spans="1:10" ht="12.75" customHeight="1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</row>
    <row r="476" spans="1:10" ht="12.75" customHeight="1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</row>
    <row r="477" spans="1:10" ht="12.75" customHeight="1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</row>
    <row r="478" spans="1:10" ht="12.75" customHeight="1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</row>
    <row r="479" spans="1:10" ht="12.75" customHeight="1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</row>
    <row r="480" spans="1:10" ht="12.75" customHeight="1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</row>
    <row r="481" spans="1:10" ht="12.75" customHeight="1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</row>
    <row r="482" spans="1:10" ht="12.75" customHeight="1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</row>
    <row r="483" spans="1:10" ht="12.75" customHeight="1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</row>
    <row r="484" spans="1:10" ht="12.75" customHeight="1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</row>
    <row r="485" spans="1:10" ht="12.75" customHeight="1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</row>
    <row r="486" spans="1:10" ht="12.75" customHeight="1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</row>
    <row r="487" spans="1:10" ht="12.75" customHeight="1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</row>
    <row r="488" spans="1:10" ht="12.75" customHeight="1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</row>
    <row r="489" spans="1:10" ht="12.75" customHeight="1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</row>
    <row r="490" spans="1:10" ht="12.75" customHeight="1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</row>
    <row r="491" spans="1:10" ht="12.75" customHeight="1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</row>
    <row r="492" spans="1:10" ht="12.75" customHeight="1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</row>
    <row r="493" spans="1:10" ht="12.75" customHeight="1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</row>
    <row r="494" spans="1:10" ht="12.75" customHeight="1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</row>
    <row r="495" spans="1:10" ht="12.75" customHeight="1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</row>
    <row r="496" spans="1:10" ht="12.75" customHeight="1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</row>
    <row r="497" spans="1:10" ht="12.75" customHeight="1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</row>
    <row r="498" spans="1:10" ht="12.75" customHeight="1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</row>
    <row r="499" spans="1:10" ht="12.75" customHeight="1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</row>
    <row r="500" spans="1:10" ht="12.75" customHeight="1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</row>
    <row r="501" spans="1:10" ht="12.75" customHeight="1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</row>
    <row r="502" spans="1:10" ht="12.75" customHeight="1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</row>
    <row r="503" spans="1:10" ht="12.75" customHeight="1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</row>
    <row r="504" spans="1:10" ht="12.75" customHeight="1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</row>
    <row r="505" spans="1:10" ht="12.75" customHeight="1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</row>
    <row r="506" spans="1:10" ht="12.75" customHeight="1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</row>
    <row r="507" spans="1:10" ht="12.75" customHeight="1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</row>
    <row r="508" spans="1:10" ht="12.75" customHeight="1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</row>
    <row r="509" spans="1:10" ht="12.75" customHeight="1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</row>
    <row r="510" spans="1:10" ht="12.75" customHeight="1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</row>
    <row r="511" spans="1:10" ht="12.75" customHeight="1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</row>
    <row r="512" spans="1:10" ht="12.75" customHeight="1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</row>
    <row r="513" spans="1:10" ht="12.75" customHeight="1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</row>
    <row r="514" spans="1:10" ht="12.75" customHeight="1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</row>
    <row r="515" spans="1:10" ht="12.75" customHeight="1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</row>
    <row r="516" spans="1:10" ht="12.75" customHeight="1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</row>
    <row r="517" spans="1:10" ht="12.75" customHeight="1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</row>
    <row r="518" spans="1:10" ht="12.75" customHeight="1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</row>
    <row r="519" spans="1:10" ht="12.75" customHeight="1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</row>
    <row r="520" spans="1:10" ht="12.75" customHeight="1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</row>
    <row r="521" spans="1:10" ht="12.75" customHeight="1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</row>
    <row r="522" spans="1:10" ht="12.75" customHeight="1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</row>
    <row r="523" spans="1:10" ht="12.75" customHeight="1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</row>
    <row r="524" spans="1:10" ht="12.75" customHeight="1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</row>
    <row r="525" spans="1:10" ht="12.75" customHeight="1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</row>
    <row r="526" spans="1:10" ht="12.75" customHeight="1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</row>
    <row r="527" spans="1:10" ht="12.75" customHeight="1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</row>
    <row r="528" spans="1:10" ht="12.75" customHeight="1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</row>
    <row r="529" spans="1:10" ht="12.75" customHeight="1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</row>
    <row r="530" spans="1:10" ht="12.75" customHeight="1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</row>
    <row r="531" spans="1:10" ht="12.75" customHeight="1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</row>
    <row r="532" spans="1:10" ht="12.75" customHeight="1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</row>
    <row r="533" spans="1:10" ht="12.75" customHeight="1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</row>
    <row r="534" spans="1:10" ht="12.75" customHeight="1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</row>
    <row r="535" spans="1:10" ht="12.75" customHeight="1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</row>
    <row r="536" spans="1:10" ht="12.75" customHeight="1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</row>
    <row r="537" spans="1:10" ht="12.75" customHeight="1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</row>
    <row r="538" spans="1:10" ht="12.75" customHeight="1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</row>
    <row r="539" spans="1:10" ht="12.75" customHeight="1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</row>
    <row r="540" spans="1:10" ht="12.75" customHeight="1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</row>
    <row r="541" spans="1:10" ht="12.75" customHeight="1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</row>
    <row r="542" spans="1:10" ht="12.75" customHeight="1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</row>
    <row r="543" spans="1:10" ht="12.75" customHeight="1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</row>
    <row r="544" spans="1:10" ht="12.75" customHeight="1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</row>
    <row r="545" spans="1:10" ht="12.75" customHeight="1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</row>
    <row r="546" spans="1:10" ht="12.75" customHeight="1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</row>
    <row r="547" spans="1:10" ht="12.75" customHeight="1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</row>
    <row r="548" spans="1:10" ht="12.75" customHeight="1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</row>
    <row r="549" spans="1:10" ht="12.75" customHeight="1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</row>
    <row r="550" spans="1:10" ht="12.75" customHeight="1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</row>
    <row r="551" spans="1:10" ht="12.75" customHeight="1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</row>
    <row r="552" spans="1:10" ht="12.75" customHeight="1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</row>
    <row r="553" spans="1:10" ht="12.75" customHeight="1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</row>
    <row r="554" spans="1:10" ht="12.75" customHeight="1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</row>
    <row r="555" spans="1:10" ht="12.75" customHeight="1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</row>
    <row r="556" spans="1:10" ht="12.75" customHeight="1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</row>
    <row r="557" spans="1:10" ht="12.75" customHeight="1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</row>
    <row r="558" spans="1:10" ht="12.75" customHeight="1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</row>
    <row r="559" spans="1:10" ht="12.75" customHeight="1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</row>
    <row r="560" spans="1:10" ht="12.75" customHeight="1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</row>
    <row r="561" spans="1:10" ht="12.75" customHeight="1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</row>
    <row r="562" spans="1:10" ht="12.75" customHeight="1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</row>
    <row r="563" spans="1:10" ht="12.75" customHeight="1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</row>
    <row r="564" spans="1:10" ht="12.75" customHeight="1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</row>
    <row r="565" spans="1:10" ht="12.75" customHeight="1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</row>
    <row r="566" spans="1:10" ht="12.75" customHeight="1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</row>
    <row r="567" spans="1:10" ht="12.75" customHeight="1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</row>
    <row r="568" spans="1:10" ht="12.75" customHeight="1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</row>
    <row r="569" spans="1:10" ht="12.75" customHeight="1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</row>
    <row r="570" spans="1:10" ht="12.75" customHeight="1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</row>
    <row r="571" spans="1:10" ht="12.75" customHeight="1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</row>
    <row r="572" spans="1:10" ht="12.75" customHeight="1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</row>
    <row r="573" spans="1:10" ht="12.75" customHeight="1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</row>
    <row r="574" spans="1:10" ht="12.75" customHeight="1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</row>
    <row r="575" spans="1:10" ht="12.75" customHeight="1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</row>
    <row r="576" spans="1:10" ht="12.75" customHeight="1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</row>
    <row r="577" spans="1:10" ht="12.75" customHeight="1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</row>
    <row r="578" spans="1:10" ht="12.75" customHeight="1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</row>
    <row r="579" spans="1:10" ht="12.75" customHeight="1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</row>
    <row r="580" spans="1:10" ht="12.75" customHeight="1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</row>
    <row r="581" spans="1:10" ht="12.75" customHeight="1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</row>
    <row r="582" spans="1:10" ht="12.75" customHeight="1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</row>
    <row r="583" spans="1:10" ht="12.75" customHeight="1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</row>
    <row r="584" spans="1:10" ht="12.75" customHeight="1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</row>
    <row r="585" spans="1:10" ht="12.75" customHeight="1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</row>
    <row r="586" spans="1:10" ht="12.75" customHeight="1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</row>
    <row r="587" spans="1:10" ht="12.75" customHeight="1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</row>
    <row r="588" spans="1:10" ht="12.75" customHeight="1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</row>
    <row r="589" spans="1:10" ht="12.75" customHeight="1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</row>
    <row r="590" spans="1:10" ht="12.75" customHeight="1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</row>
    <row r="591" spans="1:10" ht="12.75" customHeight="1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</row>
    <row r="592" spans="1:10" ht="12.75" customHeight="1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</row>
    <row r="593" spans="1:10" ht="12.75" customHeight="1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</row>
    <row r="594" spans="1:10" ht="12.75" customHeight="1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</row>
    <row r="595" spans="1:10" ht="12.75" customHeight="1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</row>
    <row r="596" spans="1:10" ht="12.75" customHeight="1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</row>
    <row r="597" spans="1:10" ht="12.75" customHeight="1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</row>
    <row r="598" spans="1:10" ht="12.75" customHeight="1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</row>
    <row r="599" spans="1:10" ht="12.75" customHeight="1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</row>
    <row r="600" spans="1:10" ht="12.75" customHeight="1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</row>
    <row r="601" spans="1:10" ht="12.75" customHeight="1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</row>
    <row r="602" spans="1:10" ht="12.75" customHeight="1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</row>
    <row r="603" spans="1:10" ht="12.75" customHeight="1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</row>
    <row r="604" spans="1:10" ht="12.75" customHeight="1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</row>
    <row r="605" spans="1:10" ht="12.75" customHeight="1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</row>
    <row r="606" spans="1:10" ht="12.75" customHeight="1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</row>
    <row r="607" spans="1:10" ht="12.75" customHeight="1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</row>
    <row r="608" spans="1:10" ht="12.75" customHeight="1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</row>
    <row r="609" spans="1:10" ht="12.75" customHeight="1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</row>
    <row r="610" spans="1:10" ht="12.75" customHeight="1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</row>
    <row r="611" spans="1:10" ht="12.75" customHeight="1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</row>
    <row r="612" spans="1:10" ht="12.75" customHeight="1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</row>
    <row r="613" spans="1:10" ht="12.75" customHeight="1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</row>
    <row r="614" spans="1:10" ht="12.75" customHeight="1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</row>
    <row r="615" spans="1:10" ht="12.75" customHeight="1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</row>
    <row r="616" spans="1:10" ht="12.75" customHeight="1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</row>
    <row r="617" spans="1:10" ht="12.75" customHeight="1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</row>
    <row r="618" spans="1:10" ht="12.75" customHeight="1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</row>
    <row r="619" spans="1:10" ht="12.75" customHeight="1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</row>
    <row r="620" spans="1:10" ht="12.75" customHeight="1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</row>
    <row r="621" spans="1:10" ht="12.75" customHeight="1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</row>
    <row r="622" spans="1:10" ht="12.75" customHeight="1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</row>
    <row r="623" spans="1:10" ht="12.75" customHeight="1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</row>
    <row r="624" spans="1:10" ht="12.75" customHeight="1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</row>
    <row r="625" spans="1:10" ht="12.75" customHeight="1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</row>
    <row r="626" spans="1:10" ht="12.75" customHeight="1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</row>
    <row r="627" spans="1:10" ht="12.75" customHeight="1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</row>
    <row r="628" spans="1:10" ht="12.75" customHeight="1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</row>
    <row r="629" spans="1:10" ht="12.75" customHeight="1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</row>
    <row r="630" spans="1:10" ht="12.75" customHeight="1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</row>
    <row r="631" spans="1:10" ht="12.75" customHeight="1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</row>
    <row r="632" spans="1:10" ht="12.75" customHeight="1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</row>
    <row r="633" spans="1:10" ht="12.75" customHeight="1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</row>
    <row r="634" spans="1:10" ht="12.75" customHeight="1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</row>
    <row r="635" spans="1:10" ht="12.75" customHeight="1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</row>
    <row r="636" spans="1:10" ht="12.75" customHeight="1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</row>
    <row r="637" spans="1:10" ht="12.75" customHeight="1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</row>
    <row r="638" spans="1:10" ht="12.75" customHeight="1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</row>
    <row r="639" spans="1:10" ht="12.75" customHeight="1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</row>
    <row r="640" spans="1:10" ht="12.75" customHeight="1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</row>
    <row r="641" spans="1:10" ht="12.75" customHeight="1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</row>
    <row r="642" spans="1:10" ht="12.75" customHeight="1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</row>
    <row r="643" spans="1:10" ht="12.75" customHeight="1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</row>
    <row r="644" spans="1:10" ht="12.75" customHeight="1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</row>
    <row r="645" spans="1:10" ht="12.75" customHeight="1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</row>
    <row r="646" spans="1:10" ht="12.75" customHeight="1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</row>
    <row r="647" spans="1:10" ht="12.75" customHeight="1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</row>
    <row r="648" spans="1:10" ht="12.75" customHeight="1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</row>
    <row r="649" spans="1:10" ht="12.75" customHeight="1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</row>
    <row r="650" spans="1:10" ht="12.75" customHeight="1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</row>
    <row r="651" spans="1:10" ht="12.75" customHeight="1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</row>
    <row r="652" spans="1:10" ht="12.75" customHeight="1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</row>
    <row r="653" spans="1:10" ht="12.75" customHeight="1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</row>
    <row r="654" spans="1:10" ht="12.75" customHeight="1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</row>
    <row r="655" spans="1:10" ht="12.75" customHeight="1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</row>
    <row r="656" spans="1:10" ht="12.75" customHeight="1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</row>
    <row r="657" spans="1:10" ht="12.75" customHeight="1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</row>
    <row r="658" spans="1:10" ht="12.75" customHeight="1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</row>
    <row r="659" spans="1:10" ht="12.75" customHeight="1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</row>
    <row r="660" spans="1:10" ht="12.75" customHeight="1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</row>
    <row r="661" spans="1:10" ht="12.75" customHeight="1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</row>
    <row r="662" spans="1:10" ht="12.75" customHeight="1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</row>
    <row r="663" spans="1:10" ht="12.75" customHeight="1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</row>
    <row r="664" spans="1:10" ht="12.75" customHeight="1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</row>
    <row r="665" spans="1:10" ht="12.75" customHeight="1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</row>
    <row r="666" spans="1:10" ht="12.75" customHeight="1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</row>
    <row r="667" spans="1:10" ht="12.75" customHeight="1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</row>
    <row r="668" spans="1:10" ht="12.75" customHeight="1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</row>
    <row r="669" spans="1:10" ht="12.75" customHeight="1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</row>
    <row r="670" spans="1:10" ht="12.75" customHeight="1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</row>
    <row r="671" spans="1:10" ht="12.75" customHeight="1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</row>
    <row r="672" spans="1:10" ht="12.75" customHeight="1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</row>
    <row r="673" spans="1:10" ht="12.75" customHeight="1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</row>
    <row r="674" spans="1:10" ht="12.75" customHeight="1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</row>
    <row r="675" spans="1:10" ht="12.75" customHeight="1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</row>
    <row r="676" spans="1:10" ht="12.75" customHeight="1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</row>
    <row r="677" spans="1:10" ht="12.75" customHeight="1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</row>
    <row r="678" spans="1:10" ht="12.75" customHeight="1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</row>
    <row r="679" spans="1:10" ht="12.75" customHeight="1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</row>
    <row r="680" spans="1:10" ht="12.75" customHeight="1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</row>
    <row r="681" spans="1:10" ht="12.75" customHeight="1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</row>
    <row r="682" spans="1:10" ht="12.75" customHeight="1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</row>
    <row r="683" spans="1:10" ht="12.75" customHeight="1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</row>
    <row r="684" spans="1:10" ht="12.75" customHeight="1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</row>
    <row r="685" spans="1:10" ht="12.75" customHeight="1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</row>
    <row r="686" spans="1:10" ht="12.75" customHeight="1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</row>
    <row r="687" spans="1:10" ht="12.75" customHeight="1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</row>
    <row r="688" spans="1:10" ht="12.75" customHeight="1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</row>
    <row r="689" spans="1:10" ht="12.75" customHeight="1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</row>
    <row r="690" spans="1:10" ht="12.75" customHeight="1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</row>
    <row r="691" spans="1:10" ht="12.75" customHeight="1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</row>
    <row r="692" spans="1:10" ht="12.75" customHeight="1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</row>
    <row r="693" spans="1:10" ht="12.75" customHeight="1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</row>
    <row r="694" spans="1:10" ht="12.75" customHeight="1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</row>
    <row r="695" spans="1:10" ht="12.75" customHeight="1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</row>
    <row r="696" spans="1:10" ht="12.75" customHeight="1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</row>
    <row r="697" spans="1:10" ht="12.75" customHeight="1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</row>
    <row r="698" spans="1:10" ht="12.75" customHeight="1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</row>
    <row r="699" spans="1:10" ht="12.75" customHeight="1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</row>
    <row r="700" spans="1:10" ht="12.75" customHeight="1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</row>
    <row r="701" spans="1:10" ht="12.75" customHeight="1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</row>
    <row r="702" spans="1:10" ht="12.75" customHeight="1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</row>
    <row r="703" spans="1:10" ht="12.75" customHeight="1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</row>
    <row r="704" spans="1:10" ht="12.75" customHeight="1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</row>
    <row r="705" spans="1:10" ht="12.75" customHeight="1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</row>
    <row r="706" spans="1:10" ht="12.75" customHeight="1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</row>
    <row r="707" spans="1:10" ht="12.75" customHeight="1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</row>
    <row r="708" spans="1:10" ht="12.75" customHeight="1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</row>
    <row r="709" spans="1:10" ht="12.75" customHeight="1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</row>
    <row r="710" spans="1:10" ht="12.75" customHeight="1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</row>
    <row r="711" spans="1:10" ht="12.75" customHeight="1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</row>
    <row r="712" spans="1:10" ht="12.75" customHeight="1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</row>
    <row r="713" spans="1:10" ht="12.75" customHeight="1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</row>
    <row r="714" spans="1:10" ht="12.75" customHeight="1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</row>
    <row r="715" spans="1:10" ht="12.75" customHeight="1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</row>
    <row r="716" spans="1:10" ht="12.75" customHeight="1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</row>
    <row r="717" spans="1:10" ht="12.75" customHeight="1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</row>
    <row r="718" spans="1:10" ht="12.75" customHeight="1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</row>
    <row r="719" spans="1:10" ht="12.75" customHeight="1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</row>
    <row r="720" spans="1:10" ht="12.75" customHeight="1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</row>
    <row r="721" spans="1:10" ht="12.75" customHeight="1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</row>
    <row r="722" spans="1:10" ht="12.75" customHeight="1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</row>
    <row r="723" spans="1:10" ht="12.75" customHeight="1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</row>
    <row r="724" spans="1:10" ht="12.75" customHeight="1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</row>
    <row r="725" spans="1:10" ht="12.75" customHeight="1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</row>
    <row r="726" spans="1:10" ht="12.75" customHeight="1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</row>
    <row r="727" spans="1:10" ht="12.75" customHeight="1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</row>
    <row r="728" spans="1:10" ht="12.75" customHeight="1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</row>
    <row r="729" spans="1:10" ht="12.75" customHeight="1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</row>
    <row r="730" spans="1:10" ht="12.75" customHeight="1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</row>
    <row r="731" spans="1:10" ht="12.75" customHeight="1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</row>
    <row r="732" spans="1:10" ht="12.75" customHeight="1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</row>
    <row r="733" spans="1:10" ht="12.75" customHeight="1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</row>
    <row r="734" spans="1:10" ht="12.75" customHeight="1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</row>
    <row r="735" spans="1:10" ht="12.75" customHeight="1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</row>
    <row r="736" spans="1:10" ht="12.75" customHeight="1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</row>
    <row r="737" spans="1:10" ht="12.75" customHeight="1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</row>
    <row r="738" spans="1:10" ht="12.75" customHeight="1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</row>
    <row r="739" spans="1:10" ht="12.75" customHeight="1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</row>
    <row r="740" spans="1:10" ht="12.75" customHeight="1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</row>
    <row r="741" spans="1:10" ht="12.75" customHeight="1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</row>
    <row r="742" spans="1:10" ht="12.75" customHeight="1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</row>
    <row r="743" spans="1:10" ht="12.75" customHeight="1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</row>
    <row r="744" spans="1:10" ht="12.75" customHeight="1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</row>
    <row r="745" spans="1:10" ht="12.75" customHeight="1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</row>
    <row r="746" spans="1:10" ht="12.75" customHeight="1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</row>
    <row r="747" spans="1:10" ht="12.75" customHeight="1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</row>
    <row r="748" spans="1:10" ht="12.75" customHeight="1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</row>
    <row r="749" spans="1:10" ht="12.75" customHeight="1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</row>
    <row r="750" spans="1:10" ht="12.75" customHeight="1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</row>
    <row r="751" spans="1:10" ht="12.75" customHeight="1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</row>
    <row r="752" spans="1:10" ht="12.75" customHeight="1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</row>
    <row r="753" spans="1:10" ht="12.75" customHeight="1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</row>
    <row r="754" spans="1:10" ht="12.75" customHeight="1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</row>
    <row r="755" spans="1:10" ht="12.75" customHeight="1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</row>
    <row r="756" spans="1:10" ht="12.75" customHeight="1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</row>
    <row r="757" spans="1:10" ht="12.75" customHeight="1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</row>
    <row r="758" spans="1:10" ht="12.75" customHeight="1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</row>
    <row r="759" spans="1:10" ht="12.75" customHeight="1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</row>
    <row r="760" spans="1:10" ht="12.75" customHeight="1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</row>
    <row r="761" spans="1:10" ht="12.75" customHeight="1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</row>
    <row r="762" spans="1:10" ht="12.75" customHeight="1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</row>
    <row r="763" spans="1:10" ht="12.75" customHeight="1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</row>
    <row r="764" spans="1:10" ht="12.75" customHeight="1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</row>
    <row r="765" spans="1:10" ht="12.75" customHeight="1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</row>
    <row r="766" spans="1:10" ht="12.75" customHeight="1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</row>
    <row r="767" spans="1:10" ht="12.75" customHeight="1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</row>
    <row r="768" spans="1:10" ht="12.75" customHeight="1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</row>
    <row r="769" spans="1:10" ht="12.75" customHeight="1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</row>
    <row r="770" spans="1:10" ht="12.75" customHeight="1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</row>
    <row r="771" spans="1:10" ht="12.75" customHeight="1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</row>
    <row r="772" spans="1:10" ht="12.75" customHeight="1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</row>
    <row r="773" spans="1:10" ht="12.75" customHeight="1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</row>
    <row r="774" spans="1:10" ht="12.75" customHeight="1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</row>
    <row r="775" spans="1:10" ht="12.75" customHeight="1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</row>
    <row r="776" spans="1:10" ht="12.75" customHeight="1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</row>
    <row r="777" spans="1:10" ht="12.75" customHeight="1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</row>
    <row r="778" spans="1:10" ht="12.75" customHeight="1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</row>
    <row r="779" spans="1:10" ht="12.75" customHeight="1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</row>
    <row r="780" spans="1:10" ht="12.75" customHeight="1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</row>
    <row r="781" spans="1:10" ht="12.75" customHeight="1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</row>
    <row r="782" spans="1:10" ht="12.75" customHeight="1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</row>
    <row r="783" spans="1:10" ht="12.75" customHeight="1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</row>
    <row r="784" spans="1:10" ht="12.75" customHeight="1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</row>
    <row r="785" spans="1:10" ht="12.75" customHeight="1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</row>
    <row r="786" spans="1:10" ht="12.75" customHeight="1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</row>
    <row r="787" spans="1:10" ht="12.75" customHeight="1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</row>
    <row r="788" spans="1:10" ht="12.75" customHeight="1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</row>
    <row r="789" spans="1:10" ht="12.75" customHeight="1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</row>
    <row r="790" spans="1:10" ht="12.75" customHeight="1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</row>
    <row r="791" spans="1:10" ht="12.75" customHeight="1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</row>
    <row r="792" spans="1:10" ht="12.75" customHeight="1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</row>
    <row r="793" spans="1:10" ht="12.75" customHeight="1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</row>
    <row r="794" spans="1:10" ht="12.75" customHeight="1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</row>
    <row r="795" spans="1:10" ht="12.75" customHeight="1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</row>
    <row r="796" spans="1:10" ht="12.75" customHeight="1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</row>
    <row r="797" spans="1:10" ht="12.75" customHeight="1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</row>
    <row r="798" spans="1:10" ht="12.75" customHeight="1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</row>
    <row r="799" spans="1:10" ht="12.75" customHeight="1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</row>
    <row r="800" spans="1:10" ht="12.75" customHeight="1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</row>
    <row r="801" spans="1:10" ht="12.75" customHeight="1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</row>
    <row r="802" spans="1:10" ht="12.75" customHeight="1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</row>
    <row r="803" spans="1:10" ht="12.75" customHeight="1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</row>
    <row r="804" spans="1:10" ht="12.75" customHeight="1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</row>
    <row r="805" spans="1:10" ht="12.75" customHeight="1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</row>
    <row r="806" spans="1:10" ht="12.75" customHeight="1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</row>
    <row r="807" spans="1:10" ht="12.75" customHeight="1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</row>
    <row r="808" spans="1:10" ht="12.75" customHeight="1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</row>
    <row r="809" spans="1:10" ht="12.75" customHeight="1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</row>
    <row r="810" spans="1:10" ht="12.75" customHeight="1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</row>
    <row r="811" spans="1:10" ht="12.75" customHeight="1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</row>
    <row r="812" spans="1:10" ht="12.75" customHeight="1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</row>
    <row r="813" spans="1:10" ht="12.75" customHeight="1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</row>
    <row r="814" spans="1:10" ht="12.75" customHeight="1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</row>
    <row r="815" spans="1:10" ht="12.75" customHeight="1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</row>
    <row r="816" spans="1:10" ht="12.75" customHeight="1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</row>
    <row r="817" spans="1:10" ht="12.75" customHeight="1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</row>
    <row r="818" spans="1:10" ht="12.75" customHeight="1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</row>
    <row r="819" spans="1:10" ht="12.75" customHeight="1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</row>
    <row r="820" spans="1:10" ht="12.75" customHeight="1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</row>
    <row r="821" spans="1:10" ht="12.75" customHeight="1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</row>
    <row r="822" spans="1:10" ht="12.75" customHeight="1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</row>
    <row r="823" spans="1:10" ht="12.75" customHeight="1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</row>
    <row r="824" spans="1:10" ht="12.75" customHeight="1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</row>
    <row r="825" spans="1:10" ht="12.75" customHeight="1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</row>
    <row r="826" spans="1:10" ht="12.75" customHeight="1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</row>
    <row r="827" spans="1:10" ht="12.75" customHeight="1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</row>
    <row r="828" spans="1:10" ht="12.75" customHeight="1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</row>
    <row r="829" spans="1:10" ht="12.75" customHeight="1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</row>
    <row r="830" spans="1:10" ht="12.75" customHeight="1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</row>
    <row r="831" spans="1:10" ht="12.75" customHeight="1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</row>
    <row r="832" spans="1:10" ht="12.75" customHeight="1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</row>
    <row r="833" spans="1:10" ht="12.75" customHeight="1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</row>
    <row r="834" spans="1:10" ht="12.75" customHeight="1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</row>
    <row r="835" spans="1:10" ht="12.75" customHeight="1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</row>
    <row r="836" spans="1:10" ht="12.75" customHeight="1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</row>
    <row r="837" spans="1:10" ht="12.75" customHeight="1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</row>
    <row r="838" spans="1:10" ht="12.75" customHeight="1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</row>
    <row r="839" spans="1:10" ht="12.75" customHeight="1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</row>
    <row r="840" spans="1:10" ht="12.75" customHeight="1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</row>
    <row r="841" spans="1:10" ht="12.75" customHeight="1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</row>
    <row r="842" spans="1:10" ht="12.75" customHeight="1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</row>
    <row r="843" spans="1:10" ht="12.75" customHeight="1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</row>
    <row r="844" spans="1:10" ht="12.75" customHeight="1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</row>
    <row r="845" spans="1:10" ht="12.75" customHeight="1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</row>
    <row r="846" spans="1:10" ht="12.75" customHeight="1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</row>
    <row r="847" spans="1:10" ht="12.75" customHeight="1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</row>
    <row r="848" spans="1:10" ht="12.75" customHeight="1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</row>
    <row r="849" spans="1:10" ht="12.75" customHeight="1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</row>
    <row r="850" spans="1:10" ht="12.75" customHeight="1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</row>
    <row r="851" spans="1:10" ht="12.75" customHeight="1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</row>
    <row r="852" spans="1:10" ht="12.75" customHeight="1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</row>
    <row r="853" spans="1:10" ht="12.75" customHeight="1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</row>
    <row r="854" spans="1:10" ht="12.75" customHeight="1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</row>
    <row r="855" spans="1:10" ht="12.75" customHeight="1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</row>
    <row r="856" spans="1:10" ht="12.75" customHeight="1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</row>
    <row r="857" spans="1:10" ht="12.75" customHeight="1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</row>
    <row r="858" spans="1:10" ht="12.75" customHeight="1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</row>
    <row r="859" spans="1:10" ht="12.75" customHeight="1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</row>
    <row r="860" spans="1:10" ht="12.75" customHeight="1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</row>
    <row r="861" spans="1:10" ht="12.75" customHeight="1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</row>
    <row r="862" spans="1:10" ht="12.75" customHeight="1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</row>
    <row r="863" spans="1:10" ht="12.75" customHeight="1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</row>
    <row r="864" spans="1:10" ht="12.75" customHeight="1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</row>
    <row r="865" spans="1:10" ht="12.75" customHeight="1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</row>
    <row r="866" spans="1:10" ht="12.75" customHeight="1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</row>
    <row r="867" spans="1:10" ht="12.75" customHeight="1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</row>
    <row r="868" spans="1:10" ht="12.75" customHeight="1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</row>
    <row r="869" spans="1:10" ht="12.75" customHeight="1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</row>
    <row r="870" spans="1:10" ht="12.75" customHeight="1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</row>
    <row r="871" spans="1:10" ht="12.75" customHeight="1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</row>
    <row r="872" spans="1:10" ht="12.75" customHeight="1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</row>
    <row r="873" spans="1:10" ht="12.75" customHeight="1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</row>
    <row r="874" spans="1:10" ht="12.75" customHeight="1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</row>
    <row r="875" spans="1:10" ht="12.75" customHeight="1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</row>
    <row r="876" spans="1:10" ht="12.75" customHeight="1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</row>
    <row r="877" spans="1:10" ht="12.75" customHeight="1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</row>
    <row r="878" spans="1:10" ht="12.75" customHeight="1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</row>
    <row r="879" spans="1:10" ht="12.75" customHeight="1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</row>
    <row r="880" spans="1:10" ht="12.75" customHeight="1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</row>
    <row r="881" spans="1:10" ht="12.75" customHeight="1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</row>
    <row r="882" spans="1:10" ht="12.75" customHeight="1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</row>
    <row r="883" spans="1:10" ht="12.75" customHeight="1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</row>
    <row r="884" spans="1:10" ht="12.75" customHeight="1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</row>
    <row r="885" spans="1:10" ht="12.75" customHeight="1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</row>
    <row r="886" spans="1:10" ht="12.75" customHeight="1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</row>
    <row r="887" spans="1:10" ht="12.75" customHeight="1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</row>
    <row r="888" spans="1:10" ht="12.75" customHeight="1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</row>
    <row r="889" spans="1:10" ht="12.75" customHeight="1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</row>
    <row r="890" spans="1:10" ht="12.75" customHeight="1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</row>
    <row r="891" spans="1:10" ht="12.75" customHeight="1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</row>
    <row r="892" spans="1:10" ht="12.75" customHeight="1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</row>
    <row r="893" spans="1:10" ht="12.75" customHeight="1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</row>
    <row r="894" spans="1:10" ht="12.75" customHeight="1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</row>
    <row r="895" spans="1:10" ht="12.75" customHeight="1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</row>
    <row r="896" spans="1:10" ht="12.75" customHeight="1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</row>
    <row r="897" spans="1:10" ht="12.75" customHeight="1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</row>
    <row r="898" spans="1:10" ht="12.75" customHeight="1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</row>
    <row r="899" spans="1:10" ht="12.75" customHeight="1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</row>
    <row r="900" spans="1:10" ht="12.75" customHeight="1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</row>
    <row r="901" spans="1:10" ht="12.75" customHeight="1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</row>
    <row r="902" spans="1:10" ht="12.75" customHeight="1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</row>
    <row r="903" spans="1:10" ht="12.75" customHeight="1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</row>
    <row r="904" spans="1:10" ht="12.75" customHeight="1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</row>
    <row r="905" spans="1:10" ht="12.75" customHeight="1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</row>
    <row r="906" spans="1:10" ht="12.75" customHeight="1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</row>
    <row r="907" spans="1:10" ht="12.75" customHeight="1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</row>
    <row r="908" spans="1:10" ht="12.75" customHeight="1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</row>
    <row r="909" spans="1:10" ht="12.75" customHeight="1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</row>
    <row r="910" spans="1:10" ht="12.75" customHeight="1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</row>
    <row r="911" spans="1:10" ht="12.75" customHeight="1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</row>
    <row r="912" spans="1:10" ht="12.75" customHeight="1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</row>
    <row r="913" spans="1:10" ht="12.75" customHeight="1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</row>
    <row r="914" spans="1:10" ht="12.75" customHeight="1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</row>
    <row r="915" spans="1:10" ht="12.75" customHeight="1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</row>
    <row r="916" spans="1:10" ht="12.75" customHeight="1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</row>
    <row r="917" spans="1:10" ht="12.75" customHeight="1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</row>
    <row r="918" spans="1:10" ht="12.75" customHeight="1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</row>
    <row r="919" spans="1:10" ht="12.75" customHeight="1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</row>
    <row r="920" spans="1:10" ht="12.75" customHeight="1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</row>
    <row r="921" spans="1:10" ht="12.75" customHeight="1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</row>
    <row r="922" spans="1:10" ht="12.75" customHeight="1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</row>
    <row r="923" spans="1:10" ht="12.75" customHeight="1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</row>
    <row r="924" spans="1:10" ht="12.75" customHeight="1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</row>
    <row r="925" spans="1:10" ht="12.75" customHeight="1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</row>
    <row r="926" spans="1:10" ht="12.75" customHeight="1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</row>
    <row r="927" spans="1:10" ht="12.75" customHeight="1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</row>
    <row r="928" spans="1:10" ht="12.75" customHeight="1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</row>
    <row r="929" spans="1:10" ht="12.75" customHeight="1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</row>
    <row r="930" spans="1:10" ht="12.75" customHeight="1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</row>
    <row r="931" spans="1:10" ht="12.75" customHeight="1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</row>
    <row r="932" spans="1:10" ht="12.75" customHeight="1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</row>
    <row r="933" spans="1:10" ht="12.75" customHeight="1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</row>
    <row r="934" spans="1:10" ht="12.75" customHeight="1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</row>
    <row r="935" spans="1:10" ht="12.75" customHeight="1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</row>
    <row r="936" spans="1:10" ht="12.75" customHeight="1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</row>
    <row r="937" spans="1:10" ht="12.75" customHeight="1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</row>
    <row r="938" spans="1:10" ht="12.75" customHeight="1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</row>
    <row r="939" spans="1:10" ht="12.75" customHeight="1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</row>
    <row r="940" spans="1:10" ht="12.75" customHeight="1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</row>
    <row r="941" spans="1:10" ht="12.75" customHeight="1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</row>
    <row r="942" spans="1:10" ht="12.75" customHeight="1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</row>
    <row r="943" spans="1:10" ht="12.75" customHeight="1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</row>
    <row r="944" spans="1:10" ht="12.75" customHeight="1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</row>
    <row r="945" spans="1:10" ht="12.75" customHeight="1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</row>
    <row r="946" spans="1:10" ht="12.75" customHeight="1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</row>
    <row r="947" spans="1:10" ht="12.75" customHeight="1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</row>
    <row r="948" spans="1:10" ht="12.75" customHeight="1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</row>
    <row r="949" spans="1:10" ht="12.75" customHeight="1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</row>
    <row r="950" spans="1:10" ht="12.75" customHeight="1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</row>
    <row r="951" spans="1:10" ht="12.75" customHeight="1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</row>
    <row r="952" spans="1:10" ht="12.75" customHeight="1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</row>
    <row r="953" spans="1:10" ht="12.75" customHeight="1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</row>
    <row r="954" spans="1:10" ht="12.75" customHeight="1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</row>
    <row r="955" spans="1:10" ht="12.75" customHeight="1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</row>
    <row r="956" spans="1:10" ht="12.75" customHeight="1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</row>
    <row r="957" spans="1:10" ht="12.75" customHeight="1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</row>
    <row r="958" spans="1:10" ht="12.75" customHeight="1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</row>
    <row r="959" spans="1:10" ht="12.75" customHeight="1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</row>
    <row r="960" spans="1:10" ht="12.75" customHeight="1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</row>
    <row r="961" spans="1:10" ht="12.75" customHeight="1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</row>
    <row r="962" spans="1:10" ht="15" customHeight="1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</row>
    <row r="963" spans="1:10" ht="15" customHeight="1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</row>
    <row r="964" spans="1:10" ht="15" customHeight="1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</row>
    <row r="965" spans="1:10" ht="15" customHeight="1" x14ac:dyDescent="0.2">
      <c r="H965" s="45"/>
      <c r="I965" s="45"/>
      <c r="J965" s="45"/>
    </row>
  </sheetData>
  <mergeCells count="2">
    <mergeCell ref="B254:C254"/>
    <mergeCell ref="D254:E254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10"/>
  <sheetViews>
    <sheetView tabSelected="1" topLeftCell="F154" workbookViewId="0">
      <selection activeCell="AC188" sqref="AC188"/>
    </sheetView>
  </sheetViews>
  <sheetFormatPr defaultColWidth="11.42578125" defaultRowHeight="12.75" x14ac:dyDescent="0.2"/>
  <cols>
    <col min="1" max="2" width="10.85546875" style="242"/>
    <col min="3" max="3" width="10.85546875" style="243"/>
    <col min="4" max="7" width="10.85546875" style="242"/>
    <col min="12" max="12" width="10" customWidth="1"/>
    <col min="13" max="13" width="10" style="232" customWidth="1"/>
    <col min="15" max="15" width="9" customWidth="1"/>
    <col min="16" max="16" width="9" style="232" customWidth="1"/>
    <col min="18" max="18" width="8.140625" customWidth="1"/>
    <col min="19" max="19" width="8.140625" style="232" customWidth="1"/>
    <col min="20" max="20" width="8.140625" style="339" customWidth="1"/>
    <col min="22" max="22" width="7.140625" customWidth="1"/>
    <col min="27" max="27" width="10.85546875" style="336"/>
  </cols>
  <sheetData>
    <row r="1" spans="1:25" x14ac:dyDescent="0.2">
      <c r="A1" s="237" t="s">
        <v>1</v>
      </c>
      <c r="B1" s="237" t="s">
        <v>9</v>
      </c>
      <c r="C1" s="238" t="s">
        <v>10</v>
      </c>
      <c r="D1" s="237" t="s">
        <v>11</v>
      </c>
      <c r="E1" s="237" t="s">
        <v>8</v>
      </c>
      <c r="F1" s="239" t="s">
        <v>502</v>
      </c>
      <c r="G1" s="239" t="s">
        <v>502</v>
      </c>
      <c r="H1" s="239" t="s">
        <v>509</v>
      </c>
      <c r="J1" s="353" t="s">
        <v>576</v>
      </c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5"/>
    </row>
    <row r="2" spans="1:25" ht="15" x14ac:dyDescent="0.25">
      <c r="A2" s="240">
        <v>2017</v>
      </c>
      <c r="B2" s="240" t="s">
        <v>19</v>
      </c>
      <c r="C2" s="241" t="s">
        <v>20</v>
      </c>
      <c r="D2" s="240" t="s">
        <v>30</v>
      </c>
      <c r="E2" s="240">
        <v>11</v>
      </c>
      <c r="F2" s="242" t="s">
        <v>503</v>
      </c>
      <c r="G2" s="242">
        <v>4.5999999999999996</v>
      </c>
      <c r="H2">
        <f>E2*G2</f>
        <v>50.599999999999994</v>
      </c>
      <c r="J2" s="256" t="s">
        <v>1</v>
      </c>
      <c r="K2" s="256" t="s">
        <v>321</v>
      </c>
      <c r="L2" s="256" t="s">
        <v>499</v>
      </c>
      <c r="M2" s="256" t="s">
        <v>529</v>
      </c>
      <c r="N2" s="256" t="s">
        <v>322</v>
      </c>
      <c r="O2" s="256" t="s">
        <v>499</v>
      </c>
      <c r="P2" s="256" t="s">
        <v>529</v>
      </c>
      <c r="Q2" s="256" t="s">
        <v>52</v>
      </c>
      <c r="R2" s="256" t="s">
        <v>499</v>
      </c>
      <c r="S2" s="256" t="s">
        <v>529</v>
      </c>
      <c r="T2" s="256"/>
      <c r="U2" s="256" t="s">
        <v>510</v>
      </c>
      <c r="V2" s="256" t="s">
        <v>499</v>
      </c>
      <c r="W2" s="256" t="s">
        <v>529</v>
      </c>
    </row>
    <row r="3" spans="1:25" ht="15" x14ac:dyDescent="0.25">
      <c r="A3" s="240">
        <v>2017</v>
      </c>
      <c r="B3" s="240" t="s">
        <v>19</v>
      </c>
      <c r="C3" s="241" t="s">
        <v>20</v>
      </c>
      <c r="D3" s="240" t="s">
        <v>30</v>
      </c>
      <c r="E3" s="240">
        <v>5.5</v>
      </c>
      <c r="F3" s="242" t="s">
        <v>503</v>
      </c>
      <c r="G3" s="242">
        <v>4.5999999999999996</v>
      </c>
      <c r="H3" s="230">
        <f t="shared" ref="H3:H66" si="0">E3*G3</f>
        <v>25.299999999999997</v>
      </c>
      <c r="J3">
        <v>2017</v>
      </c>
      <c r="K3">
        <f>AVERAGEIFS(H:H,A:A,J3,C:C,C2)</f>
        <v>47.910748663101579</v>
      </c>
      <c r="L3" s="73">
        <f t="array" ref="L3">STDEV(IF($A$2:$A$2693=J3,IF($C$2:$C$2693="female",$H$2:$H$2693)))</f>
        <v>12.566887428935752</v>
      </c>
      <c r="M3" s="73">
        <f>L3/2</f>
        <v>6.2834437144678761</v>
      </c>
      <c r="N3" s="230">
        <f>AVERAGEIFS(H:H,A:A,J3,C:C,C189)</f>
        <v>69.72999999999999</v>
      </c>
      <c r="O3" s="73">
        <f t="array" ref="O3">STDEV(IF($A$2:$A$2693=J3,IF($C$2:$C$2693="male",$H$2:$H$2693)))</f>
        <v>1.8809040379562141</v>
      </c>
      <c r="P3" s="73">
        <f>O3/2</f>
        <v>0.94045201897810704</v>
      </c>
      <c r="Q3">
        <f>AVERAGEIFS(H:H,A:A,J3,D:D,D2)</f>
        <v>53.91892473118277</v>
      </c>
      <c r="R3" s="73">
        <f t="array" ref="R3">STDEV(IF($A$2:$A$2693=J3,IF($D$2:$D$2693="gravid",$H$2:$H$2693)))</f>
        <v>12.108852444673836</v>
      </c>
      <c r="S3" s="73">
        <f>R3/2</f>
        <v>6.0544262223369181</v>
      </c>
      <c r="T3" s="73"/>
      <c r="U3">
        <f>AVERAGEIFS(H:H,A:A,J3,D:D,D95)</f>
        <v>41.966489361702145</v>
      </c>
      <c r="V3" s="73">
        <f t="array" ref="V3">STDEV(IF($A$2:$A$2693=J3,IF($D$2:$D$2693="spent",$H$2:$H$2693)))</f>
        <v>9.9495367274703685</v>
      </c>
      <c r="W3" s="195">
        <f>V3/2</f>
        <v>4.9747683637351843</v>
      </c>
      <c r="Y3" s="232"/>
    </row>
    <row r="4" spans="1:25" ht="15.75" x14ac:dyDescent="0.25">
      <c r="A4" s="240">
        <v>2017</v>
      </c>
      <c r="B4" s="240" t="s">
        <v>19</v>
      </c>
      <c r="C4" s="241" t="s">
        <v>20</v>
      </c>
      <c r="D4" s="240" t="s">
        <v>30</v>
      </c>
      <c r="E4" s="240">
        <v>15</v>
      </c>
      <c r="F4" s="242" t="s">
        <v>504</v>
      </c>
      <c r="G4" s="242">
        <v>4.5999999999999996</v>
      </c>
      <c r="H4" s="230">
        <f t="shared" si="0"/>
        <v>69</v>
      </c>
      <c r="J4">
        <v>2016</v>
      </c>
      <c r="K4" s="230">
        <f t="shared" ref="K4:K28" si="1">AVERAGEIFS(H:H,A:A,J4,C:C,C3)</f>
        <v>44.417575757575754</v>
      </c>
      <c r="L4" s="73">
        <f t="array" ref="L4">STDEV(IF($A$2:$A$2693=J4,IF($C$2:$C$2693="female",$H$2:$H$2693)))</f>
        <v>11.703243682389678</v>
      </c>
      <c r="M4" s="73">
        <f t="shared" ref="M4:M28" si="2">L4/2</f>
        <v>5.8516218411948389</v>
      </c>
      <c r="N4" s="230">
        <f t="shared" ref="N4:N28" si="3">AVERAGEIFS(H:H,A:A,J4,C:C,C190)</f>
        <v>58.9</v>
      </c>
      <c r="O4" s="73">
        <f t="array" ref="O4">STDEV(IF($A$2:$A$2693=J4,IF($C$2:$C$2693="male",$H$2:$H$2693)))</f>
        <v>18.809040379562159</v>
      </c>
      <c r="P4" s="73">
        <f t="shared" ref="P4:P29" si="4">O4/2</f>
        <v>9.4045201897810795</v>
      </c>
      <c r="Q4" s="230">
        <f t="shared" ref="Q4:Q28" si="5">AVERAGEIFS(H:H,A:A,J4,D:D,D3)</f>
        <v>49.942857142857136</v>
      </c>
      <c r="R4" s="73">
        <f t="array" ref="R4">STDEV(IF($A$2:$A$2693=J4,IF($D$2:$D$2693="gravid",$H$2:$H$2693)))</f>
        <v>11.166595593235092</v>
      </c>
      <c r="S4" s="73">
        <f t="shared" ref="S4:S28" si="6">R4/2</f>
        <v>5.5832977966175461</v>
      </c>
      <c r="T4" s="73"/>
      <c r="U4" s="230">
        <f t="shared" ref="U4:U28" si="7">AVERAGEIFS(H:H,A:A,J4,D:D,D96)</f>
        <v>42.929999999999993</v>
      </c>
      <c r="V4" s="73">
        <f t="array" ref="V4">STDEV(IF($A$2:$A$2693=J4,IF($D$2:$D$2693="spent",$H$2:$H$2693)))</f>
        <v>11.599165487223646</v>
      </c>
      <c r="W4" s="195">
        <f t="shared" ref="W4:W28" si="8">V4/2</f>
        <v>5.7995827436118228</v>
      </c>
      <c r="Y4" s="232"/>
    </row>
    <row r="5" spans="1:25" ht="15.75" x14ac:dyDescent="0.25">
      <c r="A5" s="240">
        <v>2017</v>
      </c>
      <c r="B5" s="240" t="s">
        <v>19</v>
      </c>
      <c r="C5" s="241" t="s">
        <v>20</v>
      </c>
      <c r="D5" s="240" t="s">
        <v>30</v>
      </c>
      <c r="E5" s="240">
        <v>9.5</v>
      </c>
      <c r="F5" s="242" t="s">
        <v>504</v>
      </c>
      <c r="G5" s="242">
        <v>4.5999999999999996</v>
      </c>
      <c r="H5" s="230">
        <f t="shared" si="0"/>
        <v>43.699999999999996</v>
      </c>
      <c r="J5">
        <v>2014</v>
      </c>
      <c r="K5" s="230">
        <f t="shared" si="1"/>
        <v>43.204999999999977</v>
      </c>
      <c r="L5" s="73">
        <f t="array" ref="L5">STDEV(IF($A$2:$A$2693=J5,IF($C$2:$C$2693="female",$H$2:$H$2693)))</f>
        <v>14.102765907792739</v>
      </c>
      <c r="M5" s="73">
        <f t="shared" si="2"/>
        <v>7.0513829538963693</v>
      </c>
      <c r="N5" s="230">
        <f t="shared" si="3"/>
        <v>43.204999999999977</v>
      </c>
      <c r="O5" s="73"/>
      <c r="P5" s="73"/>
      <c r="Q5" s="230">
        <f t="shared" si="5"/>
        <v>58.157142857142844</v>
      </c>
      <c r="R5" s="73">
        <f t="array" ref="R5">STDEV(IF($A$2:$A$2693=J5,IF($D$2:$D$2693="gravid",$H$2:$H$2693)))</f>
        <v>18.952999511322538</v>
      </c>
      <c r="S5" s="73">
        <f t="shared" si="6"/>
        <v>9.4764997556612691</v>
      </c>
      <c r="T5" s="73"/>
      <c r="U5" s="230">
        <f t="shared" si="7"/>
        <v>41.790608108108081</v>
      </c>
      <c r="V5" s="73">
        <f t="array" ref="V5">STDEV(IF($A$2:$A$2693=J5,IF($D$2:$D$2693="spent",$H$2:$H$2693)))</f>
        <v>12.844027447163795</v>
      </c>
      <c r="W5" s="195">
        <f t="shared" si="8"/>
        <v>6.4220137235818973</v>
      </c>
      <c r="Y5" s="232"/>
    </row>
    <row r="6" spans="1:25" ht="15.75" x14ac:dyDescent="0.25">
      <c r="A6" s="240">
        <v>2017</v>
      </c>
      <c r="B6" s="240" t="s">
        <v>19</v>
      </c>
      <c r="C6" s="241" t="s">
        <v>20</v>
      </c>
      <c r="D6" s="240" t="s">
        <v>30</v>
      </c>
      <c r="E6" s="240">
        <v>7</v>
      </c>
      <c r="F6" s="242" t="s">
        <v>504</v>
      </c>
      <c r="G6" s="242">
        <v>4.5999999999999996</v>
      </c>
      <c r="H6" s="230">
        <f t="shared" si="0"/>
        <v>32.199999999999996</v>
      </c>
      <c r="J6">
        <v>2013</v>
      </c>
      <c r="K6" s="230">
        <f t="shared" si="1"/>
        <v>43.189687499999984</v>
      </c>
      <c r="L6" s="73">
        <f t="array" ref="L6">STDEV(IF($A$2:$A$2693=J6,IF($C$2:$C$2693="female",$H$2:$H$2693)))</f>
        <v>13.667216129343666</v>
      </c>
      <c r="M6" s="73">
        <f t="shared" si="2"/>
        <v>6.8336080646718331</v>
      </c>
      <c r="N6" s="230">
        <f t="shared" si="3"/>
        <v>43.189687499999984</v>
      </c>
      <c r="O6" s="73">
        <f t="array" ref="O6">STDEV(IF($A$2:$A$2693=J6,IF($C$2:$C$2693="male",$H$2:$H$2693)))</f>
        <v>24.183051916579881</v>
      </c>
      <c r="P6" s="73">
        <f t="shared" si="4"/>
        <v>12.091525958289941</v>
      </c>
      <c r="Q6" s="230">
        <f t="shared" si="5"/>
        <v>50.323999999999991</v>
      </c>
      <c r="R6" s="73">
        <f t="array" ref="R6">STDEV(IF($A$2:$A$2693=J6,IF($D$2:$D$2693="gravid",$H$2:$H$2693)))</f>
        <v>15.859567999881262</v>
      </c>
      <c r="S6" s="73">
        <f t="shared" si="6"/>
        <v>7.9297839999406312</v>
      </c>
      <c r="T6" s="73"/>
      <c r="U6" s="230">
        <f t="shared" si="7"/>
        <v>41.005714285714291</v>
      </c>
      <c r="V6" s="73">
        <f t="array" ref="V6">STDEV(IF($A$2:$A$2693=J6,IF($D$2:$D$2693="spent",$H$2:$H$2693)))</f>
        <v>12.289384138352888</v>
      </c>
      <c r="W6" s="195">
        <f t="shared" si="8"/>
        <v>6.1446920691764442</v>
      </c>
      <c r="Y6" s="232"/>
    </row>
    <row r="7" spans="1:25" ht="15.75" x14ac:dyDescent="0.25">
      <c r="A7" s="240">
        <v>2017</v>
      </c>
      <c r="B7" s="240" t="s">
        <v>19</v>
      </c>
      <c r="C7" s="241" t="s">
        <v>20</v>
      </c>
      <c r="D7" s="240" t="s">
        <v>30</v>
      </c>
      <c r="E7" s="240">
        <v>16.5</v>
      </c>
      <c r="F7" s="242" t="s">
        <v>504</v>
      </c>
      <c r="G7" s="242">
        <v>4.5999999999999996</v>
      </c>
      <c r="H7" s="230">
        <f t="shared" si="0"/>
        <v>75.899999999999991</v>
      </c>
      <c r="J7" s="230">
        <v>2012</v>
      </c>
      <c r="K7" s="230">
        <f t="shared" si="1"/>
        <v>41.17261363636365</v>
      </c>
      <c r="L7" s="73">
        <f t="array" ref="L7">STDEV(IF($A$2:$A$2693=J7,IF($C$2:$C$2693="female",$H$2:$H$2693)))</f>
        <v>14.444067190318369</v>
      </c>
      <c r="M7" s="73">
        <f t="shared" si="2"/>
        <v>7.2220335951591847</v>
      </c>
      <c r="N7" s="230">
        <f t="shared" si="3"/>
        <v>41.17261363636365</v>
      </c>
      <c r="O7" s="73">
        <f t="array" ref="O7">STDEV(IF($A$2:$A$2693=J7,IF($C$2:$C$2693="male",$H$2:$H$2693)))</f>
        <v>8.5984184592284159</v>
      </c>
      <c r="P7" s="73">
        <f t="shared" si="4"/>
        <v>4.2992092296142079</v>
      </c>
      <c r="Q7" s="230">
        <f t="shared" si="5"/>
        <v>49.721818181818186</v>
      </c>
      <c r="R7" s="73">
        <f t="array" ref="R7">STDEV(IF($A$2:$A$2693=J7,IF($D$2:$D$2693="gravid",$H$2:$H$2693)))</f>
        <v>13.675025012441784</v>
      </c>
      <c r="S7" s="73">
        <f t="shared" si="6"/>
        <v>6.8375125062208921</v>
      </c>
      <c r="T7" s="73"/>
      <c r="U7" s="230">
        <f t="shared" si="7"/>
        <v>37.643124999999998</v>
      </c>
      <c r="V7" s="73">
        <f t="array" ref="V7">STDEV(IF($A$2:$A$2693=J7,IF($D$2:$D$2693="spent",$H$2:$H$2693)))</f>
        <v>11.927633775120878</v>
      </c>
      <c r="W7" s="195">
        <f t="shared" si="8"/>
        <v>5.9638168875604389</v>
      </c>
      <c r="Y7" s="232"/>
    </row>
    <row r="8" spans="1:25" ht="15.75" x14ac:dyDescent="0.25">
      <c r="A8" s="240">
        <v>2017</v>
      </c>
      <c r="B8" s="240" t="s">
        <v>19</v>
      </c>
      <c r="C8" s="241" t="s">
        <v>20</v>
      </c>
      <c r="D8" s="240" t="s">
        <v>30</v>
      </c>
      <c r="E8" s="240">
        <v>16.5</v>
      </c>
      <c r="F8" s="242" t="s">
        <v>504</v>
      </c>
      <c r="G8" s="242">
        <v>4.5999999999999996</v>
      </c>
      <c r="H8" s="230">
        <f t="shared" si="0"/>
        <v>75.899999999999991</v>
      </c>
      <c r="J8" s="230">
        <v>2011</v>
      </c>
      <c r="K8" s="230">
        <f t="shared" si="1"/>
        <v>45.99266233766231</v>
      </c>
      <c r="L8" s="73">
        <f t="array" ref="L8">STDEV(IF($A$2:$A$2693=J8,IF($C$2:$C$2693="female",$H$2:$H$2693)))</f>
        <v>14.108812932283515</v>
      </c>
      <c r="M8" s="73">
        <f t="shared" si="2"/>
        <v>7.0544064661417574</v>
      </c>
      <c r="N8" s="230">
        <f t="shared" si="3"/>
        <v>45.99266233766231</v>
      </c>
      <c r="O8" s="73">
        <f t="array" ref="O8">STDEV(IF($A$2:$A$2693=J8,IF($C$2:$C$2693="male",$H$2:$H$2693)))</f>
        <v>18.031029462702552</v>
      </c>
      <c r="P8" s="73">
        <f t="shared" si="4"/>
        <v>9.015514731351276</v>
      </c>
      <c r="Q8" s="230">
        <f t="shared" si="5"/>
        <v>55.781052631578937</v>
      </c>
      <c r="R8" s="73">
        <f t="array" ref="R8">STDEV(IF($A$2:$A$2693=J8,IF($D$2:$D$2693="gravid",$H$2:$H$2693)))</f>
        <v>13.439482569255548</v>
      </c>
      <c r="S8" s="73">
        <f t="shared" si="6"/>
        <v>6.7197412846277738</v>
      </c>
      <c r="T8" s="73"/>
      <c r="U8" s="230">
        <f t="shared" si="7"/>
        <v>36.60355263157895</v>
      </c>
      <c r="V8" s="73">
        <f t="array" ref="V8">STDEV(IF($A$2:$A$2693=J8,IF($D$2:$D$2693="spent",$H$2:$H$2693)))</f>
        <v>8.489558364655057</v>
      </c>
      <c r="W8" s="195">
        <f t="shared" si="8"/>
        <v>4.2447791823275285</v>
      </c>
      <c r="Y8" s="232"/>
    </row>
    <row r="9" spans="1:25" ht="15.75" x14ac:dyDescent="0.25">
      <c r="A9" s="240">
        <v>2017</v>
      </c>
      <c r="B9" s="240" t="s">
        <v>19</v>
      </c>
      <c r="C9" s="241" t="s">
        <v>20</v>
      </c>
      <c r="D9" s="240" t="s">
        <v>30</v>
      </c>
      <c r="E9" s="240">
        <v>10</v>
      </c>
      <c r="F9" s="242" t="s">
        <v>504</v>
      </c>
      <c r="G9" s="242">
        <v>4.5999999999999996</v>
      </c>
      <c r="H9" s="230">
        <f t="shared" si="0"/>
        <v>46</v>
      </c>
      <c r="J9" s="230">
        <v>2010</v>
      </c>
      <c r="K9" s="230">
        <f t="shared" si="1"/>
        <v>56.856799999999986</v>
      </c>
      <c r="L9" s="73">
        <f t="array" ref="L9">STDEV(IF($A$2:$A$2693=J9,IF($C$2:$C$2693="female",$H$2:$H$2693)))</f>
        <v>11.773796371604289</v>
      </c>
      <c r="M9" s="73">
        <f t="shared" si="2"/>
        <v>5.8868981858021447</v>
      </c>
      <c r="N9" s="230">
        <f t="shared" si="3"/>
        <v>56.856799999999986</v>
      </c>
      <c r="O9" s="73">
        <f t="array" ref="O9">STDEV(IF($A$2:$A$2693=J9,IF($C$2:$C$2693="male",$H$2:$H$2693)))</f>
        <v>16.841189585853691</v>
      </c>
      <c r="P9" s="73">
        <f t="shared" si="4"/>
        <v>8.4205947929268454</v>
      </c>
      <c r="Q9" s="230">
        <f t="shared" si="5"/>
        <v>58.239999999999988</v>
      </c>
      <c r="R9" s="73">
        <f t="array" ref="R9">STDEV(IF($A$2:$A$2693=J9,IF($D$2:$D$2693="gravid",$H$2:$H$2693)))</f>
        <v>11.173136615032632</v>
      </c>
      <c r="S9" s="73">
        <f t="shared" si="6"/>
        <v>5.5865683075163162</v>
      </c>
      <c r="T9" s="73"/>
      <c r="U9" s="230">
        <f t="shared" si="7"/>
        <v>40.950000000000003</v>
      </c>
      <c r="V9" s="73">
        <f t="array" ref="V9">STDEV(IF($A$2:$A$2693=J9,IF($D$2:$D$2693="spent",$H$2:$H$2693)))</f>
        <v>5.5154328932550731</v>
      </c>
      <c r="W9" s="195">
        <f t="shared" si="8"/>
        <v>2.7577164466275366</v>
      </c>
      <c r="Y9" s="232"/>
    </row>
    <row r="10" spans="1:25" ht="15.75" x14ac:dyDescent="0.25">
      <c r="A10" s="240">
        <v>2017</v>
      </c>
      <c r="B10" s="240" t="s">
        <v>19</v>
      </c>
      <c r="C10" s="241" t="s">
        <v>20</v>
      </c>
      <c r="D10" s="240" t="s">
        <v>30</v>
      </c>
      <c r="E10" s="240">
        <v>9.3000000000000007</v>
      </c>
      <c r="F10" s="242" t="s">
        <v>504</v>
      </c>
      <c r="G10" s="242">
        <v>4.5999999999999996</v>
      </c>
      <c r="H10" s="230">
        <f t="shared" si="0"/>
        <v>42.78</v>
      </c>
      <c r="J10" s="230">
        <v>2009</v>
      </c>
      <c r="K10" s="230">
        <f t="shared" si="1"/>
        <v>56.056222222222225</v>
      </c>
      <c r="L10" s="73">
        <f t="array" ref="L10">STDEV(IF($A$2:$A$2693=J10,IF($C$2:$C$2693="female",$H$2:$H$2693)))</f>
        <v>17.993649421252709</v>
      </c>
      <c r="M10" s="73">
        <f t="shared" si="2"/>
        <v>8.9968247106263544</v>
      </c>
      <c r="N10" s="230">
        <f t="shared" si="3"/>
        <v>56.056222222222225</v>
      </c>
      <c r="O10" s="73"/>
      <c r="P10" s="73"/>
      <c r="Q10" s="230">
        <f t="shared" si="5"/>
        <v>61.821212121212127</v>
      </c>
      <c r="R10" s="73">
        <f t="array" ref="R10">STDEV(IF($A$2:$A$2693=J10,IF($D$2:$D$2693="gravid",$H$2:$H$2693)))</f>
        <v>16.751335722408772</v>
      </c>
      <c r="S10" s="73">
        <f t="shared" si="6"/>
        <v>8.375667861204386</v>
      </c>
      <c r="T10" s="73"/>
      <c r="U10" s="230">
        <f t="shared" si="7"/>
        <v>40.202500000000001</v>
      </c>
      <c r="V10" s="73">
        <f t="array" ref="V10">STDEV(IF($A$2:$A$2693=J10,IF($D$2:$D$2693="spent",$H$2:$H$2693)))</f>
        <v>10.241030776422656</v>
      </c>
      <c r="W10" s="195">
        <f t="shared" si="8"/>
        <v>5.1205153882113281</v>
      </c>
      <c r="Y10" s="232"/>
    </row>
    <row r="11" spans="1:25" ht="15.75" x14ac:dyDescent="0.25">
      <c r="A11" s="240">
        <v>2017</v>
      </c>
      <c r="B11" s="240" t="s">
        <v>19</v>
      </c>
      <c r="C11" s="241" t="s">
        <v>20</v>
      </c>
      <c r="D11" s="240" t="s">
        <v>30</v>
      </c>
      <c r="E11" s="240">
        <v>12.3</v>
      </c>
      <c r="F11" s="242" t="s">
        <v>504</v>
      </c>
      <c r="G11" s="242">
        <v>4.5999999999999996</v>
      </c>
      <c r="H11" s="230">
        <f t="shared" si="0"/>
        <v>56.58</v>
      </c>
      <c r="J11" s="230">
        <v>2008</v>
      </c>
      <c r="K11" s="230">
        <f t="shared" si="1"/>
        <v>52.28282608695654</v>
      </c>
      <c r="L11" s="73">
        <f t="array" ref="L11">STDEV(IF($A$2:$A$2693=J11,IF($C$2:$C$2693="female",$H$2:$H$2693)))</f>
        <v>18.583977580020267</v>
      </c>
      <c r="M11" s="73">
        <f t="shared" si="2"/>
        <v>9.2919887900101337</v>
      </c>
      <c r="N11" s="230">
        <f t="shared" si="3"/>
        <v>52.28282608695654</v>
      </c>
      <c r="O11" s="73"/>
      <c r="P11" s="73"/>
      <c r="Q11" s="230">
        <f t="shared" si="5"/>
        <v>63.153157894736843</v>
      </c>
      <c r="R11" s="73">
        <f t="array" ref="R11">STDEV(IF($A$2:$A$2693=J11,IF($D$2:$D$2693="gravid",$H$2:$H$2693)))</f>
        <v>20.461695935796449</v>
      </c>
      <c r="S11" s="73">
        <f t="shared" si="6"/>
        <v>10.230847967898224</v>
      </c>
      <c r="T11" s="73"/>
      <c r="U11" s="230">
        <f t="shared" si="7"/>
        <v>44.633333333333319</v>
      </c>
      <c r="V11" s="73">
        <f t="array" ref="V11">STDEV(IF($A$2:$A$2693=J11,IF($D$2:$D$2693="spent",$H$2:$H$2693)))</f>
        <v>12.504274740761831</v>
      </c>
      <c r="W11" s="195">
        <f t="shared" si="8"/>
        <v>6.2521373703809155</v>
      </c>
      <c r="Y11" s="232"/>
    </row>
    <row r="12" spans="1:25" ht="15.75" x14ac:dyDescent="0.25">
      <c r="A12" s="240">
        <v>2017</v>
      </c>
      <c r="B12" s="240" t="s">
        <v>19</v>
      </c>
      <c r="C12" s="241" t="s">
        <v>20</v>
      </c>
      <c r="D12" s="240" t="s">
        <v>30</v>
      </c>
      <c r="E12" s="240">
        <v>12.6</v>
      </c>
      <c r="F12" s="242" t="s">
        <v>504</v>
      </c>
      <c r="G12" s="242">
        <v>4.5999999999999996</v>
      </c>
      <c r="H12" s="230">
        <f t="shared" si="0"/>
        <v>57.959999999999994</v>
      </c>
      <c r="J12" s="230">
        <v>2007</v>
      </c>
      <c r="K12" s="230">
        <f t="shared" si="1"/>
        <v>51.420112781954877</v>
      </c>
      <c r="L12" s="73">
        <f t="array" ref="L12">STDEV(IF($A$2:$A$2693=J12,IF($C$2:$C$2693="female",$H$2:$H$2693)))</f>
        <v>14.75736153567977</v>
      </c>
      <c r="M12" s="73">
        <f t="shared" si="2"/>
        <v>7.3786807678398851</v>
      </c>
      <c r="N12" s="230">
        <f t="shared" si="3"/>
        <v>51.420112781954877</v>
      </c>
      <c r="O12" s="73"/>
      <c r="P12" s="73"/>
      <c r="Q12" s="230">
        <f t="shared" si="5"/>
        <v>59.985957446808492</v>
      </c>
      <c r="R12" s="73">
        <f t="array" ref="R12">STDEV(IF($A$2:$A$2693=J12,IF($D$2:$D$2693="gravid",$H$2:$H$2693)))</f>
        <v>14.223957539486253</v>
      </c>
      <c r="S12" s="73">
        <f t="shared" si="6"/>
        <v>7.1119787697431267</v>
      </c>
      <c r="T12" s="73"/>
      <c r="U12" s="230">
        <f t="shared" si="7"/>
        <v>47.108749999999986</v>
      </c>
      <c r="V12" s="73">
        <f t="array" ref="V12">STDEV(IF($A$2:$A$2693=J12,IF($D$2:$D$2693="spent",$H$2:$H$2693)))</f>
        <v>12.806488163478932</v>
      </c>
      <c r="W12" s="195">
        <f t="shared" si="8"/>
        <v>6.4032440817394658</v>
      </c>
      <c r="Y12" s="232"/>
    </row>
    <row r="13" spans="1:25" ht="15.75" x14ac:dyDescent="0.25">
      <c r="A13" s="240">
        <v>2017</v>
      </c>
      <c r="B13" s="240" t="s">
        <v>19</v>
      </c>
      <c r="C13" s="241" t="s">
        <v>20</v>
      </c>
      <c r="D13" s="240" t="s">
        <v>30</v>
      </c>
      <c r="E13" s="240">
        <v>10.5</v>
      </c>
      <c r="F13" s="242" t="s">
        <v>504</v>
      </c>
      <c r="G13" s="242">
        <v>4.5999999999999996</v>
      </c>
      <c r="H13" s="230">
        <f t="shared" si="0"/>
        <v>48.3</v>
      </c>
      <c r="J13" s="230">
        <v>2006</v>
      </c>
      <c r="K13" s="230">
        <f t="shared" si="1"/>
        <v>36.112272727272732</v>
      </c>
      <c r="L13" s="73">
        <f t="array" ref="L13">STDEV(IF($A$2:$A$2693=J13,IF($C$2:$C$2693="female",$H$2:$H$2693)))</f>
        <v>9.9224564603626302</v>
      </c>
      <c r="M13" s="73">
        <f t="shared" si="2"/>
        <v>4.9612282301813151</v>
      </c>
      <c r="N13" s="230">
        <f t="shared" si="3"/>
        <v>36.112272727272732</v>
      </c>
      <c r="O13" s="73"/>
      <c r="P13" s="73"/>
      <c r="Q13" s="230">
        <f t="shared" si="5"/>
        <v>51.519999999999996</v>
      </c>
      <c r="R13" s="73"/>
      <c r="S13" s="73"/>
      <c r="T13" s="73"/>
      <c r="U13" s="230">
        <f t="shared" si="7"/>
        <v>36.742105263157903</v>
      </c>
      <c r="V13" s="73">
        <f t="array" ref="V13">STDEV(IF($A$2:$A$2693=J13,IF($D$2:$D$2693="spent",$H$2:$H$2693)))</f>
        <v>8.9630064270045935</v>
      </c>
      <c r="W13" s="195">
        <f t="shared" si="8"/>
        <v>4.4815032135022967</v>
      </c>
      <c r="Y13" s="232"/>
    </row>
    <row r="14" spans="1:25" ht="15.75" x14ac:dyDescent="0.25">
      <c r="A14" s="240">
        <v>2017</v>
      </c>
      <c r="B14" s="240" t="s">
        <v>19</v>
      </c>
      <c r="C14" s="241" t="s">
        <v>20</v>
      </c>
      <c r="D14" s="240" t="s">
        <v>30</v>
      </c>
      <c r="E14" s="240">
        <v>12.5</v>
      </c>
      <c r="F14" s="242" t="s">
        <v>504</v>
      </c>
      <c r="G14" s="242">
        <v>4.5999999999999996</v>
      </c>
      <c r="H14" s="230">
        <f t="shared" si="0"/>
        <v>57.499999999999993</v>
      </c>
      <c r="J14" s="230">
        <v>2005</v>
      </c>
      <c r="K14" s="230">
        <f t="shared" si="1"/>
        <v>39.78682352941177</v>
      </c>
      <c r="L14" s="73">
        <f t="array" ref="L14">STDEV(IF($A$2:$A$2693=J14,IF($C$2:$C$2693="female",$H$2:$H$2693)))</f>
        <v>11.529454640776574</v>
      </c>
      <c r="M14" s="73">
        <f t="shared" si="2"/>
        <v>5.7647273203882872</v>
      </c>
      <c r="N14" s="230">
        <f t="shared" si="3"/>
        <v>39.78682352941177</v>
      </c>
      <c r="O14" s="73">
        <f t="array" ref="O14">STDEV(IF($A$2:$A$2693=J14,IF($C$2:$C$2693="male",$H$2:$H$2693)))</f>
        <v>21.882842594142115</v>
      </c>
      <c r="P14" s="73">
        <f t="shared" si="4"/>
        <v>10.941421297071058</v>
      </c>
      <c r="Q14" s="230">
        <f t="shared" si="5"/>
        <v>48.944000000000003</v>
      </c>
      <c r="R14" s="73">
        <f t="array" ref="R14">STDEV(IF($A$2:$A$2693=J14,IF($D$2:$D$2693="gravid",$H$2:$H$2693)))</f>
        <v>14.581346988532967</v>
      </c>
      <c r="S14" s="73">
        <f t="shared" si="6"/>
        <v>7.2906734942664837</v>
      </c>
      <c r="T14" s="73"/>
      <c r="U14" s="230">
        <f t="shared" si="7"/>
        <v>39.541666666666671</v>
      </c>
      <c r="V14" s="73">
        <f t="array" ref="V14">STDEV(IF($A$2:$A$2693=J14,IF($D$2:$D$2693="spent",$H$2:$H$2693)))</f>
        <v>11.221970026140919</v>
      </c>
      <c r="W14" s="195">
        <f t="shared" si="8"/>
        <v>5.6109850130704597</v>
      </c>
      <c r="Y14" s="232"/>
    </row>
    <row r="15" spans="1:25" ht="15.75" x14ac:dyDescent="0.25">
      <c r="A15" s="240">
        <v>2017</v>
      </c>
      <c r="B15" s="240" t="s">
        <v>19</v>
      </c>
      <c r="C15" s="241" t="s">
        <v>20</v>
      </c>
      <c r="D15" s="240" t="s">
        <v>30</v>
      </c>
      <c r="E15" s="240">
        <v>11</v>
      </c>
      <c r="F15" s="242" t="s">
        <v>504</v>
      </c>
      <c r="G15" s="242">
        <v>4.5999999999999996</v>
      </c>
      <c r="H15" s="230">
        <f t="shared" si="0"/>
        <v>50.599999999999994</v>
      </c>
      <c r="J15" s="230">
        <v>2004</v>
      </c>
      <c r="K15" s="230">
        <f t="shared" si="1"/>
        <v>48.2951388888889</v>
      </c>
      <c r="L15" s="73">
        <f t="array" ref="L15">STDEV(IF($A$2:$A$2693=J15,IF($C$2:$C$2693="female",$H$2:$H$2693)))</f>
        <v>11.87686739008031</v>
      </c>
      <c r="M15" s="73">
        <f t="shared" si="2"/>
        <v>5.9384336950401551</v>
      </c>
      <c r="N15" s="230">
        <f t="shared" si="3"/>
        <v>48.2951388888889</v>
      </c>
      <c r="O15" s="73"/>
      <c r="P15" s="73"/>
      <c r="Q15" s="230">
        <f t="shared" si="5"/>
        <v>51.096507936507933</v>
      </c>
      <c r="R15" s="73">
        <f t="array" ref="R15">STDEV(IF($A$2:$A$2693=J15,IF($D$2:$D$2693="gravid",$H$2:$H$2693)))</f>
        <v>12.070579823944902</v>
      </c>
      <c r="S15" s="73">
        <f t="shared" si="6"/>
        <v>6.035289911972451</v>
      </c>
      <c r="T15" s="73"/>
      <c r="U15" s="230">
        <f t="shared" si="7"/>
        <v>46.156500000000001</v>
      </c>
      <c r="V15" s="73">
        <f t="array" ref="V15">STDEV(IF($A$2:$A$2693=J15,IF($D$2:$D$2693="spent",$H$2:$H$2693)))</f>
        <v>11.38999817739286</v>
      </c>
      <c r="W15" s="195">
        <f t="shared" si="8"/>
        <v>5.6949990886964299</v>
      </c>
      <c r="Y15" s="232"/>
    </row>
    <row r="16" spans="1:25" ht="15.75" x14ac:dyDescent="0.25">
      <c r="A16" s="240">
        <v>2017</v>
      </c>
      <c r="B16" s="240" t="s">
        <v>19</v>
      </c>
      <c r="C16" s="241" t="s">
        <v>20</v>
      </c>
      <c r="D16" s="240" t="s">
        <v>30</v>
      </c>
      <c r="E16" s="240">
        <v>11</v>
      </c>
      <c r="F16" s="242" t="s">
        <v>504</v>
      </c>
      <c r="G16" s="242">
        <v>4.5999999999999996</v>
      </c>
      <c r="H16" s="230">
        <f t="shared" si="0"/>
        <v>50.599999999999994</v>
      </c>
      <c r="J16" s="230">
        <v>2003</v>
      </c>
      <c r="K16" s="230">
        <f t="shared" si="1"/>
        <v>58.388260869565229</v>
      </c>
      <c r="L16" s="73">
        <f t="array" ref="L16">STDEV(IF($A$2:$A$2693=J16,IF($C$2:$C$2693="female",$H$2:$H$2693)))</f>
        <v>16.056999386058571</v>
      </c>
      <c r="M16" s="73">
        <f t="shared" si="2"/>
        <v>8.0284996930292856</v>
      </c>
      <c r="N16" s="230">
        <f t="shared" si="3"/>
        <v>58.388260869565229</v>
      </c>
      <c r="O16" s="73">
        <f t="array" ref="O16">STDEV(IF($A$2:$A$2693=J16,IF($C$2:$C$2693="male",$H$2:$H$2693)))</f>
        <v>13.924118164776823</v>
      </c>
      <c r="P16" s="73">
        <f t="shared" si="4"/>
        <v>6.9620590823884116</v>
      </c>
      <c r="Q16" s="230">
        <f t="shared" si="5"/>
        <v>62.297142857142866</v>
      </c>
      <c r="R16" s="73">
        <f t="array" ref="R16">STDEV(IF($A$2:$A$2693=J16,IF($D$2:$D$2693="gravid",$H$2:$H$2693)))</f>
        <v>14.86379441514123</v>
      </c>
      <c r="S16" s="73">
        <f t="shared" si="6"/>
        <v>7.4318972075706151</v>
      </c>
      <c r="T16" s="73"/>
      <c r="U16" s="230">
        <f t="shared" si="7"/>
        <v>41.55</v>
      </c>
      <c r="V16" s="73">
        <f t="array" ref="V16">STDEV(IF($A$2:$A$2693=J16,IF($D$2:$D$2693="spent",$H$2:$H$2693)))</f>
        <v>8.3639852941047295</v>
      </c>
      <c r="W16" s="195">
        <f t="shared" si="8"/>
        <v>4.1819926470523647</v>
      </c>
      <c r="Y16" s="232"/>
    </row>
    <row r="17" spans="1:25" ht="15.75" x14ac:dyDescent="0.25">
      <c r="A17" s="240">
        <v>2017</v>
      </c>
      <c r="B17" s="240" t="s">
        <v>19</v>
      </c>
      <c r="C17" s="241" t="s">
        <v>20</v>
      </c>
      <c r="D17" s="240" t="s">
        <v>30</v>
      </c>
      <c r="E17" s="240">
        <v>10.5</v>
      </c>
      <c r="F17" s="242" t="s">
        <v>504</v>
      </c>
      <c r="G17" s="242">
        <v>4.5999999999999996</v>
      </c>
      <c r="H17" s="230">
        <f t="shared" si="0"/>
        <v>48.3</v>
      </c>
      <c r="J17" s="230">
        <v>2002</v>
      </c>
      <c r="K17" s="230">
        <f t="shared" si="1"/>
        <v>52.329365079365068</v>
      </c>
      <c r="L17" s="73">
        <f t="array" ref="L17">STDEV(IF($A$2:$A$2693=J17,IF($C$2:$C$2693="female",$H$2:$H$2693)))</f>
        <v>15.675261258796427</v>
      </c>
      <c r="M17" s="73">
        <f t="shared" si="2"/>
        <v>7.8376306293982134</v>
      </c>
      <c r="N17" s="230">
        <f t="shared" si="3"/>
        <v>52.329365079365068</v>
      </c>
      <c r="O17" s="73">
        <f t="array" ref="O17">STDEV(IF($A$2:$A$2693=J17,IF($C$2:$C$2693="male",$H$2:$H$2693)))</f>
        <v>14.720743112281321</v>
      </c>
      <c r="P17" s="73">
        <f t="shared" si="4"/>
        <v>7.3603715561406604</v>
      </c>
      <c r="Q17" s="230">
        <f t="shared" si="5"/>
        <v>57.453378378378396</v>
      </c>
      <c r="R17" s="73">
        <f t="array" ref="R17">STDEV(IF($A$2:$A$2693=J17,IF($D$2:$D$2693="gravid",$H$2:$H$2693)))</f>
        <v>14.899593271810337</v>
      </c>
      <c r="S17" s="73">
        <f t="shared" si="6"/>
        <v>7.4497966359051686</v>
      </c>
      <c r="T17" s="73"/>
      <c r="U17" s="230">
        <f t="shared" si="7"/>
        <v>45.480882352941187</v>
      </c>
      <c r="V17" s="73">
        <f t="array" ref="V17">STDEV(IF($A$2:$A$2693=J17,IF($D$2:$D$2693="spent",$H$2:$H$2693)))</f>
        <v>13.557736902109204</v>
      </c>
      <c r="W17" s="195">
        <f t="shared" si="8"/>
        <v>6.7788684510546018</v>
      </c>
      <c r="Y17" s="232"/>
    </row>
    <row r="18" spans="1:25" ht="15.75" x14ac:dyDescent="0.25">
      <c r="A18" s="240">
        <v>2017</v>
      </c>
      <c r="B18" s="240" t="s">
        <v>19</v>
      </c>
      <c r="C18" s="241" t="s">
        <v>20</v>
      </c>
      <c r="D18" s="240" t="s">
        <v>30</v>
      </c>
      <c r="E18" s="240">
        <v>16.5</v>
      </c>
      <c r="F18" s="242" t="s">
        <v>504</v>
      </c>
      <c r="G18" s="242">
        <v>4.5999999999999996</v>
      </c>
      <c r="H18" s="230">
        <f t="shared" si="0"/>
        <v>75.899999999999991</v>
      </c>
      <c r="J18" s="230">
        <v>2001</v>
      </c>
      <c r="K18" s="230">
        <f t="shared" si="1"/>
        <v>50.333363636363636</v>
      </c>
      <c r="L18" s="73">
        <f t="array" ref="L18">STDEV(IF($A$2:$A$2693=J18,IF($C$2:$C$2693="female",$H$2:$H$2693)))</f>
        <v>14.385135758274476</v>
      </c>
      <c r="M18" s="73">
        <f t="shared" si="2"/>
        <v>7.1925678791372381</v>
      </c>
      <c r="N18" s="230">
        <f t="shared" si="3"/>
        <v>50.333363636363636</v>
      </c>
      <c r="O18" s="73"/>
      <c r="P18" s="73"/>
      <c r="Q18" s="230">
        <f t="shared" si="5"/>
        <v>62.800952380952381</v>
      </c>
      <c r="R18" s="73">
        <f t="array" ref="R18">STDEV(IF($A$2:$A$2693=J18,IF($D$2:$D$2693="gravid",$H$2:$H$2693)))</f>
        <v>14.209919741068875</v>
      </c>
      <c r="S18" s="73">
        <f t="shared" si="6"/>
        <v>7.1049598705344374</v>
      </c>
      <c r="T18" s="73"/>
      <c r="U18" s="230">
        <f t="shared" si="7"/>
        <v>47.391573033707878</v>
      </c>
      <c r="V18" s="73">
        <f t="array" ref="V18">STDEV(IF($A$2:$A$2693=J18,IF($D$2:$D$2693="spent",$H$2:$H$2693)))</f>
        <v>12.828719547356117</v>
      </c>
      <c r="W18" s="195">
        <f t="shared" si="8"/>
        <v>6.4143597736780587</v>
      </c>
      <c r="Y18" s="232"/>
    </row>
    <row r="19" spans="1:25" ht="15.75" x14ac:dyDescent="0.25">
      <c r="A19" s="240">
        <v>2017</v>
      </c>
      <c r="B19" s="240" t="s">
        <v>19</v>
      </c>
      <c r="C19" s="241" t="s">
        <v>20</v>
      </c>
      <c r="D19" s="240" t="s">
        <v>30</v>
      </c>
      <c r="E19" s="240">
        <v>8.5</v>
      </c>
      <c r="F19" s="242" t="s">
        <v>504</v>
      </c>
      <c r="G19" s="242">
        <v>4.5999999999999996</v>
      </c>
      <c r="H19" s="230">
        <f t="shared" si="0"/>
        <v>39.099999999999994</v>
      </c>
      <c r="J19" s="230">
        <v>2000</v>
      </c>
      <c r="K19" s="230">
        <f t="shared" si="1"/>
        <v>48.421599999999984</v>
      </c>
      <c r="L19" s="73">
        <f t="array" ref="L19">STDEV(IF($A$2:$A$2693=J19,IF($C$2:$C$2693="female",$H$2:$H$2693)))</f>
        <v>15.505493688242602</v>
      </c>
      <c r="M19" s="73">
        <f t="shared" si="2"/>
        <v>7.752746844121301</v>
      </c>
      <c r="N19" s="230">
        <f t="shared" si="3"/>
        <v>48.421599999999984</v>
      </c>
      <c r="O19" s="73">
        <f t="array" ref="O19">STDEV(IF($A$2:$A$2693=J19,IF($C$2:$C$2693="male",$H$2:$H$2693)))</f>
        <v>8.7068938204160666</v>
      </c>
      <c r="P19" s="73">
        <f t="shared" si="4"/>
        <v>4.3534469102080333</v>
      </c>
      <c r="Q19" s="230">
        <f t="shared" si="5"/>
        <v>62.387499999999996</v>
      </c>
      <c r="R19" s="73">
        <f t="array" ref="R19">STDEV(IF($A$2:$A$2693=J19,IF($D$2:$D$2693="gravid",$H$2:$H$2693)))</f>
        <v>14.775214525877917</v>
      </c>
      <c r="S19" s="73">
        <f t="shared" si="6"/>
        <v>7.3876072629389586</v>
      </c>
      <c r="T19" s="73"/>
      <c r="U19" s="230">
        <f t="shared" si="7"/>
        <v>47.466666666666647</v>
      </c>
      <c r="V19" s="73">
        <f t="array" ref="V19">STDEV(IF($A$2:$A$2693=J19,IF($D$2:$D$2693="spent",$H$2:$H$2693)))</f>
        <v>15.147809048358081</v>
      </c>
      <c r="W19" s="195">
        <f t="shared" si="8"/>
        <v>7.5739045241790404</v>
      </c>
      <c r="Y19" s="232"/>
    </row>
    <row r="20" spans="1:25" ht="15.75" x14ac:dyDescent="0.25">
      <c r="A20" s="240">
        <v>2017</v>
      </c>
      <c r="B20" s="240" t="s">
        <v>19</v>
      </c>
      <c r="C20" s="241" t="s">
        <v>20</v>
      </c>
      <c r="D20" s="240" t="s">
        <v>30</v>
      </c>
      <c r="E20" s="240">
        <v>9.5</v>
      </c>
      <c r="F20" s="242" t="s">
        <v>504</v>
      </c>
      <c r="G20" s="242">
        <v>4.5999999999999996</v>
      </c>
      <c r="H20" s="230">
        <f t="shared" si="0"/>
        <v>43.699999999999996</v>
      </c>
      <c r="J20" s="230">
        <v>1999</v>
      </c>
      <c r="K20" s="230">
        <f t="shared" si="1"/>
        <v>51.389473684210515</v>
      </c>
      <c r="L20" s="73">
        <f t="array" ref="L20">STDEV(IF($A$2:$A$2693=J20,IF($C$2:$C$2693="female",$H$2:$H$2693)))</f>
        <v>16.572615473926181</v>
      </c>
      <c r="M20" s="73">
        <f t="shared" si="2"/>
        <v>8.2863077369630904</v>
      </c>
      <c r="N20" s="230">
        <f t="shared" si="3"/>
        <v>51.389473684210515</v>
      </c>
      <c r="O20" s="73"/>
      <c r="P20" s="73"/>
      <c r="Q20" s="230">
        <f t="shared" si="5"/>
        <v>65.549999999999983</v>
      </c>
      <c r="R20" s="73">
        <f t="array" ref="R20">STDEV(IF($A$2:$A$2693=J20,IF($D$2:$D$2693="gravid",$H$2:$H$2693)))</f>
        <v>18.407984378765946</v>
      </c>
      <c r="S20" s="73">
        <f t="shared" si="6"/>
        <v>9.2039921893829728</v>
      </c>
      <c r="T20" s="73"/>
      <c r="U20" s="230">
        <f t="shared" si="7"/>
        <v>48.376595744680849</v>
      </c>
      <c r="V20" s="73">
        <f t="array" ref="V20">STDEV(IF($A$2:$A$2693=J20,IF($D$2:$D$2693="spent",$H$2:$H$2693)))</f>
        <v>14.669518274980327</v>
      </c>
      <c r="W20" s="195">
        <f t="shared" si="8"/>
        <v>7.3347591374901633</v>
      </c>
      <c r="Y20" s="232"/>
    </row>
    <row r="21" spans="1:25" ht="15.75" x14ac:dyDescent="0.25">
      <c r="A21" s="240">
        <v>2017</v>
      </c>
      <c r="B21" s="240" t="s">
        <v>19</v>
      </c>
      <c r="C21" s="241" t="s">
        <v>20</v>
      </c>
      <c r="D21" s="240" t="s">
        <v>30</v>
      </c>
      <c r="E21" s="240">
        <v>8.5</v>
      </c>
      <c r="F21" s="242" t="s">
        <v>504</v>
      </c>
      <c r="G21" s="242">
        <v>4.5999999999999996</v>
      </c>
      <c r="H21" s="230">
        <f t="shared" si="0"/>
        <v>39.099999999999994</v>
      </c>
      <c r="J21" s="230">
        <v>1998</v>
      </c>
      <c r="K21" s="230">
        <f t="shared" si="1"/>
        <v>45.047108433734955</v>
      </c>
      <c r="L21" s="73">
        <f t="array" ref="L21">STDEV(IF($A$2:$A$2693=J21,IF($C$2:$C$2693="female",$H$2:$H$2693)))</f>
        <v>14.643215654616647</v>
      </c>
      <c r="M21" s="73">
        <f t="shared" si="2"/>
        <v>7.3216078273083234</v>
      </c>
      <c r="N21" s="230">
        <f t="shared" si="3"/>
        <v>45.047108433734955</v>
      </c>
      <c r="O21" s="73">
        <f t="array" ref="O21">STDEV(IF($A$2:$A$2693=J21,IF($C$2:$C$2693="male",$H$2:$H$2693)))</f>
        <v>20.027357955223817</v>
      </c>
      <c r="P21" s="73">
        <f t="shared" si="4"/>
        <v>10.013678977611908</v>
      </c>
      <c r="Q21" s="230">
        <f t="shared" si="5"/>
        <v>54.301904761904758</v>
      </c>
      <c r="R21" s="73">
        <f t="array" ref="R21">STDEV(IF($A$2:$A$2693=J21,IF($D$2:$D$2693="gravid",$H$2:$H$2693)))</f>
        <v>10.180950652590189</v>
      </c>
      <c r="S21" s="73">
        <f t="shared" si="6"/>
        <v>5.0904753262950946</v>
      </c>
      <c r="T21" s="73"/>
      <c r="U21" s="230">
        <f t="shared" si="7"/>
        <v>44.639400000000016</v>
      </c>
      <c r="V21" s="73">
        <f t="array" ref="V21">STDEV(IF($A$2:$A$2693=J21,IF($D$2:$D$2693="spent",$H$2:$H$2693)))</f>
        <v>14.495827184231352</v>
      </c>
      <c r="W21" s="195">
        <f t="shared" si="8"/>
        <v>7.2479135921156761</v>
      </c>
      <c r="Y21" s="232"/>
    </row>
    <row r="22" spans="1:25" ht="15.75" x14ac:dyDescent="0.25">
      <c r="A22" s="240">
        <v>2017</v>
      </c>
      <c r="B22" s="240" t="s">
        <v>19</v>
      </c>
      <c r="C22" s="241" t="s">
        <v>20</v>
      </c>
      <c r="D22" s="240" t="s">
        <v>30</v>
      </c>
      <c r="E22" s="240">
        <v>11.7</v>
      </c>
      <c r="F22" s="242" t="s">
        <v>504</v>
      </c>
      <c r="G22" s="242">
        <v>4.5999999999999996</v>
      </c>
      <c r="H22" s="230">
        <f t="shared" si="0"/>
        <v>53.819999999999993</v>
      </c>
      <c r="J22" s="230">
        <v>1997</v>
      </c>
      <c r="K22" s="230">
        <f t="shared" si="1"/>
        <v>54.392491228070128</v>
      </c>
      <c r="L22" s="73">
        <f t="array" ref="L22">STDEV(IF($A$2:$A$2693=J22,IF($C$2:$C$2693="female",$H$2:$H$2693)))</f>
        <v>18.559599954257568</v>
      </c>
      <c r="M22" s="73">
        <f t="shared" si="2"/>
        <v>9.2797999771287838</v>
      </c>
      <c r="N22" s="230">
        <f t="shared" si="3"/>
        <v>54.392491228070128</v>
      </c>
      <c r="O22" s="73">
        <f t="array" ref="O22">STDEV(IF($A$2:$A$2693=J22,IF($C$2:$C$2693="male",$H$2:$H$2693)))</f>
        <v>16.650292729675101</v>
      </c>
      <c r="P22" s="73">
        <f t="shared" si="4"/>
        <v>8.3251463648375505</v>
      </c>
      <c r="Q22" s="230">
        <f t="shared" si="5"/>
        <v>58.367772925764164</v>
      </c>
      <c r="R22" s="73">
        <f t="array" ref="R22">STDEV(IF($A$2:$A$2693=J22,IF($D$2:$D$2693="gravid",$H$2:$H$2693)))</f>
        <v>17.930143609100092</v>
      </c>
      <c r="S22" s="73">
        <f t="shared" si="6"/>
        <v>8.9650718045500462</v>
      </c>
      <c r="T22" s="73"/>
      <c r="U22" s="230">
        <f t="shared" si="7"/>
        <v>38.595555555555556</v>
      </c>
      <c r="V22" s="73">
        <f t="array" ref="V22">STDEV(IF($A$2:$A$2693=J22,IF($D$2:$D$2693="spent",$H$2:$H$2693)))</f>
        <v>10.293079313840252</v>
      </c>
      <c r="W22" s="195">
        <f t="shared" si="8"/>
        <v>5.146539656920126</v>
      </c>
      <c r="Y22" s="232"/>
    </row>
    <row r="23" spans="1:25" ht="15.75" x14ac:dyDescent="0.25">
      <c r="A23" s="240">
        <v>2017</v>
      </c>
      <c r="B23" s="240" t="s">
        <v>19</v>
      </c>
      <c r="C23" s="241" t="s">
        <v>20</v>
      </c>
      <c r="D23" s="240" t="s">
        <v>30</v>
      </c>
      <c r="E23" s="240">
        <v>12</v>
      </c>
      <c r="F23" s="242" t="s">
        <v>504</v>
      </c>
      <c r="G23" s="242">
        <v>4.5999999999999996</v>
      </c>
      <c r="H23" s="230">
        <f t="shared" si="0"/>
        <v>55.199999999999996</v>
      </c>
      <c r="J23" s="230">
        <v>1996</v>
      </c>
      <c r="K23" s="230">
        <f t="shared" si="1"/>
        <v>47.057857142857152</v>
      </c>
      <c r="L23" s="73">
        <f t="array" ref="L23">STDEV(IF($A$2:$A$2693=J23,IF($C$2:$C$2693="female",$H$2:$H$2693)))</f>
        <v>13.856978139829099</v>
      </c>
      <c r="M23" s="73">
        <f t="shared" si="2"/>
        <v>6.9284890699145496</v>
      </c>
      <c r="N23" s="230">
        <f t="shared" si="3"/>
        <v>47.057857142857152</v>
      </c>
      <c r="O23" s="73"/>
      <c r="P23" s="73"/>
      <c r="Q23" s="230">
        <f t="shared" si="5"/>
        <v>74.97999999999999</v>
      </c>
      <c r="R23" s="73">
        <f t="array" ref="R23">STDEV(IF($A$2:$A$2693=J23,IF($D$2:$D$2693="gravid",$H$2:$H$2693)))</f>
        <v>17.934101594448482</v>
      </c>
      <c r="S23" s="73">
        <f t="shared" si="6"/>
        <v>8.9670507972242408</v>
      </c>
      <c r="T23" s="73"/>
      <c r="U23" s="230">
        <f t="shared" si="7"/>
        <v>44.910000000000004</v>
      </c>
      <c r="V23" s="73">
        <f t="array" ref="V23">STDEV(IF($A$2:$A$2693=J23,IF($D$2:$D$2693="spent",$H$2:$H$2693)))</f>
        <v>11.014529466799724</v>
      </c>
      <c r="W23" s="195">
        <f t="shared" si="8"/>
        <v>5.5072647333998619</v>
      </c>
      <c r="Y23" s="232"/>
    </row>
    <row r="24" spans="1:25" ht="15.75" x14ac:dyDescent="0.25">
      <c r="A24" s="240">
        <v>2017</v>
      </c>
      <c r="B24" s="240" t="s">
        <v>19</v>
      </c>
      <c r="C24" s="241" t="s">
        <v>20</v>
      </c>
      <c r="D24" s="240" t="s">
        <v>30</v>
      </c>
      <c r="E24" s="240">
        <v>9</v>
      </c>
      <c r="F24" s="242" t="s">
        <v>504</v>
      </c>
      <c r="G24" s="242">
        <v>4.5999999999999996</v>
      </c>
      <c r="H24" s="230">
        <f t="shared" si="0"/>
        <v>41.4</v>
      </c>
      <c r="J24" s="230">
        <v>1995</v>
      </c>
      <c r="K24" s="230">
        <f t="shared" si="1"/>
        <v>53.562222222222218</v>
      </c>
      <c r="L24" s="73">
        <f t="array" ref="L24">STDEV(IF($A$2:$A$2693=J24,IF($C$2:$C$2693="female",$H$2:$H$2693)))</f>
        <v>15.068460534222115</v>
      </c>
      <c r="M24" s="73">
        <f t="shared" si="2"/>
        <v>7.5342302671110577</v>
      </c>
      <c r="N24" s="230">
        <f t="shared" si="3"/>
        <v>53.562222222222218</v>
      </c>
      <c r="O24" s="73">
        <f t="array" ref="O24">STDEV(IF($A$2:$A$2693=J24,IF($C$2:$C$2693="male",$H$2:$H$2693)))</f>
        <v>10.013078114812256</v>
      </c>
      <c r="P24" s="73">
        <f t="shared" si="4"/>
        <v>5.0065390574061279</v>
      </c>
      <c r="Q24" s="230">
        <f t="shared" si="5"/>
        <v>57.994848484848511</v>
      </c>
      <c r="R24" s="73">
        <f t="array" ref="R24">STDEV(IF($A$2:$A$2693=J24,IF($D$2:$D$2693="gravid",$H$2:$H$2693)))</f>
        <v>13.851873213220891</v>
      </c>
      <c r="S24" s="73">
        <f t="shared" si="6"/>
        <v>6.9259366066104455</v>
      </c>
      <c r="T24" s="73"/>
      <c r="U24" s="230">
        <f t="shared" si="7"/>
        <v>41.628260869565217</v>
      </c>
      <c r="V24" s="73">
        <f t="array" ref="V24">STDEV(IF($A$2:$A$2693=J24,IF($D$2:$D$2693="spent",$H$2:$H$2693)))</f>
        <v>11.356494998727646</v>
      </c>
      <c r="W24" s="195">
        <f t="shared" si="8"/>
        <v>5.678247499363823</v>
      </c>
      <c r="Y24" s="232"/>
    </row>
    <row r="25" spans="1:25" ht="15.75" x14ac:dyDescent="0.25">
      <c r="A25" s="240">
        <v>2017</v>
      </c>
      <c r="B25" s="240" t="s">
        <v>19</v>
      </c>
      <c r="C25" s="241" t="s">
        <v>20</v>
      </c>
      <c r="D25" s="240" t="s">
        <v>30</v>
      </c>
      <c r="E25" s="240">
        <v>10.7</v>
      </c>
      <c r="F25" s="242" t="s">
        <v>504</v>
      </c>
      <c r="G25" s="242">
        <v>4.5999999999999996</v>
      </c>
      <c r="H25" s="230">
        <f t="shared" si="0"/>
        <v>49.219999999999992</v>
      </c>
      <c r="J25" s="230">
        <v>1994</v>
      </c>
      <c r="K25" s="230">
        <f t="shared" si="1"/>
        <v>54.021666666666682</v>
      </c>
      <c r="L25" s="73">
        <f t="array" ref="L25">STDEV(IF($A$2:$A$2693=J25,IF($C$2:$C$2693="female",$H$2:$H$2693)))</f>
        <v>18.859293665118223</v>
      </c>
      <c r="M25" s="73">
        <f t="shared" si="2"/>
        <v>9.4296468325591114</v>
      </c>
      <c r="N25" s="230">
        <f t="shared" si="3"/>
        <v>54.021666666666682</v>
      </c>
      <c r="O25" s="73">
        <f t="array" ref="O25">STDEV(IF($A$2:$A$2693=J25,IF($C$2:$C$2693="male",$H$2:$H$2693)))</f>
        <v>15.020818885799802</v>
      </c>
      <c r="P25" s="73">
        <f t="shared" si="4"/>
        <v>7.5104094428999009</v>
      </c>
      <c r="Q25" s="230">
        <f t="shared" si="5"/>
        <v>64.860000000000014</v>
      </c>
      <c r="R25" s="73">
        <f t="array" ref="R25">STDEV(IF($A$2:$A$2693=J25,IF($D$2:$D$2693="gravid",$H$2:$H$2693)))</f>
        <v>16.153421574744641</v>
      </c>
      <c r="S25" s="73">
        <f t="shared" si="6"/>
        <v>8.0767107873723205</v>
      </c>
      <c r="T25" s="73"/>
      <c r="U25" s="230">
        <f t="shared" si="7"/>
        <v>43.308571428571426</v>
      </c>
      <c r="V25" s="73">
        <f t="array" ref="V25">STDEV(IF($A$2:$A$2693=J25,IF($D$2:$D$2693="spent",$H$2:$H$2693)))</f>
        <v>13.417063496053943</v>
      </c>
      <c r="W25" s="195">
        <f t="shared" si="8"/>
        <v>6.7085317480269717</v>
      </c>
      <c r="Y25" s="232"/>
    </row>
    <row r="26" spans="1:25" ht="15.75" x14ac:dyDescent="0.25">
      <c r="A26" s="240">
        <v>2017</v>
      </c>
      <c r="B26" s="240" t="s">
        <v>19</v>
      </c>
      <c r="C26" s="241" t="s">
        <v>20</v>
      </c>
      <c r="D26" s="240" t="s">
        <v>30</v>
      </c>
      <c r="E26" s="240">
        <v>14.7</v>
      </c>
      <c r="F26" s="242" t="s">
        <v>504</v>
      </c>
      <c r="G26" s="242">
        <v>4.5999999999999996</v>
      </c>
      <c r="H26" s="230">
        <f t="shared" si="0"/>
        <v>67.61999999999999</v>
      </c>
      <c r="J26" s="230">
        <v>1993</v>
      </c>
      <c r="K26" s="230">
        <f t="shared" si="1"/>
        <v>69.547008547008545</v>
      </c>
      <c r="L26" s="73">
        <f t="array" ref="L26">STDEV(IF($A$2:$A$2693=J26,IF($C$2:$C$2693="female",$H$2:$H$2693)))</f>
        <v>14.683268760439606</v>
      </c>
      <c r="M26" s="73">
        <f t="shared" si="2"/>
        <v>7.3416343802198032</v>
      </c>
      <c r="N26" s="230">
        <f t="shared" si="3"/>
        <v>69.547008547008545</v>
      </c>
      <c r="O26" s="73">
        <f t="array" ref="O26">STDEV(IF($A$2:$A$2693=J26,IF($C$2:$C$2693="male",$H$2:$H$2693)))</f>
        <v>10.415680835774838</v>
      </c>
      <c r="P26" s="73">
        <f t="shared" si="4"/>
        <v>5.2078404178874189</v>
      </c>
      <c r="Q26" s="230">
        <f t="shared" si="5"/>
        <v>71.910384615384601</v>
      </c>
      <c r="R26" s="73">
        <f t="array" ref="R26">STDEV(IF($A$2:$A$2693=J26,IF($D$2:$D$2693="gravid",$H$2:$H$2693)))</f>
        <v>12.867942852246889</v>
      </c>
      <c r="S26" s="73">
        <f t="shared" si="6"/>
        <v>6.4339714261234446</v>
      </c>
      <c r="T26" s="73"/>
      <c r="U26" s="230">
        <f t="shared" si="7"/>
        <v>50.639999999999993</v>
      </c>
      <c r="V26" s="73">
        <f t="array" ref="V26">STDEV(IF($A$2:$A$2693=J26,IF($D$2:$D$2693="spent",$H$2:$H$2693)))</f>
        <v>15.072584383575363</v>
      </c>
      <c r="W26" s="195">
        <f t="shared" si="8"/>
        <v>7.5362921917876813</v>
      </c>
      <c r="Y26" s="232"/>
    </row>
    <row r="27" spans="1:25" ht="15.75" x14ac:dyDescent="0.25">
      <c r="A27" s="240">
        <v>2017</v>
      </c>
      <c r="B27" s="240" t="s">
        <v>19</v>
      </c>
      <c r="C27" s="241" t="s">
        <v>20</v>
      </c>
      <c r="D27" s="240" t="s">
        <v>30</v>
      </c>
      <c r="E27" s="240">
        <v>10.3</v>
      </c>
      <c r="F27" s="242" t="s">
        <v>504</v>
      </c>
      <c r="G27" s="242">
        <v>4.5999999999999996</v>
      </c>
      <c r="H27" s="230">
        <f t="shared" si="0"/>
        <v>47.38</v>
      </c>
      <c r="J27" s="230">
        <v>1992</v>
      </c>
      <c r="K27" s="230">
        <f t="shared" si="1"/>
        <v>63.203454545454541</v>
      </c>
      <c r="L27" s="73">
        <f t="array" ref="L27">STDEV(IF($A$2:$A$2693=J27,IF($C$2:$C$2693="female",$H$2:$H$2693)))</f>
        <v>17.85891730778129</v>
      </c>
      <c r="M27" s="73">
        <f t="shared" si="2"/>
        <v>8.9294586538906451</v>
      </c>
      <c r="N27" s="230">
        <f t="shared" si="3"/>
        <v>63.203454545454541</v>
      </c>
      <c r="O27" s="73">
        <f t="array" ref="O27">STDEV(IF($A$2:$A$2693=J27,IF($C$2:$C$2693="male",$H$2:$H$2693)))</f>
        <v>11.466104637389046</v>
      </c>
      <c r="P27" s="73">
        <f t="shared" si="4"/>
        <v>5.733052318694523</v>
      </c>
      <c r="Q27" s="230">
        <f t="shared" si="5"/>
        <v>65.051287128712872</v>
      </c>
      <c r="R27" s="73">
        <f t="array" ref="R27">STDEV(IF($A$2:$A$2693=J27,IF($D$2:$D$2693="gravid",$H$2:$H$2693)))</f>
        <v>17.222595023013568</v>
      </c>
      <c r="S27" s="73">
        <f t="shared" si="6"/>
        <v>8.611297511506784</v>
      </c>
      <c r="T27" s="73"/>
      <c r="U27" s="230">
        <f t="shared" si="7"/>
        <v>42.466666666666669</v>
      </c>
      <c r="V27" s="73">
        <f t="array" ref="V27">STDEV(IF($A$2:$A$2693=J27,IF($D$2:$D$2693="spent",$H$2:$H$2693)))</f>
        <v>10.534412655672817</v>
      </c>
      <c r="W27" s="195">
        <f t="shared" si="8"/>
        <v>5.2672063278364085</v>
      </c>
      <c r="Y27" s="232"/>
    </row>
    <row r="28" spans="1:25" ht="15.75" x14ac:dyDescent="0.25">
      <c r="A28" s="240">
        <v>2017</v>
      </c>
      <c r="B28" s="240" t="s">
        <v>19</v>
      </c>
      <c r="C28" s="241" t="s">
        <v>20</v>
      </c>
      <c r="D28" s="240" t="s">
        <v>30</v>
      </c>
      <c r="E28" s="240">
        <v>14.5</v>
      </c>
      <c r="F28" s="242" t="s">
        <v>504</v>
      </c>
      <c r="G28" s="242">
        <v>4.5999999999999996</v>
      </c>
      <c r="H28" s="230">
        <f t="shared" si="0"/>
        <v>66.699999999999989</v>
      </c>
      <c r="J28" s="230">
        <v>1991</v>
      </c>
      <c r="K28" s="230">
        <f t="shared" si="1"/>
        <v>78.442499999999995</v>
      </c>
      <c r="L28" s="73">
        <f t="array" ref="L28">STDEV(IF($A$2:$A$2693=J28,IF($C$2:$C$2693="female",$H$2:$H$2693)))</f>
        <v>24.782386909374306</v>
      </c>
      <c r="M28" s="73">
        <f t="shared" si="2"/>
        <v>12.391193454687153</v>
      </c>
      <c r="N28" s="230">
        <f t="shared" si="3"/>
        <v>78.442499999999995</v>
      </c>
      <c r="O28" s="73"/>
      <c r="P28" s="73"/>
      <c r="Q28" s="230">
        <f t="shared" si="5"/>
        <v>98.078571428571422</v>
      </c>
      <c r="R28" s="73">
        <f t="array" ref="R28">STDEV(IF($A$2:$A$2693=J28,IF($D$2:$D$2693="gravid",$H$2:$H$2693)))</f>
        <v>16.642533949604427</v>
      </c>
      <c r="S28" s="73">
        <f t="shared" si="6"/>
        <v>8.3212669748022137</v>
      </c>
      <c r="T28" s="73"/>
      <c r="U28" s="230">
        <f t="shared" si="7"/>
        <v>58.806428571428569</v>
      </c>
      <c r="V28" s="73">
        <f t="array" ref="V28">STDEV(IF($A$2:$A$2693=J28,IF($D$2:$D$2693="spent",$H$2:$H$2693)))</f>
        <v>12.966617853990662</v>
      </c>
      <c r="W28" s="195">
        <f t="shared" si="8"/>
        <v>6.4833089269953312</v>
      </c>
      <c r="Y28" s="232"/>
    </row>
    <row r="29" spans="1:25" ht="15.75" x14ac:dyDescent="0.25">
      <c r="A29" s="240">
        <v>2017</v>
      </c>
      <c r="B29" s="240" t="s">
        <v>19</v>
      </c>
      <c r="C29" s="241" t="s">
        <v>20</v>
      </c>
      <c r="D29" s="240" t="s">
        <v>30</v>
      </c>
      <c r="E29" s="240">
        <v>14.5</v>
      </c>
      <c r="F29" s="242" t="s">
        <v>504</v>
      </c>
      <c r="G29" s="242">
        <v>4.5999999999999996</v>
      </c>
      <c r="H29" s="230">
        <f t="shared" si="0"/>
        <v>66.699999999999989</v>
      </c>
      <c r="J29" s="230">
        <v>1990</v>
      </c>
      <c r="K29" s="230">
        <f>AVERAGEIFS(H:H,A:A,J29,C:C,C28)</f>
        <v>41.4</v>
      </c>
      <c r="L29" s="73"/>
      <c r="M29" s="73"/>
      <c r="N29" s="230">
        <f>AVERAGEIFS(H:H,A:A,J29,C:C,C189)</f>
        <v>53.326666666666675</v>
      </c>
      <c r="O29" s="73">
        <f t="array" ref="O29">STDEV(IF($A$2:$A$2693=J29,IF($C$2:$C$2693="male",$H$2:$H$2693)))</f>
        <v>14.845960168791105</v>
      </c>
      <c r="P29" s="73">
        <f t="shared" si="4"/>
        <v>7.4229800843955527</v>
      </c>
      <c r="Q29" s="230">
        <f>AVERAGEIFS(H:H,A:A,J29,D:D,D28)</f>
        <v>41.4</v>
      </c>
      <c r="R29" s="73"/>
      <c r="S29" s="73"/>
      <c r="T29" s="73"/>
      <c r="U29" s="230"/>
      <c r="V29" s="73"/>
      <c r="Y29" s="232"/>
    </row>
    <row r="30" spans="1:25" ht="15.75" x14ac:dyDescent="0.25">
      <c r="A30" s="240">
        <v>2017</v>
      </c>
      <c r="B30" s="240" t="s">
        <v>19</v>
      </c>
      <c r="C30" s="241" t="s">
        <v>20</v>
      </c>
      <c r="D30" s="240" t="s">
        <v>30</v>
      </c>
      <c r="E30" s="240">
        <v>11</v>
      </c>
      <c r="F30" s="242" t="s">
        <v>504</v>
      </c>
      <c r="G30" s="242">
        <v>4.5999999999999996</v>
      </c>
      <c r="H30" s="230">
        <f t="shared" si="0"/>
        <v>50.599999999999994</v>
      </c>
    </row>
    <row r="31" spans="1:25" ht="15.75" x14ac:dyDescent="0.25">
      <c r="A31" s="240">
        <v>2017</v>
      </c>
      <c r="B31" s="240" t="s">
        <v>19</v>
      </c>
      <c r="C31" s="241" t="s">
        <v>20</v>
      </c>
      <c r="D31" s="240" t="s">
        <v>30</v>
      </c>
      <c r="E31" s="240">
        <v>6.7</v>
      </c>
      <c r="F31" s="242" t="s">
        <v>504</v>
      </c>
      <c r="G31" s="242">
        <v>4.5999999999999996</v>
      </c>
      <c r="H31" s="230">
        <f t="shared" si="0"/>
        <v>30.819999999999997</v>
      </c>
    </row>
    <row r="32" spans="1:25" ht="15.75" x14ac:dyDescent="0.25">
      <c r="A32" s="240">
        <v>2017</v>
      </c>
      <c r="B32" s="240" t="s">
        <v>19</v>
      </c>
      <c r="C32" s="241" t="s">
        <v>20</v>
      </c>
      <c r="D32" s="240" t="s">
        <v>30</v>
      </c>
      <c r="E32" s="240">
        <v>13.5</v>
      </c>
      <c r="F32" s="242" t="s">
        <v>504</v>
      </c>
      <c r="G32" s="242">
        <v>4.5999999999999996</v>
      </c>
      <c r="H32" s="230">
        <f t="shared" si="0"/>
        <v>62.099999999999994</v>
      </c>
    </row>
    <row r="33" spans="1:8" ht="15.75" x14ac:dyDescent="0.25">
      <c r="A33" s="240">
        <v>2017</v>
      </c>
      <c r="B33" s="240" t="s">
        <v>19</v>
      </c>
      <c r="C33" s="241" t="s">
        <v>20</v>
      </c>
      <c r="D33" s="240" t="s">
        <v>30</v>
      </c>
      <c r="E33" s="240">
        <v>8</v>
      </c>
      <c r="F33" s="242" t="s">
        <v>504</v>
      </c>
      <c r="G33" s="242">
        <v>4.5999999999999996</v>
      </c>
      <c r="H33" s="230">
        <f t="shared" si="0"/>
        <v>36.799999999999997</v>
      </c>
    </row>
    <row r="34" spans="1:8" ht="15.75" x14ac:dyDescent="0.25">
      <c r="A34" s="240">
        <v>2017</v>
      </c>
      <c r="B34" s="240" t="s">
        <v>19</v>
      </c>
      <c r="C34" s="241" t="s">
        <v>20</v>
      </c>
      <c r="D34" s="240" t="s">
        <v>30</v>
      </c>
      <c r="E34" s="240">
        <v>4</v>
      </c>
      <c r="F34" s="242" t="s">
        <v>504</v>
      </c>
      <c r="G34" s="242">
        <v>4.5999999999999996</v>
      </c>
      <c r="H34" s="230">
        <f t="shared" si="0"/>
        <v>18.399999999999999</v>
      </c>
    </row>
    <row r="35" spans="1:8" ht="15.75" x14ac:dyDescent="0.25">
      <c r="A35" s="240">
        <v>2017</v>
      </c>
      <c r="B35" s="240" t="s">
        <v>19</v>
      </c>
      <c r="C35" s="241" t="s">
        <v>20</v>
      </c>
      <c r="D35" s="240" t="s">
        <v>30</v>
      </c>
      <c r="E35" s="240">
        <v>17.5</v>
      </c>
      <c r="F35" s="242" t="s">
        <v>504</v>
      </c>
      <c r="G35" s="242">
        <v>4.5999999999999996</v>
      </c>
      <c r="H35" s="230">
        <f t="shared" si="0"/>
        <v>80.5</v>
      </c>
    </row>
    <row r="36" spans="1:8" ht="15.75" x14ac:dyDescent="0.25">
      <c r="A36" s="240">
        <v>2017</v>
      </c>
      <c r="B36" s="240" t="s">
        <v>19</v>
      </c>
      <c r="C36" s="241" t="s">
        <v>20</v>
      </c>
      <c r="D36" s="240" t="s">
        <v>30</v>
      </c>
      <c r="E36" s="240">
        <v>15.5</v>
      </c>
      <c r="F36" s="242" t="s">
        <v>504</v>
      </c>
      <c r="G36" s="242">
        <v>4.5999999999999996</v>
      </c>
      <c r="H36" s="230">
        <f t="shared" si="0"/>
        <v>71.3</v>
      </c>
    </row>
    <row r="37" spans="1:8" ht="15.75" x14ac:dyDescent="0.25">
      <c r="A37" s="240">
        <v>2017</v>
      </c>
      <c r="B37" s="240" t="s">
        <v>19</v>
      </c>
      <c r="C37" s="241" t="s">
        <v>20</v>
      </c>
      <c r="D37" s="240" t="s">
        <v>30</v>
      </c>
      <c r="E37" s="240">
        <v>13.7</v>
      </c>
      <c r="F37" s="242" t="s">
        <v>504</v>
      </c>
      <c r="G37" s="242">
        <v>4.5999999999999996</v>
      </c>
      <c r="H37" s="230">
        <f t="shared" si="0"/>
        <v>63.019999999999989</v>
      </c>
    </row>
    <row r="38" spans="1:8" ht="15.75" x14ac:dyDescent="0.25">
      <c r="A38" s="240">
        <v>2017</v>
      </c>
      <c r="B38" s="240" t="s">
        <v>19</v>
      </c>
      <c r="C38" s="241" t="s">
        <v>20</v>
      </c>
      <c r="D38" s="240" t="s">
        <v>30</v>
      </c>
      <c r="E38" s="240">
        <v>14.5</v>
      </c>
      <c r="F38" s="242" t="s">
        <v>504</v>
      </c>
      <c r="G38" s="242">
        <v>4.5999999999999996</v>
      </c>
      <c r="H38" s="230">
        <f t="shared" si="0"/>
        <v>66.699999999999989</v>
      </c>
    </row>
    <row r="39" spans="1:8" ht="15.75" x14ac:dyDescent="0.25">
      <c r="A39" s="240">
        <v>2017</v>
      </c>
      <c r="B39" s="240" t="s">
        <v>19</v>
      </c>
      <c r="C39" s="241" t="s">
        <v>20</v>
      </c>
      <c r="D39" s="240" t="s">
        <v>30</v>
      </c>
      <c r="E39" s="240">
        <v>12.3</v>
      </c>
      <c r="F39" s="242" t="s">
        <v>504</v>
      </c>
      <c r="G39" s="242">
        <v>4.5999999999999996</v>
      </c>
      <c r="H39" s="230">
        <f t="shared" si="0"/>
        <v>56.58</v>
      </c>
    </row>
    <row r="40" spans="1:8" ht="15.75" x14ac:dyDescent="0.25">
      <c r="A40" s="240">
        <v>2017</v>
      </c>
      <c r="B40" s="240" t="s">
        <v>19</v>
      </c>
      <c r="C40" s="241" t="s">
        <v>20</v>
      </c>
      <c r="D40" s="240" t="s">
        <v>30</v>
      </c>
      <c r="E40" s="240">
        <v>11</v>
      </c>
      <c r="F40" s="242" t="s">
        <v>504</v>
      </c>
      <c r="G40" s="242">
        <v>4.5999999999999996</v>
      </c>
      <c r="H40" s="230">
        <f t="shared" si="0"/>
        <v>50.599999999999994</v>
      </c>
    </row>
    <row r="41" spans="1:8" ht="15.75" x14ac:dyDescent="0.25">
      <c r="A41" s="240">
        <v>2017</v>
      </c>
      <c r="B41" s="240" t="s">
        <v>19</v>
      </c>
      <c r="C41" s="241" t="s">
        <v>20</v>
      </c>
      <c r="D41" s="240" t="s">
        <v>30</v>
      </c>
      <c r="E41" s="240">
        <v>12</v>
      </c>
      <c r="F41" s="242" t="s">
        <v>504</v>
      </c>
      <c r="G41" s="242">
        <v>4.5999999999999996</v>
      </c>
      <c r="H41" s="230">
        <f t="shared" si="0"/>
        <v>55.199999999999996</v>
      </c>
    </row>
    <row r="42" spans="1:8" ht="15.75" x14ac:dyDescent="0.25">
      <c r="A42" s="240">
        <v>2017</v>
      </c>
      <c r="B42" s="240" t="s">
        <v>19</v>
      </c>
      <c r="C42" s="241" t="s">
        <v>20</v>
      </c>
      <c r="D42" s="240" t="s">
        <v>30</v>
      </c>
      <c r="E42" s="240">
        <v>13</v>
      </c>
      <c r="F42" s="242" t="s">
        <v>504</v>
      </c>
      <c r="G42" s="242">
        <v>4.5999999999999996</v>
      </c>
      <c r="H42" s="230">
        <f t="shared" si="0"/>
        <v>59.8</v>
      </c>
    </row>
    <row r="43" spans="1:8" ht="15.75" x14ac:dyDescent="0.25">
      <c r="A43" s="240">
        <v>2017</v>
      </c>
      <c r="B43" s="240" t="s">
        <v>19</v>
      </c>
      <c r="C43" s="241" t="s">
        <v>20</v>
      </c>
      <c r="D43" s="240" t="s">
        <v>30</v>
      </c>
      <c r="E43" s="240">
        <v>7</v>
      </c>
      <c r="F43" s="242" t="s">
        <v>504</v>
      </c>
      <c r="G43" s="242">
        <v>4.5999999999999996</v>
      </c>
      <c r="H43" s="230">
        <f t="shared" si="0"/>
        <v>32.199999999999996</v>
      </c>
    </row>
    <row r="44" spans="1:8" ht="15.75" x14ac:dyDescent="0.25">
      <c r="A44" s="240">
        <v>2017</v>
      </c>
      <c r="B44" s="240" t="s">
        <v>19</v>
      </c>
      <c r="C44" s="241" t="s">
        <v>20</v>
      </c>
      <c r="D44" s="240" t="s">
        <v>30</v>
      </c>
      <c r="E44" s="240">
        <v>8.5</v>
      </c>
      <c r="F44" s="242" t="s">
        <v>504</v>
      </c>
      <c r="G44" s="242">
        <v>4.5999999999999996</v>
      </c>
      <c r="H44" s="230">
        <f t="shared" si="0"/>
        <v>39.099999999999994</v>
      </c>
    </row>
    <row r="45" spans="1:8" ht="15.75" x14ac:dyDescent="0.25">
      <c r="A45" s="240">
        <v>2017</v>
      </c>
      <c r="B45" s="240" t="s">
        <v>19</v>
      </c>
      <c r="C45" s="241" t="s">
        <v>20</v>
      </c>
      <c r="D45" s="240" t="s">
        <v>30</v>
      </c>
      <c r="E45" s="240">
        <v>10</v>
      </c>
      <c r="F45" s="242" t="s">
        <v>504</v>
      </c>
      <c r="G45" s="242">
        <v>4.5999999999999996</v>
      </c>
      <c r="H45" s="230">
        <f t="shared" si="0"/>
        <v>46</v>
      </c>
    </row>
    <row r="46" spans="1:8" ht="15.75" x14ac:dyDescent="0.25">
      <c r="A46" s="240">
        <v>2017</v>
      </c>
      <c r="B46" s="240" t="s">
        <v>19</v>
      </c>
      <c r="C46" s="241" t="s">
        <v>20</v>
      </c>
      <c r="D46" s="240" t="s">
        <v>30</v>
      </c>
      <c r="E46" s="240">
        <v>10.6</v>
      </c>
      <c r="F46" s="242" t="s">
        <v>504</v>
      </c>
      <c r="G46" s="242">
        <v>4.5999999999999996</v>
      </c>
      <c r="H46" s="230">
        <f t="shared" si="0"/>
        <v>48.76</v>
      </c>
    </row>
    <row r="47" spans="1:8" ht="15.75" x14ac:dyDescent="0.25">
      <c r="A47" s="240">
        <v>2017</v>
      </c>
      <c r="B47" s="240" t="s">
        <v>19</v>
      </c>
      <c r="C47" s="241" t="s">
        <v>20</v>
      </c>
      <c r="D47" s="240" t="s">
        <v>30</v>
      </c>
      <c r="E47" s="240">
        <v>10.5</v>
      </c>
      <c r="F47" s="242" t="s">
        <v>504</v>
      </c>
      <c r="G47" s="242">
        <v>4.5999999999999996</v>
      </c>
      <c r="H47" s="230">
        <f t="shared" si="0"/>
        <v>48.3</v>
      </c>
    </row>
    <row r="48" spans="1:8" ht="15.75" x14ac:dyDescent="0.25">
      <c r="A48" s="240">
        <v>2017</v>
      </c>
      <c r="B48" s="240" t="s">
        <v>19</v>
      </c>
      <c r="C48" s="241" t="s">
        <v>20</v>
      </c>
      <c r="D48" s="240" t="s">
        <v>30</v>
      </c>
      <c r="E48" s="240">
        <v>11.3</v>
      </c>
      <c r="F48" s="242" t="s">
        <v>504</v>
      </c>
      <c r="G48" s="242">
        <v>4.5999999999999996</v>
      </c>
      <c r="H48" s="230">
        <f t="shared" si="0"/>
        <v>51.98</v>
      </c>
    </row>
    <row r="49" spans="1:8" ht="15.75" x14ac:dyDescent="0.25">
      <c r="A49" s="240">
        <v>2017</v>
      </c>
      <c r="B49" s="240" t="s">
        <v>19</v>
      </c>
      <c r="C49" s="241" t="s">
        <v>20</v>
      </c>
      <c r="D49" s="240" t="s">
        <v>30</v>
      </c>
      <c r="E49" s="240">
        <v>11.5</v>
      </c>
      <c r="F49" s="242" t="s">
        <v>504</v>
      </c>
      <c r="G49" s="242">
        <v>4.5999999999999996</v>
      </c>
      <c r="H49" s="230">
        <f t="shared" si="0"/>
        <v>52.9</v>
      </c>
    </row>
    <row r="50" spans="1:8" ht="15.75" x14ac:dyDescent="0.25">
      <c r="A50" s="240">
        <v>2017</v>
      </c>
      <c r="B50" s="240" t="s">
        <v>19</v>
      </c>
      <c r="C50" s="241" t="s">
        <v>20</v>
      </c>
      <c r="D50" s="240" t="s">
        <v>30</v>
      </c>
      <c r="E50" s="240">
        <v>11.5</v>
      </c>
      <c r="F50" s="242" t="s">
        <v>504</v>
      </c>
      <c r="G50" s="242">
        <v>4.5999999999999996</v>
      </c>
      <c r="H50" s="230">
        <f t="shared" si="0"/>
        <v>52.9</v>
      </c>
    </row>
    <row r="51" spans="1:8" ht="15.75" x14ac:dyDescent="0.25">
      <c r="A51" s="240">
        <v>2017</v>
      </c>
      <c r="B51" s="240" t="s">
        <v>19</v>
      </c>
      <c r="C51" s="241" t="s">
        <v>20</v>
      </c>
      <c r="D51" s="240" t="s">
        <v>30</v>
      </c>
      <c r="E51" s="240">
        <v>12</v>
      </c>
      <c r="F51" s="242" t="s">
        <v>504</v>
      </c>
      <c r="G51" s="242">
        <v>4.5999999999999996</v>
      </c>
      <c r="H51" s="230">
        <f t="shared" si="0"/>
        <v>55.199999999999996</v>
      </c>
    </row>
    <row r="52" spans="1:8" ht="15.75" x14ac:dyDescent="0.25">
      <c r="A52" s="240">
        <v>2017</v>
      </c>
      <c r="B52" s="240" t="s">
        <v>19</v>
      </c>
      <c r="C52" s="241" t="s">
        <v>20</v>
      </c>
      <c r="D52" s="240" t="s">
        <v>30</v>
      </c>
      <c r="E52" s="240">
        <v>10.8</v>
      </c>
      <c r="F52" s="242" t="s">
        <v>504</v>
      </c>
      <c r="G52" s="242">
        <v>4.5999999999999996</v>
      </c>
      <c r="H52" s="230">
        <f t="shared" si="0"/>
        <v>49.68</v>
      </c>
    </row>
    <row r="53" spans="1:8" ht="15.75" x14ac:dyDescent="0.25">
      <c r="A53" s="240">
        <v>2017</v>
      </c>
      <c r="B53" s="240" t="s">
        <v>19</v>
      </c>
      <c r="C53" s="241" t="s">
        <v>20</v>
      </c>
      <c r="D53" s="240" t="s">
        <v>30</v>
      </c>
      <c r="E53" s="240">
        <v>14.7</v>
      </c>
      <c r="F53" s="242" t="s">
        <v>504</v>
      </c>
      <c r="G53" s="242">
        <v>4.5999999999999996</v>
      </c>
      <c r="H53" s="230">
        <f t="shared" si="0"/>
        <v>67.61999999999999</v>
      </c>
    </row>
    <row r="54" spans="1:8" ht="15.75" x14ac:dyDescent="0.25">
      <c r="A54" s="240">
        <v>2017</v>
      </c>
      <c r="B54" s="240" t="s">
        <v>19</v>
      </c>
      <c r="C54" s="241" t="s">
        <v>20</v>
      </c>
      <c r="D54" s="240" t="s">
        <v>30</v>
      </c>
      <c r="E54" s="240">
        <v>11.8</v>
      </c>
      <c r="F54" s="242" t="s">
        <v>504</v>
      </c>
      <c r="G54" s="242">
        <v>4.5999999999999996</v>
      </c>
      <c r="H54" s="230">
        <f t="shared" si="0"/>
        <v>54.28</v>
      </c>
    </row>
    <row r="55" spans="1:8" ht="15.75" x14ac:dyDescent="0.25">
      <c r="A55" s="240">
        <v>2017</v>
      </c>
      <c r="B55" s="240" t="s">
        <v>19</v>
      </c>
      <c r="C55" s="241" t="s">
        <v>20</v>
      </c>
      <c r="D55" s="240" t="s">
        <v>30</v>
      </c>
      <c r="E55" s="240">
        <v>14.2</v>
      </c>
      <c r="F55" s="242" t="s">
        <v>504</v>
      </c>
      <c r="G55" s="242">
        <v>4.5999999999999996</v>
      </c>
      <c r="H55" s="230">
        <f t="shared" si="0"/>
        <v>65.319999999999993</v>
      </c>
    </row>
    <row r="56" spans="1:8" ht="15.75" x14ac:dyDescent="0.25">
      <c r="A56" s="240">
        <v>2017</v>
      </c>
      <c r="B56" s="240" t="s">
        <v>19</v>
      </c>
      <c r="C56" s="241" t="s">
        <v>20</v>
      </c>
      <c r="D56" s="240" t="s">
        <v>30</v>
      </c>
      <c r="E56" s="240">
        <v>12.5</v>
      </c>
      <c r="F56" s="242" t="s">
        <v>504</v>
      </c>
      <c r="G56" s="242">
        <v>4.5999999999999996</v>
      </c>
      <c r="H56" s="230">
        <f t="shared" si="0"/>
        <v>57.499999999999993</v>
      </c>
    </row>
    <row r="57" spans="1:8" ht="15.75" x14ac:dyDescent="0.25">
      <c r="A57" s="240">
        <v>2017</v>
      </c>
      <c r="B57" s="240" t="s">
        <v>19</v>
      </c>
      <c r="C57" s="241" t="s">
        <v>20</v>
      </c>
      <c r="D57" s="240" t="s">
        <v>30</v>
      </c>
      <c r="E57" s="240">
        <v>12</v>
      </c>
      <c r="F57" s="242" t="s">
        <v>504</v>
      </c>
      <c r="G57" s="242">
        <v>4.5999999999999996</v>
      </c>
      <c r="H57" s="230">
        <f t="shared" si="0"/>
        <v>55.199999999999996</v>
      </c>
    </row>
    <row r="58" spans="1:8" ht="15.75" x14ac:dyDescent="0.25">
      <c r="A58" s="240">
        <v>2017</v>
      </c>
      <c r="B58" s="240" t="s">
        <v>19</v>
      </c>
      <c r="C58" s="241" t="s">
        <v>20</v>
      </c>
      <c r="D58" s="240" t="s">
        <v>30</v>
      </c>
      <c r="E58" s="240">
        <v>9.6</v>
      </c>
      <c r="F58" s="242" t="s">
        <v>504</v>
      </c>
      <c r="G58" s="242">
        <v>4.5999999999999996</v>
      </c>
      <c r="H58" s="230">
        <f t="shared" si="0"/>
        <v>44.16</v>
      </c>
    </row>
    <row r="59" spans="1:8" ht="15.75" x14ac:dyDescent="0.25">
      <c r="A59" s="240">
        <v>2017</v>
      </c>
      <c r="B59" s="240" t="s">
        <v>19</v>
      </c>
      <c r="C59" s="241" t="s">
        <v>20</v>
      </c>
      <c r="D59" s="240" t="s">
        <v>30</v>
      </c>
      <c r="E59" s="240">
        <v>12</v>
      </c>
      <c r="F59" s="242" t="s">
        <v>504</v>
      </c>
      <c r="G59" s="242">
        <v>4.5999999999999996</v>
      </c>
      <c r="H59" s="230">
        <f t="shared" si="0"/>
        <v>55.199999999999996</v>
      </c>
    </row>
    <row r="60" spans="1:8" ht="15.75" x14ac:dyDescent="0.25">
      <c r="A60" s="240">
        <v>2017</v>
      </c>
      <c r="B60" s="240" t="s">
        <v>19</v>
      </c>
      <c r="C60" s="241" t="s">
        <v>20</v>
      </c>
      <c r="D60" s="240" t="s">
        <v>30</v>
      </c>
      <c r="E60" s="240">
        <v>13.2</v>
      </c>
      <c r="F60" s="242" t="s">
        <v>504</v>
      </c>
      <c r="G60" s="242">
        <v>4.5999999999999996</v>
      </c>
      <c r="H60" s="230">
        <f t="shared" si="0"/>
        <v>60.719999999999992</v>
      </c>
    </row>
    <row r="61" spans="1:8" ht="15.75" x14ac:dyDescent="0.25">
      <c r="A61" s="240">
        <v>2017</v>
      </c>
      <c r="B61" s="240" t="s">
        <v>19</v>
      </c>
      <c r="C61" s="241" t="s">
        <v>20</v>
      </c>
      <c r="D61" s="240" t="s">
        <v>30</v>
      </c>
      <c r="E61" s="240">
        <v>12.3</v>
      </c>
      <c r="F61" s="242" t="s">
        <v>504</v>
      </c>
      <c r="G61" s="242">
        <v>4.5999999999999996</v>
      </c>
      <c r="H61" s="230">
        <f t="shared" si="0"/>
        <v>56.58</v>
      </c>
    </row>
    <row r="62" spans="1:8" ht="15.75" x14ac:dyDescent="0.25">
      <c r="A62" s="240">
        <v>2017</v>
      </c>
      <c r="B62" s="240" t="s">
        <v>19</v>
      </c>
      <c r="C62" s="241" t="s">
        <v>20</v>
      </c>
      <c r="D62" s="240" t="s">
        <v>30</v>
      </c>
      <c r="E62" s="240">
        <v>12</v>
      </c>
      <c r="F62" s="242" t="s">
        <v>504</v>
      </c>
      <c r="G62" s="242">
        <v>4.5999999999999996</v>
      </c>
      <c r="H62" s="230">
        <f t="shared" si="0"/>
        <v>55.199999999999996</v>
      </c>
    </row>
    <row r="63" spans="1:8" ht="15.75" x14ac:dyDescent="0.25">
      <c r="A63" s="240">
        <v>2017</v>
      </c>
      <c r="B63" s="240" t="s">
        <v>19</v>
      </c>
      <c r="C63" s="241" t="s">
        <v>20</v>
      </c>
      <c r="D63" s="240" t="s">
        <v>30</v>
      </c>
      <c r="E63" s="240">
        <v>12.2</v>
      </c>
      <c r="F63" s="242" t="s">
        <v>504</v>
      </c>
      <c r="G63" s="242">
        <v>4.5999999999999996</v>
      </c>
      <c r="H63" s="230">
        <f t="shared" si="0"/>
        <v>56.11999999999999</v>
      </c>
    </row>
    <row r="64" spans="1:8" ht="15.75" x14ac:dyDescent="0.25">
      <c r="A64" s="240">
        <v>2017</v>
      </c>
      <c r="B64" s="240" t="s">
        <v>19</v>
      </c>
      <c r="C64" s="241" t="s">
        <v>20</v>
      </c>
      <c r="D64" s="240" t="s">
        <v>30</v>
      </c>
      <c r="E64" s="240">
        <v>12</v>
      </c>
      <c r="F64" s="242" t="s">
        <v>504</v>
      </c>
      <c r="G64" s="242">
        <v>4.5999999999999996</v>
      </c>
      <c r="H64" s="230">
        <f t="shared" si="0"/>
        <v>55.199999999999996</v>
      </c>
    </row>
    <row r="65" spans="1:29" ht="15.75" x14ac:dyDescent="0.25">
      <c r="A65" s="240">
        <v>2017</v>
      </c>
      <c r="B65" s="240" t="s">
        <v>19</v>
      </c>
      <c r="C65" s="241" t="s">
        <v>20</v>
      </c>
      <c r="D65" s="240" t="s">
        <v>30</v>
      </c>
      <c r="E65" s="240">
        <v>14.5</v>
      </c>
      <c r="F65" s="242" t="s">
        <v>504</v>
      </c>
      <c r="G65" s="242">
        <v>4.5999999999999996</v>
      </c>
      <c r="H65" s="230">
        <f t="shared" si="0"/>
        <v>66.699999999999989</v>
      </c>
      <c r="J65" s="193" t="s">
        <v>577</v>
      </c>
      <c r="Q65" s="193" t="s">
        <v>578</v>
      </c>
    </row>
    <row r="66" spans="1:29" ht="15.75" x14ac:dyDescent="0.25">
      <c r="A66" s="240">
        <v>2017</v>
      </c>
      <c r="B66" s="240" t="s">
        <v>19</v>
      </c>
      <c r="C66" s="241" t="s">
        <v>20</v>
      </c>
      <c r="D66" s="240" t="s">
        <v>30</v>
      </c>
      <c r="E66" s="240">
        <v>10.5</v>
      </c>
      <c r="F66" s="242" t="s">
        <v>504</v>
      </c>
      <c r="G66" s="242">
        <v>4.5999999999999996</v>
      </c>
      <c r="H66" s="230">
        <f t="shared" si="0"/>
        <v>48.3</v>
      </c>
      <c r="J66" t="s">
        <v>554</v>
      </c>
      <c r="L66" s="232" t="s">
        <v>552</v>
      </c>
      <c r="Q66" t="s">
        <v>555</v>
      </c>
      <c r="U66" s="316" t="s">
        <v>552</v>
      </c>
      <c r="V66" s="316"/>
      <c r="W66" s="316"/>
      <c r="X66" s="316"/>
    </row>
    <row r="67" spans="1:29" ht="15.75" x14ac:dyDescent="0.25">
      <c r="A67" s="240">
        <v>2017</v>
      </c>
      <c r="B67" s="240" t="s">
        <v>19</v>
      </c>
      <c r="C67" s="241" t="s">
        <v>20</v>
      </c>
      <c r="D67" s="240" t="s">
        <v>30</v>
      </c>
      <c r="E67" s="240">
        <v>12.3</v>
      </c>
      <c r="F67" s="242" t="s">
        <v>504</v>
      </c>
      <c r="G67" s="242">
        <v>4.5999999999999996</v>
      </c>
      <c r="H67" s="230">
        <f t="shared" ref="H67:H130" si="9">E67*G67</f>
        <v>56.58</v>
      </c>
      <c r="J67" s="320"/>
      <c r="K67" s="320" t="s">
        <v>550</v>
      </c>
      <c r="L67" s="232" t="s">
        <v>321</v>
      </c>
      <c r="M67" s="332" t="s">
        <v>322</v>
      </c>
      <c r="N67" s="332" t="s">
        <v>52</v>
      </c>
      <c r="O67" s="332" t="s">
        <v>553</v>
      </c>
      <c r="P67"/>
      <c r="Q67" s="320"/>
      <c r="R67" s="320" t="s">
        <v>551</v>
      </c>
      <c r="S67" s="316" t="s">
        <v>321</v>
      </c>
      <c r="U67" s="332" t="s">
        <v>322</v>
      </c>
      <c r="V67" s="332" t="s">
        <v>52</v>
      </c>
      <c r="W67" s="332" t="s">
        <v>553</v>
      </c>
    </row>
    <row r="68" spans="1:29" ht="15.75" x14ac:dyDescent="0.25">
      <c r="A68" s="240">
        <v>2017</v>
      </c>
      <c r="B68" s="240" t="s">
        <v>19</v>
      </c>
      <c r="C68" s="241" t="s">
        <v>20</v>
      </c>
      <c r="D68" s="240" t="s">
        <v>30</v>
      </c>
      <c r="E68" s="240">
        <v>7</v>
      </c>
      <c r="F68" s="242" t="s">
        <v>504</v>
      </c>
      <c r="G68" s="242">
        <v>4.5999999999999996</v>
      </c>
      <c r="H68" s="230">
        <f t="shared" si="9"/>
        <v>32.199999999999996</v>
      </c>
      <c r="J68" s="324">
        <v>2017</v>
      </c>
      <c r="K68" s="325">
        <v>217</v>
      </c>
      <c r="L68">
        <v>47.910748663101579</v>
      </c>
      <c r="M68" s="316">
        <v>69.72999999999999</v>
      </c>
      <c r="N68">
        <v>53.91892473118277</v>
      </c>
      <c r="O68" s="232">
        <v>41.966489361702145</v>
      </c>
      <c r="P68"/>
      <c r="Q68" s="324">
        <v>2017</v>
      </c>
      <c r="R68" s="324">
        <v>216</v>
      </c>
      <c r="S68" s="316">
        <v>47.910748663101579</v>
      </c>
      <c r="U68" s="316">
        <v>69.72999999999999</v>
      </c>
      <c r="V68" s="316">
        <v>53.91892473118277</v>
      </c>
      <c r="W68" s="316">
        <v>41.966489361702145</v>
      </c>
      <c r="Y68" s="325"/>
      <c r="Z68" s="316"/>
      <c r="AB68" s="324"/>
      <c r="AC68" s="316"/>
    </row>
    <row r="69" spans="1:29" ht="15.75" x14ac:dyDescent="0.25">
      <c r="A69" s="240">
        <v>2017</v>
      </c>
      <c r="B69" s="240" t="s">
        <v>19</v>
      </c>
      <c r="C69" s="241" t="s">
        <v>20</v>
      </c>
      <c r="D69" s="240" t="s">
        <v>30</v>
      </c>
      <c r="E69" s="240">
        <v>12.6</v>
      </c>
      <c r="F69" s="242" t="s">
        <v>504</v>
      </c>
      <c r="G69" s="242">
        <v>4.5999999999999996</v>
      </c>
      <c r="H69" s="230">
        <f t="shared" si="9"/>
        <v>57.959999999999994</v>
      </c>
      <c r="J69" s="324">
        <v>2014</v>
      </c>
      <c r="K69" s="325">
        <v>197</v>
      </c>
      <c r="L69">
        <v>43.204999999999977</v>
      </c>
      <c r="M69" s="316">
        <v>43.204999999999977</v>
      </c>
      <c r="N69">
        <v>58.157142857142844</v>
      </c>
      <c r="O69" s="232">
        <v>41.790608108108081</v>
      </c>
      <c r="P69"/>
      <c r="Q69" s="324">
        <v>2014</v>
      </c>
      <c r="R69" s="324">
        <v>188</v>
      </c>
      <c r="S69" s="316">
        <v>43.204999999999977</v>
      </c>
      <c r="U69" s="316">
        <v>43.204999999999977</v>
      </c>
      <c r="V69" s="316">
        <v>58.157142857142844</v>
      </c>
      <c r="W69" s="316">
        <v>41.790608108108081</v>
      </c>
      <c r="Y69" s="325"/>
      <c r="Z69" s="316"/>
      <c r="AB69" s="324"/>
      <c r="AC69" s="316"/>
    </row>
    <row r="70" spans="1:29" ht="15.75" x14ac:dyDescent="0.25">
      <c r="A70" s="240">
        <v>2017</v>
      </c>
      <c r="B70" s="240" t="s">
        <v>19</v>
      </c>
      <c r="C70" s="241" t="s">
        <v>20</v>
      </c>
      <c r="D70" s="240" t="s">
        <v>30</v>
      </c>
      <c r="E70" s="240">
        <v>12.3</v>
      </c>
      <c r="F70" s="242" t="s">
        <v>504</v>
      </c>
      <c r="G70" s="242">
        <v>4.5999999999999996</v>
      </c>
      <c r="H70" s="230">
        <f t="shared" si="9"/>
        <v>56.58</v>
      </c>
      <c r="J70" s="324">
        <v>2013</v>
      </c>
      <c r="K70" s="325">
        <v>196</v>
      </c>
      <c r="L70">
        <v>43.189687499999984</v>
      </c>
      <c r="M70" s="316">
        <v>43.189687499999984</v>
      </c>
      <c r="N70">
        <v>50.323999999999991</v>
      </c>
      <c r="O70" s="232">
        <v>41.005714285714291</v>
      </c>
      <c r="P70"/>
      <c r="Q70" s="324">
        <v>2013</v>
      </c>
      <c r="R70" s="324">
        <v>184</v>
      </c>
      <c r="S70" s="316">
        <v>43.189687499999984</v>
      </c>
      <c r="U70" s="316">
        <v>43.189687499999984</v>
      </c>
      <c r="V70" s="316">
        <v>50.323999999999991</v>
      </c>
      <c r="W70" s="316">
        <v>41.005714285714291</v>
      </c>
      <c r="Y70" s="325"/>
      <c r="Z70" s="316"/>
      <c r="AB70" s="324"/>
      <c r="AC70" s="316"/>
    </row>
    <row r="71" spans="1:29" ht="15.75" x14ac:dyDescent="0.25">
      <c r="A71" s="240">
        <v>2017</v>
      </c>
      <c r="B71" s="240" t="s">
        <v>19</v>
      </c>
      <c r="C71" s="241" t="s">
        <v>20</v>
      </c>
      <c r="D71" s="240" t="s">
        <v>30</v>
      </c>
      <c r="E71" s="240">
        <v>10.9</v>
      </c>
      <c r="F71" s="242" t="s">
        <v>504</v>
      </c>
      <c r="G71" s="242">
        <v>4.5999999999999996</v>
      </c>
      <c r="H71" s="230">
        <f t="shared" si="9"/>
        <v>50.14</v>
      </c>
      <c r="J71" s="324">
        <v>2012</v>
      </c>
      <c r="K71" s="325">
        <v>195</v>
      </c>
      <c r="L71">
        <v>41.17261363636365</v>
      </c>
      <c r="M71" s="316">
        <v>41.17261363636365</v>
      </c>
      <c r="N71">
        <v>49.721818181818186</v>
      </c>
      <c r="O71" s="232">
        <v>37.643124999999998</v>
      </c>
      <c r="P71"/>
      <c r="Q71" s="324">
        <v>2011</v>
      </c>
      <c r="R71" s="324">
        <v>188</v>
      </c>
      <c r="S71" s="316">
        <v>45.99266233766231</v>
      </c>
      <c r="U71" s="316">
        <v>45.99266233766231</v>
      </c>
      <c r="V71" s="316">
        <v>55.781052631578937</v>
      </c>
      <c r="W71" s="316">
        <v>36.60355263157895</v>
      </c>
      <c r="Y71" s="325"/>
      <c r="Z71" s="316"/>
      <c r="AB71" s="324"/>
      <c r="AC71" s="316"/>
    </row>
    <row r="72" spans="1:29" ht="15.75" x14ac:dyDescent="0.25">
      <c r="A72" s="240">
        <v>2017</v>
      </c>
      <c r="B72" s="240" t="s">
        <v>19</v>
      </c>
      <c r="C72" s="241" t="s">
        <v>20</v>
      </c>
      <c r="D72" s="240" t="s">
        <v>30</v>
      </c>
      <c r="E72" s="240">
        <v>10.8</v>
      </c>
      <c r="F72" s="242" t="s">
        <v>504</v>
      </c>
      <c r="G72" s="242">
        <v>4.5999999999999996</v>
      </c>
      <c r="H72" s="230">
        <f t="shared" si="9"/>
        <v>49.68</v>
      </c>
      <c r="J72" s="324">
        <v>2011</v>
      </c>
      <c r="K72" s="325">
        <v>195</v>
      </c>
      <c r="L72">
        <v>45.99266233766231</v>
      </c>
      <c r="M72" s="316">
        <v>45.99266233766231</v>
      </c>
      <c r="N72">
        <v>55.781052631578937</v>
      </c>
      <c r="O72" s="232">
        <v>36.60355263157895</v>
      </c>
      <c r="P72"/>
      <c r="Q72" s="324">
        <v>2010</v>
      </c>
      <c r="R72" s="325">
        <v>194</v>
      </c>
      <c r="S72" s="316">
        <v>56.856799999999986</v>
      </c>
      <c r="U72" s="316">
        <v>56.856799999999986</v>
      </c>
      <c r="V72" s="316">
        <v>58.239999999999988</v>
      </c>
      <c r="W72" s="316">
        <v>40.950000000000003</v>
      </c>
      <c r="Y72" s="325"/>
      <c r="Z72" s="316"/>
      <c r="AB72" s="325"/>
      <c r="AC72" s="316"/>
    </row>
    <row r="73" spans="1:29" ht="15.75" x14ac:dyDescent="0.25">
      <c r="A73" s="240">
        <v>2017</v>
      </c>
      <c r="B73" s="240" t="s">
        <v>19</v>
      </c>
      <c r="C73" s="241" t="s">
        <v>20</v>
      </c>
      <c r="D73" s="240" t="s">
        <v>30</v>
      </c>
      <c r="E73" s="240">
        <v>13.5</v>
      </c>
      <c r="F73" s="242" t="s">
        <v>504</v>
      </c>
      <c r="G73" s="242">
        <v>4.5999999999999996</v>
      </c>
      <c r="H73" s="230">
        <f t="shared" si="9"/>
        <v>62.099999999999994</v>
      </c>
      <c r="J73" s="324">
        <v>2010</v>
      </c>
      <c r="K73" s="325">
        <v>200</v>
      </c>
      <c r="L73">
        <v>56.856799999999986</v>
      </c>
      <c r="M73" s="316">
        <v>56.856799999999986</v>
      </c>
      <c r="N73">
        <v>58.239999999999988</v>
      </c>
      <c r="O73" s="232">
        <v>40.950000000000003</v>
      </c>
      <c r="P73"/>
      <c r="Q73" s="324">
        <v>2009</v>
      </c>
      <c r="R73" s="325">
        <v>205</v>
      </c>
      <c r="S73" s="316">
        <v>56.056222222222225</v>
      </c>
      <c r="U73" s="316">
        <v>56.056222222222225</v>
      </c>
      <c r="V73" s="316">
        <v>61.821212121212127</v>
      </c>
      <c r="W73" s="316">
        <v>40.202500000000001</v>
      </c>
      <c r="Y73" s="325"/>
      <c r="Z73" s="316"/>
      <c r="AB73" s="325"/>
      <c r="AC73" s="316"/>
    </row>
    <row r="74" spans="1:29" ht="15.75" x14ac:dyDescent="0.25">
      <c r="A74" s="240">
        <v>2017</v>
      </c>
      <c r="B74" s="240" t="s">
        <v>19</v>
      </c>
      <c r="C74" s="241" t="s">
        <v>20</v>
      </c>
      <c r="D74" s="240" t="s">
        <v>30</v>
      </c>
      <c r="E74" s="240">
        <v>14.9</v>
      </c>
      <c r="F74" s="242" t="s">
        <v>504</v>
      </c>
      <c r="G74" s="242">
        <v>4.5999999999999996</v>
      </c>
      <c r="H74" s="230">
        <f t="shared" si="9"/>
        <v>68.539999999999992</v>
      </c>
      <c r="J74" s="324">
        <v>2008</v>
      </c>
      <c r="K74" s="325">
        <v>205</v>
      </c>
      <c r="L74">
        <v>52.28282608695654</v>
      </c>
      <c r="M74" s="316">
        <v>52.28282608695654</v>
      </c>
      <c r="N74">
        <v>63.153157894736843</v>
      </c>
      <c r="O74" s="232">
        <v>44.633333333333319</v>
      </c>
      <c r="P74"/>
      <c r="Q74" s="324">
        <v>2007</v>
      </c>
      <c r="R74" s="329">
        <v>196</v>
      </c>
      <c r="S74" s="316">
        <v>51.420112781954877</v>
      </c>
      <c r="U74" s="316">
        <v>51.420112781954877</v>
      </c>
      <c r="V74" s="316">
        <v>59.985957446808492</v>
      </c>
      <c r="W74" s="316">
        <v>47.108749999999986</v>
      </c>
      <c r="Y74" s="325"/>
      <c r="Z74" s="316"/>
      <c r="AB74" s="329"/>
      <c r="AC74" s="316"/>
    </row>
    <row r="75" spans="1:29" ht="15.75" x14ac:dyDescent="0.25">
      <c r="A75" s="240">
        <v>2017</v>
      </c>
      <c r="B75" s="240" t="s">
        <v>19</v>
      </c>
      <c r="C75" s="241" t="s">
        <v>20</v>
      </c>
      <c r="D75" s="240" t="s">
        <v>30</v>
      </c>
      <c r="E75" s="240">
        <v>14</v>
      </c>
      <c r="F75" s="242" t="s">
        <v>504</v>
      </c>
      <c r="G75" s="242">
        <v>4.5999999999999996</v>
      </c>
      <c r="H75" s="230">
        <f t="shared" si="9"/>
        <v>64.399999999999991</v>
      </c>
      <c r="J75" s="324">
        <v>2007</v>
      </c>
      <c r="K75" s="325">
        <v>203</v>
      </c>
      <c r="L75">
        <v>51.420112781954877</v>
      </c>
      <c r="M75" s="316">
        <v>51.420112781954877</v>
      </c>
      <c r="N75">
        <v>59.985957446808492</v>
      </c>
      <c r="O75" s="232">
        <v>47.108749999999986</v>
      </c>
      <c r="P75"/>
      <c r="Q75" s="324">
        <v>2005</v>
      </c>
      <c r="R75" s="325">
        <v>184</v>
      </c>
      <c r="S75" s="316">
        <v>39.78682352941177</v>
      </c>
      <c r="U75" s="316">
        <v>39.78682352941177</v>
      </c>
      <c r="V75" s="316">
        <v>48.944000000000003</v>
      </c>
      <c r="W75" s="316">
        <v>39.541666666666671</v>
      </c>
      <c r="Y75" s="325"/>
      <c r="Z75" s="316"/>
      <c r="AB75" s="325"/>
      <c r="AC75" s="316"/>
    </row>
    <row r="76" spans="1:29" ht="15.75" x14ac:dyDescent="0.25">
      <c r="A76" s="240">
        <v>2017</v>
      </c>
      <c r="B76" s="240" t="s">
        <v>19</v>
      </c>
      <c r="C76" s="241" t="s">
        <v>20</v>
      </c>
      <c r="D76" s="240" t="s">
        <v>30</v>
      </c>
      <c r="E76" s="240">
        <v>10.199999999999999</v>
      </c>
      <c r="F76" s="242" t="s">
        <v>504</v>
      </c>
      <c r="G76" s="242">
        <v>4.5999999999999996</v>
      </c>
      <c r="H76" s="230">
        <f t="shared" si="9"/>
        <v>46.919999999999995</v>
      </c>
      <c r="J76" s="324">
        <v>2006</v>
      </c>
      <c r="K76" s="325">
        <v>190</v>
      </c>
      <c r="L76">
        <v>36.112272727272732</v>
      </c>
      <c r="M76" s="316">
        <v>36.112272727272732</v>
      </c>
      <c r="N76">
        <v>51.519999999999996</v>
      </c>
      <c r="O76" s="232">
        <v>36.742105263157903</v>
      </c>
      <c r="P76"/>
      <c r="Q76" s="324">
        <v>2004</v>
      </c>
      <c r="R76" s="325">
        <v>191</v>
      </c>
      <c r="S76" s="316">
        <v>48.2951388888889</v>
      </c>
      <c r="U76" s="316">
        <v>48.2951388888889</v>
      </c>
      <c r="V76" s="316">
        <v>51.096507936507933</v>
      </c>
      <c r="W76" s="316">
        <v>46.156500000000001</v>
      </c>
      <c r="Y76" s="325"/>
      <c r="Z76" s="316"/>
      <c r="AB76" s="325"/>
      <c r="AC76" s="316"/>
    </row>
    <row r="77" spans="1:29" ht="15.75" x14ac:dyDescent="0.25">
      <c r="A77" s="240">
        <v>2017</v>
      </c>
      <c r="B77" s="240" t="s">
        <v>19</v>
      </c>
      <c r="C77" s="241" t="s">
        <v>20</v>
      </c>
      <c r="D77" s="240" t="s">
        <v>30</v>
      </c>
      <c r="E77" s="240">
        <v>9.5</v>
      </c>
      <c r="F77" s="242" t="s">
        <v>504</v>
      </c>
      <c r="G77" s="242">
        <v>4.5999999999999996</v>
      </c>
      <c r="H77" s="230">
        <f t="shared" si="9"/>
        <v>43.699999999999996</v>
      </c>
      <c r="J77" s="324">
        <v>2005</v>
      </c>
      <c r="K77" s="325">
        <v>194</v>
      </c>
      <c r="L77">
        <v>39.78682352941177</v>
      </c>
      <c r="M77" s="316">
        <v>39.78682352941177</v>
      </c>
      <c r="N77">
        <v>48.944000000000003</v>
      </c>
      <c r="O77" s="232">
        <v>39.541666666666671</v>
      </c>
      <c r="P77"/>
      <c r="Q77" s="324">
        <v>2003</v>
      </c>
      <c r="R77" s="333">
        <v>196</v>
      </c>
      <c r="S77" s="316">
        <v>58.388260869565229</v>
      </c>
      <c r="U77" s="316">
        <v>58.388260869565229</v>
      </c>
      <c r="V77" s="316">
        <v>62.297142857142866</v>
      </c>
      <c r="W77" s="316">
        <v>41.55</v>
      </c>
      <c r="Y77" s="325"/>
      <c r="Z77" s="316"/>
      <c r="AB77" s="333"/>
      <c r="AC77" s="316"/>
    </row>
    <row r="78" spans="1:29" ht="15.75" x14ac:dyDescent="0.25">
      <c r="A78" s="240">
        <v>2017</v>
      </c>
      <c r="B78" s="240" t="s">
        <v>19</v>
      </c>
      <c r="C78" s="241" t="s">
        <v>20</v>
      </c>
      <c r="D78" s="240" t="s">
        <v>30</v>
      </c>
      <c r="E78" s="240">
        <v>12.9</v>
      </c>
      <c r="F78" s="242" t="s">
        <v>504</v>
      </c>
      <c r="G78" s="242">
        <v>4.5999999999999996</v>
      </c>
      <c r="H78" s="230">
        <f t="shared" si="9"/>
        <v>59.339999999999996</v>
      </c>
      <c r="J78" s="324">
        <v>2004</v>
      </c>
      <c r="K78" s="325">
        <v>204</v>
      </c>
      <c r="L78">
        <v>48.2951388888889</v>
      </c>
      <c r="M78" s="316">
        <v>48.2951388888889</v>
      </c>
      <c r="N78">
        <v>51.096507936507933</v>
      </c>
      <c r="O78" s="232">
        <v>46.156500000000001</v>
      </c>
      <c r="P78"/>
      <c r="Q78" s="324">
        <v>1993</v>
      </c>
      <c r="R78" s="324">
        <v>198</v>
      </c>
      <c r="S78" s="316">
        <v>69.547008547008545</v>
      </c>
      <c r="U78" s="316">
        <v>69.547008547008545</v>
      </c>
      <c r="V78" s="316">
        <v>71.910384615384601</v>
      </c>
      <c r="W78" s="316">
        <v>43.308571428571426</v>
      </c>
      <c r="Y78" s="325"/>
      <c r="Z78" s="316"/>
      <c r="AB78" s="324"/>
      <c r="AC78" s="316"/>
    </row>
    <row r="79" spans="1:29" ht="15.75" x14ac:dyDescent="0.25">
      <c r="A79" s="240">
        <v>2017</v>
      </c>
      <c r="B79" s="240" t="s">
        <v>19</v>
      </c>
      <c r="C79" s="241" t="s">
        <v>20</v>
      </c>
      <c r="D79" s="240" t="s">
        <v>30</v>
      </c>
      <c r="E79" s="240">
        <v>16.3</v>
      </c>
      <c r="F79" s="242" t="s">
        <v>504</v>
      </c>
      <c r="G79" s="242">
        <v>4.5999999999999996</v>
      </c>
      <c r="H79" s="230">
        <f t="shared" si="9"/>
        <v>74.98</v>
      </c>
      <c r="J79" s="324">
        <v>2003</v>
      </c>
      <c r="K79" s="325">
        <v>207</v>
      </c>
      <c r="L79">
        <v>58.388260869565229</v>
      </c>
      <c r="M79" s="316">
        <v>58.388260869565229</v>
      </c>
      <c r="N79">
        <v>62.297142857142866</v>
      </c>
      <c r="O79" s="232">
        <v>41.55</v>
      </c>
      <c r="P79"/>
      <c r="Q79" s="324">
        <v>1992</v>
      </c>
      <c r="R79" s="324">
        <v>205</v>
      </c>
      <c r="S79" s="316">
        <v>63.203454545454541</v>
      </c>
      <c r="U79" s="316">
        <v>63.203454545454541</v>
      </c>
      <c r="V79" s="316">
        <v>65.051287128712872</v>
      </c>
      <c r="W79" s="316">
        <v>50.639999999999993</v>
      </c>
      <c r="Y79" s="325"/>
      <c r="Z79" s="316"/>
      <c r="AB79" s="324"/>
      <c r="AC79" s="316"/>
    </row>
    <row r="80" spans="1:29" ht="15.75" x14ac:dyDescent="0.25">
      <c r="A80" s="240">
        <v>2017</v>
      </c>
      <c r="B80" s="240" t="s">
        <v>19</v>
      </c>
      <c r="C80" s="241" t="s">
        <v>20</v>
      </c>
      <c r="D80" s="240" t="s">
        <v>30</v>
      </c>
      <c r="E80" s="240">
        <v>11</v>
      </c>
      <c r="F80" s="242" t="s">
        <v>504</v>
      </c>
      <c r="G80" s="242">
        <v>4.5999999999999996</v>
      </c>
      <c r="H80" s="230">
        <f t="shared" si="9"/>
        <v>50.599999999999994</v>
      </c>
      <c r="N80" s="316"/>
      <c r="P80"/>
      <c r="Q80" s="324">
        <v>1991</v>
      </c>
      <c r="R80" s="324">
        <v>209</v>
      </c>
      <c r="S80" s="316">
        <v>78.442499999999995</v>
      </c>
      <c r="U80" s="316">
        <v>78.442499999999995</v>
      </c>
      <c r="V80" s="316">
        <v>98.078571428571422</v>
      </c>
      <c r="W80" s="316">
        <v>42.466666666666669</v>
      </c>
      <c r="Z80" s="316"/>
      <c r="AB80" s="324"/>
      <c r="AC80" s="316"/>
    </row>
    <row r="81" spans="1:29" ht="15.75" x14ac:dyDescent="0.25">
      <c r="A81" s="240">
        <v>2017</v>
      </c>
      <c r="B81" s="240" t="s">
        <v>19</v>
      </c>
      <c r="C81" s="241" t="s">
        <v>20</v>
      </c>
      <c r="D81" s="240" t="s">
        <v>30</v>
      </c>
      <c r="E81" s="240">
        <v>11</v>
      </c>
      <c r="F81" s="242" t="s">
        <v>504</v>
      </c>
      <c r="G81" s="242">
        <v>4.5999999999999996</v>
      </c>
      <c r="H81" s="230">
        <f t="shared" si="9"/>
        <v>50.599999999999994</v>
      </c>
      <c r="N81" s="316"/>
      <c r="P81"/>
      <c r="AC81" s="316"/>
    </row>
    <row r="82" spans="1:29" ht="15.75" x14ac:dyDescent="0.25">
      <c r="A82" s="240">
        <v>2017</v>
      </c>
      <c r="B82" s="240" t="s">
        <v>19</v>
      </c>
      <c r="C82" s="241" t="s">
        <v>20</v>
      </c>
      <c r="D82" s="240" t="s">
        <v>30</v>
      </c>
      <c r="E82" s="240">
        <v>7.1</v>
      </c>
      <c r="F82" s="242" t="s">
        <v>504</v>
      </c>
      <c r="G82" s="242">
        <v>4.5999999999999996</v>
      </c>
      <c r="H82" s="230">
        <f t="shared" si="9"/>
        <v>32.659999999999997</v>
      </c>
      <c r="N82" s="316"/>
      <c r="P82"/>
    </row>
    <row r="83" spans="1:29" ht="15.75" x14ac:dyDescent="0.25">
      <c r="A83" s="240">
        <v>2017</v>
      </c>
      <c r="B83" s="240" t="s">
        <v>19</v>
      </c>
      <c r="C83" s="241" t="s">
        <v>20</v>
      </c>
      <c r="D83" s="240" t="s">
        <v>30</v>
      </c>
      <c r="E83" s="240">
        <v>12.5</v>
      </c>
      <c r="F83" s="242" t="s">
        <v>504</v>
      </c>
      <c r="G83" s="242">
        <v>4.5999999999999996</v>
      </c>
      <c r="H83" s="230">
        <f t="shared" si="9"/>
        <v>57.499999999999993</v>
      </c>
      <c r="N83" s="316"/>
      <c r="P83"/>
    </row>
    <row r="84" spans="1:29" ht="15.75" x14ac:dyDescent="0.25">
      <c r="A84" s="240">
        <v>2017</v>
      </c>
      <c r="B84" s="240" t="s">
        <v>19</v>
      </c>
      <c r="C84" s="241" t="s">
        <v>20</v>
      </c>
      <c r="D84" s="240" t="s">
        <v>30</v>
      </c>
      <c r="E84" s="240">
        <v>14.5</v>
      </c>
      <c r="F84" s="242" t="s">
        <v>504</v>
      </c>
      <c r="G84" s="242">
        <v>4.5999999999999996</v>
      </c>
      <c r="H84" s="230">
        <f t="shared" si="9"/>
        <v>66.699999999999989</v>
      </c>
      <c r="N84" s="316"/>
      <c r="P84"/>
    </row>
    <row r="85" spans="1:29" ht="15.75" x14ac:dyDescent="0.25">
      <c r="A85" s="240">
        <v>2017</v>
      </c>
      <c r="B85" s="240" t="s">
        <v>19</v>
      </c>
      <c r="C85" s="241" t="s">
        <v>20</v>
      </c>
      <c r="D85" s="240" t="s">
        <v>30</v>
      </c>
      <c r="E85" s="240">
        <v>12.1</v>
      </c>
      <c r="F85" s="242" t="s">
        <v>504</v>
      </c>
      <c r="G85" s="242">
        <v>4.5999999999999996</v>
      </c>
      <c r="H85" s="230">
        <f t="shared" si="9"/>
        <v>55.66</v>
      </c>
      <c r="N85" s="316"/>
    </row>
    <row r="86" spans="1:29" ht="15.75" x14ac:dyDescent="0.25">
      <c r="A86" s="240">
        <v>2017</v>
      </c>
      <c r="B86" s="240" t="s">
        <v>19</v>
      </c>
      <c r="C86" s="241" t="s">
        <v>20</v>
      </c>
      <c r="D86" s="240" t="s">
        <v>30</v>
      </c>
      <c r="E86" s="240">
        <v>15.3</v>
      </c>
      <c r="F86" s="242" t="s">
        <v>504</v>
      </c>
      <c r="G86" s="242">
        <v>4.5999999999999996</v>
      </c>
      <c r="H86" s="230">
        <f t="shared" si="9"/>
        <v>70.38</v>
      </c>
    </row>
    <row r="87" spans="1:29" ht="15.75" x14ac:dyDescent="0.25">
      <c r="A87" s="240">
        <v>2017</v>
      </c>
      <c r="B87" s="240" t="s">
        <v>19</v>
      </c>
      <c r="C87" s="241" t="s">
        <v>20</v>
      </c>
      <c r="D87" s="240" t="s">
        <v>30</v>
      </c>
      <c r="E87" s="240">
        <v>10.6</v>
      </c>
      <c r="F87" s="242" t="s">
        <v>504</v>
      </c>
      <c r="G87" s="242">
        <v>4.5999999999999996</v>
      </c>
      <c r="H87" s="230">
        <f t="shared" si="9"/>
        <v>48.76</v>
      </c>
    </row>
    <row r="88" spans="1:29" ht="15.75" x14ac:dyDescent="0.25">
      <c r="A88" s="240">
        <v>2017</v>
      </c>
      <c r="B88" s="240" t="s">
        <v>19</v>
      </c>
      <c r="C88" s="241" t="s">
        <v>20</v>
      </c>
      <c r="D88" s="240" t="s">
        <v>30</v>
      </c>
      <c r="E88" s="240">
        <v>14.8</v>
      </c>
      <c r="F88" s="242" t="s">
        <v>504</v>
      </c>
      <c r="G88" s="242">
        <v>4.5999999999999996</v>
      </c>
      <c r="H88" s="230">
        <f t="shared" si="9"/>
        <v>68.08</v>
      </c>
    </row>
    <row r="89" spans="1:29" ht="15.75" x14ac:dyDescent="0.25">
      <c r="A89" s="240">
        <v>2017</v>
      </c>
      <c r="B89" s="240" t="s">
        <v>19</v>
      </c>
      <c r="C89" s="241" t="s">
        <v>20</v>
      </c>
      <c r="D89" s="240" t="s">
        <v>30</v>
      </c>
      <c r="E89" s="240">
        <v>6.8</v>
      </c>
      <c r="F89" s="242" t="s">
        <v>504</v>
      </c>
      <c r="G89" s="242">
        <v>4.5999999999999996</v>
      </c>
      <c r="H89" s="230">
        <f t="shared" si="9"/>
        <v>31.279999999999998</v>
      </c>
    </row>
    <row r="90" spans="1:29" ht="15.75" x14ac:dyDescent="0.25">
      <c r="A90" s="240">
        <v>2017</v>
      </c>
      <c r="B90" s="240" t="s">
        <v>19</v>
      </c>
      <c r="C90" s="241" t="s">
        <v>20</v>
      </c>
      <c r="D90" s="240" t="s">
        <v>30</v>
      </c>
      <c r="E90" s="240">
        <v>12</v>
      </c>
      <c r="F90" s="242" t="s">
        <v>504</v>
      </c>
      <c r="G90" s="242">
        <v>4.5999999999999996</v>
      </c>
      <c r="H90" s="230">
        <f t="shared" si="9"/>
        <v>55.199999999999996</v>
      </c>
    </row>
    <row r="91" spans="1:29" ht="15.75" x14ac:dyDescent="0.25">
      <c r="A91" s="240">
        <v>2017</v>
      </c>
      <c r="B91" s="240" t="s">
        <v>19</v>
      </c>
      <c r="C91" s="241" t="s">
        <v>20</v>
      </c>
      <c r="D91" s="240" t="s">
        <v>30</v>
      </c>
      <c r="E91" s="240">
        <v>16.600000000000001</v>
      </c>
      <c r="F91" s="242" t="s">
        <v>504</v>
      </c>
      <c r="G91" s="242">
        <v>4.5999999999999996</v>
      </c>
      <c r="H91" s="230">
        <f t="shared" si="9"/>
        <v>76.36</v>
      </c>
    </row>
    <row r="92" spans="1:29" ht="15.75" x14ac:dyDescent="0.25">
      <c r="A92" s="240">
        <v>2017</v>
      </c>
      <c r="B92" s="240" t="s">
        <v>19</v>
      </c>
      <c r="C92" s="241" t="s">
        <v>20</v>
      </c>
      <c r="D92" s="240" t="s">
        <v>30</v>
      </c>
      <c r="E92" s="240">
        <v>11.4</v>
      </c>
      <c r="F92" s="242" t="s">
        <v>504</v>
      </c>
      <c r="G92" s="242">
        <v>4.5999999999999996</v>
      </c>
      <c r="H92" s="230">
        <f t="shared" si="9"/>
        <v>52.44</v>
      </c>
    </row>
    <row r="93" spans="1:29" ht="15.75" x14ac:dyDescent="0.25">
      <c r="A93" s="240">
        <v>2017</v>
      </c>
      <c r="B93" s="240" t="s">
        <v>19</v>
      </c>
      <c r="C93" s="241" t="s">
        <v>20</v>
      </c>
      <c r="D93" s="240" t="s">
        <v>30</v>
      </c>
      <c r="E93" s="240">
        <v>13.7</v>
      </c>
      <c r="F93" s="242" t="s">
        <v>504</v>
      </c>
      <c r="G93" s="242">
        <v>4.5999999999999996</v>
      </c>
      <c r="H93" s="230">
        <f t="shared" si="9"/>
        <v>63.019999999999989</v>
      </c>
    </row>
    <row r="94" spans="1:29" ht="15.75" x14ac:dyDescent="0.25">
      <c r="A94" s="240">
        <v>2017</v>
      </c>
      <c r="B94" s="240" t="s">
        <v>19</v>
      </c>
      <c r="C94" s="241" t="s">
        <v>20</v>
      </c>
      <c r="D94" s="240" t="s">
        <v>30</v>
      </c>
      <c r="E94" s="240">
        <v>12.5</v>
      </c>
      <c r="F94" s="242" t="s">
        <v>504</v>
      </c>
      <c r="G94" s="242">
        <v>4.5999999999999996</v>
      </c>
      <c r="H94" s="230">
        <f t="shared" si="9"/>
        <v>57.499999999999993</v>
      </c>
    </row>
    <row r="95" spans="1:29" ht="14.1" customHeight="1" x14ac:dyDescent="0.25">
      <c r="A95" s="240">
        <v>2017</v>
      </c>
      <c r="B95" s="240" t="s">
        <v>19</v>
      </c>
      <c r="C95" s="241" t="s">
        <v>20</v>
      </c>
      <c r="D95" s="240" t="s">
        <v>21</v>
      </c>
      <c r="E95" s="240">
        <v>13</v>
      </c>
      <c r="F95" s="242" t="s">
        <v>507</v>
      </c>
      <c r="G95" s="242">
        <v>3.9</v>
      </c>
      <c r="H95" s="230">
        <f t="shared" si="9"/>
        <v>50.699999999999996</v>
      </c>
    </row>
    <row r="96" spans="1:29" ht="14.1" customHeight="1" x14ac:dyDescent="0.25">
      <c r="A96" s="240">
        <v>2017</v>
      </c>
      <c r="B96" s="240" t="s">
        <v>19</v>
      </c>
      <c r="C96" s="241" t="s">
        <v>20</v>
      </c>
      <c r="D96" s="240" t="s">
        <v>21</v>
      </c>
      <c r="E96" s="240">
        <v>14</v>
      </c>
      <c r="F96" s="242" t="s">
        <v>507</v>
      </c>
      <c r="G96" s="242">
        <v>3.9</v>
      </c>
      <c r="H96" s="230">
        <f t="shared" si="9"/>
        <v>54.6</v>
      </c>
    </row>
    <row r="97" spans="1:8" ht="14.1" customHeight="1" x14ac:dyDescent="0.25">
      <c r="A97" s="240">
        <v>2017</v>
      </c>
      <c r="B97" s="240" t="s">
        <v>19</v>
      </c>
      <c r="C97" s="241" t="s">
        <v>20</v>
      </c>
      <c r="D97" s="240" t="s">
        <v>21</v>
      </c>
      <c r="E97" s="240">
        <v>11.5</v>
      </c>
      <c r="F97" s="242" t="s">
        <v>507</v>
      </c>
      <c r="G97" s="242">
        <v>3.9</v>
      </c>
      <c r="H97" s="230">
        <f t="shared" si="9"/>
        <v>44.85</v>
      </c>
    </row>
    <row r="98" spans="1:8" ht="14.1" customHeight="1" x14ac:dyDescent="0.25">
      <c r="A98" s="240">
        <v>2017</v>
      </c>
      <c r="B98" s="240" t="s">
        <v>19</v>
      </c>
      <c r="C98" s="241" t="s">
        <v>20</v>
      </c>
      <c r="D98" s="240" t="s">
        <v>21</v>
      </c>
      <c r="E98" s="240">
        <v>14</v>
      </c>
      <c r="F98" s="242" t="s">
        <v>507</v>
      </c>
      <c r="G98" s="242">
        <v>3.9</v>
      </c>
      <c r="H98" s="230">
        <f t="shared" si="9"/>
        <v>54.6</v>
      </c>
    </row>
    <row r="99" spans="1:8" ht="14.1" customHeight="1" x14ac:dyDescent="0.25">
      <c r="A99" s="240">
        <v>2017</v>
      </c>
      <c r="B99" s="240" t="s">
        <v>19</v>
      </c>
      <c r="C99" s="241" t="s">
        <v>20</v>
      </c>
      <c r="D99" s="240" t="s">
        <v>21</v>
      </c>
      <c r="E99" s="240">
        <v>9.6999999999999993</v>
      </c>
      <c r="F99" s="242" t="s">
        <v>507</v>
      </c>
      <c r="G99" s="242">
        <v>3.9</v>
      </c>
      <c r="H99" s="230">
        <f t="shared" si="9"/>
        <v>37.83</v>
      </c>
    </row>
    <row r="100" spans="1:8" ht="14.1" customHeight="1" x14ac:dyDescent="0.25">
      <c r="A100" s="240">
        <v>2017</v>
      </c>
      <c r="B100" s="240" t="s">
        <v>19</v>
      </c>
      <c r="C100" s="241" t="s">
        <v>20</v>
      </c>
      <c r="D100" s="240" t="s">
        <v>21</v>
      </c>
      <c r="E100" s="240">
        <v>8.5</v>
      </c>
      <c r="F100" s="242" t="s">
        <v>507</v>
      </c>
      <c r="G100" s="242">
        <v>3.9</v>
      </c>
      <c r="H100" s="230">
        <f t="shared" si="9"/>
        <v>33.15</v>
      </c>
    </row>
    <row r="101" spans="1:8" ht="14.1" customHeight="1" x14ac:dyDescent="0.25">
      <c r="A101" s="240">
        <v>2017</v>
      </c>
      <c r="B101" s="240" t="s">
        <v>19</v>
      </c>
      <c r="C101" s="241" t="s">
        <v>20</v>
      </c>
      <c r="D101" s="240" t="s">
        <v>21</v>
      </c>
      <c r="E101" s="240">
        <v>7.5</v>
      </c>
      <c r="F101" s="242" t="s">
        <v>507</v>
      </c>
      <c r="G101" s="242">
        <v>3.9</v>
      </c>
      <c r="H101" s="230">
        <f t="shared" si="9"/>
        <v>29.25</v>
      </c>
    </row>
    <row r="102" spans="1:8" ht="14.1" customHeight="1" x14ac:dyDescent="0.25">
      <c r="A102" s="240">
        <v>2017</v>
      </c>
      <c r="B102" s="240" t="s">
        <v>19</v>
      </c>
      <c r="C102" s="241" t="s">
        <v>20</v>
      </c>
      <c r="D102" s="240" t="s">
        <v>21</v>
      </c>
      <c r="E102" s="240">
        <v>9.5</v>
      </c>
      <c r="F102" s="242" t="s">
        <v>507</v>
      </c>
      <c r="G102" s="242">
        <v>3.9</v>
      </c>
      <c r="H102" s="230">
        <f t="shared" si="9"/>
        <v>37.049999999999997</v>
      </c>
    </row>
    <row r="103" spans="1:8" ht="14.1" customHeight="1" x14ac:dyDescent="0.25">
      <c r="A103" s="240">
        <v>2017</v>
      </c>
      <c r="B103" s="240" t="s">
        <v>19</v>
      </c>
      <c r="C103" s="241" t="s">
        <v>20</v>
      </c>
      <c r="D103" s="240" t="s">
        <v>21</v>
      </c>
      <c r="E103" s="240">
        <v>10.199999999999999</v>
      </c>
      <c r="F103" s="242" t="s">
        <v>507</v>
      </c>
      <c r="G103" s="242">
        <v>3.9</v>
      </c>
      <c r="H103" s="230">
        <f t="shared" si="9"/>
        <v>39.779999999999994</v>
      </c>
    </row>
    <row r="104" spans="1:8" ht="14.1" customHeight="1" x14ac:dyDescent="0.25">
      <c r="A104" s="240">
        <v>2017</v>
      </c>
      <c r="B104" s="240" t="s">
        <v>19</v>
      </c>
      <c r="C104" s="241" t="s">
        <v>20</v>
      </c>
      <c r="D104" s="240" t="s">
        <v>21</v>
      </c>
      <c r="E104" s="240">
        <v>9.5</v>
      </c>
      <c r="F104" s="242" t="s">
        <v>507</v>
      </c>
      <c r="G104" s="242">
        <v>3.9</v>
      </c>
      <c r="H104" s="230">
        <f t="shared" si="9"/>
        <v>37.049999999999997</v>
      </c>
    </row>
    <row r="105" spans="1:8" ht="14.1" customHeight="1" x14ac:dyDescent="0.25">
      <c r="A105" s="240">
        <v>2017</v>
      </c>
      <c r="B105" s="240" t="s">
        <v>19</v>
      </c>
      <c r="C105" s="241" t="s">
        <v>20</v>
      </c>
      <c r="D105" s="240" t="s">
        <v>21</v>
      </c>
      <c r="E105" s="240">
        <v>12.5</v>
      </c>
      <c r="F105" s="242" t="s">
        <v>507</v>
      </c>
      <c r="G105" s="242">
        <v>3.9</v>
      </c>
      <c r="H105" s="230">
        <f t="shared" si="9"/>
        <v>48.75</v>
      </c>
    </row>
    <row r="106" spans="1:8" ht="14.1" customHeight="1" x14ac:dyDescent="0.25">
      <c r="A106" s="240">
        <v>2017</v>
      </c>
      <c r="B106" s="240" t="s">
        <v>19</v>
      </c>
      <c r="C106" s="241" t="s">
        <v>20</v>
      </c>
      <c r="D106" s="240" t="s">
        <v>21</v>
      </c>
      <c r="E106" s="240">
        <v>10.5</v>
      </c>
      <c r="F106" s="242" t="s">
        <v>507</v>
      </c>
      <c r="G106" s="242">
        <v>3.9</v>
      </c>
      <c r="H106" s="230">
        <f t="shared" si="9"/>
        <v>40.949999999999996</v>
      </c>
    </row>
    <row r="107" spans="1:8" ht="14.1" customHeight="1" x14ac:dyDescent="0.25">
      <c r="A107" s="240">
        <v>2017</v>
      </c>
      <c r="B107" s="240" t="s">
        <v>19</v>
      </c>
      <c r="C107" s="241" t="s">
        <v>20</v>
      </c>
      <c r="D107" s="240" t="s">
        <v>21</v>
      </c>
      <c r="E107" s="240">
        <v>8</v>
      </c>
      <c r="F107" s="242" t="s">
        <v>507</v>
      </c>
      <c r="G107" s="242">
        <v>3.9</v>
      </c>
      <c r="H107" s="230">
        <f t="shared" si="9"/>
        <v>31.2</v>
      </c>
    </row>
    <row r="108" spans="1:8" ht="14.1" customHeight="1" x14ac:dyDescent="0.25">
      <c r="A108" s="240">
        <v>2017</v>
      </c>
      <c r="B108" s="240" t="s">
        <v>19</v>
      </c>
      <c r="C108" s="241" t="s">
        <v>20</v>
      </c>
      <c r="D108" s="240" t="s">
        <v>21</v>
      </c>
      <c r="E108" s="240">
        <v>7</v>
      </c>
      <c r="F108" s="242" t="s">
        <v>507</v>
      </c>
      <c r="G108" s="242">
        <v>3.9</v>
      </c>
      <c r="H108" s="230">
        <f t="shared" si="9"/>
        <v>27.3</v>
      </c>
    </row>
    <row r="109" spans="1:8" ht="14.1" customHeight="1" x14ac:dyDescent="0.25">
      <c r="A109" s="240">
        <v>2017</v>
      </c>
      <c r="B109" s="240" t="s">
        <v>19</v>
      </c>
      <c r="C109" s="241" t="s">
        <v>20</v>
      </c>
      <c r="D109" s="240" t="s">
        <v>21</v>
      </c>
      <c r="E109" s="240">
        <v>10.7</v>
      </c>
      <c r="F109" s="242" t="s">
        <v>507</v>
      </c>
      <c r="G109" s="242">
        <v>3.9</v>
      </c>
      <c r="H109" s="230">
        <f t="shared" si="9"/>
        <v>41.73</v>
      </c>
    </row>
    <row r="110" spans="1:8" ht="14.1" customHeight="1" x14ac:dyDescent="0.25">
      <c r="A110" s="240">
        <v>2017</v>
      </c>
      <c r="B110" s="240" t="s">
        <v>19</v>
      </c>
      <c r="C110" s="241" t="s">
        <v>20</v>
      </c>
      <c r="D110" s="240" t="s">
        <v>21</v>
      </c>
      <c r="E110" s="240">
        <v>8.5</v>
      </c>
      <c r="F110" s="242" t="s">
        <v>507</v>
      </c>
      <c r="G110" s="242">
        <v>3.9</v>
      </c>
      <c r="H110" s="230">
        <f t="shared" si="9"/>
        <v>33.15</v>
      </c>
    </row>
    <row r="111" spans="1:8" ht="14.1" customHeight="1" x14ac:dyDescent="0.25">
      <c r="A111" s="240">
        <v>2017</v>
      </c>
      <c r="B111" s="240" t="s">
        <v>19</v>
      </c>
      <c r="C111" s="241" t="s">
        <v>20</v>
      </c>
      <c r="D111" s="240" t="s">
        <v>21</v>
      </c>
      <c r="E111" s="240">
        <v>10.4</v>
      </c>
      <c r="F111" s="242" t="s">
        <v>507</v>
      </c>
      <c r="G111" s="242">
        <v>3.9</v>
      </c>
      <c r="H111" s="230">
        <f t="shared" si="9"/>
        <v>40.56</v>
      </c>
    </row>
    <row r="112" spans="1:8" ht="14.1" customHeight="1" x14ac:dyDescent="0.25">
      <c r="A112" s="240">
        <v>2017</v>
      </c>
      <c r="B112" s="240" t="s">
        <v>19</v>
      </c>
      <c r="C112" s="241" t="s">
        <v>20</v>
      </c>
      <c r="D112" s="240" t="s">
        <v>21</v>
      </c>
      <c r="E112" s="240">
        <v>15.2</v>
      </c>
      <c r="F112" s="242" t="s">
        <v>507</v>
      </c>
      <c r="G112" s="242">
        <v>3.9</v>
      </c>
      <c r="H112" s="230">
        <f t="shared" si="9"/>
        <v>59.279999999999994</v>
      </c>
    </row>
    <row r="113" spans="1:8" ht="14.1" customHeight="1" x14ac:dyDescent="0.25">
      <c r="A113" s="240">
        <v>2017</v>
      </c>
      <c r="B113" s="240" t="s">
        <v>19</v>
      </c>
      <c r="C113" s="241" t="s">
        <v>20</v>
      </c>
      <c r="D113" s="240" t="s">
        <v>21</v>
      </c>
      <c r="E113" s="240">
        <v>11</v>
      </c>
      <c r="F113" s="242" t="s">
        <v>507</v>
      </c>
      <c r="G113" s="242">
        <v>3.9</v>
      </c>
      <c r="H113" s="230">
        <f t="shared" si="9"/>
        <v>42.9</v>
      </c>
    </row>
    <row r="114" spans="1:8" ht="14.1" customHeight="1" x14ac:dyDescent="0.25">
      <c r="A114" s="240">
        <v>2017</v>
      </c>
      <c r="B114" s="240" t="s">
        <v>19</v>
      </c>
      <c r="C114" s="241" t="s">
        <v>20</v>
      </c>
      <c r="D114" s="240" t="s">
        <v>21</v>
      </c>
      <c r="E114" s="240">
        <v>6</v>
      </c>
      <c r="F114" s="242" t="s">
        <v>507</v>
      </c>
      <c r="G114" s="242">
        <v>3.9</v>
      </c>
      <c r="H114" s="230">
        <f t="shared" si="9"/>
        <v>23.4</v>
      </c>
    </row>
    <row r="115" spans="1:8" ht="14.1" customHeight="1" x14ac:dyDescent="0.25">
      <c r="A115" s="240">
        <v>2017</v>
      </c>
      <c r="B115" s="240" t="s">
        <v>19</v>
      </c>
      <c r="C115" s="241" t="s">
        <v>20</v>
      </c>
      <c r="D115" s="240" t="s">
        <v>21</v>
      </c>
      <c r="E115" s="240">
        <v>7.3</v>
      </c>
      <c r="F115" s="242" t="s">
        <v>507</v>
      </c>
      <c r="G115" s="242">
        <v>3.9</v>
      </c>
      <c r="H115" s="230">
        <f t="shared" si="9"/>
        <v>28.47</v>
      </c>
    </row>
    <row r="116" spans="1:8" ht="14.1" customHeight="1" x14ac:dyDescent="0.25">
      <c r="A116" s="240">
        <v>2017</v>
      </c>
      <c r="B116" s="240" t="s">
        <v>19</v>
      </c>
      <c r="C116" s="241" t="s">
        <v>20</v>
      </c>
      <c r="D116" s="240" t="s">
        <v>21</v>
      </c>
      <c r="E116" s="240">
        <v>5.5</v>
      </c>
      <c r="F116" s="242" t="s">
        <v>507</v>
      </c>
      <c r="G116" s="242">
        <v>3.9</v>
      </c>
      <c r="H116" s="230">
        <f t="shared" si="9"/>
        <v>21.45</v>
      </c>
    </row>
    <row r="117" spans="1:8" ht="14.1" customHeight="1" x14ac:dyDescent="0.25">
      <c r="A117" s="240">
        <v>2017</v>
      </c>
      <c r="B117" s="240" t="s">
        <v>19</v>
      </c>
      <c r="C117" s="241" t="s">
        <v>20</v>
      </c>
      <c r="D117" s="240" t="s">
        <v>21</v>
      </c>
      <c r="E117" s="240">
        <v>10.5</v>
      </c>
      <c r="F117" s="242" t="s">
        <v>507</v>
      </c>
      <c r="G117" s="242">
        <v>3.9</v>
      </c>
      <c r="H117" s="230">
        <f t="shared" si="9"/>
        <v>40.949999999999996</v>
      </c>
    </row>
    <row r="118" spans="1:8" ht="14.1" customHeight="1" x14ac:dyDescent="0.25">
      <c r="A118" s="240">
        <v>2017</v>
      </c>
      <c r="B118" s="240" t="s">
        <v>19</v>
      </c>
      <c r="C118" s="241" t="s">
        <v>20</v>
      </c>
      <c r="D118" s="240" t="s">
        <v>21</v>
      </c>
      <c r="E118" s="240">
        <v>8</v>
      </c>
      <c r="F118" s="242" t="s">
        <v>507</v>
      </c>
      <c r="G118" s="242">
        <v>3.9</v>
      </c>
      <c r="H118" s="230">
        <f t="shared" si="9"/>
        <v>31.2</v>
      </c>
    </row>
    <row r="119" spans="1:8" ht="14.1" customHeight="1" x14ac:dyDescent="0.25">
      <c r="A119" s="240">
        <v>2017</v>
      </c>
      <c r="B119" s="240" t="s">
        <v>19</v>
      </c>
      <c r="C119" s="241" t="s">
        <v>20</v>
      </c>
      <c r="D119" s="240" t="s">
        <v>21</v>
      </c>
      <c r="E119" s="240">
        <v>9.6999999999999993</v>
      </c>
      <c r="F119" s="242" t="s">
        <v>507</v>
      </c>
      <c r="G119" s="242">
        <v>3.9</v>
      </c>
      <c r="H119" s="230">
        <f t="shared" si="9"/>
        <v>37.83</v>
      </c>
    </row>
    <row r="120" spans="1:8" ht="14.1" customHeight="1" x14ac:dyDescent="0.25">
      <c r="A120" s="240">
        <v>2017</v>
      </c>
      <c r="B120" s="240" t="s">
        <v>19</v>
      </c>
      <c r="C120" s="241" t="s">
        <v>20</v>
      </c>
      <c r="D120" s="240" t="s">
        <v>21</v>
      </c>
      <c r="E120" s="240">
        <v>11.5</v>
      </c>
      <c r="F120" s="242" t="s">
        <v>507</v>
      </c>
      <c r="G120" s="242">
        <v>3.9</v>
      </c>
      <c r="H120" s="230">
        <f t="shared" si="9"/>
        <v>44.85</v>
      </c>
    </row>
    <row r="121" spans="1:8" ht="14.1" customHeight="1" x14ac:dyDescent="0.25">
      <c r="A121" s="240">
        <v>2017</v>
      </c>
      <c r="B121" s="240" t="s">
        <v>19</v>
      </c>
      <c r="C121" s="241" t="s">
        <v>20</v>
      </c>
      <c r="D121" s="240" t="s">
        <v>21</v>
      </c>
      <c r="E121" s="240">
        <v>11</v>
      </c>
      <c r="F121" s="242" t="s">
        <v>507</v>
      </c>
      <c r="G121" s="242">
        <v>3.9</v>
      </c>
      <c r="H121" s="230">
        <f t="shared" si="9"/>
        <v>42.9</v>
      </c>
    </row>
    <row r="122" spans="1:8" ht="14.1" customHeight="1" x14ac:dyDescent="0.25">
      <c r="A122" s="240">
        <v>2017</v>
      </c>
      <c r="B122" s="240" t="s">
        <v>19</v>
      </c>
      <c r="C122" s="241" t="s">
        <v>20</v>
      </c>
      <c r="D122" s="240" t="s">
        <v>21</v>
      </c>
      <c r="E122" s="240">
        <v>9.8000000000000007</v>
      </c>
      <c r="F122" s="242" t="s">
        <v>507</v>
      </c>
      <c r="G122" s="242">
        <v>3.9</v>
      </c>
      <c r="H122" s="230">
        <f t="shared" si="9"/>
        <v>38.22</v>
      </c>
    </row>
    <row r="123" spans="1:8" ht="14.1" customHeight="1" x14ac:dyDescent="0.25">
      <c r="A123" s="240">
        <v>2017</v>
      </c>
      <c r="B123" s="240" t="s">
        <v>19</v>
      </c>
      <c r="C123" s="241" t="s">
        <v>20</v>
      </c>
      <c r="D123" s="240" t="s">
        <v>21</v>
      </c>
      <c r="E123" s="240">
        <v>10.7</v>
      </c>
      <c r="F123" s="242" t="s">
        <v>507</v>
      </c>
      <c r="G123" s="242">
        <v>3.9</v>
      </c>
      <c r="H123" s="230">
        <f t="shared" si="9"/>
        <v>41.73</v>
      </c>
    </row>
    <row r="124" spans="1:8" ht="14.1" customHeight="1" x14ac:dyDescent="0.25">
      <c r="A124" s="240">
        <v>2017</v>
      </c>
      <c r="B124" s="240" t="s">
        <v>19</v>
      </c>
      <c r="C124" s="241" t="s">
        <v>20</v>
      </c>
      <c r="D124" s="240" t="s">
        <v>21</v>
      </c>
      <c r="E124" s="240">
        <v>12.7</v>
      </c>
      <c r="F124" s="242" t="s">
        <v>507</v>
      </c>
      <c r="G124" s="242">
        <v>3.9</v>
      </c>
      <c r="H124" s="230">
        <f t="shared" si="9"/>
        <v>49.529999999999994</v>
      </c>
    </row>
    <row r="125" spans="1:8" ht="14.1" customHeight="1" x14ac:dyDescent="0.25">
      <c r="A125" s="240">
        <v>2017</v>
      </c>
      <c r="B125" s="240" t="s">
        <v>19</v>
      </c>
      <c r="C125" s="241" t="s">
        <v>20</v>
      </c>
      <c r="D125" s="240" t="s">
        <v>21</v>
      </c>
      <c r="E125" s="240">
        <v>8.1999999999999993</v>
      </c>
      <c r="F125" s="242" t="s">
        <v>507</v>
      </c>
      <c r="G125" s="242">
        <v>3.9</v>
      </c>
      <c r="H125" s="230">
        <f t="shared" si="9"/>
        <v>31.979999999999997</v>
      </c>
    </row>
    <row r="126" spans="1:8" ht="14.1" customHeight="1" x14ac:dyDescent="0.25">
      <c r="A126" s="240">
        <v>2017</v>
      </c>
      <c r="B126" s="240" t="s">
        <v>19</v>
      </c>
      <c r="C126" s="241" t="s">
        <v>20</v>
      </c>
      <c r="D126" s="240" t="s">
        <v>21</v>
      </c>
      <c r="E126" s="240">
        <v>10.1</v>
      </c>
      <c r="F126" s="242" t="s">
        <v>507</v>
      </c>
      <c r="G126" s="242">
        <v>3.9</v>
      </c>
      <c r="H126" s="230">
        <f t="shared" si="9"/>
        <v>39.39</v>
      </c>
    </row>
    <row r="127" spans="1:8" ht="14.1" customHeight="1" x14ac:dyDescent="0.25">
      <c r="A127" s="240">
        <v>2017</v>
      </c>
      <c r="B127" s="240" t="s">
        <v>19</v>
      </c>
      <c r="C127" s="241" t="s">
        <v>20</v>
      </c>
      <c r="D127" s="240" t="s">
        <v>21</v>
      </c>
      <c r="E127" s="240">
        <v>14.7</v>
      </c>
      <c r="F127" s="242" t="s">
        <v>507</v>
      </c>
      <c r="G127" s="242">
        <v>3.9</v>
      </c>
      <c r="H127" s="230">
        <f t="shared" si="9"/>
        <v>57.33</v>
      </c>
    </row>
    <row r="128" spans="1:8" ht="14.1" customHeight="1" x14ac:dyDescent="0.25">
      <c r="A128" s="240">
        <v>2017</v>
      </c>
      <c r="B128" s="240" t="s">
        <v>19</v>
      </c>
      <c r="C128" s="241" t="s">
        <v>20</v>
      </c>
      <c r="D128" s="240" t="s">
        <v>21</v>
      </c>
      <c r="E128" s="240">
        <v>10.3</v>
      </c>
      <c r="F128" s="242" t="s">
        <v>507</v>
      </c>
      <c r="G128" s="242">
        <v>3.9</v>
      </c>
      <c r="H128" s="230">
        <f t="shared" si="9"/>
        <v>40.17</v>
      </c>
    </row>
    <row r="129" spans="1:8" ht="14.1" customHeight="1" x14ac:dyDescent="0.25">
      <c r="A129" s="240">
        <v>2017</v>
      </c>
      <c r="B129" s="240" t="s">
        <v>19</v>
      </c>
      <c r="C129" s="241" t="s">
        <v>20</v>
      </c>
      <c r="D129" s="240" t="s">
        <v>21</v>
      </c>
      <c r="E129" s="240">
        <v>9.4</v>
      </c>
      <c r="F129" s="242" t="s">
        <v>507</v>
      </c>
      <c r="G129" s="242">
        <v>3.9</v>
      </c>
      <c r="H129" s="230">
        <f t="shared" si="9"/>
        <v>36.660000000000004</v>
      </c>
    </row>
    <row r="130" spans="1:8" ht="14.1" customHeight="1" x14ac:dyDescent="0.25">
      <c r="A130" s="240">
        <v>2017</v>
      </c>
      <c r="B130" s="240" t="s">
        <v>19</v>
      </c>
      <c r="C130" s="241" t="s">
        <v>20</v>
      </c>
      <c r="D130" s="240" t="s">
        <v>21</v>
      </c>
      <c r="E130" s="240">
        <v>12.5</v>
      </c>
      <c r="F130" s="242" t="s">
        <v>507</v>
      </c>
      <c r="G130" s="242">
        <v>3.9</v>
      </c>
      <c r="H130" s="230">
        <f t="shared" si="9"/>
        <v>48.75</v>
      </c>
    </row>
    <row r="131" spans="1:8" ht="14.1" customHeight="1" x14ac:dyDescent="0.25">
      <c r="A131" s="240">
        <v>2017</v>
      </c>
      <c r="B131" s="240" t="s">
        <v>19</v>
      </c>
      <c r="C131" s="241" t="s">
        <v>20</v>
      </c>
      <c r="D131" s="240" t="s">
        <v>21</v>
      </c>
      <c r="E131" s="240">
        <v>12</v>
      </c>
      <c r="F131" s="242" t="s">
        <v>507</v>
      </c>
      <c r="G131" s="242">
        <v>3.9</v>
      </c>
      <c r="H131" s="230">
        <f t="shared" ref="H131:H194" si="10">E131*G131</f>
        <v>46.8</v>
      </c>
    </row>
    <row r="132" spans="1:8" ht="14.1" customHeight="1" x14ac:dyDescent="0.25">
      <c r="A132" s="240">
        <v>2017</v>
      </c>
      <c r="B132" s="240" t="s">
        <v>19</v>
      </c>
      <c r="C132" s="241" t="s">
        <v>20</v>
      </c>
      <c r="D132" s="240" t="s">
        <v>21</v>
      </c>
      <c r="E132" s="240">
        <v>9.6</v>
      </c>
      <c r="F132" s="242" t="s">
        <v>507</v>
      </c>
      <c r="G132" s="242">
        <v>3.9</v>
      </c>
      <c r="H132" s="230">
        <f t="shared" si="10"/>
        <v>37.44</v>
      </c>
    </row>
    <row r="133" spans="1:8" ht="14.1" customHeight="1" x14ac:dyDescent="0.25">
      <c r="A133" s="240">
        <v>2017</v>
      </c>
      <c r="B133" s="240" t="s">
        <v>19</v>
      </c>
      <c r="C133" s="241" t="s">
        <v>20</v>
      </c>
      <c r="D133" s="240" t="s">
        <v>21</v>
      </c>
      <c r="E133" s="240">
        <v>9.9</v>
      </c>
      <c r="F133" s="242" t="s">
        <v>507</v>
      </c>
      <c r="G133" s="242">
        <v>3.9</v>
      </c>
      <c r="H133" s="230">
        <f t="shared" si="10"/>
        <v>38.61</v>
      </c>
    </row>
    <row r="134" spans="1:8" ht="14.1" customHeight="1" x14ac:dyDescent="0.25">
      <c r="A134" s="240">
        <v>2017</v>
      </c>
      <c r="B134" s="240" t="s">
        <v>19</v>
      </c>
      <c r="C134" s="241" t="s">
        <v>20</v>
      </c>
      <c r="D134" s="240" t="s">
        <v>21</v>
      </c>
      <c r="E134" s="240">
        <v>11.5</v>
      </c>
      <c r="F134" s="242" t="s">
        <v>507</v>
      </c>
      <c r="G134" s="242">
        <v>3.9</v>
      </c>
      <c r="H134" s="230">
        <f t="shared" si="10"/>
        <v>44.85</v>
      </c>
    </row>
    <row r="135" spans="1:8" ht="14.1" customHeight="1" x14ac:dyDescent="0.25">
      <c r="A135" s="240">
        <v>2017</v>
      </c>
      <c r="B135" s="240" t="s">
        <v>19</v>
      </c>
      <c r="C135" s="241" t="s">
        <v>20</v>
      </c>
      <c r="D135" s="240" t="s">
        <v>21</v>
      </c>
      <c r="E135" s="240">
        <v>12</v>
      </c>
      <c r="F135" s="242" t="s">
        <v>507</v>
      </c>
      <c r="G135" s="242">
        <v>3.9</v>
      </c>
      <c r="H135" s="230">
        <f t="shared" si="10"/>
        <v>46.8</v>
      </c>
    </row>
    <row r="136" spans="1:8" ht="14.1" customHeight="1" x14ac:dyDescent="0.25">
      <c r="A136" s="240">
        <v>2017</v>
      </c>
      <c r="B136" s="240" t="s">
        <v>19</v>
      </c>
      <c r="C136" s="241" t="s">
        <v>20</v>
      </c>
      <c r="D136" s="240" t="s">
        <v>21</v>
      </c>
      <c r="E136" s="240">
        <v>14.3</v>
      </c>
      <c r="F136" s="242" t="s">
        <v>507</v>
      </c>
      <c r="G136" s="242">
        <v>3.9</v>
      </c>
      <c r="H136" s="230">
        <f t="shared" si="10"/>
        <v>55.77</v>
      </c>
    </row>
    <row r="137" spans="1:8" ht="14.1" customHeight="1" x14ac:dyDescent="0.25">
      <c r="A137" s="240">
        <v>2017</v>
      </c>
      <c r="B137" s="240" t="s">
        <v>19</v>
      </c>
      <c r="C137" s="241" t="s">
        <v>20</v>
      </c>
      <c r="D137" s="240" t="s">
        <v>21</v>
      </c>
      <c r="E137" s="240">
        <v>11.7</v>
      </c>
      <c r="F137" s="242" t="s">
        <v>507</v>
      </c>
      <c r="G137" s="242">
        <v>3.9</v>
      </c>
      <c r="H137" s="230">
        <f t="shared" si="10"/>
        <v>45.629999999999995</v>
      </c>
    </row>
    <row r="138" spans="1:8" ht="14.1" customHeight="1" x14ac:dyDescent="0.25">
      <c r="A138" s="240">
        <v>2017</v>
      </c>
      <c r="B138" s="240" t="s">
        <v>19</v>
      </c>
      <c r="C138" s="241" t="s">
        <v>20</v>
      </c>
      <c r="D138" s="240" t="s">
        <v>21</v>
      </c>
      <c r="E138" s="240">
        <v>12.6</v>
      </c>
      <c r="F138" s="242" t="s">
        <v>507</v>
      </c>
      <c r="G138" s="242">
        <v>3.9</v>
      </c>
      <c r="H138" s="230">
        <f t="shared" si="10"/>
        <v>49.14</v>
      </c>
    </row>
    <row r="139" spans="1:8" ht="14.1" customHeight="1" x14ac:dyDescent="0.25">
      <c r="A139" s="240">
        <v>2017</v>
      </c>
      <c r="B139" s="240" t="s">
        <v>19</v>
      </c>
      <c r="C139" s="241" t="s">
        <v>20</v>
      </c>
      <c r="D139" s="240" t="s">
        <v>21</v>
      </c>
      <c r="E139" s="240">
        <v>10.7</v>
      </c>
      <c r="F139" s="242" t="s">
        <v>507</v>
      </c>
      <c r="G139" s="242">
        <v>3.9</v>
      </c>
      <c r="H139" s="230">
        <f t="shared" si="10"/>
        <v>41.73</v>
      </c>
    </row>
    <row r="140" spans="1:8" ht="14.1" customHeight="1" x14ac:dyDescent="0.25">
      <c r="A140" s="240">
        <v>2017</v>
      </c>
      <c r="B140" s="240" t="s">
        <v>19</v>
      </c>
      <c r="C140" s="241" t="s">
        <v>20</v>
      </c>
      <c r="D140" s="240" t="s">
        <v>21</v>
      </c>
      <c r="E140" s="240">
        <v>15.5</v>
      </c>
      <c r="F140" s="242" t="s">
        <v>507</v>
      </c>
      <c r="G140" s="242">
        <v>3.9</v>
      </c>
      <c r="H140" s="230">
        <f t="shared" si="10"/>
        <v>60.449999999999996</v>
      </c>
    </row>
    <row r="141" spans="1:8" ht="14.1" customHeight="1" x14ac:dyDescent="0.25">
      <c r="A141" s="240">
        <v>2017</v>
      </c>
      <c r="B141" s="240" t="s">
        <v>19</v>
      </c>
      <c r="C141" s="241" t="s">
        <v>20</v>
      </c>
      <c r="D141" s="240" t="s">
        <v>21</v>
      </c>
      <c r="E141" s="240">
        <v>10.199999999999999</v>
      </c>
      <c r="F141" s="242" t="s">
        <v>507</v>
      </c>
      <c r="G141" s="242">
        <v>3.9</v>
      </c>
      <c r="H141" s="230">
        <f t="shared" si="10"/>
        <v>39.779999999999994</v>
      </c>
    </row>
    <row r="142" spans="1:8" ht="14.1" customHeight="1" x14ac:dyDescent="0.25">
      <c r="A142" s="240">
        <v>2017</v>
      </c>
      <c r="B142" s="240" t="s">
        <v>19</v>
      </c>
      <c r="C142" s="241" t="s">
        <v>20</v>
      </c>
      <c r="D142" s="240" t="s">
        <v>21</v>
      </c>
      <c r="E142" s="240">
        <v>10.4</v>
      </c>
      <c r="F142" s="242" t="s">
        <v>507</v>
      </c>
      <c r="G142" s="242">
        <v>3.9</v>
      </c>
      <c r="H142" s="230">
        <f t="shared" si="10"/>
        <v>40.56</v>
      </c>
    </row>
    <row r="143" spans="1:8" ht="14.1" customHeight="1" x14ac:dyDescent="0.25">
      <c r="A143" s="240">
        <v>2017</v>
      </c>
      <c r="B143" s="240" t="s">
        <v>19</v>
      </c>
      <c r="C143" s="241" t="s">
        <v>20</v>
      </c>
      <c r="D143" s="240" t="s">
        <v>21</v>
      </c>
      <c r="E143" s="240">
        <v>7.8</v>
      </c>
      <c r="F143" s="242" t="s">
        <v>507</v>
      </c>
      <c r="G143" s="242">
        <v>3.9</v>
      </c>
      <c r="H143" s="230">
        <f t="shared" si="10"/>
        <v>30.419999999999998</v>
      </c>
    </row>
    <row r="144" spans="1:8" ht="14.1" customHeight="1" x14ac:dyDescent="0.25">
      <c r="A144" s="240">
        <v>2017</v>
      </c>
      <c r="B144" s="240" t="s">
        <v>19</v>
      </c>
      <c r="C144" s="241" t="s">
        <v>20</v>
      </c>
      <c r="D144" s="240" t="s">
        <v>21</v>
      </c>
      <c r="E144" s="240">
        <v>14.9</v>
      </c>
      <c r="F144" s="242" t="s">
        <v>507</v>
      </c>
      <c r="G144" s="242">
        <v>3.9</v>
      </c>
      <c r="H144" s="230">
        <f t="shared" si="10"/>
        <v>58.11</v>
      </c>
    </row>
    <row r="145" spans="1:33" ht="14.1" customHeight="1" x14ac:dyDescent="0.25">
      <c r="A145" s="240">
        <v>2017</v>
      </c>
      <c r="B145" s="240" t="s">
        <v>19</v>
      </c>
      <c r="C145" s="241" t="s">
        <v>20</v>
      </c>
      <c r="D145" s="240" t="s">
        <v>21</v>
      </c>
      <c r="E145" s="240">
        <v>9.8000000000000007</v>
      </c>
      <c r="F145" s="242" t="s">
        <v>507</v>
      </c>
      <c r="G145" s="242">
        <v>3.9</v>
      </c>
      <c r="H145" s="230">
        <f t="shared" si="10"/>
        <v>38.22</v>
      </c>
    </row>
    <row r="146" spans="1:33" ht="14.1" customHeight="1" x14ac:dyDescent="0.25">
      <c r="A146" s="240">
        <v>2017</v>
      </c>
      <c r="B146" s="240" t="s">
        <v>19</v>
      </c>
      <c r="C146" s="241" t="s">
        <v>20</v>
      </c>
      <c r="D146" s="240" t="s">
        <v>21</v>
      </c>
      <c r="E146" s="240">
        <v>8.8000000000000007</v>
      </c>
      <c r="F146" s="242" t="s">
        <v>507</v>
      </c>
      <c r="G146" s="242">
        <v>3.9</v>
      </c>
      <c r="H146" s="230">
        <f t="shared" si="10"/>
        <v>34.32</v>
      </c>
    </row>
    <row r="147" spans="1:33" ht="14.1" customHeight="1" x14ac:dyDescent="0.25">
      <c r="A147" s="240">
        <v>2017</v>
      </c>
      <c r="B147" s="240" t="s">
        <v>19</v>
      </c>
      <c r="C147" s="241" t="s">
        <v>20</v>
      </c>
      <c r="D147" s="240" t="s">
        <v>21</v>
      </c>
      <c r="E147" s="240">
        <v>6.3</v>
      </c>
      <c r="F147" s="242" t="s">
        <v>507</v>
      </c>
      <c r="G147" s="242">
        <v>3.9</v>
      </c>
      <c r="H147" s="230">
        <f t="shared" si="10"/>
        <v>24.57</v>
      </c>
      <c r="K147" s="193" t="s">
        <v>579</v>
      </c>
      <c r="L147" s="336"/>
      <c r="M147" s="336"/>
      <c r="N147" s="336"/>
      <c r="O147" s="336"/>
      <c r="P147" s="336"/>
      <c r="Q147" s="336"/>
      <c r="R147" s="336"/>
    </row>
    <row r="148" spans="1:33" ht="14.1" customHeight="1" x14ac:dyDescent="0.25">
      <c r="A148" s="240">
        <v>2017</v>
      </c>
      <c r="B148" s="240" t="s">
        <v>19</v>
      </c>
      <c r="C148" s="241" t="s">
        <v>20</v>
      </c>
      <c r="D148" s="240" t="s">
        <v>21</v>
      </c>
      <c r="E148" s="240">
        <v>13</v>
      </c>
      <c r="F148" s="242" t="s">
        <v>507</v>
      </c>
      <c r="G148" s="242">
        <v>3.9</v>
      </c>
      <c r="H148" s="230">
        <f t="shared" si="10"/>
        <v>50.699999999999996</v>
      </c>
      <c r="M148" s="351" t="s">
        <v>509</v>
      </c>
      <c r="N148" s="351"/>
      <c r="O148" s="351"/>
      <c r="P148" s="351"/>
      <c r="R148" s="352" t="s">
        <v>575</v>
      </c>
      <c r="S148" s="352"/>
      <c r="T148" s="352"/>
      <c r="W148" s="339"/>
      <c r="Z148" s="339"/>
      <c r="AA148" s="339"/>
      <c r="AB148" s="339"/>
      <c r="AC148" s="339"/>
      <c r="AD148" s="339"/>
      <c r="AE148" s="339"/>
      <c r="AF148" s="339"/>
      <c r="AG148" s="339"/>
    </row>
    <row r="149" spans="1:33" ht="14.1" customHeight="1" x14ac:dyDescent="0.25">
      <c r="A149" s="240">
        <v>2017</v>
      </c>
      <c r="B149" s="240" t="s">
        <v>19</v>
      </c>
      <c r="C149" s="241" t="s">
        <v>20</v>
      </c>
      <c r="D149" s="240" t="s">
        <v>21</v>
      </c>
      <c r="E149" s="240">
        <v>7.5</v>
      </c>
      <c r="F149" s="242" t="s">
        <v>507</v>
      </c>
      <c r="G149" s="242">
        <v>3.9</v>
      </c>
      <c r="H149" s="230">
        <f t="shared" si="10"/>
        <v>29.25</v>
      </c>
      <c r="K149" s="47" t="s">
        <v>1</v>
      </c>
      <c r="L149" s="47" t="s">
        <v>568</v>
      </c>
      <c r="M149" s="193" t="s">
        <v>572</v>
      </c>
      <c r="N149" s="193" t="s">
        <v>571</v>
      </c>
      <c r="O149" s="193" t="s">
        <v>569</v>
      </c>
      <c r="P149" s="193" t="s">
        <v>570</v>
      </c>
      <c r="Q149" s="193" t="s">
        <v>580</v>
      </c>
      <c r="R149" s="193" t="s">
        <v>573</v>
      </c>
      <c r="S149" s="193" t="s">
        <v>574</v>
      </c>
      <c r="T149" s="193" t="s">
        <v>580</v>
      </c>
      <c r="W149" s="339"/>
      <c r="Z149" s="339"/>
      <c r="AA149" s="339"/>
      <c r="AB149" s="339"/>
      <c r="AC149" s="339"/>
      <c r="AD149" s="339"/>
      <c r="AE149" s="339"/>
      <c r="AF149" s="339"/>
      <c r="AG149" s="339"/>
    </row>
    <row r="150" spans="1:33" ht="14.1" customHeight="1" x14ac:dyDescent="0.25">
      <c r="A150" s="240">
        <v>2017</v>
      </c>
      <c r="B150" s="240" t="s">
        <v>19</v>
      </c>
      <c r="C150" s="241" t="s">
        <v>20</v>
      </c>
      <c r="D150" s="240" t="s">
        <v>21</v>
      </c>
      <c r="E150" s="240">
        <v>9.5</v>
      </c>
      <c r="F150" s="242" t="s">
        <v>507</v>
      </c>
      <c r="G150" s="242">
        <v>3.9</v>
      </c>
      <c r="H150" s="230">
        <f t="shared" si="10"/>
        <v>37.049999999999997</v>
      </c>
      <c r="K150" s="219">
        <v>2017</v>
      </c>
      <c r="L150" s="219">
        <v>217</v>
      </c>
      <c r="M150" s="219">
        <f>AVERAGEIFS(data!$X$2:$X$3404,data!$B$2:$B$3404,K150,data!$K$2:$K$3404,"female",data!$P$2:$P$3404,L150)</f>
        <v>49.133448275862058</v>
      </c>
      <c r="N150" s="219">
        <f>AVERAGEIFS(data!$X$2:$X$3404,data!$B$2:$B$3404,K150,data!$K$2:$K$3404,"male",data!$P$2:$P$3404,L150)</f>
        <v>68.399999999999991</v>
      </c>
      <c r="O150" s="219">
        <f>AVERAGEIFS(data!$X$2:$X$3404,data!$B$2:$B$3404,K150,data!$L$2:$L$3404,"gravid",data!$P$2:$P$3404,L150)</f>
        <v>51.563809523809518</v>
      </c>
      <c r="P150" s="219">
        <f>AVERAGEIFS(data!$X$2:$X$3404,data!$B$2:$B$3404,K150,data!$L$2:$L$3404,"spent",data!$P$2:$P$3404,L150)</f>
        <v>42.753749999999997</v>
      </c>
      <c r="Q150" s="219">
        <f>AVERAGEIFS(data!$X$2:$X$3404,data!$B$2:$B$3404,K150,data!$P$2:$P$3404,L150)</f>
        <v>49.775666666666659</v>
      </c>
      <c r="R150" s="219">
        <v>1</v>
      </c>
      <c r="S150" s="219">
        <v>0</v>
      </c>
      <c r="T150" s="232">
        <f>AVERAGE(R150:S150)</f>
        <v>0.5</v>
      </c>
      <c r="W150" s="339"/>
      <c r="Z150" s="339"/>
      <c r="AA150" s="339"/>
      <c r="AB150" s="339"/>
      <c r="AC150" s="339"/>
      <c r="AD150" s="339"/>
      <c r="AE150" s="339"/>
      <c r="AF150" s="339"/>
      <c r="AG150" s="339"/>
    </row>
    <row r="151" spans="1:33" ht="14.1" customHeight="1" x14ac:dyDescent="0.25">
      <c r="A151" s="240">
        <v>2017</v>
      </c>
      <c r="B151" s="240" t="s">
        <v>19</v>
      </c>
      <c r="C151" s="241" t="s">
        <v>20</v>
      </c>
      <c r="D151" s="240" t="s">
        <v>21</v>
      </c>
      <c r="E151" s="240">
        <v>7.7</v>
      </c>
      <c r="F151" s="242" t="s">
        <v>507</v>
      </c>
      <c r="G151" s="242">
        <v>3.9</v>
      </c>
      <c r="H151" s="230">
        <f t="shared" si="10"/>
        <v>30.03</v>
      </c>
      <c r="K151" s="219">
        <v>2017</v>
      </c>
      <c r="L151" s="219">
        <v>218</v>
      </c>
      <c r="M151" s="219">
        <f>AVERAGEIFS(data!$X$2:$X$3404,data!$B$2:$B$3404,K151,data!$K$2:$K$3404,"female",data!$P$2:$P$3404,L151)</f>
        <v>46.512608695652169</v>
      </c>
      <c r="N151" s="219">
        <f>AVERAGEIFS(data!$X$2:$X$3404,data!$B$2:$B$3404,K151,data!$K$2:$K$3404,"male",data!$P$2:$P$3404,L151)</f>
        <v>71.059999999999988</v>
      </c>
      <c r="O151" s="219">
        <f>AVERAGEIFS(data!$X$2:$X$3404,data!$B$2:$B$3404,K151,data!$L$2:$L$3404,"gravid",data!$P$2:$P$3404,L151)</f>
        <v>52.456428571428567</v>
      </c>
      <c r="P151" s="219">
        <f>AVERAGEIFS(data!$X$2:$X$3404,data!$B$2:$B$3404,K151,data!$L$2:$L$3404,"spent",data!$P$2:$P$3404,L151)</f>
        <v>37.266666666666673</v>
      </c>
      <c r="Q151" s="219">
        <f>AVERAGEIFS(data!$X$2:$X$3404,data!$B$2:$B$3404,K151,data!$P$2:$P$3404,L151)</f>
        <v>47.034893617021275</v>
      </c>
      <c r="R151" s="219">
        <v>2</v>
      </c>
      <c r="S151" s="219">
        <v>1</v>
      </c>
      <c r="T151" s="339">
        <f t="shared" ref="T151:T214" si="11">AVERAGE(R151:S151)</f>
        <v>1.5</v>
      </c>
      <c r="W151" s="339"/>
      <c r="Z151" s="339"/>
      <c r="AA151" s="339"/>
      <c r="AB151" s="339"/>
      <c r="AC151" s="339"/>
      <c r="AD151" s="339"/>
      <c r="AE151" s="339"/>
      <c r="AF151" s="339"/>
      <c r="AG151" s="339"/>
    </row>
    <row r="152" spans="1:33" ht="14.1" customHeight="1" x14ac:dyDescent="0.25">
      <c r="A152" s="240">
        <v>2017</v>
      </c>
      <c r="B152" s="240" t="s">
        <v>19</v>
      </c>
      <c r="C152" s="241" t="s">
        <v>20</v>
      </c>
      <c r="D152" s="240" t="s">
        <v>21</v>
      </c>
      <c r="E152" s="240">
        <v>8.5</v>
      </c>
      <c r="F152" s="242" t="s">
        <v>507</v>
      </c>
      <c r="G152" s="242">
        <v>3.9</v>
      </c>
      <c r="H152" s="230">
        <f t="shared" si="10"/>
        <v>33.15</v>
      </c>
      <c r="K152" s="219">
        <v>2017</v>
      </c>
      <c r="L152" s="219">
        <v>219</v>
      </c>
      <c r="M152" s="219">
        <f>AVERAGEIFS(data!$X$2:$X$3404,data!$B$2:$B$3404,K152,data!$K$2:$K$3404,"female",data!$P$2:$P$3404,L152)</f>
        <v>49.584102564102558</v>
      </c>
      <c r="N152" s="219"/>
      <c r="O152" s="219">
        <f>AVERAGEIFS(data!$X$2:$X$3404,data!$B$2:$B$3404,K152,data!$L$2:$L$3404,"gravid",data!$P$2:$P$3404,L152)</f>
        <v>56.444705882352942</v>
      </c>
      <c r="P152" s="219">
        <f>AVERAGEIFS(data!$X$2:$X$3404,data!$B$2:$B$3404,K152,data!$L$2:$L$3404,"spent",data!$P$2:$P$3404,L152)</f>
        <v>44.282727272727271</v>
      </c>
      <c r="Q152" s="219">
        <f>AVERAGEIFS(data!$X$2:$X$3404,data!$B$2:$B$3404,K152,data!$P$2:$P$3404,L152)</f>
        <v>49.584102564102558</v>
      </c>
      <c r="R152" s="219">
        <v>3</v>
      </c>
      <c r="S152" s="219">
        <v>2</v>
      </c>
      <c r="T152" s="339">
        <f t="shared" si="11"/>
        <v>2.5</v>
      </c>
      <c r="W152" s="339"/>
      <c r="Z152" s="339"/>
      <c r="AA152" s="339"/>
      <c r="AB152" s="339"/>
      <c r="AC152" s="339"/>
      <c r="AD152" s="339"/>
      <c r="AE152" s="339"/>
      <c r="AF152" s="339"/>
      <c r="AG152" s="339"/>
    </row>
    <row r="153" spans="1:33" ht="14.1" customHeight="1" x14ac:dyDescent="0.25">
      <c r="A153" s="240">
        <v>2017</v>
      </c>
      <c r="B153" s="240" t="s">
        <v>19</v>
      </c>
      <c r="C153" s="241" t="s">
        <v>20</v>
      </c>
      <c r="D153" s="240" t="s">
        <v>21</v>
      </c>
      <c r="E153" s="240">
        <v>9.5</v>
      </c>
      <c r="F153" s="242" t="s">
        <v>507</v>
      </c>
      <c r="G153" s="242">
        <v>3.9</v>
      </c>
      <c r="H153" s="230">
        <f t="shared" si="10"/>
        <v>37.049999999999997</v>
      </c>
      <c r="K153" s="219">
        <v>2017</v>
      </c>
      <c r="L153" s="219">
        <v>220</v>
      </c>
      <c r="M153" s="219">
        <f>AVERAGEIFS(data!$X$2:$X$3404,data!$B$2:$B$3404,K153,data!$K$2:$K$3404,"female",data!$P$2:$P$3404,L153)</f>
        <v>44.791785714285702</v>
      </c>
      <c r="N153" s="219"/>
      <c r="O153" s="219">
        <f>AVERAGEIFS(data!$X$2:$X$3404,data!$B$2:$B$3404,K153,data!$L$2:$L$3404,"gravid",data!$P$2:$P$3404,L153)</f>
        <v>55.164615384615381</v>
      </c>
      <c r="P153" s="219">
        <f>AVERAGEIFS(data!$X$2:$X$3404,data!$B$2:$B$3404,K153,data!$L$2:$L$3404,"spent",data!$P$2:$P$3404,L153)</f>
        <v>35.801999999999992</v>
      </c>
      <c r="Q153" s="219">
        <f>AVERAGEIFS(data!$X$2:$X$3404,data!$B$2:$B$3404,K153,data!$P$2:$P$3404,L153)</f>
        <v>44.791785714285702</v>
      </c>
      <c r="R153" s="219">
        <v>4</v>
      </c>
      <c r="S153" s="219">
        <v>3</v>
      </c>
      <c r="T153" s="339">
        <f t="shared" si="11"/>
        <v>3.5</v>
      </c>
      <c r="W153" s="339"/>
      <c r="Z153" s="339"/>
      <c r="AA153" s="339"/>
      <c r="AB153" s="339"/>
      <c r="AC153" s="339"/>
      <c r="AD153" s="339"/>
      <c r="AE153" s="339"/>
      <c r="AF153" s="339"/>
      <c r="AG153" s="339"/>
    </row>
    <row r="154" spans="1:33" ht="14.1" customHeight="1" x14ac:dyDescent="0.25">
      <c r="A154" s="240">
        <v>2017</v>
      </c>
      <c r="B154" s="240" t="s">
        <v>19</v>
      </c>
      <c r="C154" s="241" t="s">
        <v>20</v>
      </c>
      <c r="D154" s="240" t="s">
        <v>21</v>
      </c>
      <c r="E154" s="240">
        <v>8.5</v>
      </c>
      <c r="F154" s="242" t="s">
        <v>507</v>
      </c>
      <c r="G154" s="242">
        <v>3.9</v>
      </c>
      <c r="H154" s="230">
        <f t="shared" si="10"/>
        <v>33.15</v>
      </c>
      <c r="K154" s="219">
        <v>2017</v>
      </c>
      <c r="L154" s="219">
        <v>221</v>
      </c>
      <c r="M154" s="219">
        <f>AVERAGEIFS(data!$X$2:$X$3404,data!$B$2:$B$3404,K154,data!$K$2:$K$3404,"female",data!$P$2:$P$3404,L154)</f>
        <v>49.288571428571423</v>
      </c>
      <c r="N154" s="219"/>
      <c r="O154" s="219">
        <f>AVERAGEIFS(data!$X$2:$X$3404,data!$B$2:$B$3404,K154,data!$L$2:$L$3404,"gravid",data!$P$2:$P$3404,L154)</f>
        <v>52.624000000000002</v>
      </c>
      <c r="P154" s="219">
        <f>AVERAGEIFS(data!$X$2:$X$3404,data!$B$2:$B$3404,K154,data!$L$2:$L$3404,"spent",data!$P$2:$P$3404,L154)</f>
        <v>40.950000000000003</v>
      </c>
      <c r="Q154" s="219">
        <f>AVERAGEIFS(data!$X$2:$X$3404,data!$B$2:$B$3404,K154,data!$P$2:$P$3404,L154)</f>
        <v>49.288571428571423</v>
      </c>
      <c r="R154" s="219">
        <v>5</v>
      </c>
      <c r="S154" s="219">
        <v>4</v>
      </c>
      <c r="T154" s="339">
        <f t="shared" si="11"/>
        <v>4.5</v>
      </c>
      <c r="W154" s="339"/>
      <c r="Z154" s="339"/>
      <c r="AA154" s="339"/>
      <c r="AB154" s="339"/>
      <c r="AC154" s="339"/>
      <c r="AD154" s="339"/>
      <c r="AE154" s="339"/>
      <c r="AF154" s="339"/>
      <c r="AG154" s="339"/>
    </row>
    <row r="155" spans="1:33" ht="14.1" customHeight="1" x14ac:dyDescent="0.25">
      <c r="A155" s="240">
        <v>2017</v>
      </c>
      <c r="B155" s="240" t="s">
        <v>19</v>
      </c>
      <c r="C155" s="241" t="s">
        <v>20</v>
      </c>
      <c r="D155" s="240" t="s">
        <v>21</v>
      </c>
      <c r="E155" s="240">
        <v>9.8000000000000007</v>
      </c>
      <c r="F155" s="242" t="s">
        <v>507</v>
      </c>
      <c r="G155" s="242">
        <v>3.9</v>
      </c>
      <c r="H155" s="230">
        <f t="shared" si="10"/>
        <v>38.22</v>
      </c>
      <c r="K155" s="219">
        <v>2017</v>
      </c>
      <c r="L155" s="219">
        <v>222</v>
      </c>
      <c r="M155" s="219">
        <f>AVERAGEIFS(data!$X$2:$X$3404,data!$B$2:$B$3404,K155,data!$K$2:$K$3404,"female",data!$P$2:$P$3404,L155)</f>
        <v>48.796818181818182</v>
      </c>
      <c r="N155" s="219"/>
      <c r="O155" s="219">
        <f>AVERAGEIFS(data!$X$2:$X$3404,data!$B$2:$B$3404,K155,data!$L$2:$L$3404,"gravid",data!$P$2:$P$3404,L155)</f>
        <v>58.19</v>
      </c>
      <c r="P155" s="219">
        <f>AVERAGEIFS(data!$X$2:$X$3404,data!$B$2:$B$3404,K155,data!$L$2:$L$3404,"spent",data!$P$2:$P$3404,L155)</f>
        <v>43.429285714285712</v>
      </c>
      <c r="Q155" s="219">
        <f>AVERAGEIFS(data!$X$2:$X$3404,data!$B$2:$B$3404,K155,data!$P$2:$P$3404,L155)</f>
        <v>48.796818181818182</v>
      </c>
      <c r="R155" s="219">
        <v>6</v>
      </c>
      <c r="S155" s="219">
        <v>5</v>
      </c>
      <c r="T155" s="339">
        <f t="shared" si="11"/>
        <v>5.5</v>
      </c>
      <c r="W155" s="339"/>
      <c r="Z155" s="339"/>
      <c r="AA155" s="339"/>
      <c r="AB155" s="339"/>
      <c r="AC155" s="339"/>
      <c r="AD155" s="339"/>
      <c r="AE155" s="339"/>
      <c r="AF155" s="339"/>
      <c r="AG155" s="339"/>
    </row>
    <row r="156" spans="1:33" ht="14.1" customHeight="1" x14ac:dyDescent="0.25">
      <c r="A156" s="240">
        <v>2017</v>
      </c>
      <c r="B156" s="240" t="s">
        <v>19</v>
      </c>
      <c r="C156" s="241" t="s">
        <v>20</v>
      </c>
      <c r="D156" s="240" t="s">
        <v>21</v>
      </c>
      <c r="E156" s="240">
        <v>7.5</v>
      </c>
      <c r="F156" s="242" t="s">
        <v>507</v>
      </c>
      <c r="G156" s="242">
        <v>3.9</v>
      </c>
      <c r="H156" s="230">
        <f t="shared" si="10"/>
        <v>29.25</v>
      </c>
      <c r="K156" s="342">
        <v>2017</v>
      </c>
      <c r="L156" s="342">
        <v>223</v>
      </c>
      <c r="M156" s="342">
        <f>AVERAGEIFS(data!$X$2:$X$3404,data!$B$2:$B$3404,K156,data!$K$2:$K$3404,"female",data!$P$2:$P$3404,L156)</f>
        <v>49.272500000000001</v>
      </c>
      <c r="N156" s="342"/>
      <c r="O156" s="342">
        <f>AVERAGEIFS(data!$X$2:$X$3404,data!$B$2:$B$3404,K156,data!$L$2:$L$3404,"gravid",data!$P$2:$P$3404,L156)</f>
        <v>57.499999999999993</v>
      </c>
      <c r="P156" s="342">
        <f>AVERAGEIFS(data!$X$2:$X$3404,data!$B$2:$B$3404,K156,data!$L$2:$L$3404,"spent",data!$P$2:$P$3404,L156)</f>
        <v>48.724000000000004</v>
      </c>
      <c r="Q156" s="219">
        <f>AVERAGEIFS(data!$X$2:$X$3404,data!$B$2:$B$3404,K156,data!$P$2:$P$3404,L156)</f>
        <v>49.272500000000001</v>
      </c>
      <c r="R156" s="342">
        <v>7</v>
      </c>
      <c r="S156" s="342">
        <v>6</v>
      </c>
      <c r="T156" s="339">
        <f t="shared" si="11"/>
        <v>6.5</v>
      </c>
      <c r="W156" s="339"/>
      <c r="Z156" s="339"/>
      <c r="AA156" s="339"/>
      <c r="AB156" s="339"/>
      <c r="AC156" s="339"/>
      <c r="AD156" s="339"/>
      <c r="AE156" s="339"/>
      <c r="AF156" s="339"/>
      <c r="AG156" s="339"/>
    </row>
    <row r="157" spans="1:33" ht="14.1" customHeight="1" x14ac:dyDescent="0.25">
      <c r="A157" s="240">
        <v>2017</v>
      </c>
      <c r="B157" s="240" t="s">
        <v>19</v>
      </c>
      <c r="C157" s="241" t="s">
        <v>20</v>
      </c>
      <c r="D157" s="240" t="s">
        <v>21</v>
      </c>
      <c r="E157" s="240">
        <v>8.6</v>
      </c>
      <c r="F157" s="242" t="s">
        <v>507</v>
      </c>
      <c r="G157" s="242">
        <v>3.9</v>
      </c>
      <c r="H157" s="230">
        <f t="shared" si="10"/>
        <v>33.54</v>
      </c>
      <c r="K157" s="343">
        <v>2016</v>
      </c>
      <c r="L157" s="343">
        <v>223</v>
      </c>
      <c r="M157" s="343">
        <f>AVERAGEIFS(data!$X$2:$X$3404,data!$B$2:$B$3404,K157,data!$K$2:$K$3404,"female",data!$P$2:$P$3404,L157)</f>
        <v>43.45</v>
      </c>
      <c r="N157" s="343"/>
      <c r="O157" s="343">
        <f>AVERAGEIFS(data!$X$2:$X$3404,data!$B$2:$B$3404,K157,data!$L$2:$L$3404,"gravid",data!$P$2:$P$3404,L157)</f>
        <v>43.699999999999996</v>
      </c>
      <c r="P157" s="343">
        <f>AVERAGEIFS(data!$X$2:$X$3404,data!$B$2:$B$3404,K157,data!$L$2:$L$3404,"spent",data!$P$2:$P$3404,L157)</f>
        <v>43.387500000000003</v>
      </c>
      <c r="Q157" s="219">
        <f>AVERAGEIFS(data!$X$2:$X$3404,data!$B$2:$B$3404,K157,data!$P$2:$P$3404,L157)</f>
        <v>43.45</v>
      </c>
      <c r="R157" s="343"/>
      <c r="S157" s="343"/>
      <c r="W157" s="339"/>
      <c r="Z157" s="339"/>
      <c r="AA157" s="339"/>
      <c r="AB157" s="339"/>
      <c r="AC157" s="339"/>
      <c r="AD157" s="339"/>
      <c r="AE157" s="339"/>
      <c r="AF157" s="339"/>
      <c r="AG157" s="339"/>
    </row>
    <row r="158" spans="1:33" ht="14.1" customHeight="1" x14ac:dyDescent="0.25">
      <c r="A158" s="240">
        <v>2017</v>
      </c>
      <c r="B158" s="240" t="s">
        <v>19</v>
      </c>
      <c r="C158" s="241" t="s">
        <v>20</v>
      </c>
      <c r="D158" s="240" t="s">
        <v>21</v>
      </c>
      <c r="E158" s="240">
        <v>9.3000000000000007</v>
      </c>
      <c r="F158" s="242" t="s">
        <v>507</v>
      </c>
      <c r="G158" s="242">
        <v>3.9</v>
      </c>
      <c r="H158" s="230">
        <f t="shared" si="10"/>
        <v>36.270000000000003</v>
      </c>
      <c r="K158" s="219">
        <v>2016</v>
      </c>
      <c r="L158" s="219">
        <v>224</v>
      </c>
      <c r="M158" s="219">
        <f>AVERAGEIFS(data!$X$2:$X$3404,data!$B$2:$B$3404,K158,data!$K$2:$K$3404,"female",data!$P$2:$P$3404,L158)</f>
        <v>45.44222222222222</v>
      </c>
      <c r="N158" s="219">
        <f>AVERAGEIFS(data!$X$2:$X$3404,data!$B$2:$B$3404,K158,data!$K$2:$K$3404,"male",data!$P$2:$P$3404,L158)</f>
        <v>58.9</v>
      </c>
      <c r="O158" s="219">
        <f>AVERAGEIFS(data!$X$2:$X$3404,data!$B$2:$B$3404,K158,data!$L$2:$L$3404,"gravid",data!$P$2:$P$3404,L158)</f>
        <v>59.8</v>
      </c>
      <c r="P158" s="219">
        <f>AVERAGEIFS(data!$X$2:$X$3404,data!$B$2:$B$3404,K158,data!$L$2:$L$3404,"spent",data!$P$2:$P$3404,L158)</f>
        <v>41.339999999999996</v>
      </c>
      <c r="Q158" s="219">
        <f>AVERAGEIFS(data!$X$2:$X$3404,data!$B$2:$B$3404,K158,data!$P$2:$P$3404,L158)</f>
        <v>47.889090909090903</v>
      </c>
      <c r="R158" s="219"/>
      <c r="S158" s="219"/>
      <c r="W158" s="339"/>
      <c r="Z158" s="339"/>
      <c r="AA158" s="339"/>
      <c r="AB158" s="339"/>
      <c r="AC158" s="339"/>
      <c r="AD158" s="339"/>
      <c r="AE158" s="339"/>
      <c r="AF158" s="339"/>
      <c r="AG158" s="339"/>
    </row>
    <row r="159" spans="1:33" ht="14.1" customHeight="1" x14ac:dyDescent="0.25">
      <c r="A159" s="240">
        <v>2017</v>
      </c>
      <c r="B159" s="240" t="s">
        <v>19</v>
      </c>
      <c r="C159" s="241" t="s">
        <v>20</v>
      </c>
      <c r="D159" s="240" t="s">
        <v>21</v>
      </c>
      <c r="E159" s="240">
        <v>11.7</v>
      </c>
      <c r="F159" s="242" t="s">
        <v>507</v>
      </c>
      <c r="G159" s="242">
        <v>3.9</v>
      </c>
      <c r="H159" s="230">
        <f t="shared" si="10"/>
        <v>45.629999999999995</v>
      </c>
      <c r="K159" s="342">
        <v>2016</v>
      </c>
      <c r="L159" s="342">
        <v>225</v>
      </c>
      <c r="M159" s="342">
        <f>AVERAGEIFS(data!$X$2:$X$3404,data!$B$2:$B$3404,K159,data!$K$2:$K$3404,"female",data!$P$2:$P$3404,L159)</f>
        <v>46.95</v>
      </c>
      <c r="N159" s="342"/>
      <c r="O159" s="342">
        <f>AVERAGEIFS(data!$X$2:$X$3404,data!$B$2:$B$3404,K159,data!$L$2:$L$3404,"gravid",data!$P$2:$P$3404,L159)</f>
        <v>55.199999999999996</v>
      </c>
      <c r="P159" s="342">
        <f>AVERAGEIFS(data!$X$2:$X$3404,data!$B$2:$B$3404,K159,data!$L$2:$L$3404,"spent",data!$P$2:$P$3404,L159)</f>
        <v>44.199999999999996</v>
      </c>
      <c r="Q159" s="219">
        <f>AVERAGEIFS(data!$X$2:$X$3404,data!$B$2:$B$3404,K159,data!$P$2:$P$3404,L159)</f>
        <v>46.95</v>
      </c>
      <c r="R159" s="342"/>
      <c r="S159" s="342"/>
      <c r="W159" s="339"/>
      <c r="Z159" s="339"/>
      <c r="AA159" s="339"/>
      <c r="AB159" s="339"/>
      <c r="AC159" s="339"/>
      <c r="AD159" s="339"/>
      <c r="AE159" s="339"/>
      <c r="AF159" s="339"/>
      <c r="AG159" s="339"/>
    </row>
    <row r="160" spans="1:33" ht="14.1" customHeight="1" x14ac:dyDescent="0.25">
      <c r="A160" s="240">
        <v>2017</v>
      </c>
      <c r="B160" s="240" t="s">
        <v>19</v>
      </c>
      <c r="C160" s="241" t="s">
        <v>20</v>
      </c>
      <c r="D160" s="240" t="s">
        <v>21</v>
      </c>
      <c r="E160" s="240">
        <v>11.5</v>
      </c>
      <c r="F160" s="242" t="s">
        <v>507</v>
      </c>
      <c r="G160" s="242">
        <v>3.9</v>
      </c>
      <c r="H160" s="230">
        <f t="shared" si="10"/>
        <v>44.85</v>
      </c>
      <c r="K160" s="219">
        <v>2014</v>
      </c>
      <c r="L160" s="219">
        <v>214</v>
      </c>
      <c r="M160" s="219">
        <f>AVERAGEIFS(data!$X$2:$X$3404,data!$B$2:$B$3404,K160,data!$K$2:$K$3404,"female",data!$P$2:$P$3404,L160)</f>
        <v>42.468500000000006</v>
      </c>
      <c r="N160" s="219"/>
      <c r="O160" s="219">
        <f>AVERAGEIFS(data!$X$2:$X$3404,data!$B$2:$B$3404,K160,data!$L$2:$L$3404,"gravid",data!$P$2:$P$3404,L160)</f>
        <v>57.499999999999993</v>
      </c>
      <c r="P160" s="219">
        <f>AVERAGEIFS(data!$X$2:$X$3404,data!$B$2:$B$3404,K160,data!$L$2:$L$3404,"spent",data!$P$2:$P$3404,L160)</f>
        <v>40.798333333333332</v>
      </c>
      <c r="Q160" s="219">
        <f>AVERAGEIFS(data!$X$2:$X$3404,data!$B$2:$B$3404,K160,data!$P$2:$P$3404,L160)</f>
        <v>42.468500000000006</v>
      </c>
      <c r="R160" s="219">
        <v>26</v>
      </c>
      <c r="S160" s="219">
        <v>17</v>
      </c>
      <c r="T160" s="339">
        <f t="shared" si="11"/>
        <v>21.5</v>
      </c>
      <c r="W160" s="339"/>
      <c r="Z160" s="339"/>
      <c r="AA160" s="339"/>
      <c r="AB160" s="339"/>
      <c r="AC160" s="339"/>
      <c r="AD160" s="339"/>
      <c r="AE160" s="339"/>
      <c r="AF160" s="339"/>
      <c r="AG160" s="339"/>
    </row>
    <row r="161" spans="1:33" ht="14.1" customHeight="1" x14ac:dyDescent="0.25">
      <c r="A161" s="240">
        <v>2017</v>
      </c>
      <c r="B161" s="240" t="s">
        <v>19</v>
      </c>
      <c r="C161" s="241" t="s">
        <v>20</v>
      </c>
      <c r="D161" s="240" t="s">
        <v>21</v>
      </c>
      <c r="E161" s="240">
        <v>10.6</v>
      </c>
      <c r="F161" s="242" t="s">
        <v>507</v>
      </c>
      <c r="G161" s="242">
        <v>3.9</v>
      </c>
      <c r="H161" s="230">
        <f t="shared" si="10"/>
        <v>41.339999999999996</v>
      </c>
      <c r="K161" s="219">
        <v>2014</v>
      </c>
      <c r="L161" s="219">
        <v>215</v>
      </c>
      <c r="M161" s="219">
        <f>AVERAGEIFS(data!$X$2:$X$3404,data!$B$2:$B$3404,K161,data!$K$2:$K$3404,"female",data!$P$2:$P$3404,L161)</f>
        <v>43.65821428571428</v>
      </c>
      <c r="N161" s="219"/>
      <c r="O161" s="219">
        <f>AVERAGEIFS(data!$X$2:$X$3404,data!$B$2:$B$3404,K161,data!$L$2:$L$3404,"gravid",data!$P$2:$P$3404,L161)</f>
        <v>49.066666666666663</v>
      </c>
      <c r="P161" s="219">
        <f>AVERAGEIFS(data!$X$2:$X$3404,data!$B$2:$B$3404,K161,data!$L$2:$L$3404,"spent",data!$P$2:$P$3404,L161)</f>
        <v>43.0092</v>
      </c>
      <c r="Q161" s="219">
        <f>AVERAGEIFS(data!$X$2:$X$3404,data!$B$2:$B$3404,K161,data!$P$2:$P$3404,L161)</f>
        <v>43.65821428571428</v>
      </c>
      <c r="R161" s="219">
        <v>27</v>
      </c>
      <c r="S161" s="219">
        <v>18</v>
      </c>
      <c r="T161" s="339">
        <f t="shared" si="11"/>
        <v>22.5</v>
      </c>
      <c r="W161" s="339"/>
      <c r="Z161" s="339"/>
      <c r="AA161" s="339"/>
      <c r="AB161" s="339"/>
      <c r="AC161" s="339"/>
      <c r="AD161" s="339"/>
      <c r="AE161" s="339"/>
      <c r="AF161" s="339"/>
      <c r="AG161" s="339"/>
    </row>
    <row r="162" spans="1:33" ht="14.1" customHeight="1" x14ac:dyDescent="0.25">
      <c r="A162" s="240">
        <v>2017</v>
      </c>
      <c r="B162" s="240" t="s">
        <v>19</v>
      </c>
      <c r="C162" s="241" t="s">
        <v>20</v>
      </c>
      <c r="D162" s="240" t="s">
        <v>21</v>
      </c>
      <c r="E162" s="240">
        <v>15</v>
      </c>
      <c r="F162" s="242" t="s">
        <v>507</v>
      </c>
      <c r="G162" s="242">
        <v>3.9</v>
      </c>
      <c r="H162" s="230">
        <f t="shared" si="10"/>
        <v>58.5</v>
      </c>
      <c r="K162" s="342">
        <v>2014</v>
      </c>
      <c r="L162" s="342">
        <v>218</v>
      </c>
      <c r="M162" s="342">
        <f>AVERAGEIFS(data!$X$2:$X$3404,data!$B$2:$B$3404,K162,data!$K$2:$K$3404,"female",data!$P$2:$P$3404,L162)</f>
        <v>43.266818181818181</v>
      </c>
      <c r="N162" s="342"/>
      <c r="O162" s="342">
        <f>AVERAGEIFS(data!$X$2:$X$3404,data!$B$2:$B$3404,K162,data!$L$2:$L$3404,"gravid",data!$P$2:$P$3404,L162)</f>
        <v>72.449999999999989</v>
      </c>
      <c r="P162" s="342">
        <f>AVERAGEIFS(data!$X$2:$X$3404,data!$B$2:$B$3404,K162,data!$L$2:$L$3404,"spent",data!$P$2:$P$3404,L162)</f>
        <v>41.384032258064515</v>
      </c>
      <c r="Q162" s="219">
        <f>AVERAGEIFS(data!$X$2:$X$3404,data!$B$2:$B$3404,K162,data!$P$2:$P$3404,L162)</f>
        <v>43.266818181818181</v>
      </c>
      <c r="R162" s="342">
        <v>30</v>
      </c>
      <c r="S162" s="342">
        <v>21</v>
      </c>
      <c r="T162" s="339">
        <f t="shared" si="11"/>
        <v>25.5</v>
      </c>
      <c r="W162" s="339"/>
      <c r="Z162" s="339"/>
      <c r="AA162" s="339"/>
      <c r="AB162" s="339"/>
      <c r="AC162" s="339"/>
      <c r="AD162" s="339"/>
      <c r="AE162" s="339"/>
      <c r="AF162" s="339"/>
      <c r="AG162" s="339"/>
    </row>
    <row r="163" spans="1:33" ht="14.1" customHeight="1" x14ac:dyDescent="0.25">
      <c r="A163" s="240">
        <v>2017</v>
      </c>
      <c r="B163" s="240" t="s">
        <v>19</v>
      </c>
      <c r="C163" s="241" t="s">
        <v>20</v>
      </c>
      <c r="D163" s="240" t="s">
        <v>21</v>
      </c>
      <c r="E163" s="240">
        <v>7.9</v>
      </c>
      <c r="F163" s="242" t="s">
        <v>507</v>
      </c>
      <c r="G163" s="242">
        <v>3.9</v>
      </c>
      <c r="H163" s="230">
        <f t="shared" si="10"/>
        <v>30.810000000000002</v>
      </c>
      <c r="K163" s="219">
        <v>2013</v>
      </c>
      <c r="L163" s="219">
        <v>211</v>
      </c>
      <c r="M163" s="219">
        <f>AVERAGEIFS(data!$X$2:$X$3404,data!$B$2:$B$3404,K163,data!$K$2:$K$3404,"female",data!$P$2:$P$3404,L163)</f>
        <v>46.604374999999997</v>
      </c>
      <c r="N163" s="219"/>
      <c r="O163" s="219">
        <f>AVERAGEIFS(data!$X$2:$X$3404,data!$B$2:$B$3404,K163,data!$L$2:$L$3404,"gravid",data!$P$2:$P$3404,L163)</f>
        <v>50.6</v>
      </c>
      <c r="P163" s="219">
        <f>AVERAGEIFS(data!$X$2:$X$3404,data!$B$2:$B$3404,K163,data!$L$2:$L$3404,"spent",data!$P$2:$P$3404,L163)</f>
        <v>45.272500000000001</v>
      </c>
      <c r="Q163" s="219">
        <f>AVERAGEIFS(data!$X$2:$X$3404,data!$B$2:$B$3404,K163,data!$P$2:$P$3404,L163)</f>
        <v>46.604374999999997</v>
      </c>
      <c r="R163" s="219">
        <v>27</v>
      </c>
      <c r="S163" s="219">
        <v>15</v>
      </c>
      <c r="T163" s="339">
        <f t="shared" si="11"/>
        <v>21</v>
      </c>
      <c r="W163" s="339"/>
      <c r="X163" s="336"/>
      <c r="Y163" s="336"/>
      <c r="Z163" s="341" t="s">
        <v>575</v>
      </c>
      <c r="AA163" s="341"/>
      <c r="AB163" s="340" t="s">
        <v>509</v>
      </c>
      <c r="AC163" s="340"/>
      <c r="AD163" s="340"/>
      <c r="AE163" s="340"/>
      <c r="AF163" s="193"/>
      <c r="AG163" s="339"/>
    </row>
    <row r="164" spans="1:33" ht="14.1" customHeight="1" x14ac:dyDescent="0.25">
      <c r="A164" s="240">
        <v>2017</v>
      </c>
      <c r="B164" s="240" t="s">
        <v>19</v>
      </c>
      <c r="C164" s="241" t="s">
        <v>20</v>
      </c>
      <c r="D164" s="240" t="s">
        <v>21</v>
      </c>
      <c r="E164" s="240">
        <v>11.4</v>
      </c>
      <c r="F164" s="242" t="s">
        <v>507</v>
      </c>
      <c r="G164" s="242">
        <v>3.9</v>
      </c>
      <c r="H164" s="230">
        <f t="shared" si="10"/>
        <v>44.46</v>
      </c>
      <c r="K164" s="219">
        <v>2013</v>
      </c>
      <c r="L164" s="219">
        <v>212</v>
      </c>
      <c r="M164" s="219">
        <f>AVERAGEIFS(data!$X$2:$X$3404,data!$B$2:$B$3404,K164,data!$K$2:$K$3404,"female",data!$P$2:$P$3404,L164)</f>
        <v>46.846428571428568</v>
      </c>
      <c r="N164" s="219">
        <f>AVERAGEIFS(data!$X$2:$X$3404,data!$B$2:$B$3404,K164,data!$K$2:$K$3404,"male",data!$P$2:$P$3404,L164)</f>
        <v>77.900000000000006</v>
      </c>
      <c r="O164" s="219">
        <f>AVERAGEIFS(data!$X$2:$X$3404,data!$B$2:$B$3404,K164,data!$L$2:$L$3404,"gravid",data!$P$2:$P$3404,L164)</f>
        <v>52.623999999999988</v>
      </c>
      <c r="P164" s="219">
        <f>AVERAGEIFS(data!$X$2:$X$3404,data!$B$2:$B$3404,K164,data!$L$2:$L$3404,"spent",data!$P$2:$P$3404,L164)</f>
        <v>43.63666666666667</v>
      </c>
      <c r="Q164" s="219">
        <f>AVERAGEIFS(data!$X$2:$X$3404,data!$B$2:$B$3404,K164,data!$P$2:$P$3404,L164)</f>
        <v>50.728124999999991</v>
      </c>
      <c r="R164" s="344">
        <v>28</v>
      </c>
      <c r="S164" s="344">
        <v>16</v>
      </c>
      <c r="T164" s="339">
        <f t="shared" si="11"/>
        <v>22</v>
      </c>
      <c r="W164" s="339"/>
      <c r="X164" s="47" t="s">
        <v>1</v>
      </c>
      <c r="Y164" s="47" t="s">
        <v>568</v>
      </c>
      <c r="Z164" s="193" t="s">
        <v>573</v>
      </c>
      <c r="AA164" s="193" t="s">
        <v>574</v>
      </c>
      <c r="AB164" s="193" t="s">
        <v>572</v>
      </c>
      <c r="AC164" s="193" t="s">
        <v>571</v>
      </c>
      <c r="AD164" s="193" t="s">
        <v>569</v>
      </c>
      <c r="AE164" s="193" t="s">
        <v>570</v>
      </c>
      <c r="AF164" s="339"/>
      <c r="AG164" s="339"/>
    </row>
    <row r="165" spans="1:33" ht="14.1" customHeight="1" x14ac:dyDescent="0.25">
      <c r="A165" s="240">
        <v>2017</v>
      </c>
      <c r="B165" s="240" t="s">
        <v>19</v>
      </c>
      <c r="C165" s="241" t="s">
        <v>20</v>
      </c>
      <c r="D165" s="240" t="s">
        <v>21</v>
      </c>
      <c r="E165" s="240">
        <v>8.4</v>
      </c>
      <c r="F165" s="242" t="s">
        <v>507</v>
      </c>
      <c r="G165" s="242">
        <v>3.9</v>
      </c>
      <c r="H165" s="230">
        <f t="shared" si="10"/>
        <v>32.76</v>
      </c>
      <c r="K165" s="219">
        <v>2013</v>
      </c>
      <c r="L165" s="219">
        <v>213</v>
      </c>
      <c r="M165" s="219">
        <f>AVERAGEIFS(data!$X$2:$X$3404,data!$B$2:$B$3404,K165,data!$K$2:$K$3404,"female",data!$P$2:$P$3404,L165)</f>
        <v>37.743499999999997</v>
      </c>
      <c r="N165" s="219"/>
      <c r="O165" s="219">
        <f>AVERAGEIFS(data!$X$2:$X$3404,data!$B$2:$B$3404,K165,data!$L$2:$L$3404,"gravid",data!$P$2:$P$3404,L165)</f>
        <v>48.414999999999999</v>
      </c>
      <c r="P165" s="219">
        <f>AVERAGEIFS(data!$X$2:$X$3404,data!$B$2:$B$3404,K165,data!$L$2:$L$3404,"spent",data!$P$2:$P$3404,L165)</f>
        <v>35.075624999999995</v>
      </c>
      <c r="Q165" s="219">
        <f>AVERAGEIFS(data!$X$2:$X$3404,data!$B$2:$B$3404,K165,data!$P$2:$P$3404,L165)</f>
        <v>37.743499999999997</v>
      </c>
      <c r="R165" s="344">
        <v>29</v>
      </c>
      <c r="S165" s="344">
        <v>17</v>
      </c>
      <c r="T165" s="339">
        <f t="shared" si="11"/>
        <v>23</v>
      </c>
      <c r="W165" s="339"/>
      <c r="X165" s="219">
        <v>2014</v>
      </c>
      <c r="Y165" s="219">
        <v>214</v>
      </c>
      <c r="Z165" s="219">
        <v>26</v>
      </c>
      <c r="AA165" s="219">
        <v>17</v>
      </c>
      <c r="AB165" s="219">
        <f>AVERAGEIFS(data!$X$2:$X$3404,data!$B$2:$B$3404,X165,data!$K$2:$K$3404,"female",data!$P$2:$P$3404,Y165)</f>
        <v>42.468500000000006</v>
      </c>
      <c r="AC165" s="219"/>
      <c r="AD165" s="219">
        <f>AVERAGEIFS(data!$X$2:$X$3404,data!$B$2:$B$3404,X165,data!$L$2:$L$3404,"gravid",data!$P$2:$P$3404,Y165)</f>
        <v>57.499999999999993</v>
      </c>
      <c r="AE165" s="219">
        <f>AVERAGEIFS(data!$X$2:$X$3404,data!$B$2:$B$3404,X165,data!$L$2:$L$3404,"spent",data!$P$2:$P$3404,Y165)</f>
        <v>40.798333333333332</v>
      </c>
      <c r="AF165" s="339"/>
      <c r="AG165" s="339"/>
    </row>
    <row r="166" spans="1:33" ht="14.1" customHeight="1" x14ac:dyDescent="0.25">
      <c r="A166" s="240">
        <v>2017</v>
      </c>
      <c r="B166" s="240" t="s">
        <v>19</v>
      </c>
      <c r="C166" s="241" t="s">
        <v>20</v>
      </c>
      <c r="D166" s="240" t="s">
        <v>21</v>
      </c>
      <c r="E166" s="240">
        <v>10.6</v>
      </c>
      <c r="F166" s="242" t="s">
        <v>507</v>
      </c>
      <c r="G166" s="242">
        <v>3.9</v>
      </c>
      <c r="H166" s="230">
        <f t="shared" si="10"/>
        <v>41.339999999999996</v>
      </c>
      <c r="K166" s="342">
        <v>2013</v>
      </c>
      <c r="L166" s="342">
        <v>216</v>
      </c>
      <c r="M166" s="342">
        <f>AVERAGEIFS(data!$X$2:$X$3404,data!$B$2:$B$3404,K166,data!$K$2:$K$3404,"female",data!$P$2:$P$3404,L166)</f>
        <v>43.410714285714292</v>
      </c>
      <c r="N166" s="342"/>
      <c r="O166" s="342">
        <f>AVERAGEIFS(data!$X$2:$X$3404,data!$B$2:$B$3404,K166,data!$L$2:$L$3404,"gravid",data!$P$2:$P$3404,L166)</f>
        <v>47.839999999999996</v>
      </c>
      <c r="P166" s="342">
        <f>AVERAGEIFS(data!$X$2:$X$3404,data!$B$2:$B$3404,K166,data!$L$2:$L$3404,"spent",data!$P$2:$P$3404,L166)</f>
        <v>42.672500000000007</v>
      </c>
      <c r="Q166" s="219">
        <f>AVERAGEIFS(data!$X$2:$X$3404,data!$B$2:$B$3404,K166,data!$P$2:$P$3404,L166)</f>
        <v>43.410714285714292</v>
      </c>
      <c r="R166" s="342">
        <v>32</v>
      </c>
      <c r="S166" s="342">
        <v>20</v>
      </c>
      <c r="T166" s="339">
        <f t="shared" si="11"/>
        <v>26</v>
      </c>
      <c r="W166" s="339"/>
      <c r="X166" s="219">
        <v>2014</v>
      </c>
      <c r="Y166" s="219">
        <v>215</v>
      </c>
      <c r="Z166" s="219">
        <v>27</v>
      </c>
      <c r="AA166" s="219">
        <v>18</v>
      </c>
      <c r="AB166" s="219">
        <f>AVERAGEIFS(data!$X$2:$X$3404,data!$B$2:$B$3404,X166,data!$K$2:$K$3404,"female",data!$P$2:$P$3404,Y166)</f>
        <v>43.65821428571428</v>
      </c>
      <c r="AC166" s="219"/>
      <c r="AD166" s="219">
        <f>AVERAGEIFS(data!$X$2:$X$3404,data!$B$2:$B$3404,X166,data!$L$2:$L$3404,"gravid",data!$P$2:$P$3404,Y166)</f>
        <v>49.066666666666663</v>
      </c>
      <c r="AE166" s="219">
        <f>AVERAGEIFS(data!$X$2:$X$3404,data!$B$2:$B$3404,X166,data!$L$2:$L$3404,"spent",data!$P$2:$P$3404,Y166)</f>
        <v>43.0092</v>
      </c>
      <c r="AF166" s="339"/>
      <c r="AG166" s="339"/>
    </row>
    <row r="167" spans="1:33" ht="14.1" customHeight="1" x14ac:dyDescent="0.25">
      <c r="A167" s="240">
        <v>2017</v>
      </c>
      <c r="B167" s="240" t="s">
        <v>19</v>
      </c>
      <c r="C167" s="241" t="s">
        <v>20</v>
      </c>
      <c r="D167" s="240" t="s">
        <v>21</v>
      </c>
      <c r="E167" s="240">
        <v>11.6</v>
      </c>
      <c r="F167" s="242" t="s">
        <v>507</v>
      </c>
      <c r="G167" s="242">
        <v>3.9</v>
      </c>
      <c r="H167" s="230">
        <f t="shared" si="10"/>
        <v>45.239999999999995</v>
      </c>
      <c r="K167">
        <v>2012</v>
      </c>
      <c r="L167">
        <v>210</v>
      </c>
      <c r="M167" s="317">
        <f>AVERAGEIFS(data!$X$2:$X$3404,data!$B$2:$B$3404,K167,data!$K$2:$K$3404,"female",data!$P$2:$P$3404,L167)</f>
        <v>43.47727272727272</v>
      </c>
      <c r="N167" s="317"/>
      <c r="O167" s="317">
        <f>AVERAGEIFS(data!$X$2:$X$3404,data!$B$2:$B$3404,K167,data!$L$2:$L$3404,"gravid",data!$P$2:$P$3404,L167)</f>
        <v>50.216666666666669</v>
      </c>
      <c r="P167" s="317">
        <f>AVERAGEIFS(data!$X$2:$X$3404,data!$B$2:$B$3404,K167,data!$L$2:$L$3404,"spent",data!$P$2:$P$3404,L167)</f>
        <v>41.287999999999997</v>
      </c>
      <c r="Q167" s="219">
        <f>AVERAGEIFS(data!$X$2:$X$3404,data!$B$2:$B$3404,K167,data!$P$2:$P$3404,L167)</f>
        <v>43.47727272727272</v>
      </c>
      <c r="S167">
        <v>15</v>
      </c>
      <c r="T167" s="339">
        <f t="shared" si="11"/>
        <v>15</v>
      </c>
      <c r="W167" s="339"/>
      <c r="X167" s="342">
        <v>2014</v>
      </c>
      <c r="Y167" s="342">
        <v>218</v>
      </c>
      <c r="Z167" s="342">
        <v>30</v>
      </c>
      <c r="AA167" s="342">
        <v>21</v>
      </c>
      <c r="AB167" s="342">
        <f>AVERAGEIFS(data!$X$2:$X$3404,data!$B$2:$B$3404,X167,data!$K$2:$K$3404,"female",data!$P$2:$P$3404,Y167)</f>
        <v>43.266818181818181</v>
      </c>
      <c r="AC167" s="342"/>
      <c r="AD167" s="342">
        <f>AVERAGEIFS(data!$X$2:$X$3404,data!$B$2:$B$3404,X167,data!$L$2:$L$3404,"gravid",data!$P$2:$P$3404,Y167)</f>
        <v>72.449999999999989</v>
      </c>
      <c r="AE167" s="342">
        <f>AVERAGEIFS(data!$X$2:$X$3404,data!$B$2:$B$3404,X167,data!$L$2:$L$3404,"spent",data!$P$2:$P$3404,Y167)</f>
        <v>41.384032258064515</v>
      </c>
      <c r="AF167" s="339"/>
      <c r="AG167" s="339"/>
    </row>
    <row r="168" spans="1:33" ht="14.1" customHeight="1" x14ac:dyDescent="0.25">
      <c r="A168" s="240">
        <v>2017</v>
      </c>
      <c r="B168" s="240" t="s">
        <v>19</v>
      </c>
      <c r="C168" s="241" t="s">
        <v>20</v>
      </c>
      <c r="D168" s="240" t="s">
        <v>21</v>
      </c>
      <c r="E168" s="240">
        <v>9.3000000000000007</v>
      </c>
      <c r="F168" s="242" t="s">
        <v>507</v>
      </c>
      <c r="G168" s="242">
        <v>3.9</v>
      </c>
      <c r="H168" s="230">
        <f t="shared" si="10"/>
        <v>36.270000000000003</v>
      </c>
      <c r="K168" s="317">
        <v>2012</v>
      </c>
      <c r="L168">
        <v>211</v>
      </c>
      <c r="M168" s="317">
        <f>AVERAGEIFS(data!$X$2:$X$3404,data!$B$2:$B$3404,K168,data!$K$2:$K$3404,"female",data!$P$2:$P$3404,L168)</f>
        <v>42.980499999999992</v>
      </c>
      <c r="N168" s="317">
        <f>AVERAGEIFS(data!$X$2:$X$3404,data!$B$2:$B$3404,K168,data!$K$2:$K$3404,"male",data!$P$2:$P$3404,L168)</f>
        <v>72.959999999999994</v>
      </c>
      <c r="O168" s="317">
        <f>AVERAGEIFS(data!$X$2:$X$3404,data!$B$2:$B$3404,K168,data!$L$2:$L$3404,"gravid",data!$P$2:$P$3404,L168)</f>
        <v>49.015555555555551</v>
      </c>
      <c r="P168" s="317">
        <f>AVERAGEIFS(data!$X$2:$X$3404,data!$B$2:$B$3404,K168,data!$L$2:$L$3404,"spent",data!$P$2:$P$3404,L168)</f>
        <v>39.910000000000004</v>
      </c>
      <c r="Q168" s="219">
        <f>AVERAGEIFS(data!$X$2:$X$3404,data!$B$2:$B$3404,K168,data!$P$2:$P$3404,L168)</f>
        <v>44.408095238095235</v>
      </c>
      <c r="S168">
        <v>16</v>
      </c>
      <c r="T168" s="339">
        <f t="shared" si="11"/>
        <v>16</v>
      </c>
      <c r="W168" s="339"/>
      <c r="Z168" s="339"/>
      <c r="AA168" s="339"/>
      <c r="AB168" s="339"/>
      <c r="AC168" s="339"/>
      <c r="AD168" s="339"/>
      <c r="AE168" s="339"/>
      <c r="AF168" s="339"/>
      <c r="AG168" s="339"/>
    </row>
    <row r="169" spans="1:33" ht="14.1" customHeight="1" x14ac:dyDescent="0.25">
      <c r="A169" s="240">
        <v>2017</v>
      </c>
      <c r="B169" s="240" t="s">
        <v>19</v>
      </c>
      <c r="C169" s="241" t="s">
        <v>20</v>
      </c>
      <c r="D169" s="240" t="s">
        <v>21</v>
      </c>
      <c r="E169" s="240">
        <v>16.899999999999999</v>
      </c>
      <c r="F169" s="242" t="s">
        <v>507</v>
      </c>
      <c r="G169" s="242">
        <v>3.9</v>
      </c>
      <c r="H169" s="230">
        <f t="shared" si="10"/>
        <v>65.91</v>
      </c>
      <c r="K169" s="317">
        <v>2012</v>
      </c>
      <c r="L169">
        <v>212</v>
      </c>
      <c r="M169" s="317">
        <f>AVERAGEIFS(data!$X$2:$X$3404,data!$B$2:$B$3404,K169,data!$K$2:$K$3404,"female",data!$P$2:$P$3404,L169)</f>
        <v>37.077222222222225</v>
      </c>
      <c r="N169" s="317"/>
      <c r="O169" s="317">
        <f>AVERAGEIFS(data!$X$2:$X$3404,data!$B$2:$B$3404,K169,data!$L$2:$L$3404,"gravid",data!$P$2:$P$3404,L169)</f>
        <v>54.463999999999984</v>
      </c>
      <c r="P169" s="317">
        <f>AVERAGEIFS(data!$X$2:$X$3404,data!$B$2:$B$3404,K169,data!$L$2:$L$3404,"spent",data!$P$2:$P$3404,L169)</f>
        <v>33.752727272727277</v>
      </c>
      <c r="Q169" s="219">
        <f>AVERAGEIFS(data!$X$2:$X$3404,data!$B$2:$B$3404,K169,data!$P$2:$P$3404,L169)</f>
        <v>37.077222222222225</v>
      </c>
      <c r="S169">
        <v>17</v>
      </c>
      <c r="T169" s="339">
        <f t="shared" si="11"/>
        <v>17</v>
      </c>
    </row>
    <row r="170" spans="1:33" ht="14.1" customHeight="1" x14ac:dyDescent="0.25">
      <c r="A170" s="240">
        <v>2017</v>
      </c>
      <c r="B170" s="240" t="s">
        <v>19</v>
      </c>
      <c r="C170" s="241" t="s">
        <v>20</v>
      </c>
      <c r="D170" s="240" t="s">
        <v>21</v>
      </c>
      <c r="E170" s="240">
        <v>8.6</v>
      </c>
      <c r="F170" s="242" t="s">
        <v>507</v>
      </c>
      <c r="G170" s="242">
        <v>3.9</v>
      </c>
      <c r="H170" s="230">
        <f t="shared" si="10"/>
        <v>33.54</v>
      </c>
      <c r="K170" s="317">
        <v>2012</v>
      </c>
      <c r="L170">
        <v>214</v>
      </c>
      <c r="M170" s="317">
        <f>AVERAGEIFS(data!$X$2:$X$3404,data!$B$2:$B$3404,K170,data!$K$2:$K$3404,"female",data!$P$2:$P$3404,L170)</f>
        <v>36.987333333333332</v>
      </c>
      <c r="N170" s="317">
        <f>AVERAGEIFS(data!$X$2:$X$3404,data!$B$2:$B$3404,K170,data!$K$2:$K$3404,"male",data!$P$2:$P$3404,L170)</f>
        <v>60.8</v>
      </c>
      <c r="O170" s="317">
        <f>AVERAGEIFS(data!$X$2:$X$3404,data!$B$2:$B$3404,K170,data!$L$2:$L$3404,"gravid",data!$P$2:$P$3404,L170)</f>
        <v>42.664999999999999</v>
      </c>
      <c r="P170" s="317">
        <f>AVERAGEIFS(data!$X$2:$X$3404,data!$B$2:$B$3404,K170,data!$L$2:$L$3404,"spent",data!$P$2:$P$3404,L170)</f>
        <v>34.788000000000004</v>
      </c>
      <c r="Q170" s="219">
        <f>AVERAGEIFS(data!$X$2:$X$3404,data!$B$2:$B$3404,K170,data!$P$2:$P$3404,L170)</f>
        <v>38.475624999999994</v>
      </c>
      <c r="S170">
        <v>19</v>
      </c>
      <c r="T170" s="339">
        <f t="shared" si="11"/>
        <v>19</v>
      </c>
    </row>
    <row r="171" spans="1:33" ht="14.1" customHeight="1" x14ac:dyDescent="0.25">
      <c r="A171" s="240">
        <v>2017</v>
      </c>
      <c r="B171" s="240" t="s">
        <v>19</v>
      </c>
      <c r="C171" s="241" t="s">
        <v>20</v>
      </c>
      <c r="D171" s="240" t="s">
        <v>21</v>
      </c>
      <c r="E171" s="240">
        <v>13.1</v>
      </c>
      <c r="F171" s="242" t="s">
        <v>507</v>
      </c>
      <c r="G171" s="242">
        <v>3.9</v>
      </c>
      <c r="H171" s="230">
        <f t="shared" si="10"/>
        <v>51.089999999999996</v>
      </c>
      <c r="K171" s="342">
        <v>2012</v>
      </c>
      <c r="L171" s="342">
        <v>215</v>
      </c>
      <c r="M171" s="342">
        <f>AVERAGEIFS(data!$X$2:$X$3404,data!$B$2:$B$3404,K171,data!$K$2:$K$3404,"female",data!$P$2:$P$3404,L171)</f>
        <v>44.990769230769224</v>
      </c>
      <c r="N171" s="342"/>
      <c r="O171" s="342">
        <f>AVERAGEIFS(data!$X$2:$X$3404,data!$B$2:$B$3404,K171,data!$L$2:$L$3404,"gravid",data!$P$2:$P$3404,L171)</f>
        <v>50.599999999999994</v>
      </c>
      <c r="P171" s="342">
        <f>AVERAGEIFS(data!$X$2:$X$3404,data!$B$2:$B$3404,K171,data!$L$2:$L$3404,"spent",data!$P$2:$P$3404,L171)</f>
        <v>36.4</v>
      </c>
      <c r="Q171" s="219">
        <f>AVERAGEIFS(data!$X$2:$X$3404,data!$B$2:$B$3404,K171,data!$P$2:$P$3404,L171)</f>
        <v>44.990769230769224</v>
      </c>
      <c r="R171" s="342"/>
      <c r="S171" s="342">
        <v>20</v>
      </c>
      <c r="T171" s="339">
        <f t="shared" si="11"/>
        <v>20</v>
      </c>
    </row>
    <row r="172" spans="1:33" ht="14.1" customHeight="1" x14ac:dyDescent="0.25">
      <c r="A172" s="240">
        <v>2017</v>
      </c>
      <c r="B172" s="240" t="s">
        <v>19</v>
      </c>
      <c r="C172" s="241" t="s">
        <v>20</v>
      </c>
      <c r="D172" s="240" t="s">
        <v>21</v>
      </c>
      <c r="E172" s="240">
        <v>8.5</v>
      </c>
      <c r="F172" s="242" t="s">
        <v>507</v>
      </c>
      <c r="G172" s="242">
        <v>3.9</v>
      </c>
      <c r="H172" s="230">
        <f t="shared" si="10"/>
        <v>33.15</v>
      </c>
      <c r="K172">
        <v>2011</v>
      </c>
      <c r="L172">
        <v>214</v>
      </c>
      <c r="M172" s="317">
        <f>AVERAGEIFS(data!$X$2:$X$3404,data!$B$2:$B$3404,K172,data!$K$2:$K$3404,"female",data!$P$2:$P$3404,L172)</f>
        <v>67.61999999999999</v>
      </c>
      <c r="N172" s="317"/>
      <c r="O172" s="317">
        <f>AVERAGEIFS(data!$X$2:$X$3404,data!$B$2:$B$3404,K172,data!$L$2:$L$3404,"gravid",data!$P$2:$P$3404,L172)</f>
        <v>67.61999999999999</v>
      </c>
      <c r="P172" s="317"/>
      <c r="Q172" s="219">
        <f>AVERAGEIFS(data!$X$2:$X$3404,data!$B$2:$B$3404,K172,data!$P$2:$P$3404,L172)</f>
        <v>67.61999999999999</v>
      </c>
      <c r="R172">
        <v>26</v>
      </c>
      <c r="S172">
        <v>19</v>
      </c>
      <c r="T172" s="339">
        <f t="shared" si="11"/>
        <v>22.5</v>
      </c>
    </row>
    <row r="173" spans="1:33" ht="14.1" customHeight="1" x14ac:dyDescent="0.25">
      <c r="A173" s="240">
        <v>2017</v>
      </c>
      <c r="B173" s="240" t="s">
        <v>19</v>
      </c>
      <c r="C173" s="241" t="s">
        <v>20</v>
      </c>
      <c r="D173" s="240" t="s">
        <v>21</v>
      </c>
      <c r="E173" s="240">
        <v>12.5</v>
      </c>
      <c r="F173" s="242" t="s">
        <v>507</v>
      </c>
      <c r="G173" s="242">
        <v>3.9</v>
      </c>
      <c r="H173" s="230">
        <f t="shared" si="10"/>
        <v>48.75</v>
      </c>
      <c r="K173" s="317">
        <v>2011</v>
      </c>
      <c r="L173">
        <v>215</v>
      </c>
      <c r="M173" s="317">
        <f>AVERAGEIFS(data!$X$2:$X$3404,data!$B$2:$B$3404,K173,data!$K$2:$K$3404,"female",data!$P$2:$P$3404,L173)</f>
        <v>42.824999999999996</v>
      </c>
      <c r="N173" s="317">
        <f>AVERAGEIFS(data!$X$2:$X$3404,data!$B$2:$B$3404,K173,data!$K$2:$K$3404,"male",data!$P$2:$P$3404,L173)</f>
        <v>51.455454545454543</v>
      </c>
      <c r="O173" s="317">
        <f>AVERAGEIFS(data!$X$2:$X$3404,data!$B$2:$B$3404,K173,data!$L$2:$L$3404,"gravid",data!$P$2:$P$3404,L173)</f>
        <v>55.074545454545451</v>
      </c>
      <c r="P173" s="317">
        <f>AVERAGEIFS(data!$X$2:$X$3404,data!$B$2:$B$3404,K173,data!$L$2:$L$3404,"spent",data!$P$2:$P$3404,L173)</f>
        <v>38.844000000000001</v>
      </c>
      <c r="Q173" s="219">
        <f>AVERAGEIFS(data!$X$2:$X$3404,data!$B$2:$B$3404,K173,data!$P$2:$P$3404,L173)</f>
        <v>47.345714285714294</v>
      </c>
      <c r="R173">
        <v>27</v>
      </c>
      <c r="S173">
        <v>20</v>
      </c>
      <c r="T173" s="339">
        <f t="shared" si="11"/>
        <v>23.5</v>
      </c>
    </row>
    <row r="174" spans="1:33" ht="14.1" customHeight="1" x14ac:dyDescent="0.25">
      <c r="A174" s="240">
        <v>2017</v>
      </c>
      <c r="B174" s="240" t="s">
        <v>19</v>
      </c>
      <c r="C174" s="241" t="s">
        <v>20</v>
      </c>
      <c r="D174" s="240" t="s">
        <v>21</v>
      </c>
      <c r="E174" s="240">
        <v>9.6</v>
      </c>
      <c r="F174" s="242" t="s">
        <v>507</v>
      </c>
      <c r="G174" s="242">
        <v>3.9</v>
      </c>
      <c r="H174" s="230">
        <f t="shared" si="10"/>
        <v>37.44</v>
      </c>
      <c r="K174" s="317">
        <v>2011</v>
      </c>
      <c r="L174">
        <v>216</v>
      </c>
      <c r="M174" s="317">
        <f>AVERAGEIFS(data!$X$2:$X$3404,data!$B$2:$B$3404,K174,data!$K$2:$K$3404,"female",data!$P$2:$P$3404,L174)</f>
        <v>42.670666666666662</v>
      </c>
      <c r="N174" s="317">
        <f>AVERAGEIFS(data!$X$2:$X$3404,data!$B$2:$B$3404,K174,data!$K$2:$K$3404,"male",data!$P$2:$P$3404,L174)</f>
        <v>52.655714285714275</v>
      </c>
      <c r="O174" s="317">
        <f>AVERAGEIFS(data!$X$2:$X$3404,data!$B$2:$B$3404,K174,data!$L$2:$L$3404,"gravid",data!$P$2:$P$3404,L174)</f>
        <v>55.687058823529405</v>
      </c>
      <c r="P174" s="317">
        <f>AVERAGEIFS(data!$X$2:$X$3404,data!$B$2:$B$3404,K174,data!$L$2:$L$3404,"spent",data!$P$2:$P$3404,L174)</f>
        <v>35.879999999999995</v>
      </c>
      <c r="Q174" s="219">
        <f>AVERAGEIFS(data!$X$2:$X$3404,data!$B$2:$B$3404,K174,data!$P$2:$P$3404,L174)</f>
        <v>47.491034482758621</v>
      </c>
      <c r="R174">
        <v>28</v>
      </c>
      <c r="S174">
        <v>21</v>
      </c>
      <c r="T174" s="339">
        <f t="shared" si="11"/>
        <v>24.5</v>
      </c>
    </row>
    <row r="175" spans="1:33" ht="14.1" customHeight="1" x14ac:dyDescent="0.25">
      <c r="A175" s="240">
        <v>2017</v>
      </c>
      <c r="B175" s="240" t="s">
        <v>19</v>
      </c>
      <c r="C175" s="241" t="s">
        <v>20</v>
      </c>
      <c r="D175" s="240" t="s">
        <v>21</v>
      </c>
      <c r="E175" s="240">
        <v>14.4</v>
      </c>
      <c r="F175" s="242" t="s">
        <v>507</v>
      </c>
      <c r="G175" s="242">
        <v>3.9</v>
      </c>
      <c r="H175" s="230">
        <f t="shared" si="10"/>
        <v>56.16</v>
      </c>
      <c r="K175" s="317">
        <v>2011</v>
      </c>
      <c r="L175">
        <v>217</v>
      </c>
      <c r="M175" s="317">
        <f>AVERAGEIFS(data!$X$2:$X$3404,data!$B$2:$B$3404,K175,data!$K$2:$K$3404,"female",data!$P$2:$P$3404,L175)</f>
        <v>53.632272727272721</v>
      </c>
      <c r="N175" s="317">
        <f>AVERAGEIFS(data!$X$2:$X$3404,data!$B$2:$B$3404,K175,data!$K$2:$K$3404,"male",data!$P$2:$P$3404,L175)</f>
        <v>66.5</v>
      </c>
      <c r="O175" s="317">
        <f>AVERAGEIFS(data!$X$2:$X$3404,data!$B$2:$B$3404,K175,data!$L$2:$L$3404,"gravid",data!$P$2:$P$3404,L175)</f>
        <v>57.990666666666662</v>
      </c>
      <c r="P175" s="317">
        <f>AVERAGEIFS(data!$X$2:$X$3404,data!$B$2:$B$3404,K175,data!$L$2:$L$3404,"spent",data!$P$2:$P$3404,L175)</f>
        <v>44.292857142857144</v>
      </c>
      <c r="Q175" s="219">
        <f>AVERAGEIFS(data!$X$2:$X$3404,data!$B$2:$B$3404,K175,data!$P$2:$P$3404,L175)</f>
        <v>54.704583333333325</v>
      </c>
      <c r="R175">
        <v>29</v>
      </c>
      <c r="S175">
        <v>22</v>
      </c>
      <c r="T175" s="339">
        <f t="shared" si="11"/>
        <v>25.5</v>
      </c>
    </row>
    <row r="176" spans="1:33" ht="14.1" customHeight="1" x14ac:dyDescent="0.25">
      <c r="A176" s="240">
        <v>2017</v>
      </c>
      <c r="B176" s="240" t="s">
        <v>19</v>
      </c>
      <c r="C176" s="241" t="s">
        <v>20</v>
      </c>
      <c r="D176" s="240" t="s">
        <v>21</v>
      </c>
      <c r="E176" s="240">
        <v>12</v>
      </c>
      <c r="F176" s="242" t="s">
        <v>507</v>
      </c>
      <c r="G176" s="242">
        <v>3.9</v>
      </c>
      <c r="H176" s="230">
        <f t="shared" si="10"/>
        <v>46.8</v>
      </c>
      <c r="K176" s="317">
        <v>2011</v>
      </c>
      <c r="L176">
        <v>218</v>
      </c>
      <c r="M176" s="317">
        <f>AVERAGEIFS(data!$X$2:$X$3404,data!$B$2:$B$3404,K176,data!$K$2:$K$3404,"female",data!$P$2:$P$3404,L176)</f>
        <v>49.848461538461535</v>
      </c>
      <c r="N176" s="317">
        <f>AVERAGEIFS(data!$X$2:$X$3404,data!$B$2:$B$3404,K176,data!$K$2:$K$3404,"male",data!$P$2:$P$3404,L176)</f>
        <v>87.59</v>
      </c>
      <c r="O176" s="317">
        <f>AVERAGEIFS(data!$X$2:$X$3404,data!$B$2:$B$3404,K176,data!$L$2:$L$3404,"gravid",data!$P$2:$P$3404,L176)</f>
        <v>54.233999999999995</v>
      </c>
      <c r="P176" s="317">
        <f>AVERAGEIFS(data!$X$2:$X$3404,data!$B$2:$B$3404,K176,data!$L$2:$L$3404,"spent",data!$P$2:$P$3404,L176)</f>
        <v>35.229999999999997</v>
      </c>
      <c r="Q176" s="219">
        <f>AVERAGEIFS(data!$X$2:$X$3404,data!$B$2:$B$3404,K176,data!$P$2:$P$3404,L176)</f>
        <v>54.88066666666667</v>
      </c>
      <c r="R176">
        <v>30</v>
      </c>
      <c r="S176">
        <v>23</v>
      </c>
      <c r="T176" s="339">
        <f t="shared" si="11"/>
        <v>26.5</v>
      </c>
    </row>
    <row r="177" spans="1:20" ht="14.1" customHeight="1" x14ac:dyDescent="0.25">
      <c r="A177" s="240">
        <v>2017</v>
      </c>
      <c r="B177" s="240" t="s">
        <v>19</v>
      </c>
      <c r="C177" s="241" t="s">
        <v>20</v>
      </c>
      <c r="D177" s="240" t="s">
        <v>21</v>
      </c>
      <c r="E177" s="240">
        <v>15.3</v>
      </c>
      <c r="F177" s="242" t="s">
        <v>507</v>
      </c>
      <c r="G177" s="242">
        <v>3.9</v>
      </c>
      <c r="H177" s="230">
        <f t="shared" si="10"/>
        <v>59.67</v>
      </c>
      <c r="K177" s="342">
        <v>2011</v>
      </c>
      <c r="L177" s="342">
        <v>221</v>
      </c>
      <c r="M177" s="342">
        <f>AVERAGEIFS(data!$X$2:$X$3404,data!$B$2:$B$3404,K177,data!$K$2:$K$3404,"female",data!$P$2:$P$3404,L177)</f>
        <v>35.695</v>
      </c>
      <c r="N177" s="342">
        <f>AVERAGEIFS(data!$X$2:$X$3404,data!$B$2:$B$3404,K177,data!$K$2:$K$3404,"male",data!$P$2:$P$3404,L177)</f>
        <v>53.01</v>
      </c>
      <c r="O177" s="342">
        <f>AVERAGEIFS(data!$X$2:$X$3404,data!$B$2:$B$3404,K177,data!$L$2:$L$3404,"gravid",data!$P$2:$P$3404,L177)</f>
        <v>49.066666666666663</v>
      </c>
      <c r="P177" s="342">
        <f>AVERAGEIFS(data!$X$2:$X$3404,data!$B$2:$B$3404,K177,data!$L$2:$L$3404,"spent",data!$P$2:$P$3404,L177)</f>
        <v>32.829642857142858</v>
      </c>
      <c r="Q177" s="219">
        <f>AVERAGEIFS(data!$X$2:$X$3404,data!$B$2:$B$3404,K177,data!$P$2:$P$3404,L177)</f>
        <v>37.517631578947373</v>
      </c>
      <c r="R177" s="342">
        <v>33</v>
      </c>
      <c r="S177" s="342">
        <v>26</v>
      </c>
      <c r="T177" s="339">
        <f t="shared" si="11"/>
        <v>29.5</v>
      </c>
    </row>
    <row r="178" spans="1:20" ht="14.1" customHeight="1" x14ac:dyDescent="0.25">
      <c r="A178" s="240">
        <v>2017</v>
      </c>
      <c r="B178" s="240" t="s">
        <v>19</v>
      </c>
      <c r="C178" s="241" t="s">
        <v>20</v>
      </c>
      <c r="D178" s="240" t="s">
        <v>21</v>
      </c>
      <c r="E178" s="240">
        <v>10.6</v>
      </c>
      <c r="F178" s="242" t="s">
        <v>507</v>
      </c>
      <c r="G178" s="242">
        <v>3.9</v>
      </c>
      <c r="H178" s="230">
        <f t="shared" si="10"/>
        <v>41.339999999999996</v>
      </c>
      <c r="K178" s="317">
        <v>2010</v>
      </c>
      <c r="L178">
        <v>214</v>
      </c>
      <c r="M178" s="317">
        <f>AVERAGEIFS(data!$X$2:$X$3404,data!$B$2:$B$3404,K178,data!$K$2:$K$3404,"female",data!$P$2:$P$3404,L178)</f>
        <v>46.466666666666661</v>
      </c>
      <c r="N178" s="317">
        <f>AVERAGEIFS(data!$X$2:$X$3404,data!$B$2:$B$3404,K178,data!$K$2:$K$3404,"male",data!$P$2:$P$3404,L178)</f>
        <v>70.3</v>
      </c>
      <c r="O178" s="317">
        <f>AVERAGEIFS(data!$X$2:$X$3404,data!$B$2:$B$3404,K178,data!$L$2:$L$3404,"gravid",data!$P$2:$P$3404,L178)</f>
        <v>57.499999999999993</v>
      </c>
      <c r="P178" s="317">
        <f>AVERAGEIFS(data!$X$2:$X$3404,data!$B$2:$B$3404,K178,data!$L$2:$L$3404,"spent",data!$P$2:$P$3404,L178)</f>
        <v>40.950000000000003</v>
      </c>
      <c r="Q178" s="219">
        <f>AVERAGEIFS(data!$X$2:$X$3404,data!$B$2:$B$3404,K178,data!$P$2:$P$3404,L178)</f>
        <v>52.42499999999999</v>
      </c>
      <c r="R178">
        <v>20</v>
      </c>
      <c r="S178">
        <v>14</v>
      </c>
      <c r="T178" s="339">
        <f t="shared" si="11"/>
        <v>17</v>
      </c>
    </row>
    <row r="179" spans="1:20" ht="14.1" customHeight="1" x14ac:dyDescent="0.25">
      <c r="A179" s="240">
        <v>2017</v>
      </c>
      <c r="B179" s="240" t="s">
        <v>19</v>
      </c>
      <c r="C179" s="241" t="s">
        <v>20</v>
      </c>
      <c r="D179" s="240" t="s">
        <v>21</v>
      </c>
      <c r="E179" s="240">
        <v>17.5</v>
      </c>
      <c r="F179" s="242" t="s">
        <v>507</v>
      </c>
      <c r="G179" s="242">
        <v>3.9</v>
      </c>
      <c r="H179" s="230">
        <f t="shared" si="10"/>
        <v>68.25</v>
      </c>
      <c r="K179" s="317">
        <v>2010</v>
      </c>
      <c r="L179">
        <v>216</v>
      </c>
      <c r="M179" s="317">
        <f>AVERAGEIFS(data!$X$2:$X$3404,data!$B$2:$B$3404,K179,data!$K$2:$K$3404,"female",data!$P$2:$P$3404,L179)</f>
        <v>58.266666666666652</v>
      </c>
      <c r="N179" s="317">
        <f>AVERAGEIFS(data!$X$2:$X$3404,data!$B$2:$B$3404,K179,data!$K$2:$K$3404,"male",data!$P$2:$P$3404,L179)</f>
        <v>72.2</v>
      </c>
      <c r="O179" s="317">
        <f>AVERAGEIFS(data!$X$2:$X$3404,data!$B$2:$B$3404,K179,data!$L$2:$L$3404,"gravid",data!$P$2:$P$3404,L179)</f>
        <v>58.266666666666652</v>
      </c>
      <c r="P179" s="317" t="e">
        <f>AVERAGEIFS(data!$X$2:$X$3404,data!$B$2:$B$3404,K179,data!$L$2:$L$3404,"spent",data!$P$2:$P$3404,L179)</f>
        <v>#DIV/0!</v>
      </c>
      <c r="Q179" s="219">
        <f>AVERAGEIFS(data!$X$2:$X$3404,data!$B$2:$B$3404,K179,data!$P$2:$P$3404,L179)</f>
        <v>60.257142857142838</v>
      </c>
      <c r="R179">
        <v>22</v>
      </c>
      <c r="S179">
        <v>16</v>
      </c>
      <c r="T179" s="339">
        <f t="shared" si="11"/>
        <v>19</v>
      </c>
    </row>
    <row r="180" spans="1:20" ht="14.1" customHeight="1" x14ac:dyDescent="0.25">
      <c r="A180" s="240">
        <v>2017</v>
      </c>
      <c r="B180" s="240" t="s">
        <v>19</v>
      </c>
      <c r="C180" s="241" t="s">
        <v>20</v>
      </c>
      <c r="D180" s="240" t="s">
        <v>21</v>
      </c>
      <c r="E180" s="240">
        <v>16.899999999999999</v>
      </c>
      <c r="F180" s="242" t="s">
        <v>507</v>
      </c>
      <c r="G180" s="242">
        <v>3.9</v>
      </c>
      <c r="H180" s="230">
        <f t="shared" si="10"/>
        <v>65.91</v>
      </c>
      <c r="K180" s="342">
        <v>2010</v>
      </c>
      <c r="L180" s="342">
        <v>217</v>
      </c>
      <c r="M180" s="342">
        <f>AVERAGEIFS(data!$X$2:$X$3404,data!$B$2:$B$3404,K180,data!$K$2:$K$3404,"female",data!$P$2:$P$3404,L180)</f>
        <v>58.304999999999993</v>
      </c>
      <c r="N180" s="342">
        <f>AVERAGEIFS(data!$X$2:$X$3404,data!$B$2:$B$3404,K180,data!$K$2:$K$3404,"male",data!$P$2:$P$3404,L180)</f>
        <v>72.199999999999989</v>
      </c>
      <c r="O180" s="342">
        <f>AVERAGEIFS(data!$X$2:$X$3404,data!$B$2:$B$3404,K180,data!$L$2:$L$3404,"gravid",data!$P$2:$P$3404,L180)</f>
        <v>58.304999999999993</v>
      </c>
      <c r="P180" s="342" t="e">
        <f>AVERAGEIFS(data!$X$2:$X$3404,data!$B$2:$B$3404,K180,data!$L$2:$L$3404,"spent",data!$P$2:$P$3404,L180)</f>
        <v>#DIV/0!</v>
      </c>
      <c r="Q180" s="219">
        <f>AVERAGEIFS(data!$X$2:$X$3404,data!$B$2:$B$3404,K180,data!$P$2:$P$3404,L180)</f>
        <v>62.93666666666666</v>
      </c>
      <c r="R180" s="342">
        <v>23</v>
      </c>
      <c r="S180" s="342">
        <v>17</v>
      </c>
      <c r="T180" s="339">
        <f t="shared" si="11"/>
        <v>20</v>
      </c>
    </row>
    <row r="181" spans="1:20" ht="14.1" customHeight="1" x14ac:dyDescent="0.25">
      <c r="A181" s="240">
        <v>2017</v>
      </c>
      <c r="B181" s="240" t="s">
        <v>19</v>
      </c>
      <c r="C181" s="241" t="s">
        <v>20</v>
      </c>
      <c r="D181" s="240" t="s">
        <v>21</v>
      </c>
      <c r="E181" s="240">
        <v>12</v>
      </c>
      <c r="F181" s="242" t="s">
        <v>507</v>
      </c>
      <c r="G181" s="242">
        <v>3.9</v>
      </c>
      <c r="H181" s="230">
        <f t="shared" si="10"/>
        <v>46.8</v>
      </c>
      <c r="K181">
        <v>2009</v>
      </c>
      <c r="L181">
        <v>211</v>
      </c>
      <c r="M181" s="317">
        <f>AVERAGEIFS(data!$X$2:$X$3404,data!$B$2:$B$3404,K181,data!$K$2:$K$3404,"female",data!$P$2:$P$3404,L181)</f>
        <v>50.278750000000002</v>
      </c>
      <c r="N181" s="317"/>
      <c r="O181" s="317">
        <f>AVERAGEIFS(data!$X$2:$X$3404,data!$B$2:$B$3404,K181,data!$L$2:$L$3404,"gravid",data!$P$2:$P$3404,L181)</f>
        <v>53.973333333333336</v>
      </c>
      <c r="P181" s="317">
        <f>AVERAGEIFS(data!$X$2:$X$3404,data!$B$2:$B$3404,K181,data!$L$2:$L$3404,"spent",data!$P$2:$P$3404,L181)</f>
        <v>39.195</v>
      </c>
      <c r="Q181" s="219">
        <f>AVERAGEIFS(data!$X$2:$X$3404,data!$B$2:$B$3404,K181,data!$P$2:$P$3404,L181)</f>
        <v>50.278750000000002</v>
      </c>
      <c r="R181">
        <v>6</v>
      </c>
      <c r="S181"/>
      <c r="T181" s="339">
        <f t="shared" si="11"/>
        <v>6</v>
      </c>
    </row>
    <row r="182" spans="1:20" ht="14.1" customHeight="1" x14ac:dyDescent="0.25">
      <c r="A182" s="240">
        <v>2017</v>
      </c>
      <c r="B182" s="240" t="s">
        <v>19</v>
      </c>
      <c r="C182" s="241" t="s">
        <v>20</v>
      </c>
      <c r="D182" s="240" t="s">
        <v>21</v>
      </c>
      <c r="E182" s="240">
        <v>11.9</v>
      </c>
      <c r="F182" s="242" t="s">
        <v>507</v>
      </c>
      <c r="G182" s="242">
        <v>3.9</v>
      </c>
      <c r="H182" s="230">
        <f t="shared" si="10"/>
        <v>46.410000000000004</v>
      </c>
      <c r="K182" s="317">
        <v>2009</v>
      </c>
      <c r="L182">
        <v>212</v>
      </c>
      <c r="M182" s="317">
        <f>AVERAGEIFS(data!$X$2:$X$3404,data!$B$2:$B$3404,K182,data!$K$2:$K$3404,"female",data!$P$2:$P$3404,L182)</f>
        <v>70.45</v>
      </c>
      <c r="N182" s="317"/>
      <c r="O182" s="317">
        <f>AVERAGEIFS(data!$X$2:$X$3404,data!$B$2:$B$3404,K182,data!$L$2:$L$3404,"gravid",data!$P$2:$P$3404,L182)</f>
        <v>79.349999999999994</v>
      </c>
      <c r="P182" s="317">
        <f>AVERAGEIFS(data!$X$2:$X$3404,data!$B$2:$B$3404,K182,data!$L$2:$L$3404,"spent",data!$P$2:$P$3404,L182)</f>
        <v>52.65</v>
      </c>
      <c r="Q182" s="219">
        <f>AVERAGEIFS(data!$X$2:$X$3404,data!$B$2:$B$3404,K182,data!$P$2:$P$3404,L182)</f>
        <v>70.45</v>
      </c>
      <c r="R182">
        <v>7</v>
      </c>
      <c r="S182"/>
      <c r="T182" s="339">
        <f t="shared" si="11"/>
        <v>7</v>
      </c>
    </row>
    <row r="183" spans="1:20" ht="14.1" customHeight="1" x14ac:dyDescent="0.25">
      <c r="A183" s="240">
        <v>2017</v>
      </c>
      <c r="B183" s="240" t="s">
        <v>19</v>
      </c>
      <c r="C183" s="241" t="s">
        <v>20</v>
      </c>
      <c r="D183" s="240" t="s">
        <v>21</v>
      </c>
      <c r="E183" s="240">
        <v>11</v>
      </c>
      <c r="F183" s="242" t="s">
        <v>507</v>
      </c>
      <c r="G183" s="242">
        <v>3.9</v>
      </c>
      <c r="H183" s="230">
        <f t="shared" si="10"/>
        <v>42.9</v>
      </c>
      <c r="K183" s="317">
        <v>2009</v>
      </c>
      <c r="L183">
        <v>213</v>
      </c>
      <c r="M183" s="317">
        <f>AVERAGEIFS(data!$X$2:$X$3404,data!$B$2:$B$3404,K183,data!$K$2:$K$3404,"female",data!$P$2:$P$3404,L183)</f>
        <v>62.099999999999994</v>
      </c>
      <c r="N183" s="317"/>
      <c r="O183" s="317">
        <f>AVERAGEIFS(data!$X$2:$X$3404,data!$B$2:$B$3404,K183,data!$L$2:$L$3404,"gravid",data!$P$2:$P$3404,L183)</f>
        <v>62.099999999999994</v>
      </c>
      <c r="P183" s="317"/>
      <c r="Q183" s="219">
        <f>AVERAGEIFS(data!$X$2:$X$3404,data!$B$2:$B$3404,K183,data!$P$2:$P$3404,L183)</f>
        <v>62.099999999999994</v>
      </c>
      <c r="R183">
        <v>8</v>
      </c>
      <c r="S183"/>
      <c r="T183" s="339">
        <f t="shared" si="11"/>
        <v>8</v>
      </c>
    </row>
    <row r="184" spans="1:20" ht="14.1" customHeight="1" x14ac:dyDescent="0.25">
      <c r="A184" s="240">
        <v>2017</v>
      </c>
      <c r="B184" s="240" t="s">
        <v>19</v>
      </c>
      <c r="C184" s="241" t="s">
        <v>20</v>
      </c>
      <c r="D184" s="240" t="s">
        <v>21</v>
      </c>
      <c r="E184" s="240">
        <v>14.7</v>
      </c>
      <c r="F184" s="242" t="s">
        <v>507</v>
      </c>
      <c r="G184" s="242">
        <v>3.9</v>
      </c>
      <c r="H184" s="230">
        <f t="shared" si="10"/>
        <v>57.33</v>
      </c>
      <c r="K184" s="317">
        <v>2009</v>
      </c>
      <c r="L184">
        <v>215</v>
      </c>
      <c r="M184" s="317">
        <f>AVERAGEIFS(data!$X$2:$X$3404,data!$B$2:$B$3404,K184,data!$K$2:$K$3404,"female",data!$P$2:$P$3404,L184)</f>
        <v>62.676428571428559</v>
      </c>
      <c r="N184" s="317"/>
      <c r="O184" s="317">
        <f>AVERAGEIFS(data!$X$2:$X$3404,data!$B$2:$B$3404,K184,data!$L$2:$L$3404,"gravid",data!$P$2:$P$3404,L184)</f>
        <v>73.446666666666658</v>
      </c>
      <c r="P184" s="317">
        <f>AVERAGEIFS(data!$X$2:$X$3404,data!$B$2:$B$3404,K184,data!$L$2:$L$3404,"spent",data!$P$2:$P$3404,L184)</f>
        <v>43.29</v>
      </c>
      <c r="Q184" s="219">
        <f>AVERAGEIFS(data!$X$2:$X$3404,data!$B$2:$B$3404,K184,data!$P$2:$P$3404,L184)</f>
        <v>62.676428571428559</v>
      </c>
      <c r="R184">
        <v>10</v>
      </c>
      <c r="S184"/>
      <c r="T184" s="339">
        <f t="shared" si="11"/>
        <v>10</v>
      </c>
    </row>
    <row r="185" spans="1:20" ht="14.1" customHeight="1" x14ac:dyDescent="0.25">
      <c r="A185" s="240">
        <v>2017</v>
      </c>
      <c r="B185" s="240" t="s">
        <v>19</v>
      </c>
      <c r="C185" s="241" t="s">
        <v>20</v>
      </c>
      <c r="D185" s="240" t="s">
        <v>21</v>
      </c>
      <c r="E185" s="240">
        <v>13.4</v>
      </c>
      <c r="F185" s="242" t="s">
        <v>507</v>
      </c>
      <c r="G185" s="242">
        <v>3.9</v>
      </c>
      <c r="H185" s="230">
        <f t="shared" si="10"/>
        <v>52.26</v>
      </c>
      <c r="K185" s="317">
        <v>2009</v>
      </c>
      <c r="L185">
        <v>216</v>
      </c>
      <c r="M185" s="317">
        <f>AVERAGEIFS(data!$X$2:$X$3404,data!$B$2:$B$3404,K185,data!$K$2:$K$3404,"female",data!$P$2:$P$3404,L185)</f>
        <v>71.3</v>
      </c>
      <c r="N185" s="317"/>
      <c r="O185" s="317">
        <f>AVERAGEIFS(data!$X$2:$X$3404,data!$B$2:$B$3404,K185,data!$L$2:$L$3404,"gravid",data!$P$2:$P$3404,L185)</f>
        <v>71.3</v>
      </c>
      <c r="P185" s="317"/>
      <c r="Q185" s="219">
        <f>AVERAGEIFS(data!$X$2:$X$3404,data!$B$2:$B$3404,K185,data!$P$2:$P$3404,L185)</f>
        <v>71.3</v>
      </c>
      <c r="R185">
        <v>11</v>
      </c>
      <c r="S185"/>
      <c r="T185" s="339">
        <f t="shared" si="11"/>
        <v>11</v>
      </c>
    </row>
    <row r="186" spans="1:20" ht="14.1" customHeight="1" x14ac:dyDescent="0.25">
      <c r="A186" s="240">
        <v>2017</v>
      </c>
      <c r="B186" s="240" t="s">
        <v>19</v>
      </c>
      <c r="C186" s="241" t="s">
        <v>20</v>
      </c>
      <c r="D186" s="240" t="s">
        <v>21</v>
      </c>
      <c r="E186" s="240">
        <v>11.7</v>
      </c>
      <c r="F186" s="242" t="s">
        <v>507</v>
      </c>
      <c r="G186" s="242">
        <v>3.9</v>
      </c>
      <c r="H186" s="230">
        <f t="shared" si="10"/>
        <v>45.629999999999995</v>
      </c>
      <c r="K186" s="317">
        <v>2009</v>
      </c>
      <c r="L186">
        <v>217</v>
      </c>
      <c r="M186" s="317">
        <f>AVERAGEIFS(data!$X$2:$X$3404,data!$B$2:$B$3404,K186,data!$K$2:$K$3404,"female",data!$P$2:$P$3404,L186)</f>
        <v>28.274999999999999</v>
      </c>
      <c r="N186" s="317"/>
      <c r="O186" s="317"/>
      <c r="P186" s="317">
        <f>AVERAGEIFS(data!$X$2:$X$3404,data!$B$2:$B$3404,K186,data!$L$2:$L$3404,"spent",data!$P$2:$P$3404,L186)</f>
        <v>28.274999999999999</v>
      </c>
      <c r="Q186" s="219">
        <f>AVERAGEIFS(data!$X$2:$X$3404,data!$B$2:$B$3404,K186,data!$P$2:$P$3404,L186)</f>
        <v>28.274999999999999</v>
      </c>
      <c r="R186">
        <v>12</v>
      </c>
      <c r="S186"/>
      <c r="T186" s="339">
        <f t="shared" si="11"/>
        <v>12</v>
      </c>
    </row>
    <row r="187" spans="1:20" ht="14.1" customHeight="1" x14ac:dyDescent="0.25">
      <c r="A187" s="240">
        <v>2017</v>
      </c>
      <c r="B187" s="240" t="s">
        <v>19</v>
      </c>
      <c r="C187" s="241" t="s">
        <v>20</v>
      </c>
      <c r="D187" s="240" t="s">
        <v>21</v>
      </c>
      <c r="E187" s="240">
        <v>8</v>
      </c>
      <c r="F187" s="242" t="s">
        <v>507</v>
      </c>
      <c r="G187" s="242">
        <v>3.9</v>
      </c>
      <c r="H187" s="230">
        <f t="shared" si="10"/>
        <v>31.2</v>
      </c>
      <c r="K187" s="342">
        <v>2009</v>
      </c>
      <c r="L187" s="342">
        <v>218</v>
      </c>
      <c r="M187" s="342">
        <f>AVERAGEIFS(data!$X$2:$X$3404,data!$B$2:$B$3404,K187,data!$K$2:$K$3404,"female",data!$P$2:$P$3404,L187)</f>
        <v>48.76</v>
      </c>
      <c r="N187" s="342"/>
      <c r="O187" s="342">
        <f>AVERAGEIFS(data!$X$2:$X$3404,data!$B$2:$B$3404,K187,data!$L$2:$L$3404,"gravid",data!$P$2:$P$3404,L187)</f>
        <v>48.76</v>
      </c>
      <c r="P187" s="342"/>
      <c r="Q187" s="219">
        <f>AVERAGEIFS(data!$X$2:$X$3404,data!$B$2:$B$3404,K187,data!$P$2:$P$3404,L187)</f>
        <v>48.76</v>
      </c>
      <c r="R187" s="342">
        <v>13</v>
      </c>
      <c r="S187" s="342"/>
      <c r="T187" s="339">
        <f t="shared" si="11"/>
        <v>13</v>
      </c>
    </row>
    <row r="188" spans="1:20" ht="14.1" customHeight="1" x14ac:dyDescent="0.25">
      <c r="A188" s="240">
        <v>2017</v>
      </c>
      <c r="B188" s="240" t="s">
        <v>19</v>
      </c>
      <c r="C188" s="241" t="s">
        <v>20</v>
      </c>
      <c r="D188" s="240" t="s">
        <v>21</v>
      </c>
      <c r="E188" s="240">
        <v>8.4</v>
      </c>
      <c r="F188" s="242" t="s">
        <v>507</v>
      </c>
      <c r="G188" s="242">
        <v>3.9</v>
      </c>
      <c r="H188" s="230">
        <f t="shared" si="10"/>
        <v>32.76</v>
      </c>
      <c r="K188">
        <v>2008</v>
      </c>
      <c r="L188">
        <v>203</v>
      </c>
      <c r="M188" s="317">
        <f>AVERAGEIFS(data!$X$2:$X$3404,data!$B$2:$B$3404,K188,data!$K$2:$K$3404,"female",data!$P$2:$P$3404,L188)</f>
        <v>62.121363636363633</v>
      </c>
      <c r="N188" s="317"/>
      <c r="O188" s="317">
        <f>AVERAGEIFS(data!$X$2:$X$3404,data!$B$2:$B$3404,K188,data!$L$2:$L$3404,"gravid",data!$P$2:$P$3404,L188)</f>
        <v>65.053684210526313</v>
      </c>
      <c r="P188" s="317">
        <f>AVERAGEIFS(data!$X$2:$X$3404,data!$B$2:$B$3404,K188,data!$L$2:$L$3404,"spent",data!$P$2:$P$3404,L188)</f>
        <v>43.550000000000004</v>
      </c>
      <c r="Q188" s="219">
        <f>AVERAGEIFS(data!$X$2:$X$3404,data!$B$2:$B$3404,K188,data!$P$2:$P$3404,L188)</f>
        <v>62.121363636363633</v>
      </c>
      <c r="S188">
        <v>-2</v>
      </c>
      <c r="T188" s="339">
        <f t="shared" si="11"/>
        <v>-2</v>
      </c>
    </row>
    <row r="189" spans="1:20" ht="14.1" customHeight="1" x14ac:dyDescent="0.25">
      <c r="A189" s="240">
        <v>2017</v>
      </c>
      <c r="B189" s="240" t="s">
        <v>19</v>
      </c>
      <c r="C189" s="241" t="s">
        <v>34</v>
      </c>
      <c r="E189" s="240">
        <v>18</v>
      </c>
      <c r="F189" s="242" t="s">
        <v>508</v>
      </c>
      <c r="G189" s="242">
        <v>3.8</v>
      </c>
      <c r="H189" s="230">
        <f t="shared" si="10"/>
        <v>68.399999999999991</v>
      </c>
      <c r="K189" s="317">
        <v>2008</v>
      </c>
      <c r="L189">
        <v>206</v>
      </c>
      <c r="M189" s="317">
        <f>AVERAGEIFS(data!$X$2:$X$3404,data!$B$2:$B$3404,K189,data!$K$2:$K$3404,"female",data!$P$2:$P$3404,L189)</f>
        <v>45.204999999999998</v>
      </c>
      <c r="N189" s="317"/>
      <c r="O189" s="317">
        <f>AVERAGEIFS(data!$X$2:$X$3404,data!$B$2:$B$3404,K189,data!$L$2:$L$3404,"gravid",data!$P$2:$P$3404,L189)</f>
        <v>50.928571428571431</v>
      </c>
      <c r="P189" s="317">
        <f>AVERAGEIFS(data!$X$2:$X$3404,data!$B$2:$B$3404,K189,data!$L$2:$L$3404,"spent",data!$P$2:$P$3404,L189)</f>
        <v>31.849999999999998</v>
      </c>
      <c r="Q189" s="219">
        <f>AVERAGEIFS(data!$X$2:$X$3404,data!$B$2:$B$3404,K189,data!$P$2:$P$3404,L189)</f>
        <v>45.204999999999998</v>
      </c>
      <c r="S189">
        <v>1</v>
      </c>
      <c r="T189" s="339">
        <f t="shared" si="11"/>
        <v>1</v>
      </c>
    </row>
    <row r="190" spans="1:20" ht="14.1" customHeight="1" x14ac:dyDescent="0.25">
      <c r="A190" s="240">
        <v>2017</v>
      </c>
      <c r="B190" s="240" t="s">
        <v>19</v>
      </c>
      <c r="C190" s="241" t="s">
        <v>34</v>
      </c>
      <c r="E190" s="240">
        <v>18.7</v>
      </c>
      <c r="F190" s="242" t="s">
        <v>508</v>
      </c>
      <c r="G190" s="242">
        <v>3.8</v>
      </c>
      <c r="H190" s="230">
        <f t="shared" si="10"/>
        <v>71.059999999999988</v>
      </c>
      <c r="K190" s="317">
        <v>2008</v>
      </c>
      <c r="L190">
        <v>208</v>
      </c>
      <c r="M190" s="317">
        <f>AVERAGEIFS(data!$X$2:$X$3404,data!$B$2:$B$3404,K190,data!$K$2:$K$3404,"female",data!$P$2:$P$3404,L190)</f>
        <v>53.003333333333323</v>
      </c>
      <c r="N190" s="317"/>
      <c r="O190" s="317">
        <f>AVERAGEIFS(data!$X$2:$X$3404,data!$B$2:$B$3404,K190,data!$L$2:$L$3404,"gravid",data!$P$2:$P$3404,L190)</f>
        <v>98.899999999999991</v>
      </c>
      <c r="P190" s="317">
        <f>AVERAGEIFS(data!$X$2:$X$3404,data!$B$2:$B$3404,K190,data!$L$2:$L$3404,"spent",data!$P$2:$P$3404,L190)</f>
        <v>49.725000000000001</v>
      </c>
      <c r="Q190" s="219">
        <f>AVERAGEIFS(data!$X$2:$X$3404,data!$B$2:$B$3404,K190,data!$P$2:$P$3404,L190)</f>
        <v>53.003333333333323</v>
      </c>
      <c r="S190">
        <v>3</v>
      </c>
      <c r="T190" s="339">
        <f t="shared" si="11"/>
        <v>3</v>
      </c>
    </row>
    <row r="191" spans="1:20" ht="14.1" customHeight="1" x14ac:dyDescent="0.25">
      <c r="A191" s="244">
        <v>2016</v>
      </c>
      <c r="B191" s="245" t="s">
        <v>19</v>
      </c>
      <c r="C191" s="246" t="s">
        <v>20</v>
      </c>
      <c r="D191" s="245" t="s">
        <v>30</v>
      </c>
      <c r="E191" s="247">
        <v>9</v>
      </c>
      <c r="F191" s="242" t="s">
        <v>504</v>
      </c>
      <c r="G191" s="242">
        <v>4.5999999999999996</v>
      </c>
      <c r="H191" s="230">
        <f t="shared" si="10"/>
        <v>41.4</v>
      </c>
      <c r="K191" s="317">
        <v>2008</v>
      </c>
      <c r="L191">
        <v>209</v>
      </c>
      <c r="M191" s="317">
        <f>AVERAGEIFS(data!$X$2:$X$3404,data!$B$2:$B$3404,K191,data!$K$2:$K$3404,"female",data!$P$2:$P$3404,L191)</f>
        <v>55.135000000000005</v>
      </c>
      <c r="N191" s="317"/>
      <c r="O191" s="317">
        <f>AVERAGEIFS(data!$X$2:$X$3404,data!$B$2:$B$3404,K191,data!$L$2:$L$3404,"gravid",data!$P$2:$P$3404,L191)</f>
        <v>81.649999999999991</v>
      </c>
      <c r="P191" s="317">
        <f>AVERAGEIFS(data!$X$2:$X$3404,data!$B$2:$B$3404,K191,data!$L$2:$L$3404,"spent",data!$P$2:$P$3404,L191)</f>
        <v>48.506249999999994</v>
      </c>
      <c r="Q191" s="219">
        <f>AVERAGEIFS(data!$X$2:$X$3404,data!$B$2:$B$3404,K191,data!$P$2:$P$3404,L191)</f>
        <v>55.135000000000005</v>
      </c>
      <c r="S191">
        <v>4</v>
      </c>
      <c r="T191" s="339">
        <f t="shared" si="11"/>
        <v>4</v>
      </c>
    </row>
    <row r="192" spans="1:20" ht="14.1" customHeight="1" x14ac:dyDescent="0.25">
      <c r="A192" s="244">
        <v>2016</v>
      </c>
      <c r="B192" s="245" t="s">
        <v>19</v>
      </c>
      <c r="C192" s="246" t="s">
        <v>20</v>
      </c>
      <c r="D192" s="245" t="s">
        <v>30</v>
      </c>
      <c r="E192" s="247">
        <v>12</v>
      </c>
      <c r="F192" s="242" t="s">
        <v>504</v>
      </c>
      <c r="G192" s="242">
        <v>4.5999999999999996</v>
      </c>
      <c r="H192" s="230">
        <f t="shared" si="10"/>
        <v>55.199999999999996</v>
      </c>
      <c r="K192" s="317">
        <v>2008</v>
      </c>
      <c r="L192">
        <v>210</v>
      </c>
      <c r="M192" s="317">
        <f>AVERAGEIFS(data!$X$2:$X$3404,data!$B$2:$B$3404,K192,data!$K$2:$K$3404,"female",data!$P$2:$P$3404,L192)</f>
        <v>48.004347826086949</v>
      </c>
      <c r="N192" s="317"/>
      <c r="O192" s="317">
        <f>AVERAGEIFS(data!$X$2:$X$3404,data!$B$2:$B$3404,K192,data!$L$2:$L$3404,"gravid",data!$P$2:$P$3404,L192)</f>
        <v>60.785714285714285</v>
      </c>
      <c r="P192" s="317">
        <f>AVERAGEIFS(data!$X$2:$X$3404,data!$B$2:$B$3404,K192,data!$L$2:$L$3404,"spent",data!$P$2:$P$3404,L192)</f>
        <v>42.412500000000009</v>
      </c>
      <c r="Q192" s="219">
        <f>AVERAGEIFS(data!$X$2:$X$3404,data!$B$2:$B$3404,K192,data!$P$2:$P$3404,L192)</f>
        <v>48.004347826086949</v>
      </c>
      <c r="S192">
        <v>5</v>
      </c>
      <c r="T192" s="339">
        <f t="shared" si="11"/>
        <v>5</v>
      </c>
    </row>
    <row r="193" spans="1:20" ht="14.1" customHeight="1" x14ac:dyDescent="0.25">
      <c r="A193" s="244">
        <v>2016</v>
      </c>
      <c r="B193" s="245" t="s">
        <v>19</v>
      </c>
      <c r="C193" s="246" t="s">
        <v>20</v>
      </c>
      <c r="D193" s="245" t="s">
        <v>30</v>
      </c>
      <c r="E193" s="247">
        <v>7</v>
      </c>
      <c r="F193" s="242" t="s">
        <v>504</v>
      </c>
      <c r="G193" s="242">
        <v>4.5999999999999996</v>
      </c>
      <c r="H193" s="230">
        <f t="shared" si="10"/>
        <v>32.199999999999996</v>
      </c>
      <c r="K193" s="342">
        <v>2008</v>
      </c>
      <c r="L193" s="342">
        <v>211</v>
      </c>
      <c r="M193" s="342">
        <f>AVERAGEIFS(data!$X$2:$X$3404,data!$B$2:$B$3404,K193,data!$K$2:$K$3404,"female",data!$P$2:$P$3404,L193)</f>
        <v>45.06666666666667</v>
      </c>
      <c r="N193" s="342"/>
      <c r="O193" s="342">
        <f>AVERAGEIFS(data!$X$2:$X$3404,data!$B$2:$B$3404,K193,data!$L$2:$L$3404,"gravid",data!$P$2:$P$3404,L193)</f>
        <v>59.8</v>
      </c>
      <c r="P193" s="342">
        <f>AVERAGEIFS(data!$X$2:$X$3404,data!$B$2:$B$3404,K193,data!$L$2:$L$3404,"spent",data!$P$2:$P$3404,L193)</f>
        <v>42.12</v>
      </c>
      <c r="Q193" s="219">
        <f>AVERAGEIFS(data!$X$2:$X$3404,data!$B$2:$B$3404,K193,data!$P$2:$P$3404,L193)</f>
        <v>45.06666666666667</v>
      </c>
      <c r="R193" s="342"/>
      <c r="S193" s="342">
        <v>6</v>
      </c>
      <c r="T193" s="339">
        <f t="shared" si="11"/>
        <v>6</v>
      </c>
    </row>
    <row r="194" spans="1:20" ht="14.1" customHeight="1" x14ac:dyDescent="0.25">
      <c r="A194" s="244">
        <v>2016</v>
      </c>
      <c r="B194" s="245" t="s">
        <v>19</v>
      </c>
      <c r="C194" s="246" t="s">
        <v>20</v>
      </c>
      <c r="D194" s="245" t="s">
        <v>30</v>
      </c>
      <c r="E194" s="247">
        <v>10</v>
      </c>
      <c r="F194" s="242" t="s">
        <v>504</v>
      </c>
      <c r="G194" s="242">
        <v>4.5999999999999996</v>
      </c>
      <c r="H194" s="230">
        <f t="shared" si="10"/>
        <v>46</v>
      </c>
      <c r="K194">
        <v>2007</v>
      </c>
      <c r="L194">
        <v>208</v>
      </c>
      <c r="M194" s="317">
        <f>AVERAGEIFS(data!$X$2:$X$3404,data!$B$2:$B$3404,K194,data!$K$2:$K$3404,"female",data!$P$2:$P$3404,L194)</f>
        <v>55.367500000000007</v>
      </c>
      <c r="N194" s="317"/>
      <c r="O194" s="317">
        <f>AVERAGEIFS(data!$X$2:$X$3404,data!$B$2:$B$3404,K194,data!$L$2:$L$3404,"gravid",data!$P$2:$P$3404,L194)</f>
        <v>64.202857142857141</v>
      </c>
      <c r="P194" s="317">
        <f>AVERAGEIFS(data!$X$2:$X$3404,data!$B$2:$B$3404,K194,data!$L$2:$L$3404,"spent",data!$P$2:$P$3404,L194)</f>
        <v>50.61</v>
      </c>
      <c r="Q194" s="219">
        <f>AVERAGEIFS(data!$X$2:$X$3404,data!$B$2:$B$3404,K194,data!$P$2:$P$3404,L194)</f>
        <v>55.367500000000007</v>
      </c>
      <c r="R194">
        <v>12</v>
      </c>
      <c r="S194">
        <v>5</v>
      </c>
      <c r="T194" s="339">
        <f t="shared" si="11"/>
        <v>8.5</v>
      </c>
    </row>
    <row r="195" spans="1:20" ht="14.1" customHeight="1" x14ac:dyDescent="0.25">
      <c r="A195" s="244">
        <v>2016</v>
      </c>
      <c r="B195" s="245" t="s">
        <v>19</v>
      </c>
      <c r="C195" s="246" t="s">
        <v>20</v>
      </c>
      <c r="D195" s="245" t="s">
        <v>30</v>
      </c>
      <c r="E195" s="247">
        <v>14.5</v>
      </c>
      <c r="F195" s="242" t="s">
        <v>504</v>
      </c>
      <c r="G195" s="242">
        <v>4.5999999999999996</v>
      </c>
      <c r="H195" s="230">
        <f t="shared" ref="H195:H258" si="12">E195*G195</f>
        <v>66.699999999999989</v>
      </c>
      <c r="K195" s="317">
        <v>2007</v>
      </c>
      <c r="L195">
        <v>209</v>
      </c>
      <c r="M195" s="317">
        <f>AVERAGEIFS(data!$X$2:$X$3404,data!$B$2:$B$3404,K195,data!$K$2:$K$3404,"female",data!$P$2:$P$3404,L195)</f>
        <v>48.731162790697674</v>
      </c>
      <c r="N195" s="317"/>
      <c r="O195" s="317">
        <f>AVERAGEIFS(data!$X$2:$X$3404,data!$B$2:$B$3404,K195,data!$L$2:$L$3404,"gravid",data!$P$2:$P$3404,L195)</f>
        <v>57.959999999999987</v>
      </c>
      <c r="P195" s="317">
        <f>AVERAGEIFS(data!$X$2:$X$3404,data!$B$2:$B$3404,K195,data!$L$2:$L$3404,"spent",data!$P$2:$P$3404,L195)</f>
        <v>47.556363636363649</v>
      </c>
      <c r="Q195" s="219">
        <f>AVERAGEIFS(data!$X$2:$X$3404,data!$B$2:$B$3404,K195,data!$P$2:$P$3404,L195)</f>
        <v>48.731162790697674</v>
      </c>
      <c r="R195">
        <v>13</v>
      </c>
      <c r="S195">
        <v>6</v>
      </c>
      <c r="T195" s="339">
        <f t="shared" si="11"/>
        <v>9.5</v>
      </c>
    </row>
    <row r="196" spans="1:20" ht="14.1" customHeight="1" x14ac:dyDescent="0.25">
      <c r="A196" s="244">
        <v>2016</v>
      </c>
      <c r="B196" s="245" t="s">
        <v>19</v>
      </c>
      <c r="C196" s="246" t="s">
        <v>20</v>
      </c>
      <c r="D196" s="245" t="s">
        <v>30</v>
      </c>
      <c r="E196" s="247">
        <v>11.5</v>
      </c>
      <c r="F196" s="242" t="s">
        <v>504</v>
      </c>
      <c r="G196" s="242">
        <v>4.5999999999999996</v>
      </c>
      <c r="H196" s="230">
        <f t="shared" si="12"/>
        <v>52.9</v>
      </c>
      <c r="K196" s="317">
        <v>2007</v>
      </c>
      <c r="L196">
        <v>211</v>
      </c>
      <c r="M196" s="317">
        <f>AVERAGEIFS(data!$X$2:$X$3404,data!$B$2:$B$3404,K196,data!$K$2:$K$3404,"female",data!$P$2:$P$3404,L196)</f>
        <v>52.772500000000001</v>
      </c>
      <c r="N196" s="317"/>
      <c r="O196" s="317">
        <f>AVERAGEIFS(data!$X$2:$X$3404,data!$B$2:$B$3404,K196,data!$L$2:$L$3404,"gravid",data!$P$2:$P$3404,L196)</f>
        <v>69</v>
      </c>
      <c r="P196" s="317">
        <f>AVERAGEIFS(data!$X$2:$X$3404,data!$B$2:$B$3404,K196,data!$L$2:$L$3404,"spent",data!$P$2:$P$3404,L196)</f>
        <v>47.363333333333323</v>
      </c>
      <c r="Q196" s="219">
        <f>AVERAGEIFS(data!$X$2:$X$3404,data!$B$2:$B$3404,K196,data!$P$2:$P$3404,L196)</f>
        <v>52.772500000000001</v>
      </c>
      <c r="R196">
        <v>15</v>
      </c>
      <c r="S196">
        <v>8</v>
      </c>
      <c r="T196" s="339">
        <f t="shared" si="11"/>
        <v>11.5</v>
      </c>
    </row>
    <row r="197" spans="1:20" ht="14.1" customHeight="1" x14ac:dyDescent="0.25">
      <c r="A197" s="244">
        <v>2016</v>
      </c>
      <c r="B197" s="245" t="s">
        <v>19</v>
      </c>
      <c r="C197" s="246" t="s">
        <v>20</v>
      </c>
      <c r="D197" s="245" t="s">
        <v>30</v>
      </c>
      <c r="E197" s="247">
        <v>12</v>
      </c>
      <c r="F197" s="242" t="s">
        <v>504</v>
      </c>
      <c r="G197" s="242">
        <v>4.5999999999999996</v>
      </c>
      <c r="H197" s="230">
        <f t="shared" si="12"/>
        <v>55.199999999999996</v>
      </c>
      <c r="K197" s="317">
        <v>2007</v>
      </c>
      <c r="L197">
        <v>212</v>
      </c>
      <c r="M197" s="317">
        <f>AVERAGEIFS(data!$X$2:$X$3404,data!$B$2:$B$3404,K197,data!$K$2:$K$3404,"female",data!$P$2:$P$3404,L197)</f>
        <v>46.542142857142856</v>
      </c>
      <c r="N197" s="317">
        <f>AVERAGEIFS(data!$X$2:$X$3404,data!$B$2:$B$3404,K197,data!$K$2:$K$3404,"male",data!$P$2:$P$3404,L197)</f>
        <v>81.7</v>
      </c>
      <c r="O197" s="317">
        <f>AVERAGEIFS(data!$X$2:$X$3404,data!$B$2:$B$3404,K197,data!$L$2:$L$3404,"gravid",data!$P$2:$P$3404,L197)</f>
        <v>60.351999999999997</v>
      </c>
      <c r="P197" s="317">
        <f>AVERAGEIFS(data!$X$2:$X$3404,data!$B$2:$B$3404,K197,data!$L$2:$L$3404,"spent",data!$P$2:$P$3404,L197)</f>
        <v>38.870000000000005</v>
      </c>
      <c r="Q197" s="219">
        <f>AVERAGEIFS(data!$X$2:$X$3404,data!$B$2:$B$3404,K197,data!$P$2:$P$3404,L197)</f>
        <v>48.885999999999996</v>
      </c>
      <c r="R197">
        <v>16</v>
      </c>
      <c r="S197">
        <v>9</v>
      </c>
      <c r="T197" s="339">
        <f t="shared" si="11"/>
        <v>12.5</v>
      </c>
    </row>
    <row r="198" spans="1:20" ht="14.1" customHeight="1" x14ac:dyDescent="0.25">
      <c r="A198" s="244">
        <v>2016</v>
      </c>
      <c r="B198" s="245" t="s">
        <v>19</v>
      </c>
      <c r="C198" s="246" t="s">
        <v>20</v>
      </c>
      <c r="D198" s="245" t="s">
        <v>21</v>
      </c>
      <c r="E198" s="247">
        <v>11</v>
      </c>
      <c r="F198" s="242" t="s">
        <v>507</v>
      </c>
      <c r="G198" s="242">
        <v>3.9</v>
      </c>
      <c r="H198" s="230">
        <f t="shared" si="12"/>
        <v>42.9</v>
      </c>
      <c r="K198" s="317">
        <v>2007</v>
      </c>
      <c r="L198">
        <v>214</v>
      </c>
      <c r="M198" s="317">
        <f>AVERAGEIFS(data!$X$2:$X$3404,data!$B$2:$B$3404,K198,data!$K$2:$K$3404,"female",data!$P$2:$P$3404,L198)</f>
        <v>53.750000000000007</v>
      </c>
      <c r="N198" s="317"/>
      <c r="O198" s="317">
        <f>AVERAGEIFS(data!$X$2:$X$3404,data!$B$2:$B$3404,K198,data!$L$2:$L$3404,"gravid",data!$P$2:$P$3404,L198)</f>
        <v>58.228333333333325</v>
      </c>
      <c r="P198" s="317">
        <f>AVERAGEIFS(data!$X$2:$X$3404,data!$B$2:$B$3404,K198,data!$L$2:$L$3404,"spent",data!$P$2:$P$3404,L198)</f>
        <v>48.093157894736827</v>
      </c>
      <c r="Q198" s="219">
        <f>AVERAGEIFS(data!$X$2:$X$3404,data!$B$2:$B$3404,K198,data!$P$2:$P$3404,L198)</f>
        <v>53.750000000000007</v>
      </c>
      <c r="R198">
        <v>18</v>
      </c>
      <c r="S198">
        <v>11</v>
      </c>
      <c r="T198" s="339">
        <f t="shared" si="11"/>
        <v>14.5</v>
      </c>
    </row>
    <row r="199" spans="1:20" ht="14.1" customHeight="1" x14ac:dyDescent="0.25">
      <c r="A199" s="244">
        <v>2016</v>
      </c>
      <c r="B199" s="245" t="s">
        <v>19</v>
      </c>
      <c r="C199" s="246" t="s">
        <v>20</v>
      </c>
      <c r="D199" s="245" t="s">
        <v>21</v>
      </c>
      <c r="E199" s="247">
        <v>9</v>
      </c>
      <c r="F199" s="242" t="s">
        <v>507</v>
      </c>
      <c r="G199" s="242">
        <v>3.9</v>
      </c>
      <c r="H199" s="230">
        <f t="shared" si="12"/>
        <v>35.1</v>
      </c>
      <c r="K199" s="342">
        <v>2007</v>
      </c>
      <c r="L199" s="342">
        <v>215</v>
      </c>
      <c r="M199" s="342">
        <f>AVERAGEIFS(data!$X$2:$X$3404,data!$B$2:$B$3404,K199,data!$K$2:$K$3404,"female",data!$P$2:$P$3404,L199)</f>
        <v>39.975000000000001</v>
      </c>
      <c r="N199" s="342"/>
      <c r="O199" s="342"/>
      <c r="P199" s="342">
        <f>AVERAGEIFS(data!$X$2:$X$3404,data!$B$2:$B$3404,K199,data!$L$2:$L$3404,"spent",data!$P$2:$P$3404,L199)</f>
        <v>39.975000000000001</v>
      </c>
      <c r="Q199" s="219">
        <f>AVERAGEIFS(data!$X$2:$X$3404,data!$B$2:$B$3404,K199,data!$P$2:$P$3404,L199)</f>
        <v>39.975000000000001</v>
      </c>
      <c r="R199" s="342">
        <v>19</v>
      </c>
      <c r="S199" s="342">
        <v>12</v>
      </c>
      <c r="T199" s="339">
        <f t="shared" si="11"/>
        <v>15.5</v>
      </c>
    </row>
    <row r="200" spans="1:20" ht="14.1" customHeight="1" x14ac:dyDescent="0.25">
      <c r="A200" s="244">
        <v>2016</v>
      </c>
      <c r="B200" s="245" t="s">
        <v>19</v>
      </c>
      <c r="C200" s="246" t="s">
        <v>20</v>
      </c>
      <c r="D200" s="245" t="s">
        <v>21</v>
      </c>
      <c r="E200" s="247">
        <v>16</v>
      </c>
      <c r="F200" s="242" t="s">
        <v>507</v>
      </c>
      <c r="G200" s="242">
        <v>3.9</v>
      </c>
      <c r="H200" s="230">
        <f t="shared" si="12"/>
        <v>62.4</v>
      </c>
      <c r="K200">
        <v>2006</v>
      </c>
      <c r="L200">
        <v>219</v>
      </c>
      <c r="M200" s="317">
        <f>AVERAGEIFS(data!$X$2:$X$3404,data!$B$2:$B$3404,K200,data!$K$2:$K$3404,"female",data!$P$2:$P$3404,L200)</f>
        <v>34.71</v>
      </c>
      <c r="N200" s="317"/>
      <c r="O200" s="317"/>
      <c r="P200" s="317">
        <f>AVERAGEIFS(data!$X$2:$X$3404,data!$B$2:$B$3404,K200,data!$L$2:$L$3404,"spent",data!$P$2:$P$3404,L200)</f>
        <v>34.71</v>
      </c>
      <c r="Q200" s="219">
        <f>AVERAGEIFS(data!$X$2:$X$3404,data!$B$2:$B$3404,K200,data!$P$2:$P$3404,L200)</f>
        <v>34.71</v>
      </c>
      <c r="S200">
        <v>29</v>
      </c>
      <c r="T200" s="339">
        <f t="shared" si="11"/>
        <v>29</v>
      </c>
    </row>
    <row r="201" spans="1:20" ht="14.1" customHeight="1" x14ac:dyDescent="0.25">
      <c r="A201" s="244">
        <v>2016</v>
      </c>
      <c r="B201" s="245" t="s">
        <v>19</v>
      </c>
      <c r="C201" s="246" t="s">
        <v>20</v>
      </c>
      <c r="D201" s="245" t="s">
        <v>21</v>
      </c>
      <c r="E201" s="247">
        <v>12</v>
      </c>
      <c r="F201" s="242" t="s">
        <v>507</v>
      </c>
      <c r="G201" s="242">
        <v>3.9</v>
      </c>
      <c r="H201" s="230">
        <f t="shared" si="12"/>
        <v>46.8</v>
      </c>
      <c r="K201" s="317">
        <v>2006</v>
      </c>
      <c r="L201">
        <v>220</v>
      </c>
      <c r="M201" s="317">
        <f>AVERAGEIFS(data!$X$2:$X$3404,data!$B$2:$B$3404,K201,data!$K$2:$K$3404,"female",data!$P$2:$P$3404,L201)</f>
        <v>34.271250000000002</v>
      </c>
      <c r="N201" s="317"/>
      <c r="O201" s="317"/>
      <c r="P201" s="317">
        <f>AVERAGEIFS(data!$X$2:$X$3404,data!$B$2:$B$3404,K201,data!$L$2:$L$3404,"spent",data!$P$2:$P$3404,L201)</f>
        <v>34.271250000000002</v>
      </c>
      <c r="Q201" s="219">
        <f>AVERAGEIFS(data!$X$2:$X$3404,data!$B$2:$B$3404,K201,data!$P$2:$P$3404,L201)</f>
        <v>34.271250000000002</v>
      </c>
      <c r="S201">
        <v>30</v>
      </c>
      <c r="T201" s="339">
        <f t="shared" si="11"/>
        <v>30</v>
      </c>
    </row>
    <row r="202" spans="1:20" ht="14.1" customHeight="1" x14ac:dyDescent="0.25">
      <c r="A202" s="244">
        <v>2016</v>
      </c>
      <c r="B202" s="245" t="s">
        <v>19</v>
      </c>
      <c r="C202" s="246" t="s">
        <v>20</v>
      </c>
      <c r="D202" s="245" t="s">
        <v>21</v>
      </c>
      <c r="E202" s="247">
        <v>8</v>
      </c>
      <c r="F202" s="242" t="s">
        <v>507</v>
      </c>
      <c r="G202" s="242">
        <v>3.9</v>
      </c>
      <c r="H202" s="230">
        <f t="shared" si="12"/>
        <v>31.2</v>
      </c>
      <c r="K202" s="317">
        <v>2006</v>
      </c>
      <c r="L202">
        <v>223</v>
      </c>
      <c r="M202" s="317">
        <f>AVERAGEIFS(data!$X$2:$X$3404,data!$B$2:$B$3404,K202,data!$K$2:$K$3404,"female",data!$P$2:$P$3404,L202)</f>
        <v>37.443333333333335</v>
      </c>
      <c r="N202" s="317">
        <f>AVERAGEIFS(data!$X$2:$X$3404,data!$B$2:$B$3404,K202,data!$K$2:$K$3404,"male",data!$P$2:$P$3404,L202)</f>
        <v>75.239999999999995</v>
      </c>
      <c r="O202" s="317">
        <f>AVERAGEIFS(data!$X$2:$X$3404,data!$B$2:$B$3404,K202,data!$L$2:$L$3404,"gravid",data!$P$2:$P$3404,L202)</f>
        <v>51.519999999999996</v>
      </c>
      <c r="P202" s="317">
        <f>AVERAGEIFS(data!$X$2:$X$3404,data!$B$2:$B$3404,K202,data!$L$2:$L$3404,"spent",data!$P$2:$P$3404,L202)</f>
        <v>39.216666666666669</v>
      </c>
      <c r="Q202" s="219">
        <f>AVERAGEIFS(data!$X$2:$X$3404,data!$B$2:$B$3404,K202,data!$P$2:$P$3404,L202)</f>
        <v>40.350769230769238</v>
      </c>
      <c r="S202">
        <v>33</v>
      </c>
      <c r="T202" s="339">
        <f t="shared" si="11"/>
        <v>33</v>
      </c>
    </row>
    <row r="203" spans="1:20" ht="14.1" customHeight="1" x14ac:dyDescent="0.25">
      <c r="A203" s="244">
        <v>2016</v>
      </c>
      <c r="B203" s="245" t="s">
        <v>19</v>
      </c>
      <c r="C203" s="246" t="s">
        <v>20</v>
      </c>
      <c r="D203" s="245" t="s">
        <v>21</v>
      </c>
      <c r="E203" s="247">
        <v>14</v>
      </c>
      <c r="F203" s="242" t="s">
        <v>507</v>
      </c>
      <c r="G203" s="242">
        <v>3.9</v>
      </c>
      <c r="H203" s="230">
        <f t="shared" si="12"/>
        <v>54.6</v>
      </c>
      <c r="K203" s="342">
        <v>2006</v>
      </c>
      <c r="L203" s="342">
        <v>224</v>
      </c>
      <c r="M203" s="342">
        <f>AVERAGEIFS(data!$X$2:$X$3404,data!$B$2:$B$3404,K203,data!$K$2:$K$3404,"female",data!$P$2:$P$3404,L203)</f>
        <v>36.270000000000003</v>
      </c>
      <c r="N203" s="342"/>
      <c r="O203" s="342"/>
      <c r="P203" s="342">
        <f>AVERAGEIFS(data!$X$2:$X$3404,data!$B$2:$B$3404,K203,data!$L$2:$L$3404,"spent",data!$P$2:$P$3404,L203)</f>
        <v>36.270000000000003</v>
      </c>
      <c r="Q203" s="219">
        <f>AVERAGEIFS(data!$X$2:$X$3404,data!$B$2:$B$3404,K203,data!$P$2:$P$3404,L203)</f>
        <v>36.270000000000003</v>
      </c>
      <c r="R203" s="342"/>
      <c r="S203" s="342">
        <v>34</v>
      </c>
      <c r="T203" s="339">
        <f t="shared" si="11"/>
        <v>34</v>
      </c>
    </row>
    <row r="204" spans="1:20" ht="14.1" customHeight="1" x14ac:dyDescent="0.25">
      <c r="A204" s="244">
        <v>2016</v>
      </c>
      <c r="B204" s="245" t="s">
        <v>19</v>
      </c>
      <c r="C204" s="246" t="s">
        <v>20</v>
      </c>
      <c r="D204" s="245" t="s">
        <v>21</v>
      </c>
      <c r="E204" s="247">
        <v>10.5</v>
      </c>
      <c r="F204" s="242" t="s">
        <v>507</v>
      </c>
      <c r="G204" s="242">
        <v>3.9</v>
      </c>
      <c r="H204" s="230">
        <f t="shared" si="12"/>
        <v>40.949999999999996</v>
      </c>
      <c r="K204">
        <v>2005</v>
      </c>
      <c r="L204">
        <v>214</v>
      </c>
      <c r="M204" s="317">
        <f>AVERAGEIFS(data!$X$2:$X$3404,data!$B$2:$B$3404,K204,data!$K$2:$K$3404,"female",data!$P$2:$P$3404,L204)</f>
        <v>55.001666666666665</v>
      </c>
      <c r="N204" s="317">
        <f>AVERAGEIFS(data!$X$2:$X$3404,data!$B$2:$B$3404,K204,data!$K$2:$K$3404,"male",data!$P$2:$P$3404,L204)</f>
        <v>36.86</v>
      </c>
      <c r="O204" s="317">
        <f>AVERAGEIFS(data!$X$2:$X$3404,data!$B$2:$B$3404,K204,data!$L$2:$L$3404,"gravid",data!$P$2:$P$3404,L204)</f>
        <v>63.019999999999996</v>
      </c>
      <c r="P204" s="317">
        <f>AVERAGEIFS(data!$X$2:$X$3404,data!$B$2:$B$3404,K204,data!$L$2:$L$3404,"spent",data!$P$2:$P$3404,L204)</f>
        <v>50.992499999999993</v>
      </c>
      <c r="Q204" s="219">
        <f>AVERAGEIFS(data!$X$2:$X$3404,data!$B$2:$B$3404,K204,data!$P$2:$P$3404,L204)</f>
        <v>50.466250000000002</v>
      </c>
      <c r="R204">
        <v>30</v>
      </c>
      <c r="S204">
        <v>20</v>
      </c>
      <c r="T204" s="339">
        <f t="shared" si="11"/>
        <v>25</v>
      </c>
    </row>
    <row r="205" spans="1:20" ht="14.1" customHeight="1" x14ac:dyDescent="0.25">
      <c r="A205" s="244">
        <v>2016</v>
      </c>
      <c r="B205" s="245" t="s">
        <v>19</v>
      </c>
      <c r="C205" s="246" t="s">
        <v>20</v>
      </c>
      <c r="D205" s="245" t="s">
        <v>21</v>
      </c>
      <c r="E205" s="247">
        <v>12</v>
      </c>
      <c r="F205" s="242" t="s">
        <v>507</v>
      </c>
      <c r="G205" s="242">
        <v>3.9</v>
      </c>
      <c r="H205" s="230">
        <f t="shared" si="12"/>
        <v>46.8</v>
      </c>
      <c r="K205" s="317">
        <v>2005</v>
      </c>
      <c r="L205">
        <v>215</v>
      </c>
      <c r="M205" s="317">
        <f>AVERAGEIFS(data!$X$2:$X$3404,data!$B$2:$B$3404,K205,data!$K$2:$K$3404,"female",data!$P$2:$P$3404,L205)</f>
        <v>41.73</v>
      </c>
      <c r="N205" s="317">
        <f>AVERAGEIFS(data!$X$2:$X$3404,data!$B$2:$B$3404,K205,data!$K$2:$K$3404,"male",data!$P$2:$P$3404,L205)</f>
        <v>74.099999999999994</v>
      </c>
      <c r="O205" s="317"/>
      <c r="P205" s="317">
        <f>AVERAGEIFS(data!$X$2:$X$3404,data!$B$2:$B$3404,K205,data!$L$2:$L$3404,"spent",data!$P$2:$P$3404,L205)</f>
        <v>44.330000000000005</v>
      </c>
      <c r="Q205" s="219">
        <f>AVERAGEIFS(data!$X$2:$X$3404,data!$B$2:$B$3404,K205,data!$P$2:$P$3404,L205)</f>
        <v>43.348500000000008</v>
      </c>
      <c r="R205">
        <v>31</v>
      </c>
      <c r="S205">
        <v>21</v>
      </c>
      <c r="T205" s="339">
        <f t="shared" si="11"/>
        <v>26</v>
      </c>
    </row>
    <row r="206" spans="1:20" ht="14.1" customHeight="1" x14ac:dyDescent="0.25">
      <c r="A206" s="244">
        <v>2016</v>
      </c>
      <c r="B206" s="245" t="s">
        <v>19</v>
      </c>
      <c r="C206" s="246" t="s">
        <v>20</v>
      </c>
      <c r="D206" s="245" t="s">
        <v>21</v>
      </c>
      <c r="E206" s="247">
        <v>6</v>
      </c>
      <c r="F206" s="242" t="s">
        <v>507</v>
      </c>
      <c r="G206" s="242">
        <v>3.9</v>
      </c>
      <c r="H206" s="230">
        <f t="shared" si="12"/>
        <v>23.4</v>
      </c>
      <c r="K206" s="317">
        <v>2005</v>
      </c>
      <c r="L206">
        <v>220</v>
      </c>
      <c r="M206" s="317">
        <f>AVERAGEIFS(data!$X$2:$X$3404,data!$B$2:$B$3404,K206,data!$K$2:$K$3404,"female",data!$P$2:$P$3404,L206)</f>
        <v>36.502352941176468</v>
      </c>
      <c r="N206" s="317"/>
      <c r="O206" s="317">
        <f>AVERAGEIFS(data!$X$2:$X$3404,data!$B$2:$B$3404,K206,data!$L$2:$L$3404,"gravid",data!$P$2:$P$3404,L206)</f>
        <v>37.489999999999995</v>
      </c>
      <c r="P206" s="317">
        <f>AVERAGEIFS(data!$X$2:$X$3404,data!$B$2:$B$3404,K206,data!$L$2:$L$3404,"spent",data!$P$2:$P$3404,L206)</f>
        <v>36.440625000000004</v>
      </c>
      <c r="Q206" s="219">
        <f>AVERAGEIFS(data!$X$2:$X$3404,data!$B$2:$B$3404,K206,data!$P$2:$P$3404,L206)</f>
        <v>36.502352941176468</v>
      </c>
      <c r="R206">
        <v>36</v>
      </c>
      <c r="S206">
        <v>26</v>
      </c>
      <c r="T206" s="339">
        <f t="shared" si="11"/>
        <v>31</v>
      </c>
    </row>
    <row r="207" spans="1:20" ht="14.1" customHeight="1" x14ac:dyDescent="0.25">
      <c r="A207" s="244">
        <v>2016</v>
      </c>
      <c r="B207" s="245" t="s">
        <v>19</v>
      </c>
      <c r="C207" s="246" t="s">
        <v>20</v>
      </c>
      <c r="D207" s="245" t="s">
        <v>21</v>
      </c>
      <c r="E207" s="247">
        <v>11</v>
      </c>
      <c r="F207" s="242" t="s">
        <v>507</v>
      </c>
      <c r="G207" s="242">
        <v>3.9</v>
      </c>
      <c r="H207" s="230">
        <f t="shared" si="12"/>
        <v>42.9</v>
      </c>
      <c r="K207" s="342">
        <v>2005</v>
      </c>
      <c r="L207" s="342">
        <v>221</v>
      </c>
      <c r="M207" s="342">
        <f>AVERAGEIFS(data!$X$2:$X$3404,data!$B$2:$B$3404,K207,data!$K$2:$K$3404,"female",data!$P$2:$P$3404,L207)</f>
        <v>39.150769230769228</v>
      </c>
      <c r="N207" s="342"/>
      <c r="O207" s="342">
        <f>AVERAGEIFS(data!$X$2:$X$3404,data!$B$2:$B$3404,K207,data!$L$2:$L$3404,"gravid",data!$P$2:$P$3404,L207)</f>
        <v>43.699999999999996</v>
      </c>
      <c r="P207" s="342">
        <f>AVERAGEIFS(data!$X$2:$X$3404,data!$B$2:$B$3404,K207,data!$L$2:$L$3404,"spent",data!$P$2:$P$3404,L207)</f>
        <v>39.373750000000001</v>
      </c>
      <c r="Q207" s="219">
        <f>AVERAGEIFS(data!$X$2:$X$3404,data!$B$2:$B$3404,K207,data!$P$2:$P$3404,L207)</f>
        <v>39.150769230769228</v>
      </c>
      <c r="R207" s="342">
        <v>37</v>
      </c>
      <c r="S207" s="342">
        <v>27</v>
      </c>
      <c r="T207" s="339">
        <f t="shared" si="11"/>
        <v>32</v>
      </c>
    </row>
    <row r="208" spans="1:20" ht="14.1" customHeight="1" x14ac:dyDescent="0.25">
      <c r="A208" s="244">
        <v>2016</v>
      </c>
      <c r="B208" s="245" t="s">
        <v>19</v>
      </c>
      <c r="C208" s="246" t="s">
        <v>20</v>
      </c>
      <c r="D208" s="245" t="s">
        <v>21</v>
      </c>
      <c r="E208" s="247">
        <v>14.5</v>
      </c>
      <c r="F208" s="242" t="s">
        <v>507</v>
      </c>
      <c r="G208" s="242">
        <v>3.9</v>
      </c>
      <c r="H208" s="230">
        <f t="shared" si="12"/>
        <v>56.55</v>
      </c>
      <c r="K208">
        <v>2004</v>
      </c>
      <c r="L208">
        <v>208</v>
      </c>
      <c r="M208" s="317">
        <f>AVERAGEIFS(data!$X$2:$X$3404,data!$B$2:$B$3404,K208,data!$K$2:$K$3404,"female",data!$P$2:$P$3404,L208)</f>
        <v>52.884615384615373</v>
      </c>
      <c r="N208" s="317"/>
      <c r="O208" s="317">
        <f>AVERAGEIFS(data!$X$2:$X$3404,data!$B$2:$B$3404,K208,data!$L$2:$L$3404,"gravid",data!$P$2:$P$3404,L208)</f>
        <v>56.73333333333332</v>
      </c>
      <c r="P208" s="317">
        <f>AVERAGEIFS(data!$X$2:$X$3404,data!$B$2:$B$3404,K208,data!$L$2:$L$3404,"spent",data!$P$2:$P$3404,L208)</f>
        <v>49.585714285714289</v>
      </c>
      <c r="Q208" s="219">
        <f>AVERAGEIFS(data!$X$2:$X$3404,data!$B$2:$B$3404,K208,data!$P$2:$P$3404,L208)</f>
        <v>52.884615384615373</v>
      </c>
      <c r="R208">
        <v>17</v>
      </c>
      <c r="S208">
        <v>4</v>
      </c>
      <c r="T208" s="339">
        <f t="shared" si="11"/>
        <v>10.5</v>
      </c>
    </row>
    <row r="209" spans="1:20" ht="14.1" customHeight="1" x14ac:dyDescent="0.25">
      <c r="A209" s="244">
        <v>2016</v>
      </c>
      <c r="B209" s="245" t="s">
        <v>19</v>
      </c>
      <c r="C209" s="246" t="s">
        <v>20</v>
      </c>
      <c r="D209" s="245" t="s">
        <v>21</v>
      </c>
      <c r="E209" s="247">
        <v>9</v>
      </c>
      <c r="F209" s="242" t="s">
        <v>507</v>
      </c>
      <c r="G209" s="242">
        <v>3.9</v>
      </c>
      <c r="H209" s="230">
        <f t="shared" si="12"/>
        <v>35.1</v>
      </c>
      <c r="K209" s="317">
        <v>2004</v>
      </c>
      <c r="L209">
        <v>210</v>
      </c>
      <c r="M209" s="317">
        <f>AVERAGEIFS(data!$X$2:$X$3404,data!$B$2:$B$3404,K209,data!$K$2:$K$3404,"female",data!$P$2:$P$3404,L209)</f>
        <v>49.381818181818176</v>
      </c>
      <c r="N209" s="317">
        <f>AVERAGEIFS(data!$X$2:$X$3404,data!$B$2:$B$3404,K209,data!$K$2:$K$3404,"male",data!$P$2:$P$3404,L209)</f>
        <v>91.199999999999989</v>
      </c>
      <c r="O209" s="317">
        <f>AVERAGEIFS(data!$X$2:$X$3404,data!$B$2:$B$3404,K209,data!$L$2:$L$3404,"gravid",data!$P$2:$P$3404,L209)</f>
        <v>50.599999999999994</v>
      </c>
      <c r="P209" s="317">
        <f>AVERAGEIFS(data!$X$2:$X$3404,data!$B$2:$B$3404,K209,data!$L$2:$L$3404,"spent",data!$P$2:$P$3404,L209)</f>
        <v>45.825000000000003</v>
      </c>
      <c r="Q209" s="219">
        <f>AVERAGEIFS(data!$X$2:$X$3404,data!$B$2:$B$3404,K209,data!$P$2:$P$3404,L209)</f>
        <v>51.199999999999996</v>
      </c>
      <c r="R209">
        <v>19</v>
      </c>
      <c r="S209">
        <v>6</v>
      </c>
      <c r="T209" s="339">
        <f t="shared" si="11"/>
        <v>12.5</v>
      </c>
    </row>
    <row r="210" spans="1:20" ht="15.75" x14ac:dyDescent="0.25">
      <c r="A210" s="244">
        <v>2016</v>
      </c>
      <c r="B210" s="245" t="s">
        <v>19</v>
      </c>
      <c r="C210" s="246" t="s">
        <v>20</v>
      </c>
      <c r="D210" s="245" t="s">
        <v>21</v>
      </c>
      <c r="E210" s="247">
        <v>13</v>
      </c>
      <c r="F210" s="242" t="s">
        <v>507</v>
      </c>
      <c r="G210" s="242">
        <v>3.9</v>
      </c>
      <c r="H210" s="230">
        <f t="shared" si="12"/>
        <v>50.699999999999996</v>
      </c>
      <c r="K210" s="317">
        <v>2004</v>
      </c>
      <c r="L210">
        <v>211</v>
      </c>
      <c r="M210" s="317">
        <f>AVERAGEIFS(data!$X$2:$X$3404,data!$B$2:$B$3404,K210,data!$K$2:$K$3404,"female",data!$P$2:$P$3404,L210)</f>
        <v>50.402272727272731</v>
      </c>
      <c r="N210" s="317"/>
      <c r="O210" s="317">
        <f>AVERAGEIFS(data!$X$2:$X$3404,data!$B$2:$B$3404,K210,data!$L$2:$L$3404,"gravid",data!$P$2:$P$3404,L210)</f>
        <v>53.401818181818179</v>
      </c>
      <c r="P210" s="317">
        <f>AVERAGEIFS(data!$X$2:$X$3404,data!$B$2:$B$3404,K210,data!$L$2:$L$3404,"spent",data!$P$2:$P$3404,L210)</f>
        <v>47.402727272727276</v>
      </c>
      <c r="Q210" s="219">
        <f>AVERAGEIFS(data!$X$2:$X$3404,data!$B$2:$B$3404,K210,data!$P$2:$P$3404,L210)</f>
        <v>50.402272727272731</v>
      </c>
      <c r="R210">
        <v>20</v>
      </c>
      <c r="S210">
        <v>7</v>
      </c>
      <c r="T210" s="339">
        <f t="shared" si="11"/>
        <v>13.5</v>
      </c>
    </row>
    <row r="211" spans="1:20" ht="15.75" x14ac:dyDescent="0.25">
      <c r="A211" s="244">
        <v>2016</v>
      </c>
      <c r="B211" s="245" t="s">
        <v>19</v>
      </c>
      <c r="C211" s="246" t="s">
        <v>20</v>
      </c>
      <c r="D211" s="245" t="s">
        <v>21</v>
      </c>
      <c r="E211" s="247">
        <v>5</v>
      </c>
      <c r="F211" s="242" t="s">
        <v>507</v>
      </c>
      <c r="G211" s="242">
        <v>3.9</v>
      </c>
      <c r="H211" s="230">
        <f t="shared" si="12"/>
        <v>19.5</v>
      </c>
      <c r="K211" s="317">
        <v>2004</v>
      </c>
      <c r="L211">
        <v>212</v>
      </c>
      <c r="M211" s="317">
        <f>AVERAGEIFS(data!$X$2:$X$3404,data!$B$2:$B$3404,K211,data!$K$2:$K$3404,"female",data!$P$2:$P$3404,L211)</f>
        <v>52.866500000000009</v>
      </c>
      <c r="N211" s="317"/>
      <c r="O211" s="317">
        <f>AVERAGEIFS(data!$X$2:$X$3404,data!$B$2:$B$3404,K211,data!$L$2:$L$3404,"gravid",data!$P$2:$P$3404,L211)</f>
        <v>60.259999999999991</v>
      </c>
      <c r="P211" s="317">
        <f>AVERAGEIFS(data!$X$2:$X$3404,data!$B$2:$B$3404,K211,data!$L$2:$L$3404,"spent",data!$P$2:$P$3404,L211)</f>
        <v>47.9375</v>
      </c>
      <c r="Q211" s="219">
        <f>AVERAGEIFS(data!$X$2:$X$3404,data!$B$2:$B$3404,K211,data!$P$2:$P$3404,L211)</f>
        <v>52.866500000000009</v>
      </c>
      <c r="R211">
        <v>21</v>
      </c>
      <c r="S211">
        <v>8</v>
      </c>
      <c r="T211" s="339">
        <f t="shared" si="11"/>
        <v>14.5</v>
      </c>
    </row>
    <row r="212" spans="1:20" ht="15.75" x14ac:dyDescent="0.25">
      <c r="A212" s="244">
        <v>2016</v>
      </c>
      <c r="B212" s="245" t="s">
        <v>19</v>
      </c>
      <c r="C212" s="246" t="s">
        <v>20</v>
      </c>
      <c r="D212" s="245" t="s">
        <v>21</v>
      </c>
      <c r="E212" s="247">
        <v>18</v>
      </c>
      <c r="F212" s="242" t="s">
        <v>507</v>
      </c>
      <c r="G212" s="242">
        <v>3.9</v>
      </c>
      <c r="H212" s="230">
        <f t="shared" si="12"/>
        <v>70.2</v>
      </c>
      <c r="K212" s="317">
        <v>2004</v>
      </c>
      <c r="L212">
        <v>213</v>
      </c>
      <c r="M212" s="317">
        <f>AVERAGEIFS(data!$X$2:$X$3404,data!$B$2:$B$3404,K212,data!$K$2:$K$3404,"female",data!$P$2:$P$3404,L212)</f>
        <v>48.671999999999997</v>
      </c>
      <c r="N212" s="317"/>
      <c r="O212" s="317">
        <f>AVERAGEIFS(data!$X$2:$X$3404,data!$B$2:$B$3404,K212,data!$L$2:$L$3404,"gravid",data!$P$2:$P$3404,L212)</f>
        <v>47.839999999999996</v>
      </c>
      <c r="P212" s="317">
        <f>AVERAGEIFS(data!$X$2:$X$3404,data!$B$2:$B$3404,K212,data!$L$2:$L$3404,"spent",data!$P$2:$P$3404,L212)</f>
        <v>49.14</v>
      </c>
      <c r="Q212" s="219">
        <f>AVERAGEIFS(data!$X$2:$X$3404,data!$B$2:$B$3404,K212,data!$P$2:$P$3404,L212)</f>
        <v>48.671999999999997</v>
      </c>
      <c r="R212">
        <v>22</v>
      </c>
      <c r="S212">
        <v>9</v>
      </c>
      <c r="T212" s="339">
        <f t="shared" si="11"/>
        <v>15.5</v>
      </c>
    </row>
    <row r="213" spans="1:20" ht="15.75" x14ac:dyDescent="0.25">
      <c r="A213" s="244">
        <v>2016</v>
      </c>
      <c r="B213" s="245" t="s">
        <v>19</v>
      </c>
      <c r="C213" s="246" t="s">
        <v>20</v>
      </c>
      <c r="D213" s="245" t="s">
        <v>21</v>
      </c>
      <c r="E213" s="247">
        <v>9</v>
      </c>
      <c r="F213" s="242" t="s">
        <v>507</v>
      </c>
      <c r="G213" s="242">
        <v>3.9</v>
      </c>
      <c r="H213" s="230">
        <f t="shared" si="12"/>
        <v>35.1</v>
      </c>
      <c r="K213" s="317">
        <v>2004</v>
      </c>
      <c r="L213">
        <v>214</v>
      </c>
      <c r="M213" s="317">
        <f>AVERAGEIFS(data!$X$2:$X$3404,data!$B$2:$B$3404,K213,data!$K$2:$K$3404,"female",data!$P$2:$P$3404,L213)</f>
        <v>47.015416666666653</v>
      </c>
      <c r="N213" s="317"/>
      <c r="O213" s="317">
        <f>AVERAGEIFS(data!$X$2:$X$3404,data!$B$2:$B$3404,K213,data!$L$2:$L$3404,"gravid",data!$P$2:$P$3404,L213)</f>
        <v>45.386666666666677</v>
      </c>
      <c r="P213" s="317">
        <f>AVERAGEIFS(data!$X$2:$X$3404,data!$B$2:$B$3404,K213,data!$L$2:$L$3404,"spent",data!$P$2:$P$3404,L213)</f>
        <v>47.55833333333333</v>
      </c>
      <c r="Q213" s="219">
        <f>AVERAGEIFS(data!$X$2:$X$3404,data!$B$2:$B$3404,K213,data!$P$2:$P$3404,L213)</f>
        <v>47.015416666666653</v>
      </c>
      <c r="R213">
        <v>23</v>
      </c>
      <c r="S213">
        <v>10</v>
      </c>
      <c r="T213" s="339">
        <f t="shared" si="11"/>
        <v>16.5</v>
      </c>
    </row>
    <row r="214" spans="1:20" ht="15.75" x14ac:dyDescent="0.25">
      <c r="A214" s="244">
        <v>2016</v>
      </c>
      <c r="B214" s="245" t="s">
        <v>19</v>
      </c>
      <c r="C214" s="246" t="s">
        <v>20</v>
      </c>
      <c r="D214" s="245" t="s">
        <v>21</v>
      </c>
      <c r="E214" s="247">
        <v>10</v>
      </c>
      <c r="F214" s="242" t="s">
        <v>507</v>
      </c>
      <c r="G214" s="242">
        <v>3.9</v>
      </c>
      <c r="H214" s="230">
        <f t="shared" si="12"/>
        <v>39</v>
      </c>
      <c r="K214" s="342">
        <v>2004</v>
      </c>
      <c r="L214" s="342">
        <v>215</v>
      </c>
      <c r="M214" s="342">
        <f>AVERAGEIFS(data!$X$2:$X$3404,data!$B$2:$B$3404,K214,data!$K$2:$K$3404,"female",data!$P$2:$P$3404,L214)</f>
        <v>37.180555555555557</v>
      </c>
      <c r="N214" s="342"/>
      <c r="O214" s="342">
        <f>AVERAGEIFS(data!$X$2:$X$3404,data!$B$2:$B$3404,K214,data!$L$2:$L$3404,"gravid",data!$P$2:$P$3404,L214)</f>
        <v>41.016666666666666</v>
      </c>
      <c r="P214" s="342">
        <f>AVERAGEIFS(data!$X$2:$X$3404,data!$B$2:$B$3404,K214,data!$L$2:$L$3404,"spent",data!$P$2:$P$3404,L214)</f>
        <v>35.262499999999996</v>
      </c>
      <c r="Q214" s="219">
        <f>AVERAGEIFS(data!$X$2:$X$3404,data!$B$2:$B$3404,K214,data!$P$2:$P$3404,L214)</f>
        <v>37.180555555555557</v>
      </c>
      <c r="R214" s="342">
        <v>24</v>
      </c>
      <c r="S214" s="342">
        <v>11</v>
      </c>
      <c r="T214" s="339">
        <f t="shared" si="11"/>
        <v>17.5</v>
      </c>
    </row>
    <row r="215" spans="1:20" ht="15.75" x14ac:dyDescent="0.25">
      <c r="A215" s="244">
        <v>2016</v>
      </c>
      <c r="B215" s="245" t="s">
        <v>19</v>
      </c>
      <c r="C215" s="246" t="s">
        <v>20</v>
      </c>
      <c r="D215" s="245" t="s">
        <v>21</v>
      </c>
      <c r="E215" s="247">
        <v>13.5</v>
      </c>
      <c r="F215" s="242" t="s">
        <v>507</v>
      </c>
      <c r="G215" s="242">
        <v>3.9</v>
      </c>
      <c r="H215" s="230">
        <f t="shared" si="12"/>
        <v>52.65</v>
      </c>
      <c r="K215">
        <v>2003</v>
      </c>
      <c r="L215">
        <v>209</v>
      </c>
      <c r="M215" s="317"/>
      <c r="N215" s="317">
        <f>AVERAGEIFS(data!$X$2:$X$3404,data!$B$2:$B$3404,K215,data!$K$2:$K$3404,"male",data!$P$2:$P$3404,L215)</f>
        <v>58.14</v>
      </c>
      <c r="O215" s="317"/>
      <c r="P215" s="317">
        <f>AVERAGEIFS(data!$X$2:$X$3404,data!$B$2:$B$3404,K215,data!$L$2:$L$3404,"spent",data!$P$2:$P$3404,L215)</f>
        <v>23.4</v>
      </c>
      <c r="Q215" s="219"/>
      <c r="R215">
        <v>13</v>
      </c>
      <c r="S215">
        <v>2</v>
      </c>
      <c r="T215" s="339">
        <f t="shared" ref="T215:T278" si="13">AVERAGE(R215:S215)</f>
        <v>7.5</v>
      </c>
    </row>
    <row r="216" spans="1:20" ht="15.75" x14ac:dyDescent="0.25">
      <c r="A216" s="244">
        <v>2016</v>
      </c>
      <c r="B216" s="245" t="s">
        <v>19</v>
      </c>
      <c r="C216" s="246" t="s">
        <v>20</v>
      </c>
      <c r="D216" s="245" t="s">
        <v>21</v>
      </c>
      <c r="E216" s="247">
        <v>10.199999999999999</v>
      </c>
      <c r="F216" s="242" t="s">
        <v>507</v>
      </c>
      <c r="G216" s="242">
        <v>3.9</v>
      </c>
      <c r="H216" s="230">
        <f t="shared" si="12"/>
        <v>39.779999999999994</v>
      </c>
      <c r="K216" s="317">
        <v>2003</v>
      </c>
      <c r="L216">
        <v>210</v>
      </c>
      <c r="M216" s="317">
        <f>AVERAGEIFS(data!$X$2:$X$3404,data!$B$2:$B$3404,K216,data!$K$2:$K$3404,"female",data!$P$2:$P$3404,L216)</f>
        <v>56.445833333333326</v>
      </c>
      <c r="N216" s="317">
        <f>AVERAGEIFS(data!$X$2:$X$3404,data!$B$2:$B$3404,K216,data!$K$2:$K$3404,"male",data!$P$2:$P$3404,L216)</f>
        <v>72.2</v>
      </c>
      <c r="O216" s="317">
        <f>AVERAGEIFS(data!$X$2:$X$3404,data!$B$2:$B$3404,K216,data!$L$2:$L$3404,"gravid",data!$P$2:$P$3404,L216)</f>
        <v>57.499999999999993</v>
      </c>
      <c r="P216" s="317">
        <f>AVERAGEIFS(data!$X$2:$X$3404,data!$B$2:$B$3404,K216,data!$L$2:$L$3404,"spent",data!$P$2:$P$3404,L216)</f>
        <v>44.85</v>
      </c>
      <c r="Q216" s="219">
        <f>AVERAGEIFS(data!$X$2:$X$3404,data!$B$2:$B$3404,K216,data!$P$2:$P$3404,L216)</f>
        <v>57.657692307692301</v>
      </c>
      <c r="R216">
        <v>14</v>
      </c>
      <c r="S216">
        <v>3</v>
      </c>
      <c r="T216" s="339">
        <f t="shared" si="13"/>
        <v>8.5</v>
      </c>
    </row>
    <row r="217" spans="1:20" ht="15.75" x14ac:dyDescent="0.25">
      <c r="A217" s="244">
        <v>2016</v>
      </c>
      <c r="B217" s="245" t="s">
        <v>19</v>
      </c>
      <c r="C217" s="246" t="s">
        <v>20</v>
      </c>
      <c r="D217" s="245" t="s">
        <v>21</v>
      </c>
      <c r="E217" s="247">
        <v>11</v>
      </c>
      <c r="F217" s="242" t="s">
        <v>507</v>
      </c>
      <c r="G217" s="242">
        <v>3.9</v>
      </c>
      <c r="H217" s="230">
        <f t="shared" si="12"/>
        <v>42.9</v>
      </c>
      <c r="K217" s="317">
        <v>2003</v>
      </c>
      <c r="L217">
        <v>211</v>
      </c>
      <c r="M217" s="317">
        <f>AVERAGEIFS(data!$X$2:$X$3404,data!$B$2:$B$3404,K217,data!$K$2:$K$3404,"female",data!$P$2:$P$3404,L217)</f>
        <v>62.133870967741935</v>
      </c>
      <c r="N217" s="317">
        <f>AVERAGEIFS(data!$X$2:$X$3404,data!$B$2:$B$3404,K217,data!$K$2:$K$3404,"male",data!$P$2:$P$3404,L217)</f>
        <v>73.625</v>
      </c>
      <c r="O217" s="317">
        <f>AVERAGEIFS(data!$X$2:$X$3404,data!$B$2:$B$3404,K217,data!$L$2:$L$3404,"gravid",data!$P$2:$P$3404,L217)</f>
        <v>64.911111111111097</v>
      </c>
      <c r="P217" s="317">
        <f>AVERAGEIFS(data!$X$2:$X$3404,data!$B$2:$B$3404,K217,data!$L$2:$L$3404,"spent",data!$P$2:$P$3404,L217)</f>
        <v>43.387500000000003</v>
      </c>
      <c r="Q217" s="219">
        <f>AVERAGEIFS(data!$X$2:$X$3404,data!$B$2:$B$3404,K217,data!$P$2:$P$3404,L217)</f>
        <v>63.447142857142858</v>
      </c>
      <c r="R217">
        <v>15</v>
      </c>
      <c r="S217">
        <v>4</v>
      </c>
      <c r="T217" s="339">
        <f t="shared" si="13"/>
        <v>9.5</v>
      </c>
    </row>
    <row r="218" spans="1:20" ht="15.75" x14ac:dyDescent="0.25">
      <c r="A218" s="244">
        <v>2016</v>
      </c>
      <c r="B218" s="245" t="s">
        <v>19</v>
      </c>
      <c r="C218" s="246" t="s">
        <v>20</v>
      </c>
      <c r="D218" s="245" t="s">
        <v>21</v>
      </c>
      <c r="E218" s="247">
        <v>10</v>
      </c>
      <c r="F218" s="242" t="s">
        <v>507</v>
      </c>
      <c r="G218" s="242">
        <v>3.9</v>
      </c>
      <c r="H218" s="230">
        <f t="shared" si="12"/>
        <v>39</v>
      </c>
      <c r="K218" s="317">
        <v>2003</v>
      </c>
      <c r="L218">
        <v>214</v>
      </c>
      <c r="M218" s="317">
        <f>AVERAGEIFS(data!$X$2:$X$3404,data!$B$2:$B$3404,K218,data!$K$2:$K$3404,"female",data!$P$2:$P$3404,L218)</f>
        <v>73.599999999999994</v>
      </c>
      <c r="N218" s="317"/>
      <c r="O218" s="317">
        <f>AVERAGEIFS(data!$X$2:$X$3404,data!$B$2:$B$3404,K218,data!$L$2:$L$3404,"gravid",data!$P$2:$P$3404,L218)</f>
        <v>73.599999999999994</v>
      </c>
      <c r="P218" s="317"/>
      <c r="Q218" s="219">
        <f>AVERAGEIFS(data!$X$2:$X$3404,data!$B$2:$B$3404,K218,data!$P$2:$P$3404,L218)</f>
        <v>73.599999999999994</v>
      </c>
      <c r="R218">
        <v>18</v>
      </c>
      <c r="S218">
        <v>7</v>
      </c>
      <c r="T218" s="339">
        <f t="shared" si="13"/>
        <v>12.5</v>
      </c>
    </row>
    <row r="219" spans="1:20" ht="15.75" x14ac:dyDescent="0.25">
      <c r="A219" s="244">
        <v>2016</v>
      </c>
      <c r="B219" s="245" t="s">
        <v>19</v>
      </c>
      <c r="C219" s="246" t="s">
        <v>20</v>
      </c>
      <c r="D219" s="245" t="s">
        <v>21</v>
      </c>
      <c r="E219" s="247">
        <v>7.5</v>
      </c>
      <c r="F219" s="242" t="s">
        <v>507</v>
      </c>
      <c r="G219" s="242">
        <v>3.9</v>
      </c>
      <c r="H219" s="230">
        <f t="shared" si="12"/>
        <v>29.25</v>
      </c>
      <c r="K219" s="342">
        <v>2003</v>
      </c>
      <c r="L219" s="342">
        <v>219</v>
      </c>
      <c r="M219" s="342">
        <f>AVERAGEIFS(data!$X$2:$X$3404,data!$B$2:$B$3404,K219,data!$K$2:$K$3404,"female",data!$P$2:$P$3404,L219)</f>
        <v>44.905555555555559</v>
      </c>
      <c r="N219" s="342"/>
      <c r="O219" s="342">
        <f>AVERAGEIFS(data!$X$2:$X$3404,data!$B$2:$B$3404,K219,data!$L$2:$L$3404,"gravid",data!$P$2:$P$3404,L219)</f>
        <v>52.9</v>
      </c>
      <c r="P219" s="342">
        <f>AVERAGEIFS(data!$X$2:$X$3404,data!$B$2:$B$3404,K219,data!$L$2:$L$3404,"spent",data!$P$2:$P$3404,L219)</f>
        <v>42.621428571428574</v>
      </c>
      <c r="Q219" s="219">
        <f>AVERAGEIFS(data!$X$2:$X$3404,data!$B$2:$B$3404,K219,data!$P$2:$P$3404,L219)</f>
        <v>44.905555555555559</v>
      </c>
      <c r="R219" s="342">
        <v>23</v>
      </c>
      <c r="S219" s="342">
        <v>12</v>
      </c>
      <c r="T219" s="339">
        <f t="shared" si="13"/>
        <v>17.5</v>
      </c>
    </row>
    <row r="220" spans="1:20" ht="15.75" x14ac:dyDescent="0.25">
      <c r="A220" s="244">
        <v>2016</v>
      </c>
      <c r="B220" s="245" t="s">
        <v>19</v>
      </c>
      <c r="C220" s="246" t="s">
        <v>20</v>
      </c>
      <c r="D220" s="245" t="s">
        <v>21</v>
      </c>
      <c r="E220" s="247">
        <v>12</v>
      </c>
      <c r="F220" s="242" t="s">
        <v>507</v>
      </c>
      <c r="G220" s="242">
        <v>3.9</v>
      </c>
      <c r="H220" s="230">
        <f t="shared" si="12"/>
        <v>46.8</v>
      </c>
      <c r="K220">
        <v>2002</v>
      </c>
      <c r="L220">
        <v>218</v>
      </c>
      <c r="M220" s="317">
        <f>AVERAGEIFS(data!$X$2:$X$3404,data!$B$2:$B$3404,K220,data!$K$2:$K$3404,"female",data!$P$2:$P$3404,L220)</f>
        <v>51.291000000000004</v>
      </c>
      <c r="N220" s="317"/>
      <c r="O220" s="317">
        <f>AVERAGEIFS(data!$X$2:$X$3404,data!$B$2:$B$3404,K220,data!$L$2:$L$3404,"gravid",data!$P$2:$P$3404,L220)</f>
        <v>61.114285714285707</v>
      </c>
      <c r="P220" s="317">
        <f>AVERAGEIFS(data!$X$2:$X$3404,data!$B$2:$B$3404,K220,data!$L$2:$L$3404,"spent",data!$P$2:$P$3404,L220)</f>
        <v>45.788888888888884</v>
      </c>
      <c r="Q220" s="219">
        <f>AVERAGEIFS(data!$X$2:$X$3404,data!$B$2:$B$3404,K220,data!$P$2:$P$3404,L220)</f>
        <v>51.291000000000004</v>
      </c>
      <c r="S220"/>
    </row>
    <row r="221" spans="1:20" ht="15.75" x14ac:dyDescent="0.25">
      <c r="A221" s="244">
        <v>2016</v>
      </c>
      <c r="B221" s="245" t="s">
        <v>19</v>
      </c>
      <c r="C221" s="246" t="s">
        <v>20</v>
      </c>
      <c r="D221" s="245" t="s">
        <v>21</v>
      </c>
      <c r="E221" s="247">
        <v>10</v>
      </c>
      <c r="F221" s="242" t="s">
        <v>507</v>
      </c>
      <c r="G221" s="242">
        <v>3.9</v>
      </c>
      <c r="H221" s="230">
        <f t="shared" si="12"/>
        <v>39</v>
      </c>
      <c r="K221" s="317">
        <v>2002</v>
      </c>
      <c r="L221">
        <v>219</v>
      </c>
      <c r="M221" s="317">
        <f>AVERAGEIFS(data!$X$2:$X$3404,data!$B$2:$B$3404,K221,data!$K$2:$K$3404,"female",data!$P$2:$P$3404,L221)</f>
        <v>50.110416666666659</v>
      </c>
      <c r="N221" s="317">
        <f>AVERAGEIFS(data!$X$2:$X$3404,data!$B$2:$B$3404,K221,data!$K$2:$K$3404,"male",data!$P$2:$P$3404,L221)</f>
        <v>70.3</v>
      </c>
      <c r="O221" s="317">
        <f>AVERAGEIFS(data!$X$2:$X$3404,data!$B$2:$B$3404,K221,data!$L$2:$L$3404,"gravid",data!$P$2:$P$3404,L221)</f>
        <v>53.310714285714269</v>
      </c>
      <c r="P221" s="317">
        <f>AVERAGEIFS(data!$X$2:$X$3404,data!$B$2:$B$3404,K221,data!$L$2:$L$3404,"spent",data!$P$2:$P$3404,L221)</f>
        <v>45.629999999999995</v>
      </c>
      <c r="Q221" s="219">
        <f>AVERAGEIFS(data!$X$2:$X$3404,data!$B$2:$B$3404,K221,data!$P$2:$P$3404,L221)</f>
        <v>50.917999999999992</v>
      </c>
      <c r="S221"/>
    </row>
    <row r="222" spans="1:20" ht="15.75" x14ac:dyDescent="0.25">
      <c r="A222" s="244">
        <v>2016</v>
      </c>
      <c r="B222" s="245" t="s">
        <v>19</v>
      </c>
      <c r="C222" s="246" t="s">
        <v>20</v>
      </c>
      <c r="D222" s="245" t="s">
        <v>21</v>
      </c>
      <c r="E222" s="247">
        <v>9.5</v>
      </c>
      <c r="F222" s="242" t="s">
        <v>507</v>
      </c>
      <c r="G222" s="242">
        <v>3.9</v>
      </c>
      <c r="H222" s="230">
        <f t="shared" si="12"/>
        <v>37.049999999999997</v>
      </c>
      <c r="K222" s="317">
        <v>2002</v>
      </c>
      <c r="L222">
        <v>220</v>
      </c>
      <c r="M222" s="317">
        <f>AVERAGEIFS(data!$X$2:$X$3404,data!$B$2:$B$3404,K222,data!$K$2:$K$3404,"female",data!$P$2:$P$3404,L222)</f>
        <v>58.214893617021282</v>
      </c>
      <c r="N222" s="317">
        <f>AVERAGEIFS(data!$X$2:$X$3404,data!$B$2:$B$3404,K222,data!$K$2:$K$3404,"male",data!$P$2:$P$3404,L222)</f>
        <v>60.8</v>
      </c>
      <c r="O222" s="317">
        <f>AVERAGEIFS(data!$X$2:$X$3404,data!$B$2:$B$3404,K222,data!$L$2:$L$3404,"gravid",data!$P$2:$P$3404,L222)</f>
        <v>61.56333333333334</v>
      </c>
      <c r="P222" s="317">
        <f>AVERAGEIFS(data!$X$2:$X$3404,data!$B$2:$B$3404,K222,data!$L$2:$L$3404,"spent",data!$P$2:$P$3404,L222)</f>
        <v>52.305882352941168</v>
      </c>
      <c r="Q222" s="219">
        <f>AVERAGEIFS(data!$X$2:$X$3404,data!$B$2:$B$3404,K222,data!$P$2:$P$3404,L222)</f>
        <v>58.32040816326532</v>
      </c>
      <c r="S222"/>
    </row>
    <row r="223" spans="1:20" ht="15.75" x14ac:dyDescent="0.25">
      <c r="A223" s="244">
        <v>2016</v>
      </c>
      <c r="B223" s="245" t="s">
        <v>19</v>
      </c>
      <c r="C223" s="246" t="s">
        <v>20</v>
      </c>
      <c r="D223" s="245" t="s">
        <v>21</v>
      </c>
      <c r="E223" s="247">
        <v>14.5</v>
      </c>
      <c r="F223" s="242" t="s">
        <v>507</v>
      </c>
      <c r="G223" s="242">
        <v>3.9</v>
      </c>
      <c r="H223" s="230">
        <f t="shared" si="12"/>
        <v>56.55</v>
      </c>
      <c r="K223" s="317">
        <v>2002</v>
      </c>
      <c r="L223">
        <v>221</v>
      </c>
      <c r="M223" s="317">
        <f>AVERAGEIFS(data!$X$2:$X$3404,data!$B$2:$B$3404,K223,data!$K$2:$K$3404,"female",data!$P$2:$P$3404,L223)</f>
        <v>45.035294117647048</v>
      </c>
      <c r="N223" s="317"/>
      <c r="O223" s="317">
        <f>AVERAGEIFS(data!$X$2:$X$3404,data!$B$2:$B$3404,K223,data!$L$2:$L$3404,"gravid",data!$P$2:$P$3404,L223)</f>
        <v>50.809090909090898</v>
      </c>
      <c r="P223" s="317">
        <f>AVERAGEIFS(data!$X$2:$X$3404,data!$B$2:$B$3404,K223,data!$L$2:$L$3404,"spent",data!$P$2:$P$3404,L223)</f>
        <v>34.450000000000003</v>
      </c>
      <c r="Q223" s="219">
        <f>AVERAGEIFS(data!$X$2:$X$3404,data!$B$2:$B$3404,K223,data!$P$2:$P$3404,L223)</f>
        <v>45.035294117647048</v>
      </c>
      <c r="S223"/>
    </row>
    <row r="224" spans="1:20" ht="15.75" x14ac:dyDescent="0.25">
      <c r="A224" s="244">
        <v>2016</v>
      </c>
      <c r="B224" s="245" t="s">
        <v>19</v>
      </c>
      <c r="C224" s="246" t="s">
        <v>34</v>
      </c>
      <c r="D224" s="245"/>
      <c r="E224" s="247">
        <v>19</v>
      </c>
      <c r="F224" s="242" t="s">
        <v>508</v>
      </c>
      <c r="G224" s="242">
        <v>3.8</v>
      </c>
      <c r="H224" s="230">
        <f t="shared" si="12"/>
        <v>72.2</v>
      </c>
      <c r="K224" s="317">
        <v>2002</v>
      </c>
      <c r="L224">
        <v>223</v>
      </c>
      <c r="M224" s="317"/>
      <c r="N224" s="317">
        <f>AVERAGEIFS(data!$X$2:$X$3404,data!$B$2:$B$3404,K224,data!$K$2:$K$3404,"male",data!$P$2:$P$3404,L224)</f>
        <v>72.199999999999989</v>
      </c>
      <c r="O224" s="317"/>
      <c r="P224" s="317"/>
      <c r="Q224" s="219"/>
      <c r="S224"/>
    </row>
    <row r="225" spans="1:19" ht="15.75" x14ac:dyDescent="0.25">
      <c r="A225" s="244">
        <v>2016</v>
      </c>
      <c r="B225" s="245" t="s">
        <v>19</v>
      </c>
      <c r="C225" s="246" t="s">
        <v>34</v>
      </c>
      <c r="D225" s="245"/>
      <c r="E225" s="247">
        <v>12</v>
      </c>
      <c r="F225" s="242" t="s">
        <v>508</v>
      </c>
      <c r="G225" s="242">
        <v>3.8</v>
      </c>
      <c r="H225" s="230">
        <f t="shared" si="12"/>
        <v>45.599999999999994</v>
      </c>
      <c r="K225" s="342">
        <v>2002</v>
      </c>
      <c r="L225" s="342">
        <v>225</v>
      </c>
      <c r="M225" s="342">
        <f>AVERAGEIFS(data!$X$2:$X$3404,data!$B$2:$B$3404,K225,data!$K$2:$K$3404,"female",data!$P$2:$P$3404,L225)</f>
        <v>50.668604651162781</v>
      </c>
      <c r="N225" s="342">
        <f>AVERAGEIFS(data!$X$2:$X$3404,data!$B$2:$B$3404,K225,data!$K$2:$K$3404,"male",data!$P$2:$P$3404,L225)</f>
        <v>67.133333333333326</v>
      </c>
      <c r="O225" s="342">
        <f>AVERAGEIFS(data!$X$2:$X$3404,data!$B$2:$B$3404,K225,data!$L$2:$L$3404,"gravid",data!$P$2:$P$3404,L225)</f>
        <v>58.157142857142858</v>
      </c>
      <c r="P225" s="342">
        <f>AVERAGEIFS(data!$X$2:$X$3404,data!$B$2:$B$3404,K225,data!$L$2:$L$3404,"spent",data!$P$2:$P$3404,L225)</f>
        <v>43.520454545454541</v>
      </c>
      <c r="Q225" s="219">
        <f>AVERAGEIFS(data!$X$2:$X$3404,data!$B$2:$B$3404,K225,data!$P$2:$P$3404,L225)</f>
        <v>51.742391304347819</v>
      </c>
      <c r="R225" s="342"/>
      <c r="S225" s="342"/>
    </row>
    <row r="226" spans="1:19" ht="15.75" x14ac:dyDescent="0.25">
      <c r="A226" s="245">
        <v>2014</v>
      </c>
      <c r="B226" s="245" t="s">
        <v>19</v>
      </c>
      <c r="C226" s="246" t="s">
        <v>20</v>
      </c>
      <c r="D226" s="245" t="s">
        <v>30</v>
      </c>
      <c r="E226" s="248">
        <v>10.5</v>
      </c>
      <c r="F226" s="242" t="s">
        <v>504</v>
      </c>
      <c r="G226" s="242">
        <v>4.5999999999999996</v>
      </c>
      <c r="H226" s="230">
        <f t="shared" si="12"/>
        <v>48.3</v>
      </c>
      <c r="K226">
        <v>2001</v>
      </c>
      <c r="L226">
        <v>213</v>
      </c>
      <c r="M226" s="317">
        <f>AVERAGEIFS(data!$X$2:$X$3404,data!$B$2:$B$3404,K226,data!$K$2:$K$3404,"female",data!$P$2:$P$3404,L226)</f>
        <v>55.254166666666656</v>
      </c>
      <c r="N226" s="317">
        <f>AVERAGEIFS(data!$X$2:$X$3404,data!$B$2:$B$3404,K226,data!$K$2:$K$3404,"male",data!$P$2:$P$3404,L226)</f>
        <v>74.099999999999994</v>
      </c>
      <c r="O226" s="317">
        <f>AVERAGEIFS(data!$X$2:$X$3404,data!$B$2:$B$3404,K226,data!$L$2:$L$3404,"gravid",data!$P$2:$P$3404,L226)</f>
        <v>69.657142857142858</v>
      </c>
      <c r="P226" s="317">
        <f>AVERAGEIFS(data!$X$2:$X$3404,data!$B$2:$B$3404,K226,data!$L$2:$L$3404,"spent",data!$P$2:$P$3404,L226)</f>
        <v>49.323529411764696</v>
      </c>
      <c r="Q226" s="219">
        <f>AVERAGEIFS(data!$X$2:$X$3404,data!$B$2:$B$3404,K226,data!$P$2:$P$3404,L226)</f>
        <v>56.007999999999981</v>
      </c>
      <c r="S226"/>
    </row>
    <row r="227" spans="1:19" ht="15.75" x14ac:dyDescent="0.25">
      <c r="A227" s="245">
        <v>2014</v>
      </c>
      <c r="B227" s="245" t="s">
        <v>19</v>
      </c>
      <c r="C227" s="246" t="s">
        <v>20</v>
      </c>
      <c r="D227" s="245" t="s">
        <v>30</v>
      </c>
      <c r="E227" s="248">
        <v>21</v>
      </c>
      <c r="F227" s="242" t="s">
        <v>504</v>
      </c>
      <c r="G227" s="242">
        <v>4.5999999999999996</v>
      </c>
      <c r="H227" s="230">
        <f t="shared" si="12"/>
        <v>96.6</v>
      </c>
      <c r="K227" s="317">
        <v>2001</v>
      </c>
      <c r="L227">
        <v>214</v>
      </c>
      <c r="M227" s="317">
        <f>AVERAGEIFS(data!$X$2:$X$3404,data!$B$2:$B$3404,K227,data!$K$2:$K$3404,"female",data!$P$2:$P$3404,L227)</f>
        <v>52.940000000000005</v>
      </c>
      <c r="N227" s="317"/>
      <c r="O227" s="317">
        <f>AVERAGEIFS(data!$X$2:$X$3404,data!$B$2:$B$3404,K227,data!$L$2:$L$3404,"gravid",data!$P$2:$P$3404,L227)</f>
        <v>58.972000000000001</v>
      </c>
      <c r="P227" s="317">
        <f>AVERAGEIFS(data!$X$2:$X$3404,data!$B$2:$B$3404,K227,data!$L$2:$L$3404,"spent",data!$P$2:$P$3404,L227)</f>
        <v>48.3</v>
      </c>
      <c r="Q227" s="219">
        <f>AVERAGEIFS(data!$X$2:$X$3404,data!$B$2:$B$3404,K227,data!$P$2:$P$3404,L227)</f>
        <v>52.940000000000005</v>
      </c>
      <c r="S227"/>
    </row>
    <row r="228" spans="1:19" ht="15.75" x14ac:dyDescent="0.25">
      <c r="A228" s="245">
        <v>2014</v>
      </c>
      <c r="B228" s="245" t="s">
        <v>19</v>
      </c>
      <c r="C228" s="246" t="s">
        <v>20</v>
      </c>
      <c r="D228" s="245" t="s">
        <v>30</v>
      </c>
      <c r="E228" s="248">
        <v>8</v>
      </c>
      <c r="F228" s="242" t="s">
        <v>504</v>
      </c>
      <c r="G228" s="242">
        <v>4.5999999999999996</v>
      </c>
      <c r="H228" s="230">
        <f t="shared" si="12"/>
        <v>36.799999999999997</v>
      </c>
      <c r="K228" s="317">
        <v>2001</v>
      </c>
      <c r="L228">
        <v>215</v>
      </c>
      <c r="M228" s="317">
        <f>AVERAGEIFS(data!$X$2:$X$3404,data!$B$2:$B$3404,K228,data!$K$2:$K$3404,"female",data!$P$2:$P$3404,L228)</f>
        <v>49.649999999999991</v>
      </c>
      <c r="N228" s="317"/>
      <c r="O228" s="317">
        <f>AVERAGEIFS(data!$X$2:$X$3404,data!$B$2:$B$3404,K228,data!$L$2:$L$3404,"gravid",data!$P$2:$P$3404,L228)</f>
        <v>58.649999999999991</v>
      </c>
      <c r="P228" s="317">
        <f>AVERAGEIFS(data!$X$2:$X$3404,data!$B$2:$B$3404,K228,data!$L$2:$L$3404,"spent",data!$P$2:$P$3404,L228)</f>
        <v>47.078571428571422</v>
      </c>
      <c r="Q228" s="219">
        <f>AVERAGEIFS(data!$X$2:$X$3404,data!$B$2:$B$3404,K228,data!$P$2:$P$3404,L228)</f>
        <v>49.649999999999991</v>
      </c>
      <c r="S228"/>
    </row>
    <row r="229" spans="1:19" ht="15.75" x14ac:dyDescent="0.25">
      <c r="A229" s="245">
        <v>2014</v>
      </c>
      <c r="B229" s="245" t="s">
        <v>19</v>
      </c>
      <c r="C229" s="246" t="s">
        <v>20</v>
      </c>
      <c r="D229" s="245" t="s">
        <v>30</v>
      </c>
      <c r="E229" s="248">
        <v>12.5</v>
      </c>
      <c r="F229" s="242" t="s">
        <v>504</v>
      </c>
      <c r="G229" s="242">
        <v>4.5999999999999996</v>
      </c>
      <c r="H229" s="230">
        <f t="shared" si="12"/>
        <v>57.499999999999993</v>
      </c>
      <c r="K229" s="317">
        <v>2001</v>
      </c>
      <c r="L229">
        <v>216</v>
      </c>
      <c r="M229" s="317">
        <f>AVERAGEIFS(data!$X$2:$X$3404,data!$B$2:$B$3404,K229,data!$K$2:$K$3404,"female",data!$P$2:$P$3404,L229)</f>
        <v>48.36</v>
      </c>
      <c r="N229" s="317"/>
      <c r="O229" s="317"/>
      <c r="P229" s="317">
        <f>AVERAGEIFS(data!$X$2:$X$3404,data!$B$2:$B$3404,K229,data!$L$2:$L$3404,"spent",data!$P$2:$P$3404,L229)</f>
        <v>48.36</v>
      </c>
      <c r="Q229" s="219">
        <f>AVERAGEIFS(data!$X$2:$X$3404,data!$B$2:$B$3404,K229,data!$P$2:$P$3404,L229)</f>
        <v>48.36</v>
      </c>
      <c r="S229"/>
    </row>
    <row r="230" spans="1:19" ht="15.75" x14ac:dyDescent="0.25">
      <c r="A230" s="245">
        <v>2014</v>
      </c>
      <c r="B230" s="245" t="s">
        <v>19</v>
      </c>
      <c r="C230" s="246" t="s">
        <v>20</v>
      </c>
      <c r="D230" s="245" t="s">
        <v>30</v>
      </c>
      <c r="E230" s="248">
        <v>11.5</v>
      </c>
      <c r="F230" s="242" t="s">
        <v>504</v>
      </c>
      <c r="G230" s="242">
        <v>4.5999999999999996</v>
      </c>
      <c r="H230" s="230">
        <f t="shared" si="12"/>
        <v>52.9</v>
      </c>
      <c r="K230" s="317">
        <v>2001</v>
      </c>
      <c r="L230">
        <v>217</v>
      </c>
      <c r="M230" s="317">
        <f>AVERAGEIFS(data!$X$2:$X$3404,data!$B$2:$B$3404,K230,data!$K$2:$K$3404,"female",data!$P$2:$P$3404,L230)</f>
        <v>44.85</v>
      </c>
      <c r="N230" s="317"/>
      <c r="O230" s="317"/>
      <c r="P230" s="317">
        <f>AVERAGEIFS(data!$X$2:$X$3404,data!$B$2:$B$3404,K230,data!$L$2:$L$3404,"spent",data!$P$2:$P$3404,L230)</f>
        <v>44.85</v>
      </c>
      <c r="Q230" s="219">
        <f>AVERAGEIFS(data!$X$2:$X$3404,data!$B$2:$B$3404,K230,data!$P$2:$P$3404,L230)</f>
        <v>44.85</v>
      </c>
      <c r="S230"/>
    </row>
    <row r="231" spans="1:19" ht="15.75" x14ac:dyDescent="0.25">
      <c r="A231" s="245">
        <v>2014</v>
      </c>
      <c r="B231" s="245" t="s">
        <v>19</v>
      </c>
      <c r="C231" s="246" t="s">
        <v>20</v>
      </c>
      <c r="D231" s="245" t="s">
        <v>30</v>
      </c>
      <c r="E231" s="248">
        <v>11</v>
      </c>
      <c r="F231" s="242" t="s">
        <v>504</v>
      </c>
      <c r="G231" s="242">
        <v>4.5999999999999996</v>
      </c>
      <c r="H231" s="230">
        <f t="shared" si="12"/>
        <v>50.599999999999994</v>
      </c>
      <c r="K231" s="342">
        <v>2001</v>
      </c>
      <c r="L231" s="342">
        <v>218</v>
      </c>
      <c r="M231" s="342">
        <f>AVERAGEIFS(data!$X$2:$X$3404,data!$B$2:$B$3404,K231,data!$K$2:$K$3404,"female",data!$P$2:$P$3404,L231)</f>
        <v>47.922413793103438</v>
      </c>
      <c r="N231" s="342"/>
      <c r="O231" s="342">
        <f>AVERAGEIFS(data!$X$2:$X$3404,data!$B$2:$B$3404,K231,data!$L$2:$L$3404,"gravid",data!$P$2:$P$3404,L231)</f>
        <v>62.099999999999994</v>
      </c>
      <c r="P231" s="342">
        <f>AVERAGEIFS(data!$X$2:$X$3404,data!$B$2:$B$3404,K231,data!$L$2:$L$3404,"spent",data!$P$2:$P$3404,L231)</f>
        <v>46.87222222222222</v>
      </c>
      <c r="Q231" s="219">
        <f>AVERAGEIFS(data!$X$2:$X$3404,data!$B$2:$B$3404,K231,data!$P$2:$P$3404,L231)</f>
        <v>47.922413793103438</v>
      </c>
      <c r="R231" s="342"/>
      <c r="S231" s="342"/>
    </row>
    <row r="232" spans="1:19" ht="15.75" x14ac:dyDescent="0.25">
      <c r="A232" s="245">
        <v>2014</v>
      </c>
      <c r="B232" s="245" t="s">
        <v>19</v>
      </c>
      <c r="C232" s="246" t="s">
        <v>20</v>
      </c>
      <c r="D232" s="245" t="s">
        <v>30</v>
      </c>
      <c r="E232" s="248">
        <v>14</v>
      </c>
      <c r="F232" s="242" t="s">
        <v>504</v>
      </c>
      <c r="G232" s="242">
        <v>4.5999999999999996</v>
      </c>
      <c r="H232" s="230">
        <f t="shared" si="12"/>
        <v>64.399999999999991</v>
      </c>
      <c r="K232">
        <v>2000</v>
      </c>
      <c r="L232">
        <v>218</v>
      </c>
      <c r="M232" s="317">
        <f>AVERAGEIFS(data!$X$2:$X$3404,data!$B$2:$B$3404,K232,data!$K$2:$K$3404,"female",data!$P$2:$P$3404,L232)</f>
        <v>35.49963235294117</v>
      </c>
      <c r="N232" s="317">
        <f>AVERAGEIFS(data!$X$2:$X$3404,data!$B$2:$B$3404,K232,data!$K$2:$K$3404,"male",data!$P$2:$P$3404,L232)</f>
        <v>66.5</v>
      </c>
      <c r="O232" s="317">
        <f>AVERAGEIFS(data!$X$2:$X$3404,data!$B$2:$B$3404,K232,data!$L$2:$L$3404,"gravid",data!$P$2:$P$3404,L232)</f>
        <v>64.399999999999991</v>
      </c>
      <c r="P232" s="317">
        <f>AVERAGEIFS(data!$X$2:$X$3404,data!$B$2:$B$3404,K232,data!$L$2:$L$3404,"spent",data!$P$2:$P$3404,L232)</f>
        <v>33.693359374999993</v>
      </c>
      <c r="Q232" s="219">
        <f>AVERAGEIFS(data!$X$2:$X$3404,data!$B$2:$B$3404,K232,data!$P$2:$P$3404,L232)</f>
        <v>40.149687499999985</v>
      </c>
      <c r="S232"/>
    </row>
    <row r="233" spans="1:19" ht="15.75" x14ac:dyDescent="0.25">
      <c r="A233" s="245">
        <v>2014</v>
      </c>
      <c r="B233" s="245" t="s">
        <v>19</v>
      </c>
      <c r="C233" s="246" t="s">
        <v>20</v>
      </c>
      <c r="D233" s="245" t="s">
        <v>21</v>
      </c>
      <c r="E233" s="248">
        <v>10</v>
      </c>
      <c r="F233" s="242" t="s">
        <v>507</v>
      </c>
      <c r="G233" s="242">
        <v>3.9</v>
      </c>
      <c r="H233" s="230">
        <f t="shared" si="12"/>
        <v>39</v>
      </c>
      <c r="K233" s="317">
        <v>2000</v>
      </c>
      <c r="L233">
        <v>219</v>
      </c>
      <c r="M233" s="317">
        <f>AVERAGEIFS(data!$X$2:$X$3404,data!$B$2:$B$3404,K233,data!$K$2:$K$3404,"female",data!$P$2:$P$3404,L233)</f>
        <v>42.412499999999994</v>
      </c>
      <c r="N233" s="317"/>
      <c r="O233" s="317"/>
      <c r="P233" s="317">
        <f>AVERAGEIFS(data!$X$2:$X$3404,data!$B$2:$B$3404,K233,data!$L$2:$L$3404,"spent",data!$P$2:$P$3404,L233)</f>
        <v>42.412499999999994</v>
      </c>
      <c r="Q233" s="219">
        <f>AVERAGEIFS(data!$X$2:$X$3404,data!$B$2:$B$3404,K233,data!$P$2:$P$3404,L233)</f>
        <v>42.412499999999994</v>
      </c>
      <c r="S233"/>
    </row>
    <row r="234" spans="1:19" ht="15.75" x14ac:dyDescent="0.25">
      <c r="A234" s="245">
        <v>2014</v>
      </c>
      <c r="B234" s="245" t="s">
        <v>19</v>
      </c>
      <c r="C234" s="246" t="s">
        <v>20</v>
      </c>
      <c r="D234" s="245" t="s">
        <v>21</v>
      </c>
      <c r="E234" s="248">
        <v>9</v>
      </c>
      <c r="F234" s="242" t="s">
        <v>507</v>
      </c>
      <c r="G234" s="242">
        <v>3.9</v>
      </c>
      <c r="H234" s="230">
        <f t="shared" si="12"/>
        <v>35.1</v>
      </c>
      <c r="K234" s="317">
        <v>2000</v>
      </c>
      <c r="L234">
        <v>220</v>
      </c>
      <c r="M234" s="317">
        <f>AVERAGEIFS(data!$X$2:$X$3404,data!$B$2:$B$3404,K234,data!$K$2:$K$3404,"female",data!$P$2:$P$3404,L234)</f>
        <v>45.240363636363639</v>
      </c>
      <c r="N234" s="317"/>
      <c r="O234" s="317">
        <f>AVERAGEIFS(data!$X$2:$X$3404,data!$B$2:$B$3404,K234,data!$L$2:$L$3404,"gravid",data!$P$2:$P$3404,L234)</f>
        <v>62.559999999999988</v>
      </c>
      <c r="P234" s="317">
        <f>AVERAGEIFS(data!$X$2:$X$3404,data!$B$2:$B$3404,K234,data!$L$2:$L$3404,"spent",data!$P$2:$P$3404,L234)</f>
        <v>43.508400000000009</v>
      </c>
      <c r="Q234" s="219">
        <f>AVERAGEIFS(data!$X$2:$X$3404,data!$B$2:$B$3404,K234,data!$P$2:$P$3404,L234)</f>
        <v>45.240363636363639</v>
      </c>
      <c r="S234"/>
    </row>
    <row r="235" spans="1:19" ht="15.75" x14ac:dyDescent="0.25">
      <c r="A235" s="245">
        <v>2014</v>
      </c>
      <c r="B235" s="245" t="s">
        <v>19</v>
      </c>
      <c r="C235" s="246" t="s">
        <v>20</v>
      </c>
      <c r="D235" s="245" t="s">
        <v>21</v>
      </c>
      <c r="E235" s="248">
        <v>8</v>
      </c>
      <c r="F235" s="242" t="s">
        <v>507</v>
      </c>
      <c r="G235" s="242">
        <v>3.9</v>
      </c>
      <c r="H235" s="230">
        <f t="shared" si="12"/>
        <v>31.2</v>
      </c>
      <c r="K235" s="317">
        <v>2000</v>
      </c>
      <c r="L235">
        <v>223</v>
      </c>
      <c r="M235" s="317">
        <f>AVERAGEIFS(data!$X$2:$X$3404,data!$B$2:$B$3404,K235,data!$K$2:$K$3404,"female",data!$P$2:$P$3404,L235)</f>
        <v>59.866666666666674</v>
      </c>
      <c r="N235" s="317"/>
      <c r="O235" s="317">
        <f>AVERAGEIFS(data!$X$2:$X$3404,data!$B$2:$B$3404,K235,data!$L$2:$L$3404,"gravid",data!$P$2:$P$3404,L235)</f>
        <v>64.399999999999991</v>
      </c>
      <c r="P235" s="317">
        <f>AVERAGEIFS(data!$X$2:$X$3404,data!$B$2:$B$3404,K235,data!$L$2:$L$3404,"spent",data!$P$2:$P$3404,L235)</f>
        <v>59.710344827586212</v>
      </c>
      <c r="Q235" s="219">
        <f>AVERAGEIFS(data!$X$2:$X$3404,data!$B$2:$B$3404,K235,data!$P$2:$P$3404,L235)</f>
        <v>59.866666666666674</v>
      </c>
      <c r="S235"/>
    </row>
    <row r="236" spans="1:19" ht="15.75" x14ac:dyDescent="0.25">
      <c r="A236" s="245">
        <v>2014</v>
      </c>
      <c r="B236" s="245" t="s">
        <v>19</v>
      </c>
      <c r="C236" s="246" t="s">
        <v>20</v>
      </c>
      <c r="D236" s="245" t="s">
        <v>21</v>
      </c>
      <c r="E236" s="248">
        <v>15</v>
      </c>
      <c r="F236" s="242" t="s">
        <v>507</v>
      </c>
      <c r="G236" s="242">
        <v>3.9</v>
      </c>
      <c r="H236" s="230">
        <f t="shared" si="12"/>
        <v>58.5</v>
      </c>
      <c r="K236" s="342">
        <v>2000</v>
      </c>
      <c r="L236" s="342">
        <v>226</v>
      </c>
      <c r="M236" s="342">
        <f>AVERAGEIFS(data!$X$2:$X$3404,data!$B$2:$B$3404,K236,data!$K$2:$K$3404,"female",data!$P$2:$P$3404,L236)</f>
        <v>52.392105263157895</v>
      </c>
      <c r="N236" s="342"/>
      <c r="O236" s="342">
        <f>AVERAGEIFS(data!$X$2:$X$3404,data!$B$2:$B$3404,K236,data!$L$2:$L$3404,"gravid",data!$P$2:$P$3404,L236)</f>
        <v>57.499999999999993</v>
      </c>
      <c r="P236" s="342">
        <f>AVERAGEIFS(data!$X$2:$X$3404,data!$B$2:$B$3404,K236,data!$L$2:$L$3404,"spent",data!$P$2:$P$3404,L236)</f>
        <v>52.108333333333334</v>
      </c>
      <c r="Q236" s="219">
        <f>AVERAGEIFS(data!$X$2:$X$3404,data!$B$2:$B$3404,K236,data!$P$2:$P$3404,L236)</f>
        <v>52.392105263157895</v>
      </c>
      <c r="R236" s="342"/>
      <c r="S236" s="342"/>
    </row>
    <row r="237" spans="1:19" ht="15.75" x14ac:dyDescent="0.25">
      <c r="A237" s="245">
        <v>2014</v>
      </c>
      <c r="B237" s="245" t="s">
        <v>19</v>
      </c>
      <c r="C237" s="246" t="s">
        <v>20</v>
      </c>
      <c r="D237" s="245" t="s">
        <v>21</v>
      </c>
      <c r="E237" s="248">
        <v>14</v>
      </c>
      <c r="F237" s="242" t="s">
        <v>507</v>
      </c>
      <c r="G237" s="242">
        <v>3.9</v>
      </c>
      <c r="H237" s="230">
        <f t="shared" si="12"/>
        <v>54.6</v>
      </c>
      <c r="K237">
        <v>1999</v>
      </c>
      <c r="L237">
        <v>208</v>
      </c>
      <c r="M237" s="317">
        <f>AVERAGEIFS(data!$X$2:$X$3404,data!$B$2:$B$3404,K237,data!$K$2:$K$3404,"female",data!$P$2:$P$3404,L237)</f>
        <v>56.792499999999983</v>
      </c>
      <c r="N237" s="317"/>
      <c r="O237" s="317">
        <f>AVERAGEIFS(data!$X$2:$X$3404,data!$B$2:$B$3404,K237,data!$L$2:$L$3404,"gravid",data!$P$2:$P$3404,L237)</f>
        <v>69.38333333333334</v>
      </c>
      <c r="P237" s="317">
        <f>AVERAGEIFS(data!$X$2:$X$3404,data!$B$2:$B$3404,K237,data!$L$2:$L$3404,"spent",data!$P$2:$P$3404,L237)</f>
        <v>51.396428571428565</v>
      </c>
      <c r="Q237" s="219">
        <f>AVERAGEIFS(data!$X$2:$X$3404,data!$B$2:$B$3404,K237,data!$P$2:$P$3404,L237)</f>
        <v>56.792499999999983</v>
      </c>
      <c r="S237"/>
    </row>
    <row r="238" spans="1:19" ht="15.75" x14ac:dyDescent="0.25">
      <c r="A238" s="245">
        <v>2014</v>
      </c>
      <c r="B238" s="245" t="s">
        <v>19</v>
      </c>
      <c r="C238" s="246" t="s">
        <v>20</v>
      </c>
      <c r="D238" s="245" t="s">
        <v>21</v>
      </c>
      <c r="E238" s="248">
        <v>14.5</v>
      </c>
      <c r="F238" s="242" t="s">
        <v>507</v>
      </c>
      <c r="G238" s="242">
        <v>3.9</v>
      </c>
      <c r="H238" s="230">
        <f t="shared" si="12"/>
        <v>56.55</v>
      </c>
      <c r="K238" s="317">
        <v>1999</v>
      </c>
      <c r="L238">
        <v>212</v>
      </c>
      <c r="M238" s="317">
        <f>AVERAGEIFS(data!$X$2:$X$3404,data!$B$2:$B$3404,K238,data!$K$2:$K$3404,"female",data!$P$2:$P$3404,L238)</f>
        <v>51.23846153846155</v>
      </c>
      <c r="N238" s="317"/>
      <c r="O238" s="317">
        <f>AVERAGEIFS(data!$X$2:$X$3404,data!$B$2:$B$3404,K238,data!$L$2:$L$3404,"gravid",data!$P$2:$P$3404,L238)</f>
        <v>60.566666666666663</v>
      </c>
      <c r="P238" s="317">
        <f>AVERAGEIFS(data!$X$2:$X$3404,data!$B$2:$B$3404,K238,data!$L$2:$L$3404,"spent",data!$P$2:$P$3404,L238)</f>
        <v>50.021739130434781</v>
      </c>
      <c r="Q238" s="219">
        <f>AVERAGEIFS(data!$X$2:$X$3404,data!$B$2:$B$3404,K238,data!$P$2:$P$3404,L238)</f>
        <v>51.23846153846155</v>
      </c>
      <c r="S238"/>
    </row>
    <row r="239" spans="1:19" ht="15.75" x14ac:dyDescent="0.25">
      <c r="A239" s="245">
        <v>2014</v>
      </c>
      <c r="B239" s="245" t="s">
        <v>19</v>
      </c>
      <c r="C239" s="246" t="s">
        <v>20</v>
      </c>
      <c r="D239" s="245" t="s">
        <v>21</v>
      </c>
      <c r="E239" s="248">
        <v>10.5</v>
      </c>
      <c r="F239" s="242" t="s">
        <v>507</v>
      </c>
      <c r="G239" s="242">
        <v>3.9</v>
      </c>
      <c r="H239" s="230">
        <f t="shared" si="12"/>
        <v>40.949999999999996</v>
      </c>
      <c r="K239" s="342">
        <v>1999</v>
      </c>
      <c r="L239" s="342">
        <v>217</v>
      </c>
      <c r="M239" s="342">
        <f>AVERAGEIFS(data!$X$2:$X$3404,data!$B$2:$B$3404,K239,data!$K$2:$K$3404,"female",data!$P$2:$P$3404,L239)</f>
        <v>44.955555555555556</v>
      </c>
      <c r="N239" s="342"/>
      <c r="O239" s="342">
        <f>AVERAGEIFS(data!$X$2:$X$3404,data!$B$2:$B$3404,K239,data!$L$2:$L$3404,"gravid",data!$P$2:$P$3404,L239)</f>
        <v>57.499999999999993</v>
      </c>
      <c r="P239" s="342">
        <f>AVERAGEIFS(data!$X$2:$X$3404,data!$B$2:$B$3404,K239,data!$L$2:$L$3404,"spent",data!$P$2:$P$3404,L239)</f>
        <v>43.387500000000003</v>
      </c>
      <c r="Q239" s="219">
        <f>AVERAGEIFS(data!$X$2:$X$3404,data!$B$2:$B$3404,K239,data!$P$2:$P$3404,L239)</f>
        <v>44.955555555555556</v>
      </c>
      <c r="R239" s="342"/>
      <c r="S239" s="342"/>
    </row>
    <row r="240" spans="1:19" ht="15.75" x14ac:dyDescent="0.25">
      <c r="A240" s="245">
        <v>2014</v>
      </c>
      <c r="B240" s="245" t="s">
        <v>19</v>
      </c>
      <c r="C240" s="246" t="s">
        <v>20</v>
      </c>
      <c r="D240" s="245" t="s">
        <v>21</v>
      </c>
      <c r="E240" s="248">
        <v>12.5</v>
      </c>
      <c r="F240" s="242" t="s">
        <v>507</v>
      </c>
      <c r="G240" s="242">
        <v>3.9</v>
      </c>
      <c r="H240" s="230">
        <f t="shared" si="12"/>
        <v>48.75</v>
      </c>
      <c r="K240">
        <v>1998</v>
      </c>
      <c r="L240">
        <v>216</v>
      </c>
      <c r="M240" s="317">
        <f>AVERAGEIFS(data!$X$2:$X$3404,data!$B$2:$B$3404,K240,data!$K$2:$K$3404,"female",data!$P$2:$P$3404,L240)</f>
        <v>54.05899999999999</v>
      </c>
      <c r="N240" s="317"/>
      <c r="O240" s="317">
        <f>AVERAGEIFS(data!$X$2:$X$3404,data!$B$2:$B$3404,K240,data!$L$2:$L$3404,"gravid",data!$P$2:$P$3404,L240)</f>
        <v>55.142499999999998</v>
      </c>
      <c r="P240" s="317">
        <f>AVERAGEIFS(data!$X$2:$X$3404,data!$B$2:$B$3404,K240,data!$L$2:$L$3404,"spent",data!$P$2:$P$3404,L240)</f>
        <v>49.724999999999994</v>
      </c>
      <c r="Q240" s="219">
        <f>AVERAGEIFS(data!$X$2:$X$3404,data!$B$2:$B$3404,K240,data!$P$2:$P$3404,L240)</f>
        <v>54.05899999999999</v>
      </c>
      <c r="S240"/>
    </row>
    <row r="241" spans="1:19" ht="15.75" x14ac:dyDescent="0.25">
      <c r="A241" s="245">
        <v>2014</v>
      </c>
      <c r="B241" s="245" t="s">
        <v>19</v>
      </c>
      <c r="C241" s="246" t="s">
        <v>20</v>
      </c>
      <c r="D241" s="245" t="s">
        <v>21</v>
      </c>
      <c r="E241" s="248">
        <v>11.5</v>
      </c>
      <c r="F241" s="242" t="s">
        <v>507</v>
      </c>
      <c r="G241" s="242">
        <v>3.9</v>
      </c>
      <c r="H241" s="230">
        <f t="shared" si="12"/>
        <v>44.85</v>
      </c>
      <c r="K241" s="317">
        <v>1998</v>
      </c>
      <c r="L241">
        <v>217</v>
      </c>
      <c r="M241" s="317">
        <f>AVERAGEIFS(data!$X$2:$X$3404,data!$B$2:$B$3404,K241,data!$K$2:$K$3404,"female",data!$P$2:$P$3404,L241)</f>
        <v>41.501111111111108</v>
      </c>
      <c r="N241" s="317">
        <f>AVERAGEIFS(data!$X$2:$X$3404,data!$B$2:$B$3404,K241,data!$K$2:$K$3404,"male",data!$P$2:$P$3404,L241)</f>
        <v>40.659999999999997</v>
      </c>
      <c r="O241" s="317">
        <f>AVERAGEIFS(data!$X$2:$X$3404,data!$B$2:$B$3404,K241,data!$L$2:$L$3404,"gravid",data!$P$2:$P$3404,L241)</f>
        <v>51.782857142857146</v>
      </c>
      <c r="P241" s="317">
        <f>AVERAGEIFS(data!$X$2:$X$3404,data!$B$2:$B$3404,K241,data!$L$2:$L$3404,"spent",data!$P$2:$P$3404,L241)</f>
        <v>36.876666666666672</v>
      </c>
      <c r="Q241" s="219">
        <f>AVERAGEIFS(data!$X$2:$X$3404,data!$B$2:$B$3404,K241,data!$P$2:$P$3404,L241)</f>
        <v>41.456842105263156</v>
      </c>
      <c r="S241"/>
    </row>
    <row r="242" spans="1:19" ht="15.75" x14ac:dyDescent="0.25">
      <c r="A242" s="245">
        <v>2014</v>
      </c>
      <c r="B242" s="245" t="s">
        <v>19</v>
      </c>
      <c r="C242" s="246" t="s">
        <v>20</v>
      </c>
      <c r="D242" s="245" t="s">
        <v>21</v>
      </c>
      <c r="E242" s="248">
        <v>8</v>
      </c>
      <c r="F242" s="242" t="s">
        <v>507</v>
      </c>
      <c r="G242" s="242">
        <v>3.9</v>
      </c>
      <c r="H242" s="230">
        <f t="shared" si="12"/>
        <v>31.2</v>
      </c>
      <c r="K242" s="317">
        <v>1998</v>
      </c>
      <c r="L242">
        <v>218</v>
      </c>
      <c r="M242" s="317">
        <f>AVERAGEIFS(data!$X$2:$X$3404,data!$B$2:$B$3404,K242,data!$K$2:$K$3404,"female",data!$P$2:$P$3404,L242)</f>
        <v>45.762500000000003</v>
      </c>
      <c r="N242" s="317">
        <f>AVERAGEIFS(data!$X$2:$X$3404,data!$B$2:$B$3404,K242,data!$K$2:$K$3404,"male",data!$P$2:$P$3404,L242)</f>
        <v>85.5</v>
      </c>
      <c r="O242" s="317">
        <f>AVERAGEIFS(data!$X$2:$X$3404,data!$B$2:$B$3404,K242,data!$L$2:$L$3404,"gravid",data!$P$2:$P$3404,L242)</f>
        <v>54.43333333333333</v>
      </c>
      <c r="P242" s="317">
        <f>AVERAGEIFS(data!$X$2:$X$3404,data!$B$2:$B$3404,K242,data!$L$2:$L$3404,"spent",data!$P$2:$P$3404,L242)</f>
        <v>45.825000000000003</v>
      </c>
      <c r="Q242" s="219">
        <f>AVERAGEIFS(data!$X$2:$X$3404,data!$B$2:$B$3404,K242,data!$P$2:$P$3404,L242)</f>
        <v>50.177777777777777</v>
      </c>
      <c r="S242"/>
    </row>
    <row r="243" spans="1:19" ht="15.75" x14ac:dyDescent="0.25">
      <c r="A243" s="245">
        <v>2014</v>
      </c>
      <c r="B243" s="245" t="s">
        <v>19</v>
      </c>
      <c r="C243" s="246" t="s">
        <v>20</v>
      </c>
      <c r="D243" s="245" t="s">
        <v>21</v>
      </c>
      <c r="E243" s="248">
        <v>6.5</v>
      </c>
      <c r="F243" s="242" t="s">
        <v>507</v>
      </c>
      <c r="G243" s="242">
        <v>3.9</v>
      </c>
      <c r="H243" s="230">
        <f t="shared" si="12"/>
        <v>25.349999999999998</v>
      </c>
      <c r="K243" s="317">
        <v>1998</v>
      </c>
      <c r="L243">
        <v>220</v>
      </c>
      <c r="M243" s="317">
        <f>AVERAGEIFS(data!$X$2:$X$3404,data!$B$2:$B$3404,K243,data!$K$2:$K$3404,"female",data!$P$2:$P$3404,L243)</f>
        <v>49.839999999999996</v>
      </c>
      <c r="N243" s="317">
        <f>AVERAGEIFS(data!$X$2:$X$3404,data!$B$2:$B$3404,K243,data!$K$2:$K$3404,"male",data!$P$2:$P$3404,L243)</f>
        <v>49.4</v>
      </c>
      <c r="O243" s="317">
        <f>AVERAGEIFS(data!$X$2:$X$3404,data!$B$2:$B$3404,K243,data!$L$2:$L$3404,"gravid",data!$P$2:$P$3404,L243)</f>
        <v>56.349999999999994</v>
      </c>
      <c r="P243" s="317">
        <f>AVERAGEIFS(data!$X$2:$X$3404,data!$B$2:$B$3404,K243,data!$L$2:$L$3404,"spent",data!$P$2:$P$3404,L243)</f>
        <v>45.5</v>
      </c>
      <c r="Q243" s="219">
        <f>AVERAGEIFS(data!$X$2:$X$3404,data!$B$2:$B$3404,K243,data!$P$2:$P$3404,L243)</f>
        <v>49.766666666666673</v>
      </c>
      <c r="S243"/>
    </row>
    <row r="244" spans="1:19" ht="15.75" x14ac:dyDescent="0.25">
      <c r="A244" s="245">
        <v>2014</v>
      </c>
      <c r="B244" s="245" t="s">
        <v>19</v>
      </c>
      <c r="C244" s="246" t="s">
        <v>20</v>
      </c>
      <c r="D244" s="245" t="s">
        <v>21</v>
      </c>
      <c r="E244" s="248">
        <v>10.5</v>
      </c>
      <c r="F244" s="242" t="s">
        <v>507</v>
      </c>
      <c r="G244" s="242">
        <v>3.9</v>
      </c>
      <c r="H244" s="230">
        <f t="shared" si="12"/>
        <v>40.949999999999996</v>
      </c>
      <c r="K244" s="317">
        <v>1998</v>
      </c>
      <c r="L244">
        <v>226</v>
      </c>
      <c r="M244" s="317">
        <f>AVERAGEIFS(data!$X$2:$X$3404,data!$B$2:$B$3404,K244,data!$K$2:$K$3404,"female",data!$P$2:$P$3404,L244)</f>
        <v>41.687142857142867</v>
      </c>
      <c r="N244" s="317"/>
      <c r="O244" s="317">
        <f>AVERAGEIFS(data!$X$2:$X$3404,data!$B$2:$B$3404,K244,data!$L$2:$L$3404,"gravid",data!$P$2:$P$3404,L244)</f>
        <v>60.719999999999992</v>
      </c>
      <c r="P244" s="317">
        <f>AVERAGEIFS(data!$X$2:$X$3404,data!$B$2:$B$3404,K244,data!$L$2:$L$3404,"spent",data!$P$2:$P$3404,L244)</f>
        <v>46.93</v>
      </c>
      <c r="Q244" s="219">
        <f>AVERAGEIFS(data!$X$2:$X$3404,data!$B$2:$B$3404,K244,data!$P$2:$P$3404,L244)</f>
        <v>41.687142857142867</v>
      </c>
      <c r="S244"/>
    </row>
    <row r="245" spans="1:19" ht="15.75" x14ac:dyDescent="0.25">
      <c r="A245" s="245">
        <v>2014</v>
      </c>
      <c r="B245" s="245" t="s">
        <v>19</v>
      </c>
      <c r="C245" s="246" t="s">
        <v>20</v>
      </c>
      <c r="D245" s="245" t="s">
        <v>21</v>
      </c>
      <c r="E245" s="248">
        <v>8.5</v>
      </c>
      <c r="F245" s="242" t="s">
        <v>507</v>
      </c>
      <c r="G245" s="242">
        <v>3.9</v>
      </c>
      <c r="H245" s="230">
        <f t="shared" si="12"/>
        <v>33.15</v>
      </c>
      <c r="K245" s="317">
        <v>1998</v>
      </c>
      <c r="L245">
        <v>227</v>
      </c>
      <c r="M245" s="317">
        <f>AVERAGEIFS(data!$X$2:$X$3404,data!$B$2:$B$3404,K245,data!$K$2:$K$3404,"female",data!$P$2:$P$3404,L245)</f>
        <v>47.97</v>
      </c>
      <c r="N245" s="317"/>
      <c r="O245" s="317"/>
      <c r="P245" s="317">
        <f>AVERAGEIFS(data!$X$2:$X$3404,data!$B$2:$B$3404,K245,data!$L$2:$L$3404,"spent",data!$P$2:$P$3404,L245)</f>
        <v>49.237499999999997</v>
      </c>
      <c r="Q245" s="219">
        <f>AVERAGEIFS(data!$X$2:$X$3404,data!$B$2:$B$3404,K245,data!$P$2:$P$3404,L245)</f>
        <v>47.97</v>
      </c>
      <c r="S245"/>
    </row>
    <row r="246" spans="1:19" ht="15.75" x14ac:dyDescent="0.25">
      <c r="A246" s="245">
        <v>2014</v>
      </c>
      <c r="B246" s="245" t="s">
        <v>19</v>
      </c>
      <c r="C246" s="246" t="s">
        <v>20</v>
      </c>
      <c r="D246" s="245" t="s">
        <v>21</v>
      </c>
      <c r="E246" s="248">
        <v>9</v>
      </c>
      <c r="F246" s="242" t="s">
        <v>507</v>
      </c>
      <c r="G246" s="242">
        <v>3.9</v>
      </c>
      <c r="H246" s="230">
        <f t="shared" si="12"/>
        <v>35.1</v>
      </c>
      <c r="K246" s="342">
        <v>1998</v>
      </c>
      <c r="L246" s="342">
        <v>228</v>
      </c>
      <c r="M246" s="342">
        <f>AVERAGEIFS(data!$X$2:$X$3404,data!$B$2:$B$3404,K246,data!$K$2:$K$3404,"female",data!$P$2:$P$3404,L246)</f>
        <v>45.044999999999995</v>
      </c>
      <c r="N246" s="342">
        <f>AVERAGEIFS(data!$X$2:$X$3404,data!$B$2:$B$3404,K246,data!$K$2:$K$3404,"male",data!$P$2:$P$3404,L246)</f>
        <v>68.399999999999991</v>
      </c>
      <c r="O246" s="342"/>
      <c r="P246" s="342">
        <f>AVERAGEIFS(data!$X$2:$X$3404,data!$B$2:$B$3404,K246,data!$L$2:$L$3404,"spent",data!$P$2:$P$3404,L246)</f>
        <v>45.044999999999995</v>
      </c>
      <c r="Q246" s="219">
        <f>AVERAGEIFS(data!$X$2:$X$3404,data!$B$2:$B$3404,K246,data!$P$2:$P$3404,L246)</f>
        <v>46.41882352941176</v>
      </c>
      <c r="R246" s="342"/>
      <c r="S246" s="342"/>
    </row>
    <row r="247" spans="1:19" ht="15.75" x14ac:dyDescent="0.25">
      <c r="A247" s="245">
        <v>2014</v>
      </c>
      <c r="B247" s="245" t="s">
        <v>19</v>
      </c>
      <c r="C247" s="246" t="s">
        <v>20</v>
      </c>
      <c r="D247" s="245" t="s">
        <v>21</v>
      </c>
      <c r="E247" s="248">
        <v>12</v>
      </c>
      <c r="F247" s="242" t="s">
        <v>507</v>
      </c>
      <c r="G247" s="242">
        <v>3.9</v>
      </c>
      <c r="H247" s="230">
        <f t="shared" si="12"/>
        <v>46.8</v>
      </c>
      <c r="K247">
        <v>1997</v>
      </c>
      <c r="L247">
        <v>213</v>
      </c>
      <c r="M247" s="317">
        <f>AVERAGEIFS(data!$X$2:$X$3404,data!$B$2:$B$3404,K247,data!$K$2:$K$3404,"female",data!$P$2:$P$3404,L247)</f>
        <v>53.348958333333343</v>
      </c>
      <c r="N247" s="317">
        <f>AVERAGEIFS(data!$X$2:$X$3404,data!$B$2:$B$3404,K247,data!$K$2:$K$3404,"male",data!$P$2:$P$3404,L247)</f>
        <v>72.199999999999989</v>
      </c>
      <c r="O247" s="317">
        <f>AVERAGEIFS(data!$X$2:$X$3404,data!$B$2:$B$3404,K247,data!$L$2:$L$3404,"gravid",data!$P$2:$P$3404,L247)</f>
        <v>56.910256410256423</v>
      </c>
      <c r="P247" s="317">
        <f>AVERAGEIFS(data!$X$2:$X$3404,data!$B$2:$B$3404,K247,data!$L$2:$L$3404,"spent",data!$P$2:$P$3404,L247)</f>
        <v>37.916666666666664</v>
      </c>
      <c r="Q247" s="219">
        <f>AVERAGEIFS(data!$X$2:$X$3404,data!$B$2:$B$3404,K247,data!$P$2:$P$3404,L247)</f>
        <v>55.748181818181813</v>
      </c>
      <c r="S247"/>
    </row>
    <row r="248" spans="1:19" ht="15.75" x14ac:dyDescent="0.25">
      <c r="A248" s="245">
        <v>2014</v>
      </c>
      <c r="B248" s="245" t="s">
        <v>19</v>
      </c>
      <c r="C248" s="246" t="s">
        <v>20</v>
      </c>
      <c r="D248" s="245" t="s">
        <v>21</v>
      </c>
      <c r="E248" s="248">
        <v>10.25</v>
      </c>
      <c r="F248" s="242" t="s">
        <v>507</v>
      </c>
      <c r="G248" s="242">
        <v>3.9</v>
      </c>
      <c r="H248" s="230">
        <f t="shared" si="12"/>
        <v>39.975000000000001</v>
      </c>
      <c r="K248" s="317">
        <v>1997</v>
      </c>
      <c r="L248">
        <v>214</v>
      </c>
      <c r="M248" s="317">
        <f>AVERAGEIFS(data!$X$2:$X$3404,data!$B$2:$B$3404,K248,data!$K$2:$K$3404,"female",data!$P$2:$P$3404,L248)</f>
        <v>55.677966101694906</v>
      </c>
      <c r="N248" s="317">
        <f>AVERAGEIFS(data!$X$2:$X$3404,data!$B$2:$B$3404,K248,data!$K$2:$K$3404,"male",data!$P$2:$P$3404,L248)</f>
        <v>64.081818181818178</v>
      </c>
      <c r="O248" s="317">
        <f>AVERAGEIFS(data!$X$2:$X$3404,data!$B$2:$B$3404,K248,data!$L$2:$L$3404,"gravid",data!$P$2:$P$3404,L248)</f>
        <v>59.60425531914894</v>
      </c>
      <c r="P248" s="317">
        <f>AVERAGEIFS(data!$X$2:$X$3404,data!$B$2:$B$3404,K248,data!$L$2:$L$3404,"spent",data!$P$2:$P$3404,L248)</f>
        <v>40.300000000000004</v>
      </c>
      <c r="Q248" s="219">
        <f>AVERAGEIFS(data!$X$2:$X$3404,data!$B$2:$B$3404,K248,data!$P$2:$P$3404,L248)</f>
        <v>56.998571428571424</v>
      </c>
      <c r="S248"/>
    </row>
    <row r="249" spans="1:19" ht="15.75" x14ac:dyDescent="0.25">
      <c r="A249" s="245">
        <v>2014</v>
      </c>
      <c r="B249" s="245" t="s">
        <v>19</v>
      </c>
      <c r="C249" s="246" t="s">
        <v>20</v>
      </c>
      <c r="D249" s="245" t="s">
        <v>21</v>
      </c>
      <c r="E249" s="248">
        <v>15</v>
      </c>
      <c r="F249" s="242" t="s">
        <v>507</v>
      </c>
      <c r="G249" s="242">
        <v>3.9</v>
      </c>
      <c r="H249" s="230">
        <f t="shared" si="12"/>
        <v>58.5</v>
      </c>
      <c r="K249" s="317">
        <v>1997</v>
      </c>
      <c r="L249">
        <v>215</v>
      </c>
      <c r="M249" s="317">
        <f>AVERAGEIFS(data!$X$2:$X$3404,data!$B$2:$B$3404,K249,data!$K$2:$K$3404,"female",data!$P$2:$P$3404,L249)</f>
        <v>68.549000000000007</v>
      </c>
      <c r="N249" s="317">
        <f>AVERAGEIFS(data!$X$2:$X$3404,data!$B$2:$B$3404,K249,data!$K$2:$K$3404,"male",data!$P$2:$P$3404,L249)</f>
        <v>76</v>
      </c>
      <c r="O249" s="317">
        <f>AVERAGEIFS(data!$X$2:$X$3404,data!$B$2:$B$3404,K249,data!$L$2:$L$3404,"gravid",data!$P$2:$P$3404,L249)</f>
        <v>71.760000000000019</v>
      </c>
      <c r="P249" s="317">
        <f>AVERAGEIFS(data!$X$2:$X$3404,data!$B$2:$B$3404,K249,data!$L$2:$L$3404,"spent",data!$P$2:$P$3404,L249)</f>
        <v>39.65</v>
      </c>
      <c r="Q249" s="219">
        <f>AVERAGEIFS(data!$X$2:$X$3404,data!$B$2:$B$3404,K249,data!$P$2:$P$3404,L249)</f>
        <v>69.014687500000008</v>
      </c>
      <c r="S249"/>
    </row>
    <row r="250" spans="1:19" ht="15.75" x14ac:dyDescent="0.25">
      <c r="A250" s="245">
        <v>2014</v>
      </c>
      <c r="B250" s="245" t="s">
        <v>19</v>
      </c>
      <c r="C250" s="246" t="s">
        <v>20</v>
      </c>
      <c r="D250" s="245" t="s">
        <v>21</v>
      </c>
      <c r="E250" s="248">
        <v>8</v>
      </c>
      <c r="F250" s="242" t="s">
        <v>507</v>
      </c>
      <c r="G250" s="242">
        <v>3.9</v>
      </c>
      <c r="H250" s="230">
        <f t="shared" si="12"/>
        <v>31.2</v>
      </c>
      <c r="K250" s="317">
        <v>1997</v>
      </c>
      <c r="L250">
        <v>217</v>
      </c>
      <c r="M250" s="317">
        <f>AVERAGEIFS(data!$X$2:$X$3404,data!$B$2:$B$3404,K250,data!$K$2:$K$3404,"female",data!$P$2:$P$3404,L250)</f>
        <v>56.333018867924523</v>
      </c>
      <c r="N250" s="317">
        <f>AVERAGEIFS(data!$X$2:$X$3404,data!$B$2:$B$3404,K250,data!$K$2:$K$3404,"male",data!$P$2:$P$3404,L250)</f>
        <v>58.266666666666673</v>
      </c>
      <c r="O250" s="317">
        <f>AVERAGEIFS(data!$X$2:$X$3404,data!$B$2:$B$3404,K250,data!$L$2:$L$3404,"gravid",data!$P$2:$P$3404,L250)</f>
        <v>60.259999999999991</v>
      </c>
      <c r="P250" s="317">
        <f>AVERAGEIFS(data!$X$2:$X$3404,data!$B$2:$B$3404,K250,data!$L$2:$L$3404,"spent",data!$P$2:$P$3404,L250)</f>
        <v>45.012499999999996</v>
      </c>
      <c r="Q250" s="219">
        <f>AVERAGEIFS(data!$X$2:$X$3404,data!$B$2:$B$3404,K250,data!$P$2:$P$3404,L250)</f>
        <v>56.436607142857149</v>
      </c>
      <c r="S250"/>
    </row>
    <row r="251" spans="1:19" ht="15.75" x14ac:dyDescent="0.25">
      <c r="A251" s="245">
        <v>2014</v>
      </c>
      <c r="B251" s="245" t="s">
        <v>19</v>
      </c>
      <c r="C251" s="246" t="s">
        <v>20</v>
      </c>
      <c r="D251" s="245" t="s">
        <v>21</v>
      </c>
      <c r="E251" s="248">
        <v>17</v>
      </c>
      <c r="F251" s="242" t="s">
        <v>507</v>
      </c>
      <c r="G251" s="242">
        <v>3.9</v>
      </c>
      <c r="H251" s="230">
        <f t="shared" si="12"/>
        <v>66.3</v>
      </c>
      <c r="K251" s="317">
        <v>1997</v>
      </c>
      <c r="L251">
        <v>219</v>
      </c>
      <c r="M251" s="317">
        <f>AVERAGEIFS(data!$X$2:$X$3404,data!$B$2:$B$3404,K251,data!$K$2:$K$3404,"female",data!$P$2:$P$3404,L251)</f>
        <v>48.913333333333327</v>
      </c>
      <c r="N251" s="317">
        <f>AVERAGEIFS(data!$X$2:$X$3404,data!$B$2:$B$3404,K251,data!$K$2:$K$3404,"male",data!$P$2:$P$3404,L251)</f>
        <v>82.839999999999989</v>
      </c>
      <c r="O251" s="317">
        <f>AVERAGEIFS(data!$X$2:$X$3404,data!$B$2:$B$3404,K251,data!$L$2:$L$3404,"gravid",data!$P$2:$P$3404,L251)</f>
        <v>53.369387755102039</v>
      </c>
      <c r="P251" s="317">
        <f>AVERAGEIFS(data!$X$2:$X$3404,data!$B$2:$B$3404,K251,data!$L$2:$L$3404,"spent",data!$P$2:$P$3404,L251)</f>
        <v>34.619999999999997</v>
      </c>
      <c r="Q251" s="219">
        <f>AVERAGEIFS(data!$X$2:$X$3404,data!$B$2:$B$3404,K251,data!$P$2:$P$3404,L251)</f>
        <v>51.407941176470572</v>
      </c>
      <c r="S251"/>
    </row>
    <row r="252" spans="1:19" ht="15.75" x14ac:dyDescent="0.25">
      <c r="A252" s="245">
        <v>2014</v>
      </c>
      <c r="B252" s="245" t="s">
        <v>19</v>
      </c>
      <c r="C252" s="246" t="s">
        <v>20</v>
      </c>
      <c r="D252" s="245" t="s">
        <v>21</v>
      </c>
      <c r="E252" s="248">
        <v>8</v>
      </c>
      <c r="F252" s="242" t="s">
        <v>507</v>
      </c>
      <c r="G252" s="242">
        <v>3.9</v>
      </c>
      <c r="H252" s="230">
        <f t="shared" si="12"/>
        <v>31.2</v>
      </c>
      <c r="K252" s="317">
        <v>1997</v>
      </c>
      <c r="L252">
        <v>220</v>
      </c>
      <c r="M252" s="317">
        <f>AVERAGEIFS(data!$X$2:$X$3404,data!$B$2:$B$3404,K252,data!$K$2:$K$3404,"female",data!$P$2:$P$3404,L252)</f>
        <v>48.21315789473686</v>
      </c>
      <c r="N252" s="317"/>
      <c r="O252" s="317">
        <f>AVERAGEIFS(data!$X$2:$X$3404,data!$B$2:$B$3404,K252,data!$L$2:$L$3404,"gravid",data!$P$2:$P$3404,L252)</f>
        <v>54.707142857142863</v>
      </c>
      <c r="P252" s="317">
        <f>AVERAGEIFS(data!$X$2:$X$3404,data!$B$2:$B$3404,K252,data!$L$2:$L$3404,"spent",data!$P$2:$P$3404,L252)</f>
        <v>30.029999999999994</v>
      </c>
      <c r="Q252" s="219">
        <f>AVERAGEIFS(data!$X$2:$X$3404,data!$B$2:$B$3404,K252,data!$P$2:$P$3404,L252)</f>
        <v>48.21315789473686</v>
      </c>
      <c r="S252"/>
    </row>
    <row r="253" spans="1:19" ht="15.75" x14ac:dyDescent="0.25">
      <c r="A253" s="245">
        <v>2014</v>
      </c>
      <c r="B253" s="245" t="s">
        <v>19</v>
      </c>
      <c r="C253" s="246" t="s">
        <v>20</v>
      </c>
      <c r="D253" s="245" t="s">
        <v>21</v>
      </c>
      <c r="E253" s="248">
        <v>13.8</v>
      </c>
      <c r="F253" s="242" t="s">
        <v>507</v>
      </c>
      <c r="G253" s="242">
        <v>3.9</v>
      </c>
      <c r="H253" s="230">
        <f t="shared" si="12"/>
        <v>53.82</v>
      </c>
      <c r="K253" s="342">
        <v>1997</v>
      </c>
      <c r="L253" s="342">
        <v>221</v>
      </c>
      <c r="M253" s="342">
        <f>AVERAGEIFS(data!$X$2:$X$3404,data!$B$2:$B$3404,K253,data!$K$2:$K$3404,"female",data!$P$2:$P$3404,L253)</f>
        <v>47.415384615384625</v>
      </c>
      <c r="N253" s="342">
        <f>AVERAGEIFS(data!$X$2:$X$3404,data!$B$2:$B$3404,K253,data!$K$2:$K$3404,"male",data!$P$2:$P$3404,L253)</f>
        <v>62.7</v>
      </c>
      <c r="O253" s="342">
        <f>AVERAGEIFS(data!$X$2:$X$3404,data!$B$2:$B$3404,K253,data!$L$2:$L$3404,"gravid",data!$P$2:$P$3404,L253)</f>
        <v>47.415384615384625</v>
      </c>
      <c r="P253" s="342"/>
      <c r="Q253" s="219">
        <f>AVERAGEIFS(data!$X$2:$X$3404,data!$B$2:$B$3404,K253,data!$P$2:$P$3404,L253)</f>
        <v>51.011764705882364</v>
      </c>
      <c r="R253" s="342"/>
      <c r="S253" s="342"/>
    </row>
    <row r="254" spans="1:19" ht="15.75" x14ac:dyDescent="0.25">
      <c r="A254" s="245">
        <v>2014</v>
      </c>
      <c r="B254" s="245" t="s">
        <v>19</v>
      </c>
      <c r="C254" s="246" t="s">
        <v>20</v>
      </c>
      <c r="D254" s="245" t="s">
        <v>21</v>
      </c>
      <c r="E254" s="248">
        <v>9</v>
      </c>
      <c r="F254" s="242" t="s">
        <v>507</v>
      </c>
      <c r="G254" s="242">
        <v>3.9</v>
      </c>
      <c r="H254" s="230">
        <f t="shared" si="12"/>
        <v>35.1</v>
      </c>
      <c r="K254">
        <v>1996</v>
      </c>
      <c r="L254">
        <v>219</v>
      </c>
      <c r="M254" s="317">
        <f>AVERAGEIFS(data!$X$2:$X$3404,data!$B$2:$B$3404,K254,data!$K$2:$K$3404,"female",data!$P$2:$P$3404,L254)</f>
        <v>48.464285714285722</v>
      </c>
      <c r="N254" s="317">
        <f>AVERAGEIFS(data!$X$2:$X$3404,data!$B$2:$B$3404,K254,data!$K$2:$K$3404,"male",data!$P$2:$P$3404,L254)</f>
        <v>79.8</v>
      </c>
      <c r="O254" s="317">
        <f>AVERAGEIFS(data!$X$2:$X$3404,data!$B$2:$B$3404,K254,data!$L$2:$L$3404,"gravid",data!$P$2:$P$3404,L254)</f>
        <v>70.149999999999991</v>
      </c>
      <c r="P254" s="317">
        <f>AVERAGEIFS(data!$X$2:$X$3404,data!$B$2:$B$3404,K254,data!$L$2:$L$3404,"spent",data!$P$2:$P$3404,L254)</f>
        <v>44.85</v>
      </c>
      <c r="Q254" s="219">
        <f>AVERAGEIFS(data!$X$2:$X$3404,data!$B$2:$B$3404,K254,data!$P$2:$P$3404,L254)</f>
        <v>50.553333333333335</v>
      </c>
      <c r="S254"/>
    </row>
    <row r="255" spans="1:19" ht="15.75" x14ac:dyDescent="0.25">
      <c r="A255" s="245">
        <v>2014</v>
      </c>
      <c r="B255" s="245" t="s">
        <v>19</v>
      </c>
      <c r="C255" s="246" t="s">
        <v>20</v>
      </c>
      <c r="D255" s="245" t="s">
        <v>21</v>
      </c>
      <c r="E255" s="248">
        <v>7.3</v>
      </c>
      <c r="F255" s="242" t="s">
        <v>507</v>
      </c>
      <c r="G255" s="242">
        <v>3.9</v>
      </c>
      <c r="H255" s="230">
        <f t="shared" si="12"/>
        <v>28.47</v>
      </c>
      <c r="K255" s="317">
        <v>1996</v>
      </c>
      <c r="L255">
        <v>221</v>
      </c>
      <c r="M255" s="317">
        <f>AVERAGEIFS(data!$X$2:$X$3404,data!$B$2:$B$3404,K255,data!$K$2:$K$3404,"female",data!$P$2:$P$3404,L255)</f>
        <v>46.598275862068974</v>
      </c>
      <c r="N255" s="317"/>
      <c r="O255" s="317"/>
      <c r="P255" s="317">
        <f>AVERAGEIFS(data!$X$2:$X$3404,data!$B$2:$B$3404,K255,data!$L$2:$L$3404,"spent",data!$P$2:$P$3404,L255)</f>
        <v>46.598275862068974</v>
      </c>
      <c r="Q255" s="219">
        <f>AVERAGEIFS(data!$X$2:$X$3404,data!$B$2:$B$3404,K255,data!$P$2:$P$3404,L255)</f>
        <v>46.598275862068974</v>
      </c>
      <c r="S255"/>
    </row>
    <row r="256" spans="1:19" ht="15.75" x14ac:dyDescent="0.25">
      <c r="A256" s="245">
        <v>2014</v>
      </c>
      <c r="B256" s="245" t="s">
        <v>19</v>
      </c>
      <c r="C256" s="246" t="s">
        <v>20</v>
      </c>
      <c r="D256" s="245" t="s">
        <v>21</v>
      </c>
      <c r="E256" s="248">
        <v>9</v>
      </c>
      <c r="F256" s="242" t="s">
        <v>507</v>
      </c>
      <c r="G256" s="242">
        <v>3.9</v>
      </c>
      <c r="H256" s="230">
        <f t="shared" si="12"/>
        <v>35.1</v>
      </c>
      <c r="K256" s="342">
        <v>1996</v>
      </c>
      <c r="L256" s="342">
        <v>222</v>
      </c>
      <c r="M256" s="342">
        <f>AVERAGEIFS(data!$X$2:$X$3404,data!$B$2:$B$3404,K256,data!$K$2:$K$3404,"female",data!$P$2:$P$3404,L256)</f>
        <v>46.474999999999994</v>
      </c>
      <c r="N256" s="342"/>
      <c r="O256" s="342"/>
      <c r="P256" s="342">
        <f>AVERAGEIFS(data!$X$2:$X$3404,data!$B$2:$B$3404,K256,data!$L$2:$L$3404,"spent",data!$P$2:$P$3404,L256)</f>
        <v>46.474999999999994</v>
      </c>
      <c r="Q256" s="219">
        <f>AVERAGEIFS(data!$X$2:$X$3404,data!$B$2:$B$3404,K256,data!$P$2:$P$3404,L256)</f>
        <v>46.474999999999994</v>
      </c>
      <c r="R256" s="342"/>
      <c r="S256" s="342"/>
    </row>
    <row r="257" spans="1:20" ht="15.75" x14ac:dyDescent="0.25">
      <c r="A257" s="245">
        <v>2014</v>
      </c>
      <c r="B257" s="245" t="s">
        <v>19</v>
      </c>
      <c r="C257" s="246" t="s">
        <v>20</v>
      </c>
      <c r="D257" s="245" t="s">
        <v>21</v>
      </c>
      <c r="E257" s="248">
        <v>8.3000000000000007</v>
      </c>
      <c r="F257" s="242" t="s">
        <v>507</v>
      </c>
      <c r="G257" s="242">
        <v>3.9</v>
      </c>
      <c r="H257" s="230">
        <f t="shared" si="12"/>
        <v>32.370000000000005</v>
      </c>
      <c r="K257">
        <v>1995</v>
      </c>
      <c r="L257">
        <v>216</v>
      </c>
      <c r="M257" s="317">
        <f>AVERAGEIFS(data!$X$2:$X$3404,data!$B$2:$B$3404,K257,data!$K$2:$K$3404,"female",data!$P$2:$P$3404,L257)</f>
        <v>54.304186046511624</v>
      </c>
      <c r="N257" s="317">
        <f>AVERAGEIFS(data!$X$2:$X$3404,data!$B$2:$B$3404,K257,data!$K$2:$K$3404,"male",data!$P$2:$P$3404,L257)</f>
        <v>69.117777777777775</v>
      </c>
      <c r="O257" s="317">
        <f>AVERAGEIFS(data!$X$2:$X$3404,data!$B$2:$B$3404,K257,data!$L$2:$L$3404,"gravid",data!$P$2:$P$3404,L257)</f>
        <v>56.956363636363619</v>
      </c>
      <c r="P257" s="317">
        <f>AVERAGEIFS(data!$X$2:$X$3404,data!$B$2:$B$3404,K257,data!$L$2:$L$3404,"spent",data!$P$2:$P$3404,L257)</f>
        <v>46.67</v>
      </c>
      <c r="Q257" s="219">
        <f>AVERAGEIFS(data!$X$2:$X$3404,data!$B$2:$B$3404,K257,data!$P$2:$P$3404,L257)</f>
        <v>56.86807692307692</v>
      </c>
      <c r="S257"/>
    </row>
    <row r="258" spans="1:20" ht="15.75" x14ac:dyDescent="0.25">
      <c r="A258" s="245">
        <v>2014</v>
      </c>
      <c r="B258" s="245" t="s">
        <v>19</v>
      </c>
      <c r="C258" s="246" t="s">
        <v>20</v>
      </c>
      <c r="D258" s="245" t="s">
        <v>21</v>
      </c>
      <c r="E258" s="248">
        <v>13.3</v>
      </c>
      <c r="F258" s="242" t="s">
        <v>507</v>
      </c>
      <c r="G258" s="242">
        <v>3.9</v>
      </c>
      <c r="H258" s="230">
        <f t="shared" si="12"/>
        <v>51.870000000000005</v>
      </c>
      <c r="K258" s="317">
        <v>1995</v>
      </c>
      <c r="L258">
        <v>217</v>
      </c>
      <c r="M258" s="317">
        <f>AVERAGEIFS(data!$X$2:$X$3404,data!$B$2:$B$3404,K258,data!$K$2:$K$3404,"female",data!$P$2:$P$3404,L258)</f>
        <v>54.156499999999994</v>
      </c>
      <c r="N258" s="317">
        <f>AVERAGEIFS(data!$X$2:$X$3404,data!$B$2:$B$3404,K258,data!$K$2:$K$3404,"male",data!$P$2:$P$3404,L258)</f>
        <v>61.18</v>
      </c>
      <c r="O258" s="317">
        <f>AVERAGEIFS(data!$X$2:$X$3404,data!$B$2:$B$3404,K258,data!$L$2:$L$3404,"gravid",data!$P$2:$P$3404,L258)</f>
        <v>63.058333333333309</v>
      </c>
      <c r="P258" s="317">
        <f>AVERAGEIFS(data!$X$2:$X$3404,data!$B$2:$B$3404,K258,data!$L$2:$L$3404,"spent",data!$P$2:$P$3404,L258)</f>
        <v>40.803749999999994</v>
      </c>
      <c r="Q258" s="219">
        <f>AVERAGEIFS(data!$X$2:$X$3404,data!$B$2:$B$3404,K258,data!$P$2:$P$3404,L258)</f>
        <v>54.795000000000002</v>
      </c>
      <c r="S258"/>
    </row>
    <row r="259" spans="1:20" ht="15.75" x14ac:dyDescent="0.25">
      <c r="A259" s="245">
        <v>2014</v>
      </c>
      <c r="B259" s="245" t="s">
        <v>19</v>
      </c>
      <c r="C259" s="246" t="s">
        <v>20</v>
      </c>
      <c r="D259" s="245" t="s">
        <v>21</v>
      </c>
      <c r="E259" s="248">
        <v>9</v>
      </c>
      <c r="F259" s="242" t="s">
        <v>507</v>
      </c>
      <c r="G259" s="242">
        <v>3.9</v>
      </c>
      <c r="H259" s="230">
        <f t="shared" ref="H259:H322" si="14">E259*G259</f>
        <v>35.1</v>
      </c>
      <c r="K259" s="317">
        <v>1995</v>
      </c>
      <c r="L259">
        <v>220</v>
      </c>
      <c r="M259" s="317">
        <f>AVERAGEIFS(data!$X$2:$X$3404,data!$B$2:$B$3404,K259,data!$K$2:$K$3404,"female",data!$P$2:$P$3404,L259)</f>
        <v>53.216956521739142</v>
      </c>
      <c r="N259" s="317"/>
      <c r="O259" s="317">
        <f>AVERAGEIFS(data!$X$2:$X$3404,data!$B$2:$B$3404,K259,data!$L$2:$L$3404,"gravid",data!$P$2:$P$3404,L259)</f>
        <v>58.011111111111113</v>
      </c>
      <c r="P259" s="317">
        <f>AVERAGEIFS(data!$X$2:$X$3404,data!$B$2:$B$3404,K259,data!$L$2:$L$3404,"spent",data!$P$2:$P$3404,L259)</f>
        <v>35.957999999999998</v>
      </c>
      <c r="Q259" s="219">
        <f>AVERAGEIFS(data!$X$2:$X$3404,data!$B$2:$B$3404,K259,data!$P$2:$P$3404,L259)</f>
        <v>53.216956521739142</v>
      </c>
      <c r="S259"/>
    </row>
    <row r="260" spans="1:20" ht="15.75" x14ac:dyDescent="0.25">
      <c r="A260" s="245">
        <v>2014</v>
      </c>
      <c r="B260" s="245" t="s">
        <v>19</v>
      </c>
      <c r="C260" s="246" t="s">
        <v>20</v>
      </c>
      <c r="D260" s="245" t="s">
        <v>21</v>
      </c>
      <c r="E260" s="248">
        <v>9.3000000000000007</v>
      </c>
      <c r="F260" s="242" t="s">
        <v>507</v>
      </c>
      <c r="G260" s="242">
        <v>3.9</v>
      </c>
      <c r="H260" s="230">
        <f t="shared" si="14"/>
        <v>36.270000000000003</v>
      </c>
      <c r="K260" s="342">
        <v>1995</v>
      </c>
      <c r="L260" s="342">
        <v>223</v>
      </c>
      <c r="M260" s="342">
        <f>AVERAGEIFS(data!$X$2:$X$3404,data!$B$2:$B$3404,K260,data!$K$2:$K$3404,"female",data!$P$2:$P$3404,L260)</f>
        <v>44.599999999999994</v>
      </c>
      <c r="N260" s="342">
        <f>AVERAGEIFS(data!$X$2:$X$3404,data!$B$2:$B$3404,K260,data!$K$2:$K$3404,"male",data!$P$2:$P$3404,L260)</f>
        <v>66.5</v>
      </c>
      <c r="O260" s="342">
        <f>AVERAGEIFS(data!$X$2:$X$3404,data!$B$2:$B$3404,K260,data!$L$2:$L$3404,"gravid",data!$P$2:$P$3404,L260)</f>
        <v>49.066666666666663</v>
      </c>
      <c r="P260" s="342">
        <f>AVERAGEIFS(data!$X$2:$X$3404,data!$B$2:$B$3404,K260,data!$L$2:$L$3404,"spent",data!$P$2:$P$3404,L260)</f>
        <v>31.2</v>
      </c>
      <c r="Q260" s="219">
        <f>AVERAGEIFS(data!$X$2:$X$3404,data!$B$2:$B$3404,K260,data!$P$2:$P$3404,L260)</f>
        <v>48.98</v>
      </c>
      <c r="R260" s="342"/>
      <c r="S260" s="342"/>
    </row>
    <row r="261" spans="1:20" ht="15.75" x14ac:dyDescent="0.25">
      <c r="A261" s="245">
        <v>2014</v>
      </c>
      <c r="B261" s="245" t="s">
        <v>19</v>
      </c>
      <c r="C261" s="246" t="s">
        <v>20</v>
      </c>
      <c r="D261" s="245" t="s">
        <v>21</v>
      </c>
      <c r="E261" s="248">
        <v>10.5</v>
      </c>
      <c r="F261" s="242" t="s">
        <v>507</v>
      </c>
      <c r="G261" s="242">
        <v>3.9</v>
      </c>
      <c r="H261" s="230">
        <f t="shared" si="14"/>
        <v>40.949999999999996</v>
      </c>
      <c r="K261">
        <v>1994</v>
      </c>
      <c r="L261">
        <v>224</v>
      </c>
      <c r="M261" s="317">
        <f>AVERAGEIFS(data!$X$2:$X$3404,data!$B$2:$B$3404,K261,data!$K$2:$K$3404,"female",data!$P$2:$P$3404,L261)</f>
        <v>48.069999999999993</v>
      </c>
      <c r="N261" s="317">
        <f>AVERAGEIFS(data!$X$2:$X$3404,data!$B$2:$B$3404,K261,data!$K$2:$K$3404,"male",data!$P$2:$P$3404,L261)</f>
        <v>70.3</v>
      </c>
      <c r="O261" s="317">
        <f>AVERAGEIFS(data!$X$2:$X$3404,data!$B$2:$B$3404,K261,data!$L$2:$L$3404,"gravid",data!$P$2:$P$3404,L261)</f>
        <v>56.12</v>
      </c>
      <c r="P261" s="317">
        <f>AVERAGEIFS(data!$X$2:$X$3404,data!$B$2:$B$3404,K261,data!$L$2:$L$3404,"spent",data!$P$2:$P$3404,L261)</f>
        <v>44.849999999999987</v>
      </c>
      <c r="Q261" s="219">
        <f>AVERAGEIFS(data!$X$2:$X$3404,data!$B$2:$B$3404,K261,data!$P$2:$P$3404,L261)</f>
        <v>50.848749999999988</v>
      </c>
      <c r="S261"/>
    </row>
    <row r="262" spans="1:20" ht="15.75" x14ac:dyDescent="0.25">
      <c r="A262" s="245">
        <v>2014</v>
      </c>
      <c r="B262" s="245" t="s">
        <v>19</v>
      </c>
      <c r="C262" s="246" t="s">
        <v>20</v>
      </c>
      <c r="D262" s="245" t="s">
        <v>21</v>
      </c>
      <c r="E262" s="248">
        <v>8.5</v>
      </c>
      <c r="F262" s="242" t="s">
        <v>507</v>
      </c>
      <c r="G262" s="242">
        <v>3.9</v>
      </c>
      <c r="H262" s="230">
        <f t="shared" si="14"/>
        <v>33.15</v>
      </c>
      <c r="K262" s="317">
        <v>1994</v>
      </c>
      <c r="L262">
        <v>225</v>
      </c>
      <c r="M262" s="317">
        <f>AVERAGEIFS(data!$X$2:$X$3404,data!$B$2:$B$3404,K262,data!$K$2:$K$3404,"female",data!$P$2:$P$3404,L262)</f>
        <v>72.679999999999993</v>
      </c>
      <c r="N262" s="317">
        <f>AVERAGEIFS(data!$X$2:$X$3404,data!$B$2:$B$3404,K262,data!$K$2:$K$3404,"male",data!$P$2:$P$3404,L262)</f>
        <v>53.199999999999996</v>
      </c>
      <c r="O262" s="317">
        <f>AVERAGEIFS(data!$X$2:$X$3404,data!$B$2:$B$3404,K262,data!$L$2:$L$3404,"gravid",data!$P$2:$P$3404,L262)</f>
        <v>72.679999999999993</v>
      </c>
      <c r="P262" s="317"/>
      <c r="Q262" s="219">
        <f>AVERAGEIFS(data!$X$2:$X$3404,data!$B$2:$B$3404,K262,data!$P$2:$P$3404,L262)</f>
        <v>62.94</v>
      </c>
      <c r="S262"/>
    </row>
    <row r="263" spans="1:20" ht="15.75" x14ac:dyDescent="0.25">
      <c r="A263" s="245">
        <v>2014</v>
      </c>
      <c r="B263" s="245" t="s">
        <v>19</v>
      </c>
      <c r="C263" s="246" t="s">
        <v>20</v>
      </c>
      <c r="D263" s="245" t="s">
        <v>21</v>
      </c>
      <c r="E263" s="248">
        <v>13.2</v>
      </c>
      <c r="F263" s="242" t="s">
        <v>507</v>
      </c>
      <c r="G263" s="242">
        <v>3.9</v>
      </c>
      <c r="H263" s="230">
        <f t="shared" si="14"/>
        <v>51.48</v>
      </c>
      <c r="K263" s="317">
        <v>1994</v>
      </c>
      <c r="L263">
        <v>226</v>
      </c>
      <c r="M263" s="317">
        <f>AVERAGEIFS(data!$X$2:$X$3404,data!$B$2:$B$3404,K263,data!$K$2:$K$3404,"female",data!$P$2:$P$3404,L263)</f>
        <v>52.965714285714284</v>
      </c>
      <c r="N263" s="317">
        <f>AVERAGEIFS(data!$X$2:$X$3404,data!$B$2:$B$3404,K263,data!$K$2:$K$3404,"male",data!$P$2:$P$3404,L263)</f>
        <v>77.899999999999991</v>
      </c>
      <c r="O263" s="317">
        <f>AVERAGEIFS(data!$X$2:$X$3404,data!$B$2:$B$3404,K263,data!$L$2:$L$3404,"gravid",data!$P$2:$P$3404,L263)</f>
        <v>59.800000000000004</v>
      </c>
      <c r="P263" s="317">
        <f>AVERAGEIFS(data!$X$2:$X$3404,data!$B$2:$B$3404,K263,data!$L$2:$L$3404,"spent",data!$P$2:$P$3404,L263)</f>
        <v>53.585999999999991</v>
      </c>
      <c r="Q263" s="219">
        <f>AVERAGEIFS(data!$X$2:$X$3404,data!$B$2:$B$3404,K263,data!$P$2:$P$3404,L263)</f>
        <v>57.760769230769228</v>
      </c>
      <c r="S263"/>
    </row>
    <row r="264" spans="1:20" ht="15.75" x14ac:dyDescent="0.25">
      <c r="A264" s="245">
        <v>2014</v>
      </c>
      <c r="B264" s="245" t="s">
        <v>19</v>
      </c>
      <c r="C264" s="246" t="s">
        <v>20</v>
      </c>
      <c r="D264" s="245" t="s">
        <v>21</v>
      </c>
      <c r="E264" s="248">
        <v>8.5</v>
      </c>
      <c r="F264" s="242" t="s">
        <v>507</v>
      </c>
      <c r="G264" s="242">
        <v>3.9</v>
      </c>
      <c r="H264" s="230">
        <f t="shared" si="14"/>
        <v>33.15</v>
      </c>
      <c r="K264" s="317">
        <v>1994</v>
      </c>
      <c r="L264">
        <v>227</v>
      </c>
      <c r="M264" s="317">
        <f>AVERAGEIFS(data!$X$2:$X$3404,data!$B$2:$B$3404,K264,data!$K$2:$K$3404,"female",data!$P$2:$P$3404,L264)</f>
        <v>56.333076923076923</v>
      </c>
      <c r="N264" s="317">
        <f>AVERAGEIFS(data!$X$2:$X$3404,data!$B$2:$B$3404,K264,data!$K$2:$K$3404,"male",data!$P$2:$P$3404,L264)</f>
        <v>64.599999999999994</v>
      </c>
      <c r="O264" s="317">
        <f>AVERAGEIFS(data!$X$2:$X$3404,data!$B$2:$B$3404,K264,data!$L$2:$L$3404,"gravid",data!$P$2:$P$3404,L264)</f>
        <v>66.853333333333339</v>
      </c>
      <c r="P264" s="317">
        <f>AVERAGEIFS(data!$X$2:$X$3404,data!$B$2:$B$3404,K264,data!$L$2:$L$3404,"spent",data!$P$2:$P$3404,L264)</f>
        <v>32.662500000000001</v>
      </c>
      <c r="Q264" s="219">
        <f>AVERAGEIFS(data!$X$2:$X$3404,data!$B$2:$B$3404,K264,data!$P$2:$P$3404,L264)</f>
        <v>56.923571428571435</v>
      </c>
      <c r="S264"/>
    </row>
    <row r="265" spans="1:20" ht="15.75" x14ac:dyDescent="0.25">
      <c r="A265" s="245">
        <v>2014</v>
      </c>
      <c r="B265" s="245" t="s">
        <v>19</v>
      </c>
      <c r="C265" s="246" t="s">
        <v>20</v>
      </c>
      <c r="D265" s="245" t="s">
        <v>21</v>
      </c>
      <c r="E265" s="248">
        <v>11.5</v>
      </c>
      <c r="F265" s="242" t="s">
        <v>507</v>
      </c>
      <c r="G265" s="242">
        <v>3.9</v>
      </c>
      <c r="H265" s="230">
        <f t="shared" si="14"/>
        <v>44.85</v>
      </c>
      <c r="K265" s="342">
        <v>1994</v>
      </c>
      <c r="L265" s="342">
        <v>228</v>
      </c>
      <c r="M265" s="342">
        <f>AVERAGEIFS(data!$X$2:$X$3404,data!$B$2:$B$3404,K265,data!$K$2:$K$3404,"female",data!$P$2:$P$3404,L265)</f>
        <v>65.38</v>
      </c>
      <c r="N265" s="342">
        <f>AVERAGEIFS(data!$X$2:$X$3404,data!$B$2:$B$3404,K265,data!$K$2:$K$3404,"male",data!$P$2:$P$3404,L265)</f>
        <v>83.6</v>
      </c>
      <c r="O265" s="342">
        <f>AVERAGEIFS(data!$X$2:$X$3404,data!$B$2:$B$3404,K265,data!$L$2:$L$3404,"gravid",data!$P$2:$P$3404,L265)</f>
        <v>88.166666666666671</v>
      </c>
      <c r="P265" s="342">
        <f>AVERAGEIFS(data!$X$2:$X$3404,data!$B$2:$B$3404,K265,data!$L$2:$L$3404,"spent",data!$P$2:$P$3404,L265)</f>
        <v>31.200000000000003</v>
      </c>
      <c r="Q265" s="219">
        <f>AVERAGEIFS(data!$X$2:$X$3404,data!$B$2:$B$3404,K265,data!$P$2:$P$3404,L265)</f>
        <v>68.416666666666671</v>
      </c>
      <c r="R265" s="342"/>
      <c r="S265" s="342"/>
    </row>
    <row r="266" spans="1:20" ht="15.75" x14ac:dyDescent="0.25">
      <c r="A266" s="245">
        <v>2014</v>
      </c>
      <c r="B266" s="245" t="s">
        <v>19</v>
      </c>
      <c r="C266" s="246" t="s">
        <v>20</v>
      </c>
      <c r="D266" s="245" t="s">
        <v>21</v>
      </c>
      <c r="E266" s="248">
        <v>10</v>
      </c>
      <c r="F266" s="242" t="s">
        <v>507</v>
      </c>
      <c r="G266" s="242">
        <v>3.9</v>
      </c>
      <c r="H266" s="230">
        <f t="shared" si="14"/>
        <v>39</v>
      </c>
      <c r="K266">
        <v>1993</v>
      </c>
      <c r="L266">
        <v>217</v>
      </c>
      <c r="M266" s="317">
        <f>AVERAGEIFS(data!$X$2:$X$3404,data!$B$2:$B$3404,K266,data!$K$2:$K$3404,"female",data!$P$2:$P$3404,L266)</f>
        <v>53.474999999999994</v>
      </c>
      <c r="N266" s="317"/>
      <c r="O266" s="317">
        <f>AVERAGEIFS(data!$X$2:$X$3404,data!$B$2:$B$3404,K266,data!$L$2:$L$3404,"gravid",data!$P$2:$P$3404,L266)</f>
        <v>62.099999999999994</v>
      </c>
      <c r="P266" s="317">
        <f>AVERAGEIFS(data!$X$2:$X$3404,data!$B$2:$B$3404,K266,data!$L$2:$L$3404,"spent",data!$P$2:$P$3404,L266)</f>
        <v>44.85</v>
      </c>
      <c r="Q266" s="219">
        <f>AVERAGEIFS(data!$X$2:$X$3404,data!$B$2:$B$3404,K266,data!$P$2:$P$3404,L266)</f>
        <v>53.474999999999994</v>
      </c>
      <c r="R266">
        <v>19</v>
      </c>
      <c r="S266"/>
      <c r="T266" s="339">
        <f t="shared" si="13"/>
        <v>19</v>
      </c>
    </row>
    <row r="267" spans="1:20" ht="15.75" x14ac:dyDescent="0.25">
      <c r="A267" s="245">
        <v>2014</v>
      </c>
      <c r="B267" s="245" t="s">
        <v>19</v>
      </c>
      <c r="C267" s="246" t="s">
        <v>20</v>
      </c>
      <c r="D267" s="245" t="s">
        <v>21</v>
      </c>
      <c r="E267" s="248">
        <v>11.8</v>
      </c>
      <c r="F267" s="242" t="s">
        <v>507</v>
      </c>
      <c r="G267" s="242">
        <v>3.9</v>
      </c>
      <c r="H267" s="230">
        <f t="shared" si="14"/>
        <v>46.02</v>
      </c>
      <c r="K267" s="317">
        <v>1993</v>
      </c>
      <c r="L267">
        <v>218</v>
      </c>
      <c r="M267" s="317">
        <f>AVERAGEIFS(data!$X$2:$X$3404,data!$B$2:$B$3404,K267,data!$K$2:$K$3404,"female",data!$P$2:$P$3404,L267)</f>
        <v>55.55</v>
      </c>
      <c r="N267" s="317">
        <f>AVERAGEIFS(data!$X$2:$X$3404,data!$B$2:$B$3404,K267,data!$K$2:$K$3404,"male",data!$P$2:$P$3404,L267)</f>
        <v>77.899999999999991</v>
      </c>
      <c r="O267" s="317">
        <f>AVERAGEIFS(data!$X$2:$X$3404,data!$B$2:$B$3404,K267,data!$L$2:$L$3404,"gravid",data!$P$2:$P$3404,L267)</f>
        <v>74.36666666666666</v>
      </c>
      <c r="P267" s="317">
        <f>AVERAGEIFS(data!$X$2:$X$3404,data!$B$2:$B$3404,K267,data!$L$2:$L$3404,"spent",data!$P$2:$P$3404,L267)</f>
        <v>41.437499999999993</v>
      </c>
      <c r="Q267" s="219">
        <f>AVERAGEIFS(data!$X$2:$X$3404,data!$B$2:$B$3404,K267,data!$P$2:$P$3404,L267)</f>
        <v>58.343749999999993</v>
      </c>
      <c r="R267">
        <v>20</v>
      </c>
      <c r="S267"/>
      <c r="T267" s="339">
        <f t="shared" si="13"/>
        <v>20</v>
      </c>
    </row>
    <row r="268" spans="1:20" ht="15.75" x14ac:dyDescent="0.25">
      <c r="A268" s="245">
        <v>2014</v>
      </c>
      <c r="B268" s="245" t="s">
        <v>19</v>
      </c>
      <c r="C268" s="246" t="s">
        <v>20</v>
      </c>
      <c r="D268" s="245" t="s">
        <v>21</v>
      </c>
      <c r="E268" s="248">
        <v>14</v>
      </c>
      <c r="F268" s="242" t="s">
        <v>507</v>
      </c>
      <c r="G268" s="242">
        <v>3.9</v>
      </c>
      <c r="H268" s="230">
        <f t="shared" si="14"/>
        <v>54.6</v>
      </c>
      <c r="K268" s="317">
        <v>1993</v>
      </c>
      <c r="L268">
        <v>219</v>
      </c>
      <c r="M268" s="317">
        <f>AVERAGEIFS(data!$X$2:$X$3404,data!$B$2:$B$3404,K268,data!$K$2:$K$3404,"female",data!$P$2:$P$3404,L268)</f>
        <v>63.308888888888887</v>
      </c>
      <c r="N268" s="317"/>
      <c r="O268" s="317">
        <f>AVERAGEIFS(data!$X$2:$X$3404,data!$B$2:$B$3404,K268,data!$L$2:$L$3404,"gravid",data!$P$2:$P$3404,L268)</f>
        <v>63.422499999999999</v>
      </c>
      <c r="P268" s="317">
        <f>AVERAGEIFS(data!$X$2:$X$3404,data!$B$2:$B$3404,K268,data!$L$2:$L$3404,"spent",data!$P$2:$P$3404,L268)</f>
        <v>62.4</v>
      </c>
      <c r="Q268" s="219">
        <f>AVERAGEIFS(data!$X$2:$X$3404,data!$B$2:$B$3404,K268,data!$P$2:$P$3404,L268)</f>
        <v>63.308888888888887</v>
      </c>
      <c r="R268">
        <v>21</v>
      </c>
      <c r="S268"/>
      <c r="T268" s="339">
        <f t="shared" si="13"/>
        <v>21</v>
      </c>
    </row>
    <row r="269" spans="1:20" ht="15.75" x14ac:dyDescent="0.25">
      <c r="A269" s="245">
        <v>2014</v>
      </c>
      <c r="B269" s="245" t="s">
        <v>19</v>
      </c>
      <c r="C269" s="246" t="s">
        <v>20</v>
      </c>
      <c r="D269" s="245" t="s">
        <v>21</v>
      </c>
      <c r="E269" s="248">
        <v>15.1</v>
      </c>
      <c r="F269" s="242" t="s">
        <v>507</v>
      </c>
      <c r="G269" s="242">
        <v>3.9</v>
      </c>
      <c r="H269" s="230">
        <f t="shared" si="14"/>
        <v>58.89</v>
      </c>
      <c r="K269" s="317">
        <v>1993</v>
      </c>
      <c r="L269">
        <v>220</v>
      </c>
      <c r="M269" s="317">
        <f>AVERAGEIFS(data!$X$2:$X$3404,data!$B$2:$B$3404,K269,data!$K$2:$K$3404,"female",data!$P$2:$P$3404,L269)</f>
        <v>53.86249999999999</v>
      </c>
      <c r="N269" s="317">
        <f>AVERAGEIFS(data!$X$2:$X$3404,data!$B$2:$B$3404,K269,data!$K$2:$K$3404,"male",data!$P$2:$P$3404,L269)</f>
        <v>81.066666666666663</v>
      </c>
      <c r="O269" s="317">
        <f>AVERAGEIFS(data!$X$2:$X$3404,data!$B$2:$B$3404,K269,data!$L$2:$L$3404,"gravid",data!$P$2:$P$3404,L269)</f>
        <v>58.879999999999995</v>
      </c>
      <c r="P269" s="317">
        <f>AVERAGEIFS(data!$X$2:$X$3404,data!$B$2:$B$3404,K269,data!$L$2:$L$3404,"spent",data!$P$2:$P$3404,L269)</f>
        <v>45.5</v>
      </c>
      <c r="Q269" s="219">
        <f>AVERAGEIFS(data!$X$2:$X$3404,data!$B$2:$B$3404,K269,data!$P$2:$P$3404,L269)</f>
        <v>61.281818181818196</v>
      </c>
      <c r="R269">
        <v>22</v>
      </c>
      <c r="S269"/>
      <c r="T269" s="339">
        <f t="shared" si="13"/>
        <v>22</v>
      </c>
    </row>
    <row r="270" spans="1:20" ht="15.75" x14ac:dyDescent="0.25">
      <c r="A270" s="245">
        <v>2014</v>
      </c>
      <c r="B270" s="245" t="s">
        <v>19</v>
      </c>
      <c r="C270" s="246" t="s">
        <v>20</v>
      </c>
      <c r="D270" s="245" t="s">
        <v>21</v>
      </c>
      <c r="E270" s="248">
        <v>9.5</v>
      </c>
      <c r="F270" s="242" t="s">
        <v>507</v>
      </c>
      <c r="G270" s="242">
        <v>3.9</v>
      </c>
      <c r="H270" s="230">
        <f t="shared" si="14"/>
        <v>37.049999999999997</v>
      </c>
      <c r="K270" s="317">
        <v>1993</v>
      </c>
      <c r="L270">
        <v>222</v>
      </c>
      <c r="M270" s="317">
        <f>AVERAGEIFS(data!$X$2:$X$3404,data!$B$2:$B$3404,K270,data!$K$2:$K$3404,"female",data!$P$2:$P$3404,L270)</f>
        <v>71.007045454545434</v>
      </c>
      <c r="N270" s="317">
        <f>AVERAGEIFS(data!$X$2:$X$3404,data!$B$2:$B$3404,K270,data!$K$2:$K$3404,"male",data!$P$2:$P$3404,L270)</f>
        <v>78.913333333333327</v>
      </c>
      <c r="O270" s="317">
        <f>AVERAGEIFS(data!$X$2:$X$3404,data!$B$2:$B$3404,K270,data!$L$2:$L$3404,"gravid",data!$P$2:$P$3404,L270)</f>
        <v>71.946190476190466</v>
      </c>
      <c r="P270" s="317">
        <f>AVERAGEIFS(data!$X$2:$X$3404,data!$B$2:$B$3404,K270,data!$L$2:$L$3404,"spent",data!$P$2:$P$3404,L270)</f>
        <v>51.284999999999997</v>
      </c>
      <c r="Q270" s="219">
        <f>AVERAGEIFS(data!$X$2:$X$3404,data!$B$2:$B$3404,K270,data!$P$2:$P$3404,L270)</f>
        <v>71.511702127659561</v>
      </c>
      <c r="R270">
        <v>24</v>
      </c>
      <c r="S270"/>
      <c r="T270" s="339">
        <f t="shared" si="13"/>
        <v>24</v>
      </c>
    </row>
    <row r="271" spans="1:20" ht="15.75" x14ac:dyDescent="0.25">
      <c r="A271" s="245">
        <v>2014</v>
      </c>
      <c r="B271" s="245" t="s">
        <v>19</v>
      </c>
      <c r="C271" s="246" t="s">
        <v>20</v>
      </c>
      <c r="D271" s="245" t="s">
        <v>21</v>
      </c>
      <c r="E271" s="248">
        <v>15.5</v>
      </c>
      <c r="F271" s="242" t="s">
        <v>507</v>
      </c>
      <c r="G271" s="242">
        <v>3.9</v>
      </c>
      <c r="H271" s="230">
        <f t="shared" si="14"/>
        <v>60.449999999999996</v>
      </c>
      <c r="K271" s="317">
        <v>1993</v>
      </c>
      <c r="L271">
        <v>223</v>
      </c>
      <c r="M271" s="317">
        <f>AVERAGEIFS(data!$X$2:$X$3404,data!$B$2:$B$3404,K271,data!$K$2:$K$3404,"female",data!$P$2:$P$3404,L271)</f>
        <v>74.519230769230745</v>
      </c>
      <c r="N271" s="317">
        <f>AVERAGEIFS(data!$X$2:$X$3404,data!$B$2:$B$3404,K271,data!$K$2:$K$3404,"male",data!$P$2:$P$3404,L271)</f>
        <v>86.513333333333321</v>
      </c>
      <c r="O271" s="317">
        <f>AVERAGEIFS(data!$X$2:$X$3404,data!$B$2:$B$3404,K271,data!$L$2:$L$3404,"gravid",data!$P$2:$P$3404,L271)</f>
        <v>74.594594594594568</v>
      </c>
      <c r="P271" s="317">
        <f>AVERAGEIFS(data!$X$2:$X$3404,data!$B$2:$B$3404,K271,data!$L$2:$L$3404,"spent",data!$P$2:$P$3404,L271)</f>
        <v>73.125</v>
      </c>
      <c r="Q271" s="219">
        <f>AVERAGEIFS(data!$X$2:$X$3404,data!$B$2:$B$3404,K271,data!$P$2:$P$3404,L271)</f>
        <v>75.375952380952356</v>
      </c>
      <c r="R271">
        <v>25</v>
      </c>
      <c r="S271"/>
      <c r="T271" s="339">
        <f t="shared" si="13"/>
        <v>25</v>
      </c>
    </row>
    <row r="272" spans="1:20" ht="15.75" x14ac:dyDescent="0.25">
      <c r="A272" s="245">
        <v>2014</v>
      </c>
      <c r="B272" s="245" t="s">
        <v>19</v>
      </c>
      <c r="C272" s="246" t="s">
        <v>20</v>
      </c>
      <c r="D272" s="245" t="s">
        <v>21</v>
      </c>
      <c r="E272" s="248">
        <v>18.3</v>
      </c>
      <c r="F272" s="242" t="s">
        <v>507</v>
      </c>
      <c r="G272" s="242">
        <v>3.9</v>
      </c>
      <c r="H272" s="230">
        <f t="shared" si="14"/>
        <v>71.37</v>
      </c>
      <c r="K272" s="342">
        <v>1993</v>
      </c>
      <c r="L272" s="342">
        <v>224</v>
      </c>
      <c r="M272" s="342">
        <f>AVERAGEIFS(data!$X$2:$X$3404,data!$B$2:$B$3404,K272,data!$K$2:$K$3404,"female",data!$P$2:$P$3404,L272)</f>
        <v>76.245000000000005</v>
      </c>
      <c r="N272" s="342">
        <f>AVERAGEIFS(data!$X$2:$X$3404,data!$B$2:$B$3404,K272,data!$K$2:$K$3404,"male",data!$P$2:$P$3404,L272)</f>
        <v>81.7</v>
      </c>
      <c r="O272" s="342">
        <f>AVERAGEIFS(data!$X$2:$X$3404,data!$B$2:$B$3404,K272,data!$L$2:$L$3404,"gravid",data!$P$2:$P$3404,L272)</f>
        <v>76.245000000000005</v>
      </c>
      <c r="P272" s="342"/>
      <c r="Q272" s="219">
        <f>AVERAGEIFS(data!$X$2:$X$3404,data!$B$2:$B$3404,K272,data!$P$2:$P$3404,L272)</f>
        <v>76.851111111111095</v>
      </c>
      <c r="R272" s="342">
        <v>26</v>
      </c>
      <c r="S272" s="342"/>
      <c r="T272" s="339">
        <f t="shared" si="13"/>
        <v>26</v>
      </c>
    </row>
    <row r="273" spans="1:20" ht="15.75" x14ac:dyDescent="0.25">
      <c r="A273" s="245">
        <v>2014</v>
      </c>
      <c r="B273" s="245" t="s">
        <v>19</v>
      </c>
      <c r="C273" s="246" t="s">
        <v>20</v>
      </c>
      <c r="D273" s="245" t="s">
        <v>21</v>
      </c>
      <c r="E273" s="248">
        <v>15.5</v>
      </c>
      <c r="F273" s="242" t="s">
        <v>507</v>
      </c>
      <c r="G273" s="242">
        <v>3.9</v>
      </c>
      <c r="H273" s="230">
        <f t="shared" si="14"/>
        <v>60.449999999999996</v>
      </c>
      <c r="K273">
        <v>1992</v>
      </c>
      <c r="L273">
        <v>217</v>
      </c>
      <c r="M273" s="317">
        <f>AVERAGEIFS(data!$X$2:$X$3404,data!$B$2:$B$3404,K273,data!$K$2:$K$3404,"female",data!$P$2:$P$3404,L273)</f>
        <v>58.247499999999988</v>
      </c>
      <c r="N273" s="317"/>
      <c r="O273" s="317">
        <f>AVERAGEIFS(data!$X$2:$X$3404,data!$B$2:$B$3404,K273,data!$L$2:$L$3404,"gravid",data!$P$2:$P$3404,L273)</f>
        <v>58.247499999999988</v>
      </c>
      <c r="P273" s="317"/>
      <c r="Q273" s="219">
        <f>AVERAGEIFS(data!$X$2:$X$3404,data!$B$2:$B$3404,K273,data!$P$2:$P$3404,L273)</f>
        <v>58.247499999999988</v>
      </c>
      <c r="R273">
        <v>12</v>
      </c>
      <c r="S273"/>
      <c r="T273" s="339">
        <f t="shared" si="13"/>
        <v>12</v>
      </c>
    </row>
    <row r="274" spans="1:20" ht="15.75" x14ac:dyDescent="0.25">
      <c r="A274" s="245">
        <v>2014</v>
      </c>
      <c r="B274" s="245" t="s">
        <v>19</v>
      </c>
      <c r="C274" s="246" t="s">
        <v>20</v>
      </c>
      <c r="D274" s="245" t="s">
        <v>21</v>
      </c>
      <c r="E274" s="248">
        <v>9.5</v>
      </c>
      <c r="F274" s="242" t="s">
        <v>507</v>
      </c>
      <c r="G274" s="242">
        <v>3.9</v>
      </c>
      <c r="H274" s="230">
        <f t="shared" si="14"/>
        <v>37.049999999999997</v>
      </c>
      <c r="K274" s="317">
        <v>1992</v>
      </c>
      <c r="L274">
        <v>218</v>
      </c>
      <c r="M274" s="317">
        <f>AVERAGEIFS(data!$X$2:$X$3404,data!$B$2:$B$3404,K274,data!$K$2:$K$3404,"female",data!$P$2:$P$3404,L274)</f>
        <v>70.483870967741922</v>
      </c>
      <c r="N274" s="317">
        <f>AVERAGEIFS(data!$X$2:$X$3404,data!$B$2:$B$3404,K274,data!$K$2:$K$3404,"male",data!$P$2:$P$3404,L274)</f>
        <v>82.155999999999992</v>
      </c>
      <c r="O274" s="317">
        <f>AVERAGEIFS(data!$X$2:$X$3404,data!$B$2:$B$3404,K274,data!$L$2:$L$3404,"gravid",data!$P$2:$P$3404,L274)</f>
        <v>70.483870967741922</v>
      </c>
      <c r="P274" s="317"/>
      <c r="Q274" s="219">
        <f>AVERAGEIFS(data!$X$2:$X$3404,data!$B$2:$B$3404,K274,data!$P$2:$P$3404,L274)</f>
        <v>72.105000000000018</v>
      </c>
      <c r="R274">
        <v>13</v>
      </c>
      <c r="S274"/>
      <c r="T274" s="339">
        <f t="shared" si="13"/>
        <v>13</v>
      </c>
    </row>
    <row r="275" spans="1:20" ht="15.75" x14ac:dyDescent="0.25">
      <c r="A275" s="245">
        <v>2014</v>
      </c>
      <c r="B275" s="245" t="s">
        <v>19</v>
      </c>
      <c r="C275" s="246" t="s">
        <v>20</v>
      </c>
      <c r="D275" s="245" t="s">
        <v>21</v>
      </c>
      <c r="E275" s="248">
        <v>7.5</v>
      </c>
      <c r="F275" s="242" t="s">
        <v>507</v>
      </c>
      <c r="G275" s="242">
        <v>3.9</v>
      </c>
      <c r="H275" s="230">
        <f t="shared" si="14"/>
        <v>29.25</v>
      </c>
      <c r="K275" s="317">
        <v>1992</v>
      </c>
      <c r="L275">
        <v>220</v>
      </c>
      <c r="M275" s="317">
        <f>AVERAGEIFS(data!$X$2:$X$3404,data!$B$2:$B$3404,K275,data!$K$2:$K$3404,"female",data!$P$2:$P$3404,L275)</f>
        <v>63.852799999999995</v>
      </c>
      <c r="N275" s="317">
        <f>AVERAGEIFS(data!$X$2:$X$3404,data!$B$2:$B$3404,K275,data!$K$2:$K$3404,"male",data!$P$2:$P$3404,L275)</f>
        <v>81.699999999999989</v>
      </c>
      <c r="O275" s="317">
        <f>AVERAGEIFS(data!$X$2:$X$3404,data!$B$2:$B$3404,K275,data!$L$2:$L$3404,"gravid",data!$P$2:$P$3404,L275)</f>
        <v>64.725833333333341</v>
      </c>
      <c r="P275" s="317">
        <f>AVERAGEIFS(data!$X$2:$X$3404,data!$B$2:$B$3404,K275,data!$L$2:$L$3404,"spent",data!$P$2:$P$3404,L275)</f>
        <v>42.9</v>
      </c>
      <c r="Q275" s="219">
        <f>AVERAGEIFS(data!$X$2:$X$3404,data!$B$2:$B$3404,K275,data!$P$2:$P$3404,L275)</f>
        <v>65.174814814814809</v>
      </c>
      <c r="R275">
        <v>15</v>
      </c>
      <c r="S275"/>
      <c r="T275" s="339">
        <f t="shared" si="13"/>
        <v>15</v>
      </c>
    </row>
    <row r="276" spans="1:20" ht="15.75" x14ac:dyDescent="0.25">
      <c r="A276" s="245">
        <v>2014</v>
      </c>
      <c r="B276" s="245" t="s">
        <v>19</v>
      </c>
      <c r="C276" s="246" t="s">
        <v>20</v>
      </c>
      <c r="D276" s="245" t="s">
        <v>21</v>
      </c>
      <c r="E276" s="248">
        <v>6.5</v>
      </c>
      <c r="F276" s="242" t="s">
        <v>507</v>
      </c>
      <c r="G276" s="242">
        <v>3.9</v>
      </c>
      <c r="H276" s="230">
        <f t="shared" si="14"/>
        <v>25.349999999999998</v>
      </c>
      <c r="K276" s="317">
        <v>1992</v>
      </c>
      <c r="L276">
        <v>221</v>
      </c>
      <c r="M276" s="317">
        <f>AVERAGEIFS(data!$X$2:$X$3404,data!$B$2:$B$3404,K276,data!$K$2:$K$3404,"female",data!$P$2:$P$3404,L276)</f>
        <v>65.661578947368412</v>
      </c>
      <c r="N276" s="317">
        <f>AVERAGEIFS(data!$X$2:$X$3404,data!$B$2:$B$3404,K276,data!$K$2:$K$3404,"male",data!$P$2:$P$3404,L276)</f>
        <v>78.822857142857146</v>
      </c>
      <c r="O276" s="317">
        <f>AVERAGEIFS(data!$X$2:$X$3404,data!$B$2:$B$3404,K276,data!$L$2:$L$3404,"gravid",data!$P$2:$P$3404,L276)</f>
        <v>67.901111111111106</v>
      </c>
      <c r="P276" s="317">
        <f>AVERAGEIFS(data!$X$2:$X$3404,data!$B$2:$B$3404,K276,data!$L$2:$L$3404,"spent",data!$P$2:$P$3404,L276)</f>
        <v>25.349999999999998</v>
      </c>
      <c r="Q276" s="219">
        <f>AVERAGEIFS(data!$X$2:$X$3404,data!$B$2:$B$3404,K276,data!$P$2:$P$3404,L276)</f>
        <v>69.204999999999998</v>
      </c>
      <c r="R276">
        <v>16</v>
      </c>
      <c r="S276"/>
      <c r="T276" s="339">
        <f t="shared" si="13"/>
        <v>16</v>
      </c>
    </row>
    <row r="277" spans="1:20" ht="15.75" x14ac:dyDescent="0.25">
      <c r="A277" s="245">
        <v>2014</v>
      </c>
      <c r="B277" s="245" t="s">
        <v>19</v>
      </c>
      <c r="C277" s="246" t="s">
        <v>20</v>
      </c>
      <c r="D277" s="245" t="s">
        <v>21</v>
      </c>
      <c r="E277" s="248">
        <v>21.5</v>
      </c>
      <c r="F277" s="242" t="s">
        <v>507</v>
      </c>
      <c r="G277" s="242">
        <v>3.9</v>
      </c>
      <c r="H277" s="230">
        <f t="shared" si="14"/>
        <v>83.85</v>
      </c>
      <c r="K277" s="317">
        <v>1992</v>
      </c>
      <c r="L277">
        <v>222</v>
      </c>
      <c r="M277" s="317">
        <f>AVERAGEIFS(data!$X$2:$X$3404,data!$B$2:$B$3404,K277,data!$K$2:$K$3404,"female",data!$P$2:$P$3404,L277)</f>
        <v>56.95315789473684</v>
      </c>
      <c r="N277" s="317">
        <f>AVERAGEIFS(data!$X$2:$X$3404,data!$B$2:$B$3404,K277,data!$K$2:$K$3404,"male",data!$P$2:$P$3404,L277)</f>
        <v>78.66</v>
      </c>
      <c r="O277" s="317">
        <f>AVERAGEIFS(data!$X$2:$X$3404,data!$B$2:$B$3404,K277,data!$L$2:$L$3404,"gravid",data!$P$2:$P$3404,L277)</f>
        <v>58.247499999999988</v>
      </c>
      <c r="P277" s="317">
        <f>AVERAGEIFS(data!$X$2:$X$3404,data!$B$2:$B$3404,K277,data!$L$2:$L$3404,"spent",data!$P$2:$P$3404,L277)</f>
        <v>50.050000000000004</v>
      </c>
      <c r="Q277" s="219">
        <f>AVERAGEIFS(data!$X$2:$X$3404,data!$B$2:$B$3404,K277,data!$P$2:$P$3404,L277)</f>
        <v>60.728260869565226</v>
      </c>
      <c r="R277">
        <v>17</v>
      </c>
      <c r="S277"/>
      <c r="T277" s="339">
        <f t="shared" si="13"/>
        <v>17</v>
      </c>
    </row>
    <row r="278" spans="1:20" ht="15.75" x14ac:dyDescent="0.25">
      <c r="A278" s="245">
        <v>2014</v>
      </c>
      <c r="B278" s="245" t="s">
        <v>19</v>
      </c>
      <c r="C278" s="246" t="s">
        <v>20</v>
      </c>
      <c r="D278" s="245" t="s">
        <v>21</v>
      </c>
      <c r="E278" s="248">
        <v>10</v>
      </c>
      <c r="F278" s="242" t="s">
        <v>507</v>
      </c>
      <c r="G278" s="242">
        <v>3.9</v>
      </c>
      <c r="H278" s="230">
        <f t="shared" si="14"/>
        <v>39</v>
      </c>
      <c r="K278" s="342">
        <v>1992</v>
      </c>
      <c r="L278" s="342">
        <v>223</v>
      </c>
      <c r="M278" s="342">
        <f>AVERAGEIFS(data!$X$2:$X$3404,data!$B$2:$B$3404,K278,data!$K$2:$K$3404,"female",data!$P$2:$P$3404,L278)</f>
        <v>46.92499999999999</v>
      </c>
      <c r="N278" s="342">
        <f>AVERAGEIFS(data!$X$2:$X$3404,data!$B$2:$B$3404,K278,data!$K$2:$K$3404,"male",data!$P$2:$P$3404,L278)</f>
        <v>72.959999999999994</v>
      </c>
      <c r="O278" s="342">
        <f>AVERAGEIFS(data!$X$2:$X$3404,data!$B$2:$B$3404,K278,data!$L$2:$L$3404,"gravid",data!$P$2:$P$3404,L278)</f>
        <v>52.899999999999991</v>
      </c>
      <c r="P278" s="342">
        <f>AVERAGEIFS(data!$X$2:$X$3404,data!$B$2:$B$3404,K278,data!$L$2:$L$3404,"spent",data!$P$2:$P$3404,L278)</f>
        <v>40.950000000000003</v>
      </c>
      <c r="Q278" s="219">
        <f>AVERAGEIFS(data!$X$2:$X$3404,data!$B$2:$B$3404,K278,data!$P$2:$P$3404,L278)</f>
        <v>49.817777777777764</v>
      </c>
      <c r="R278" s="342">
        <v>18</v>
      </c>
      <c r="S278" s="342"/>
      <c r="T278" s="339">
        <f t="shared" si="13"/>
        <v>18</v>
      </c>
    </row>
    <row r="279" spans="1:20" ht="15.75" x14ac:dyDescent="0.25">
      <c r="A279" s="245">
        <v>2014</v>
      </c>
      <c r="B279" s="245" t="s">
        <v>19</v>
      </c>
      <c r="C279" s="246" t="s">
        <v>20</v>
      </c>
      <c r="D279" s="245" t="s">
        <v>21</v>
      </c>
      <c r="E279" s="248">
        <v>7</v>
      </c>
      <c r="F279" s="242" t="s">
        <v>507</v>
      </c>
      <c r="G279" s="242">
        <v>3.9</v>
      </c>
      <c r="H279" s="230">
        <f t="shared" si="14"/>
        <v>27.3</v>
      </c>
      <c r="K279">
        <v>1991</v>
      </c>
      <c r="L279">
        <v>225</v>
      </c>
      <c r="M279" s="317">
        <f>AVERAGEIFS(data!$X$2:$X$3404,data!$B$2:$B$3404,K279,data!$K$2:$K$3404,"female",data!$P$2:$P$3404,L279)</f>
        <v>92.775000000000006</v>
      </c>
      <c r="N279" s="317"/>
      <c r="O279" s="317">
        <f>AVERAGEIFS(data!$X$2:$X$3404,data!$B$2:$B$3404,K279,data!$L$2:$L$3404,"gravid",data!$P$2:$P$3404,L279)</f>
        <v>117.3</v>
      </c>
      <c r="P279" s="317">
        <f>AVERAGEIFS(data!$X$2:$X$3404,data!$B$2:$B$3404,K279,data!$L$2:$L$3404,"spent",data!$P$2:$P$3404,L279)</f>
        <v>68.25</v>
      </c>
      <c r="Q279" s="219">
        <f>AVERAGEIFS(data!$X$2:$X$3404,data!$B$2:$B$3404,K279,data!$P$2:$P$3404,L279)</f>
        <v>92.775000000000006</v>
      </c>
      <c r="R279">
        <v>16</v>
      </c>
      <c r="S279"/>
      <c r="T279" s="339">
        <f t="shared" ref="T279:T281" si="15">AVERAGE(R279:S279)</f>
        <v>16</v>
      </c>
    </row>
    <row r="280" spans="1:20" ht="15.75" x14ac:dyDescent="0.25">
      <c r="A280" s="245">
        <v>2014</v>
      </c>
      <c r="B280" s="245" t="s">
        <v>19</v>
      </c>
      <c r="C280" s="246" t="s">
        <v>20</v>
      </c>
      <c r="D280" s="245" t="s">
        <v>21</v>
      </c>
      <c r="E280" s="248">
        <v>8.5</v>
      </c>
      <c r="F280" s="242" t="s">
        <v>507</v>
      </c>
      <c r="G280" s="242">
        <v>3.9</v>
      </c>
      <c r="H280" s="230">
        <f t="shared" si="14"/>
        <v>33.15</v>
      </c>
      <c r="K280" s="317">
        <v>1991</v>
      </c>
      <c r="L280">
        <v>226</v>
      </c>
      <c r="M280" s="317">
        <f>AVERAGEIFS(data!$X$2:$X$3404,data!$B$2:$B$3404,K280,data!$K$2:$K$3404,"female",data!$P$2:$P$3404,L280)</f>
        <v>67.2</v>
      </c>
      <c r="N280" s="317"/>
      <c r="O280" s="317">
        <f>AVERAGEIFS(data!$X$2:$X$3404,data!$B$2:$B$3404,K280,data!$L$2:$L$3404,"gravid",data!$P$2:$P$3404,L280)</f>
        <v>79.349999999999994</v>
      </c>
      <c r="P280" s="317">
        <f>AVERAGEIFS(data!$X$2:$X$3404,data!$B$2:$B$3404,K280,data!$L$2:$L$3404,"spent",data!$P$2:$P$3404,L280)</f>
        <v>42.9</v>
      </c>
      <c r="Q280" s="219">
        <f>AVERAGEIFS(data!$X$2:$X$3404,data!$B$2:$B$3404,K280,data!$P$2:$P$3404,L280)</f>
        <v>67.2</v>
      </c>
      <c r="R280">
        <v>17</v>
      </c>
      <c r="S280"/>
      <c r="T280" s="339">
        <f t="shared" si="15"/>
        <v>17</v>
      </c>
    </row>
    <row r="281" spans="1:20" ht="15.75" x14ac:dyDescent="0.25">
      <c r="A281" s="245">
        <v>2014</v>
      </c>
      <c r="B281" s="245" t="s">
        <v>19</v>
      </c>
      <c r="C281" s="246" t="s">
        <v>20</v>
      </c>
      <c r="D281" s="245" t="s">
        <v>21</v>
      </c>
      <c r="E281" s="248">
        <v>8.5</v>
      </c>
      <c r="F281" s="242" t="s">
        <v>507</v>
      </c>
      <c r="G281" s="242">
        <v>3.9</v>
      </c>
      <c r="H281" s="230">
        <f t="shared" si="14"/>
        <v>33.15</v>
      </c>
      <c r="K281" s="342">
        <v>1991</v>
      </c>
      <c r="L281" s="342">
        <v>227</v>
      </c>
      <c r="M281" s="342">
        <f>AVERAGEIFS(data!$X$2:$X$3404,data!$B$2:$B$3404,K281,data!$K$2:$K$3404,"female",data!$P$2:$P$3404,L281)</f>
        <v>78.662608695652168</v>
      </c>
      <c r="N281" s="342">
        <f>AVERAGEIFS(data!$X$2:$X$3404,data!$B$2:$B$3404,K281,data!$K$2:$K$3404,"male",data!$P$2:$P$3404,L281)</f>
        <v>81.7</v>
      </c>
      <c r="O281" s="342">
        <f>AVERAGEIFS(data!$X$2:$X$3404,data!$B$2:$B$3404,K281,data!$L$2:$L$3404,"gravid",data!$P$2:$P$3404,L281)</f>
        <v>99.736363636363635</v>
      </c>
      <c r="P281" s="342">
        <f>AVERAGEIFS(data!$X$2:$X$3404,data!$B$2:$B$3404,K281,data!$L$2:$L$3404,"spent",data!$P$2:$P$3404,L281)</f>
        <v>59.344999999999999</v>
      </c>
      <c r="Q281" s="219">
        <f>AVERAGEIFS(data!$X$2:$X$3404,data!$B$2:$B$3404,K281,data!$P$2:$P$3404,L281)</f>
        <v>78.789166666666659</v>
      </c>
      <c r="R281" s="342">
        <v>18</v>
      </c>
      <c r="S281" s="342"/>
      <c r="T281" s="339">
        <f t="shared" si="15"/>
        <v>18</v>
      </c>
    </row>
    <row r="282" spans="1:20" ht="15.75" x14ac:dyDescent="0.25">
      <c r="A282" s="245">
        <v>2014</v>
      </c>
      <c r="B282" s="245" t="s">
        <v>19</v>
      </c>
      <c r="C282" s="246" t="s">
        <v>20</v>
      </c>
      <c r="D282" s="245" t="s">
        <v>21</v>
      </c>
      <c r="E282" s="248">
        <v>8.5</v>
      </c>
      <c r="F282" s="242" t="s">
        <v>507</v>
      </c>
      <c r="G282" s="242">
        <v>3.9</v>
      </c>
      <c r="H282" s="230">
        <f t="shared" si="14"/>
        <v>33.15</v>
      </c>
      <c r="K282">
        <v>1990</v>
      </c>
      <c r="L282">
        <v>222</v>
      </c>
      <c r="M282" s="317"/>
      <c r="N282" s="317">
        <f>AVERAGEIFS(data!$X$2:$X$3404,data!$B$2:$B$3404,K282,data!$K$2:$K$3404,"male",data!$P$2:$P$3404,L282)</f>
        <v>60.99</v>
      </c>
      <c r="O282" s="317"/>
      <c r="P282" s="317"/>
      <c r="Q282" s="219">
        <f>AVERAGEIFS(data!$X$2:$X$3404,data!$B$2:$B$3404,K282,data!$P$2:$P$3404,L282)</f>
        <v>60.99</v>
      </c>
      <c r="S282"/>
    </row>
    <row r="283" spans="1:20" ht="15.75" x14ac:dyDescent="0.25">
      <c r="A283" s="245">
        <v>2014</v>
      </c>
      <c r="B283" s="245" t="s">
        <v>19</v>
      </c>
      <c r="C283" s="246" t="s">
        <v>20</v>
      </c>
      <c r="D283" s="245" t="s">
        <v>21</v>
      </c>
      <c r="E283" s="248">
        <v>11.5</v>
      </c>
      <c r="F283" s="242" t="s">
        <v>507</v>
      </c>
      <c r="G283" s="242">
        <v>3.9</v>
      </c>
      <c r="H283" s="230">
        <f t="shared" si="14"/>
        <v>44.85</v>
      </c>
      <c r="K283" s="317">
        <v>1990</v>
      </c>
      <c r="L283">
        <v>223</v>
      </c>
      <c r="M283" s="317">
        <f>AVERAGEIFS(data!$X$2:$X$3404,data!$B$2:$B$3404,K283,data!$K$2:$K$3404,"female",data!$P$2:$P$3404,L283)</f>
        <v>41.4</v>
      </c>
      <c r="N283" s="317">
        <f>AVERAGEIFS(data!$X$2:$X$3404,data!$B$2:$B$3404,K283,data!$K$2:$K$3404,"male",data!$P$2:$P$3404,L283)</f>
        <v>38</v>
      </c>
      <c r="O283" s="317">
        <f>AVERAGEIFS(data!$X$2:$X$3404,data!$B$2:$B$3404,K283,data!$L$2:$L$3404,"gravid",data!$P$2:$P$3404,L283)</f>
        <v>41.4</v>
      </c>
      <c r="P283" s="317"/>
      <c r="Q283" s="219">
        <f>AVERAGEIFS(data!$X$2:$X$3404,data!$B$2:$B$3404,K283,data!$P$2:$P$3404,L283)</f>
        <v>39.700000000000003</v>
      </c>
      <c r="S283"/>
    </row>
    <row r="284" spans="1:20" ht="15.75" x14ac:dyDescent="0.25">
      <c r="A284" s="245">
        <v>2014</v>
      </c>
      <c r="B284" s="245" t="s">
        <v>19</v>
      </c>
      <c r="C284" s="246" t="s">
        <v>20</v>
      </c>
      <c r="D284" s="245" t="s">
        <v>21</v>
      </c>
      <c r="E284" s="248">
        <v>7.5</v>
      </c>
      <c r="F284" s="242" t="s">
        <v>507</v>
      </c>
      <c r="G284" s="242">
        <v>3.9</v>
      </c>
      <c r="H284" s="230">
        <f t="shared" si="14"/>
        <v>29.25</v>
      </c>
      <c r="K284" s="317">
        <v>1990</v>
      </c>
      <c r="L284">
        <v>224</v>
      </c>
      <c r="M284" s="317"/>
      <c r="N284" s="317"/>
      <c r="O284" s="317"/>
      <c r="P284" s="317"/>
      <c r="Q284" s="219"/>
      <c r="S284"/>
    </row>
    <row r="285" spans="1:20" ht="15.75" x14ac:dyDescent="0.25">
      <c r="A285" s="245">
        <v>2014</v>
      </c>
      <c r="B285" s="245" t="s">
        <v>19</v>
      </c>
      <c r="C285" s="246" t="s">
        <v>20</v>
      </c>
      <c r="D285" s="245" t="s">
        <v>21</v>
      </c>
      <c r="E285" s="248">
        <v>6.5</v>
      </c>
      <c r="F285" s="242" t="s">
        <v>507</v>
      </c>
      <c r="G285" s="242">
        <v>3.9</v>
      </c>
      <c r="H285" s="230">
        <f t="shared" si="14"/>
        <v>25.349999999999998</v>
      </c>
    </row>
    <row r="286" spans="1:20" ht="15.75" x14ac:dyDescent="0.25">
      <c r="A286" s="245">
        <v>2014</v>
      </c>
      <c r="B286" s="245" t="s">
        <v>19</v>
      </c>
      <c r="C286" s="246" t="s">
        <v>20</v>
      </c>
      <c r="D286" s="245" t="s">
        <v>21</v>
      </c>
      <c r="E286" s="248">
        <v>13.5</v>
      </c>
      <c r="F286" s="242" t="s">
        <v>507</v>
      </c>
      <c r="G286" s="242">
        <v>3.9</v>
      </c>
      <c r="H286" s="230">
        <f t="shared" si="14"/>
        <v>52.65</v>
      </c>
    </row>
    <row r="287" spans="1:20" ht="15.75" x14ac:dyDescent="0.25">
      <c r="A287" s="245">
        <v>2014</v>
      </c>
      <c r="B287" s="245" t="s">
        <v>19</v>
      </c>
      <c r="C287" s="246" t="s">
        <v>20</v>
      </c>
      <c r="D287" s="245" t="s">
        <v>21</v>
      </c>
      <c r="E287" s="248">
        <v>6.5</v>
      </c>
      <c r="F287" s="242" t="s">
        <v>507</v>
      </c>
      <c r="G287" s="242">
        <v>3.9</v>
      </c>
      <c r="H287" s="230">
        <f t="shared" si="14"/>
        <v>25.349999999999998</v>
      </c>
    </row>
    <row r="288" spans="1:20" ht="15.75" x14ac:dyDescent="0.25">
      <c r="A288" s="245">
        <v>2014</v>
      </c>
      <c r="B288" s="245" t="s">
        <v>19</v>
      </c>
      <c r="C288" s="246" t="s">
        <v>20</v>
      </c>
      <c r="D288" s="245" t="s">
        <v>21</v>
      </c>
      <c r="E288" s="248">
        <v>13</v>
      </c>
      <c r="F288" s="242" t="s">
        <v>507</v>
      </c>
      <c r="G288" s="242">
        <v>3.9</v>
      </c>
      <c r="H288" s="230">
        <f t="shared" si="14"/>
        <v>50.699999999999996</v>
      </c>
    </row>
    <row r="289" spans="1:8" ht="15.75" x14ac:dyDescent="0.25">
      <c r="A289" s="245">
        <v>2014</v>
      </c>
      <c r="B289" s="245" t="s">
        <v>19</v>
      </c>
      <c r="C289" s="246" t="s">
        <v>20</v>
      </c>
      <c r="D289" s="245" t="s">
        <v>21</v>
      </c>
      <c r="E289" s="248">
        <v>16</v>
      </c>
      <c r="F289" s="242" t="s">
        <v>507</v>
      </c>
      <c r="G289" s="242">
        <v>3.9</v>
      </c>
      <c r="H289" s="230">
        <f t="shared" si="14"/>
        <v>62.4</v>
      </c>
    </row>
    <row r="290" spans="1:8" ht="15.75" x14ac:dyDescent="0.25">
      <c r="A290" s="245">
        <v>2014</v>
      </c>
      <c r="B290" s="245" t="s">
        <v>19</v>
      </c>
      <c r="C290" s="246" t="s">
        <v>20</v>
      </c>
      <c r="D290" s="245" t="s">
        <v>21</v>
      </c>
      <c r="E290" s="248">
        <v>9</v>
      </c>
      <c r="F290" s="242" t="s">
        <v>507</v>
      </c>
      <c r="G290" s="242">
        <v>3.9</v>
      </c>
      <c r="H290" s="230">
        <f t="shared" si="14"/>
        <v>35.1</v>
      </c>
    </row>
    <row r="291" spans="1:8" ht="15.75" x14ac:dyDescent="0.25">
      <c r="A291" s="245">
        <v>2014</v>
      </c>
      <c r="B291" s="245" t="s">
        <v>19</v>
      </c>
      <c r="C291" s="246" t="s">
        <v>20</v>
      </c>
      <c r="D291" s="245" t="s">
        <v>21</v>
      </c>
      <c r="E291" s="248">
        <v>10</v>
      </c>
      <c r="F291" s="242" t="s">
        <v>507</v>
      </c>
      <c r="G291" s="242">
        <v>3.9</v>
      </c>
      <c r="H291" s="230">
        <f t="shared" si="14"/>
        <v>39</v>
      </c>
    </row>
    <row r="292" spans="1:8" ht="15.75" x14ac:dyDescent="0.25">
      <c r="A292" s="245">
        <v>2014</v>
      </c>
      <c r="B292" s="245" t="s">
        <v>19</v>
      </c>
      <c r="C292" s="246" t="s">
        <v>20</v>
      </c>
      <c r="D292" s="245" t="s">
        <v>21</v>
      </c>
      <c r="E292" s="248">
        <v>14</v>
      </c>
      <c r="F292" s="242" t="s">
        <v>507</v>
      </c>
      <c r="G292" s="242">
        <v>3.9</v>
      </c>
      <c r="H292" s="230">
        <f t="shared" si="14"/>
        <v>54.6</v>
      </c>
    </row>
    <row r="293" spans="1:8" ht="15.75" x14ac:dyDescent="0.25">
      <c r="A293" s="245">
        <v>2014</v>
      </c>
      <c r="B293" s="245" t="s">
        <v>19</v>
      </c>
      <c r="C293" s="246" t="s">
        <v>20</v>
      </c>
      <c r="D293" s="245" t="s">
        <v>21</v>
      </c>
      <c r="E293" s="248">
        <v>13</v>
      </c>
      <c r="F293" s="242" t="s">
        <v>507</v>
      </c>
      <c r="G293" s="242">
        <v>3.9</v>
      </c>
      <c r="H293" s="230">
        <f t="shared" si="14"/>
        <v>50.699999999999996</v>
      </c>
    </row>
    <row r="294" spans="1:8" ht="15.75" x14ac:dyDescent="0.25">
      <c r="A294" s="245">
        <v>2014</v>
      </c>
      <c r="B294" s="245" t="s">
        <v>19</v>
      </c>
      <c r="C294" s="246" t="s">
        <v>20</v>
      </c>
      <c r="D294" s="245" t="s">
        <v>21</v>
      </c>
      <c r="E294" s="248">
        <v>10</v>
      </c>
      <c r="F294" s="242" t="s">
        <v>507</v>
      </c>
      <c r="G294" s="242">
        <v>3.9</v>
      </c>
      <c r="H294" s="230">
        <f t="shared" si="14"/>
        <v>39</v>
      </c>
    </row>
    <row r="295" spans="1:8" ht="15.75" x14ac:dyDescent="0.25">
      <c r="A295" s="245">
        <v>2014</v>
      </c>
      <c r="B295" s="245" t="s">
        <v>19</v>
      </c>
      <c r="C295" s="246" t="s">
        <v>20</v>
      </c>
      <c r="D295" s="245" t="s">
        <v>21</v>
      </c>
      <c r="E295" s="248">
        <v>7</v>
      </c>
      <c r="F295" s="242" t="s">
        <v>507</v>
      </c>
      <c r="G295" s="242">
        <v>3.9</v>
      </c>
      <c r="H295" s="230">
        <f t="shared" si="14"/>
        <v>27.3</v>
      </c>
    </row>
    <row r="296" spans="1:8" ht="15.75" x14ac:dyDescent="0.25">
      <c r="A296" s="245">
        <v>2014</v>
      </c>
      <c r="B296" s="245" t="s">
        <v>19</v>
      </c>
      <c r="C296" s="246" t="s">
        <v>20</v>
      </c>
      <c r="D296" s="245" t="s">
        <v>21</v>
      </c>
      <c r="E296" s="248">
        <v>13</v>
      </c>
      <c r="F296" s="242" t="s">
        <v>507</v>
      </c>
      <c r="G296" s="242">
        <v>3.9</v>
      </c>
      <c r="H296" s="230">
        <f t="shared" si="14"/>
        <v>50.699999999999996</v>
      </c>
    </row>
    <row r="297" spans="1:8" ht="15.75" x14ac:dyDescent="0.25">
      <c r="A297" s="245">
        <v>2014</v>
      </c>
      <c r="B297" s="245" t="s">
        <v>19</v>
      </c>
      <c r="C297" s="246" t="s">
        <v>20</v>
      </c>
      <c r="D297" s="245" t="s">
        <v>21</v>
      </c>
      <c r="E297" s="248">
        <v>18</v>
      </c>
      <c r="F297" s="242" t="s">
        <v>507</v>
      </c>
      <c r="G297" s="242">
        <v>3.9</v>
      </c>
      <c r="H297" s="230">
        <f t="shared" si="14"/>
        <v>70.2</v>
      </c>
    </row>
    <row r="298" spans="1:8" ht="15.75" x14ac:dyDescent="0.25">
      <c r="A298" s="245">
        <v>2014</v>
      </c>
      <c r="B298" s="245" t="s">
        <v>19</v>
      </c>
      <c r="C298" s="246" t="s">
        <v>20</v>
      </c>
      <c r="D298" s="245" t="s">
        <v>21</v>
      </c>
      <c r="E298" s="248">
        <v>13</v>
      </c>
      <c r="F298" s="242" t="s">
        <v>507</v>
      </c>
      <c r="G298" s="242">
        <v>3.9</v>
      </c>
      <c r="H298" s="230">
        <f t="shared" si="14"/>
        <v>50.699999999999996</v>
      </c>
    </row>
    <row r="299" spans="1:8" ht="15.75" x14ac:dyDescent="0.25">
      <c r="A299" s="245">
        <v>2014</v>
      </c>
      <c r="B299" s="245" t="s">
        <v>19</v>
      </c>
      <c r="C299" s="246" t="s">
        <v>20</v>
      </c>
      <c r="D299" s="245" t="s">
        <v>21</v>
      </c>
      <c r="E299" s="248">
        <v>7.5</v>
      </c>
      <c r="F299" s="242" t="s">
        <v>507</v>
      </c>
      <c r="G299" s="242">
        <v>3.9</v>
      </c>
      <c r="H299" s="230">
        <f t="shared" si="14"/>
        <v>29.25</v>
      </c>
    </row>
    <row r="300" spans="1:8" ht="15.75" x14ac:dyDescent="0.25">
      <c r="A300" s="245">
        <v>2014</v>
      </c>
      <c r="B300" s="245" t="s">
        <v>19</v>
      </c>
      <c r="C300" s="246" t="s">
        <v>20</v>
      </c>
      <c r="D300" s="245" t="s">
        <v>21</v>
      </c>
      <c r="E300" s="248">
        <v>9.4</v>
      </c>
      <c r="F300" s="242" t="s">
        <v>507</v>
      </c>
      <c r="G300" s="242">
        <v>3.9</v>
      </c>
      <c r="H300" s="230">
        <f t="shared" si="14"/>
        <v>36.660000000000004</v>
      </c>
    </row>
    <row r="301" spans="1:8" ht="15.75" x14ac:dyDescent="0.25">
      <c r="A301" s="245">
        <v>2014</v>
      </c>
      <c r="B301" s="245" t="s">
        <v>19</v>
      </c>
      <c r="C301" s="246" t="s">
        <v>20</v>
      </c>
      <c r="D301" s="245" t="s">
        <v>21</v>
      </c>
      <c r="E301" s="248">
        <v>11.4</v>
      </c>
      <c r="F301" s="242" t="s">
        <v>507</v>
      </c>
      <c r="G301" s="242">
        <v>3.9</v>
      </c>
      <c r="H301" s="230">
        <f t="shared" si="14"/>
        <v>44.46</v>
      </c>
    </row>
    <row r="302" spans="1:8" ht="15.75" x14ac:dyDescent="0.25">
      <c r="A302" s="245">
        <v>2014</v>
      </c>
      <c r="B302" s="245" t="s">
        <v>19</v>
      </c>
      <c r="C302" s="246" t="s">
        <v>20</v>
      </c>
      <c r="D302" s="245" t="s">
        <v>21</v>
      </c>
      <c r="E302" s="248">
        <v>8</v>
      </c>
      <c r="F302" s="242" t="s">
        <v>507</v>
      </c>
      <c r="G302" s="242">
        <v>3.9</v>
      </c>
      <c r="H302" s="230">
        <f t="shared" si="14"/>
        <v>31.2</v>
      </c>
    </row>
    <row r="303" spans="1:8" ht="15.75" x14ac:dyDescent="0.25">
      <c r="A303" s="245">
        <v>2014</v>
      </c>
      <c r="B303" s="245" t="s">
        <v>19</v>
      </c>
      <c r="C303" s="246" t="s">
        <v>20</v>
      </c>
      <c r="D303" s="245" t="s">
        <v>21</v>
      </c>
      <c r="E303" s="248">
        <v>8</v>
      </c>
      <c r="F303" s="242" t="s">
        <v>507</v>
      </c>
      <c r="G303" s="242">
        <v>3.9</v>
      </c>
      <c r="H303" s="230">
        <f t="shared" si="14"/>
        <v>31.2</v>
      </c>
    </row>
    <row r="304" spans="1:8" ht="15.75" x14ac:dyDescent="0.25">
      <c r="A304" s="245">
        <v>2014</v>
      </c>
      <c r="B304" s="245" t="s">
        <v>19</v>
      </c>
      <c r="C304" s="246" t="s">
        <v>20</v>
      </c>
      <c r="D304" s="245" t="s">
        <v>21</v>
      </c>
      <c r="E304" s="248">
        <v>7.3</v>
      </c>
      <c r="F304" s="242" t="s">
        <v>507</v>
      </c>
      <c r="G304" s="242">
        <v>3.9</v>
      </c>
      <c r="H304" s="230">
        <f t="shared" si="14"/>
        <v>28.47</v>
      </c>
    </row>
    <row r="305" spans="1:8" ht="15.75" x14ac:dyDescent="0.25">
      <c r="A305" s="245">
        <v>2014</v>
      </c>
      <c r="B305" s="245" t="s">
        <v>19</v>
      </c>
      <c r="C305" s="246" t="s">
        <v>20</v>
      </c>
      <c r="D305" s="245" t="s">
        <v>21</v>
      </c>
      <c r="E305" s="248">
        <v>6.8</v>
      </c>
      <c r="F305" s="242" t="s">
        <v>507</v>
      </c>
      <c r="G305" s="242">
        <v>3.9</v>
      </c>
      <c r="H305" s="230">
        <f t="shared" si="14"/>
        <v>26.52</v>
      </c>
    </row>
    <row r="306" spans="1:8" ht="15.75" x14ac:dyDescent="0.25">
      <c r="A306" s="245">
        <v>2014</v>
      </c>
      <c r="B306" s="245" t="s">
        <v>19</v>
      </c>
      <c r="C306" s="246" t="s">
        <v>20</v>
      </c>
      <c r="D306" s="245" t="s">
        <v>21</v>
      </c>
      <c r="E306" s="248">
        <v>6.9</v>
      </c>
      <c r="F306" s="242" t="s">
        <v>507</v>
      </c>
      <c r="G306" s="242">
        <v>3.9</v>
      </c>
      <c r="H306" s="230">
        <f t="shared" si="14"/>
        <v>26.91</v>
      </c>
    </row>
    <row r="307" spans="1:8" ht="15.75" x14ac:dyDescent="0.25">
      <c r="A307" s="245">
        <v>2013</v>
      </c>
      <c r="B307" s="245" t="s">
        <v>19</v>
      </c>
      <c r="C307" s="246" t="s">
        <v>20</v>
      </c>
      <c r="D307" s="245" t="s">
        <v>30</v>
      </c>
      <c r="E307" s="244">
        <v>10</v>
      </c>
      <c r="F307" s="242" t="s">
        <v>504</v>
      </c>
      <c r="G307" s="242">
        <v>4.5999999999999996</v>
      </c>
      <c r="H307" s="230">
        <f t="shared" si="14"/>
        <v>46</v>
      </c>
    </row>
    <row r="308" spans="1:8" ht="15.75" x14ac:dyDescent="0.25">
      <c r="A308" s="245">
        <v>2013</v>
      </c>
      <c r="B308" s="245" t="s">
        <v>19</v>
      </c>
      <c r="C308" s="246" t="s">
        <v>20</v>
      </c>
      <c r="D308" s="245" t="s">
        <v>30</v>
      </c>
      <c r="E308" s="245">
        <v>7.5</v>
      </c>
      <c r="F308" s="242" t="s">
        <v>504</v>
      </c>
      <c r="G308" s="242">
        <v>4.5999999999999996</v>
      </c>
      <c r="H308" s="230">
        <f t="shared" si="14"/>
        <v>34.5</v>
      </c>
    </row>
    <row r="309" spans="1:8" ht="15.75" x14ac:dyDescent="0.25">
      <c r="A309" s="245">
        <v>2013</v>
      </c>
      <c r="B309" s="245" t="s">
        <v>19</v>
      </c>
      <c r="C309" s="246" t="s">
        <v>20</v>
      </c>
      <c r="D309" s="245" t="s">
        <v>30</v>
      </c>
      <c r="E309" s="245">
        <v>15.5</v>
      </c>
      <c r="F309" s="242" t="s">
        <v>504</v>
      </c>
      <c r="G309" s="242">
        <v>4.5999999999999996</v>
      </c>
      <c r="H309" s="230">
        <f t="shared" si="14"/>
        <v>71.3</v>
      </c>
    </row>
    <row r="310" spans="1:8" ht="15.75" x14ac:dyDescent="0.25">
      <c r="A310" s="245">
        <v>2013</v>
      </c>
      <c r="B310" s="245" t="s">
        <v>19</v>
      </c>
      <c r="C310" s="246" t="s">
        <v>20</v>
      </c>
      <c r="D310" s="245" t="s">
        <v>30</v>
      </c>
      <c r="E310" s="245">
        <v>11</v>
      </c>
      <c r="F310" s="242" t="s">
        <v>504</v>
      </c>
      <c r="G310" s="242">
        <v>4.5999999999999996</v>
      </c>
      <c r="H310" s="230">
        <f t="shared" si="14"/>
        <v>50.599999999999994</v>
      </c>
    </row>
    <row r="311" spans="1:8" ht="15.75" x14ac:dyDescent="0.25">
      <c r="A311" s="245">
        <v>2013</v>
      </c>
      <c r="B311" s="245" t="s">
        <v>19</v>
      </c>
      <c r="C311" s="246" t="s">
        <v>20</v>
      </c>
      <c r="D311" s="245" t="s">
        <v>30</v>
      </c>
      <c r="E311" s="245">
        <v>7.1</v>
      </c>
      <c r="F311" s="242" t="s">
        <v>504</v>
      </c>
      <c r="G311" s="242">
        <v>4.5999999999999996</v>
      </c>
      <c r="H311" s="230">
        <f t="shared" si="14"/>
        <v>32.659999999999997</v>
      </c>
    </row>
    <row r="312" spans="1:8" ht="15.75" x14ac:dyDescent="0.25">
      <c r="A312" s="245">
        <v>2013</v>
      </c>
      <c r="B312" s="245" t="s">
        <v>19</v>
      </c>
      <c r="C312" s="246" t="s">
        <v>20</v>
      </c>
      <c r="D312" s="245" t="s">
        <v>30</v>
      </c>
      <c r="E312" s="245">
        <v>16</v>
      </c>
      <c r="F312" s="242" t="s">
        <v>504</v>
      </c>
      <c r="G312" s="242">
        <v>4.5999999999999996</v>
      </c>
      <c r="H312" s="230">
        <f t="shared" si="14"/>
        <v>73.599999999999994</v>
      </c>
    </row>
    <row r="313" spans="1:8" ht="15.75" x14ac:dyDescent="0.25">
      <c r="A313" s="245">
        <v>2013</v>
      </c>
      <c r="B313" s="245" t="s">
        <v>19</v>
      </c>
      <c r="C313" s="246" t="s">
        <v>20</v>
      </c>
      <c r="D313" s="245" t="s">
        <v>30</v>
      </c>
      <c r="E313" s="245">
        <v>7.1</v>
      </c>
      <c r="F313" s="242" t="s">
        <v>504</v>
      </c>
      <c r="G313" s="242">
        <v>4.5999999999999996</v>
      </c>
      <c r="H313" s="230">
        <f t="shared" si="14"/>
        <v>32.659999999999997</v>
      </c>
    </row>
    <row r="314" spans="1:8" ht="15.75" x14ac:dyDescent="0.25">
      <c r="A314" s="245">
        <v>2013</v>
      </c>
      <c r="B314" s="245" t="s">
        <v>19</v>
      </c>
      <c r="C314" s="246" t="s">
        <v>20</v>
      </c>
      <c r="D314" s="245" t="s">
        <v>30</v>
      </c>
      <c r="E314" s="245">
        <v>10.5</v>
      </c>
      <c r="F314" s="242" t="s">
        <v>504</v>
      </c>
      <c r="G314" s="242">
        <v>4.5999999999999996</v>
      </c>
      <c r="H314" s="230">
        <f t="shared" si="14"/>
        <v>48.3</v>
      </c>
    </row>
    <row r="315" spans="1:8" ht="15.75" x14ac:dyDescent="0.25">
      <c r="A315" s="245">
        <v>2013</v>
      </c>
      <c r="B315" s="245" t="s">
        <v>19</v>
      </c>
      <c r="C315" s="246" t="s">
        <v>20</v>
      </c>
      <c r="D315" s="245" t="s">
        <v>30</v>
      </c>
      <c r="E315" s="245">
        <v>16.5</v>
      </c>
      <c r="F315" s="242" t="s">
        <v>504</v>
      </c>
      <c r="G315" s="242">
        <v>4.5999999999999996</v>
      </c>
      <c r="H315" s="230">
        <f t="shared" si="14"/>
        <v>75.899999999999991</v>
      </c>
    </row>
    <row r="316" spans="1:8" ht="15.75" x14ac:dyDescent="0.25">
      <c r="A316" s="245">
        <v>2013</v>
      </c>
      <c r="B316" s="245" t="s">
        <v>19</v>
      </c>
      <c r="C316" s="246" t="s">
        <v>20</v>
      </c>
      <c r="D316" s="245" t="s">
        <v>30</v>
      </c>
      <c r="E316" s="245">
        <v>13.5</v>
      </c>
      <c r="F316" s="242" t="s">
        <v>504</v>
      </c>
      <c r="G316" s="242">
        <v>4.5999999999999996</v>
      </c>
      <c r="H316" s="230">
        <f t="shared" si="14"/>
        <v>62.099999999999994</v>
      </c>
    </row>
    <row r="317" spans="1:8" ht="15.75" x14ac:dyDescent="0.25">
      <c r="A317" s="245">
        <v>2013</v>
      </c>
      <c r="B317" s="245" t="s">
        <v>19</v>
      </c>
      <c r="C317" s="246" t="s">
        <v>20</v>
      </c>
      <c r="D317" s="245" t="s">
        <v>30</v>
      </c>
      <c r="E317" s="245">
        <v>5.5</v>
      </c>
      <c r="F317" s="242" t="s">
        <v>504</v>
      </c>
      <c r="G317" s="242">
        <v>4.5999999999999996</v>
      </c>
      <c r="H317" s="230">
        <f t="shared" si="14"/>
        <v>25.299999999999997</v>
      </c>
    </row>
    <row r="318" spans="1:8" ht="15.75" x14ac:dyDescent="0.25">
      <c r="A318" s="245">
        <v>2013</v>
      </c>
      <c r="B318" s="245" t="s">
        <v>19</v>
      </c>
      <c r="C318" s="246" t="s">
        <v>20</v>
      </c>
      <c r="D318" s="245" t="s">
        <v>30</v>
      </c>
      <c r="E318" s="245">
        <v>13.5</v>
      </c>
      <c r="F318" s="242" t="s">
        <v>504</v>
      </c>
      <c r="G318" s="242">
        <v>4.5999999999999996</v>
      </c>
      <c r="H318" s="230">
        <f t="shared" si="14"/>
        <v>62.099999999999994</v>
      </c>
    </row>
    <row r="319" spans="1:8" ht="15.75" x14ac:dyDescent="0.25">
      <c r="A319" s="245">
        <v>2013</v>
      </c>
      <c r="B319" s="245" t="s">
        <v>19</v>
      </c>
      <c r="C319" s="246" t="s">
        <v>20</v>
      </c>
      <c r="D319" s="245" t="s">
        <v>30</v>
      </c>
      <c r="E319" s="245">
        <v>9.6</v>
      </c>
      <c r="F319" s="242" t="s">
        <v>504</v>
      </c>
      <c r="G319" s="242">
        <v>4.5999999999999996</v>
      </c>
      <c r="H319" s="230">
        <f t="shared" si="14"/>
        <v>44.16</v>
      </c>
    </row>
    <row r="320" spans="1:8" ht="15.75" x14ac:dyDescent="0.25">
      <c r="A320" s="245">
        <v>2013</v>
      </c>
      <c r="B320" s="245" t="s">
        <v>19</v>
      </c>
      <c r="C320" s="246" t="s">
        <v>20</v>
      </c>
      <c r="D320" s="245" t="s">
        <v>30</v>
      </c>
      <c r="E320" s="245">
        <v>9.5</v>
      </c>
      <c r="F320" s="242" t="s">
        <v>504</v>
      </c>
      <c r="G320" s="242">
        <v>4.5999999999999996</v>
      </c>
      <c r="H320" s="230">
        <f t="shared" si="14"/>
        <v>43.699999999999996</v>
      </c>
    </row>
    <row r="321" spans="1:8" ht="15.75" x14ac:dyDescent="0.25">
      <c r="A321" s="245">
        <v>2013</v>
      </c>
      <c r="B321" s="245" t="s">
        <v>19</v>
      </c>
      <c r="C321" s="246" t="s">
        <v>20</v>
      </c>
      <c r="D321" s="245" t="s">
        <v>30</v>
      </c>
      <c r="E321" s="245">
        <v>11.3</v>
      </c>
      <c r="F321" s="242" t="s">
        <v>504</v>
      </c>
      <c r="G321" s="242">
        <v>4.5999999999999996</v>
      </c>
      <c r="H321" s="230">
        <f t="shared" si="14"/>
        <v>51.98</v>
      </c>
    </row>
    <row r="322" spans="1:8" ht="15.75" x14ac:dyDescent="0.25">
      <c r="A322" s="245">
        <v>2013</v>
      </c>
      <c r="B322" s="245" t="s">
        <v>19</v>
      </c>
      <c r="C322" s="246" t="s">
        <v>20</v>
      </c>
      <c r="D322" s="245" t="s">
        <v>21</v>
      </c>
      <c r="E322" s="245">
        <v>17.5</v>
      </c>
      <c r="F322" s="242" t="s">
        <v>507</v>
      </c>
      <c r="G322" s="242">
        <v>3.9</v>
      </c>
      <c r="H322" s="230">
        <f t="shared" si="14"/>
        <v>68.25</v>
      </c>
    </row>
    <row r="323" spans="1:8" ht="15.75" x14ac:dyDescent="0.25">
      <c r="A323" s="245">
        <v>2013</v>
      </c>
      <c r="B323" s="245" t="s">
        <v>19</v>
      </c>
      <c r="C323" s="246" t="s">
        <v>20</v>
      </c>
      <c r="D323" s="245" t="s">
        <v>21</v>
      </c>
      <c r="E323" s="245">
        <v>10</v>
      </c>
      <c r="F323" s="242" t="s">
        <v>507</v>
      </c>
      <c r="G323" s="242">
        <v>3.9</v>
      </c>
      <c r="H323" s="230">
        <f t="shared" ref="H323:H386" si="16">E323*G323</f>
        <v>39</v>
      </c>
    </row>
    <row r="324" spans="1:8" ht="15.75" x14ac:dyDescent="0.25">
      <c r="A324" s="245">
        <v>2013</v>
      </c>
      <c r="B324" s="245" t="s">
        <v>19</v>
      </c>
      <c r="C324" s="246" t="s">
        <v>20</v>
      </c>
      <c r="D324" s="245" t="s">
        <v>21</v>
      </c>
      <c r="E324" s="245">
        <v>16</v>
      </c>
      <c r="F324" s="242" t="s">
        <v>507</v>
      </c>
      <c r="G324" s="242">
        <v>3.9</v>
      </c>
      <c r="H324" s="230">
        <f t="shared" si="16"/>
        <v>62.4</v>
      </c>
    </row>
    <row r="325" spans="1:8" ht="15.75" x14ac:dyDescent="0.25">
      <c r="A325" s="245">
        <v>2013</v>
      </c>
      <c r="B325" s="245" t="s">
        <v>19</v>
      </c>
      <c r="C325" s="246" t="s">
        <v>20</v>
      </c>
      <c r="D325" s="245" t="s">
        <v>21</v>
      </c>
      <c r="E325" s="245">
        <v>9</v>
      </c>
      <c r="F325" s="242" t="s">
        <v>507</v>
      </c>
      <c r="G325" s="242">
        <v>3.9</v>
      </c>
      <c r="H325" s="230">
        <f t="shared" si="16"/>
        <v>35.1</v>
      </c>
    </row>
    <row r="326" spans="1:8" ht="15.75" x14ac:dyDescent="0.25">
      <c r="A326" s="245">
        <v>2013</v>
      </c>
      <c r="B326" s="245" t="s">
        <v>19</v>
      </c>
      <c r="C326" s="246" t="s">
        <v>20</v>
      </c>
      <c r="D326" s="245" t="s">
        <v>21</v>
      </c>
      <c r="E326" s="245">
        <v>15.5</v>
      </c>
      <c r="F326" s="242" t="s">
        <v>507</v>
      </c>
      <c r="G326" s="242">
        <v>3.9</v>
      </c>
      <c r="H326" s="230">
        <f t="shared" si="16"/>
        <v>60.449999999999996</v>
      </c>
    </row>
    <row r="327" spans="1:8" ht="15.75" x14ac:dyDescent="0.25">
      <c r="A327" s="245">
        <v>2013</v>
      </c>
      <c r="B327" s="245" t="s">
        <v>19</v>
      </c>
      <c r="C327" s="246" t="s">
        <v>20</v>
      </c>
      <c r="D327" s="245" t="s">
        <v>21</v>
      </c>
      <c r="E327" s="245">
        <v>13.8</v>
      </c>
      <c r="F327" s="242" t="s">
        <v>507</v>
      </c>
      <c r="G327" s="242">
        <v>3.9</v>
      </c>
      <c r="H327" s="230">
        <f t="shared" si="16"/>
        <v>53.82</v>
      </c>
    </row>
    <row r="328" spans="1:8" ht="15.75" x14ac:dyDescent="0.25">
      <c r="A328" s="245">
        <v>2013</v>
      </c>
      <c r="B328" s="245" t="s">
        <v>19</v>
      </c>
      <c r="C328" s="246" t="s">
        <v>20</v>
      </c>
      <c r="D328" s="245" t="s">
        <v>21</v>
      </c>
      <c r="E328" s="245">
        <v>14</v>
      </c>
      <c r="F328" s="242" t="s">
        <v>507</v>
      </c>
      <c r="G328" s="242">
        <v>3.9</v>
      </c>
      <c r="H328" s="230">
        <f t="shared" si="16"/>
        <v>54.6</v>
      </c>
    </row>
    <row r="329" spans="1:8" ht="15.75" x14ac:dyDescent="0.25">
      <c r="A329" s="245">
        <v>2013</v>
      </c>
      <c r="B329" s="245" t="s">
        <v>19</v>
      </c>
      <c r="C329" s="246" t="s">
        <v>20</v>
      </c>
      <c r="D329" s="245" t="s">
        <v>21</v>
      </c>
      <c r="E329" s="245">
        <v>9</v>
      </c>
      <c r="F329" s="242" t="s">
        <v>507</v>
      </c>
      <c r="G329" s="242">
        <v>3.9</v>
      </c>
      <c r="H329" s="230">
        <f t="shared" si="16"/>
        <v>35.1</v>
      </c>
    </row>
    <row r="330" spans="1:8" ht="15.75" x14ac:dyDescent="0.25">
      <c r="A330" s="245">
        <v>2013</v>
      </c>
      <c r="B330" s="245" t="s">
        <v>19</v>
      </c>
      <c r="C330" s="246" t="s">
        <v>20</v>
      </c>
      <c r="D330" s="245" t="s">
        <v>21</v>
      </c>
      <c r="E330" s="245">
        <v>8.5</v>
      </c>
      <c r="F330" s="242" t="s">
        <v>507</v>
      </c>
      <c r="G330" s="242">
        <v>3.9</v>
      </c>
      <c r="H330" s="230">
        <f t="shared" si="16"/>
        <v>33.15</v>
      </c>
    </row>
    <row r="331" spans="1:8" ht="15.75" x14ac:dyDescent="0.25">
      <c r="A331" s="245">
        <v>2013</v>
      </c>
      <c r="B331" s="245" t="s">
        <v>19</v>
      </c>
      <c r="C331" s="246" t="s">
        <v>20</v>
      </c>
      <c r="D331" s="245" t="s">
        <v>21</v>
      </c>
      <c r="E331" s="245">
        <v>10</v>
      </c>
      <c r="F331" s="242" t="s">
        <v>507</v>
      </c>
      <c r="G331" s="242">
        <v>3.9</v>
      </c>
      <c r="H331" s="230">
        <f t="shared" si="16"/>
        <v>39</v>
      </c>
    </row>
    <row r="332" spans="1:8" ht="15.75" x14ac:dyDescent="0.25">
      <c r="A332" s="245">
        <v>2013</v>
      </c>
      <c r="B332" s="245" t="s">
        <v>19</v>
      </c>
      <c r="C332" s="246" t="s">
        <v>20</v>
      </c>
      <c r="D332" s="245" t="s">
        <v>21</v>
      </c>
      <c r="E332" s="245">
        <v>6</v>
      </c>
      <c r="F332" s="242" t="s">
        <v>507</v>
      </c>
      <c r="G332" s="242">
        <v>3.9</v>
      </c>
      <c r="H332" s="230">
        <f t="shared" si="16"/>
        <v>23.4</v>
      </c>
    </row>
    <row r="333" spans="1:8" ht="15.75" x14ac:dyDescent="0.25">
      <c r="A333" s="245">
        <v>2013</v>
      </c>
      <c r="B333" s="245" t="s">
        <v>19</v>
      </c>
      <c r="C333" s="246" t="s">
        <v>20</v>
      </c>
      <c r="D333" s="245" t="s">
        <v>21</v>
      </c>
      <c r="E333" s="245">
        <v>10</v>
      </c>
      <c r="F333" s="242" t="s">
        <v>507</v>
      </c>
      <c r="G333" s="242">
        <v>3.9</v>
      </c>
      <c r="H333" s="230">
        <f t="shared" si="16"/>
        <v>39</v>
      </c>
    </row>
    <row r="334" spans="1:8" ht="15.75" x14ac:dyDescent="0.25">
      <c r="A334" s="245">
        <v>2013</v>
      </c>
      <c r="B334" s="245" t="s">
        <v>19</v>
      </c>
      <c r="C334" s="246" t="s">
        <v>20</v>
      </c>
      <c r="D334" s="245" t="s">
        <v>21</v>
      </c>
      <c r="E334" s="245">
        <v>10</v>
      </c>
      <c r="F334" s="242" t="s">
        <v>507</v>
      </c>
      <c r="G334" s="242">
        <v>3.9</v>
      </c>
      <c r="H334" s="230">
        <f t="shared" si="16"/>
        <v>39</v>
      </c>
    </row>
    <row r="335" spans="1:8" ht="15.75" x14ac:dyDescent="0.25">
      <c r="A335" s="245">
        <v>2013</v>
      </c>
      <c r="B335" s="245" t="s">
        <v>19</v>
      </c>
      <c r="C335" s="246" t="s">
        <v>20</v>
      </c>
      <c r="D335" s="245" t="s">
        <v>21</v>
      </c>
      <c r="E335" s="245">
        <v>12</v>
      </c>
      <c r="F335" s="242" t="s">
        <v>507</v>
      </c>
      <c r="G335" s="242">
        <v>3.9</v>
      </c>
      <c r="H335" s="230">
        <f t="shared" si="16"/>
        <v>46.8</v>
      </c>
    </row>
    <row r="336" spans="1:8" ht="15.75" x14ac:dyDescent="0.25">
      <c r="A336" s="245">
        <v>2013</v>
      </c>
      <c r="B336" s="245" t="s">
        <v>19</v>
      </c>
      <c r="C336" s="246" t="s">
        <v>20</v>
      </c>
      <c r="D336" s="245" t="s">
        <v>21</v>
      </c>
      <c r="E336" s="245">
        <v>10.5</v>
      </c>
      <c r="F336" s="242" t="s">
        <v>507</v>
      </c>
      <c r="G336" s="242">
        <v>3.9</v>
      </c>
      <c r="H336" s="230">
        <f t="shared" si="16"/>
        <v>40.949999999999996</v>
      </c>
    </row>
    <row r="337" spans="1:8" ht="15.75" x14ac:dyDescent="0.25">
      <c r="A337" s="245">
        <v>2013</v>
      </c>
      <c r="B337" s="245" t="s">
        <v>19</v>
      </c>
      <c r="C337" s="246" t="s">
        <v>20</v>
      </c>
      <c r="D337" s="245" t="s">
        <v>21</v>
      </c>
      <c r="E337" s="245">
        <v>9.5</v>
      </c>
      <c r="F337" s="242" t="s">
        <v>507</v>
      </c>
      <c r="G337" s="242">
        <v>3.9</v>
      </c>
      <c r="H337" s="230">
        <f t="shared" si="16"/>
        <v>37.049999999999997</v>
      </c>
    </row>
    <row r="338" spans="1:8" ht="15.75" x14ac:dyDescent="0.25">
      <c r="A338" s="245">
        <v>2013</v>
      </c>
      <c r="B338" s="245" t="s">
        <v>19</v>
      </c>
      <c r="C338" s="246" t="s">
        <v>20</v>
      </c>
      <c r="D338" s="245" t="s">
        <v>21</v>
      </c>
      <c r="E338" s="245">
        <v>16.5</v>
      </c>
      <c r="F338" s="242" t="s">
        <v>507</v>
      </c>
      <c r="G338" s="242">
        <v>3.9</v>
      </c>
      <c r="H338" s="230">
        <f t="shared" si="16"/>
        <v>64.349999999999994</v>
      </c>
    </row>
    <row r="339" spans="1:8" ht="15.75" x14ac:dyDescent="0.25">
      <c r="A339" s="245">
        <v>2013</v>
      </c>
      <c r="B339" s="245" t="s">
        <v>19</v>
      </c>
      <c r="C339" s="246" t="s">
        <v>20</v>
      </c>
      <c r="D339" s="245" t="s">
        <v>21</v>
      </c>
      <c r="E339" s="245">
        <v>13</v>
      </c>
      <c r="F339" s="242" t="s">
        <v>507</v>
      </c>
      <c r="G339" s="242">
        <v>3.9</v>
      </c>
      <c r="H339" s="230">
        <f t="shared" si="16"/>
        <v>50.699999999999996</v>
      </c>
    </row>
    <row r="340" spans="1:8" ht="15.75" x14ac:dyDescent="0.25">
      <c r="A340" s="245">
        <v>2013</v>
      </c>
      <c r="B340" s="245" t="s">
        <v>19</v>
      </c>
      <c r="C340" s="246" t="s">
        <v>20</v>
      </c>
      <c r="D340" s="245" t="s">
        <v>21</v>
      </c>
      <c r="E340" s="245">
        <v>7.9</v>
      </c>
      <c r="F340" s="242" t="s">
        <v>507</v>
      </c>
      <c r="G340" s="242">
        <v>3.9</v>
      </c>
      <c r="H340" s="230">
        <f t="shared" si="16"/>
        <v>30.810000000000002</v>
      </c>
    </row>
    <row r="341" spans="1:8" ht="15.75" x14ac:dyDescent="0.25">
      <c r="A341" s="245">
        <v>2013</v>
      </c>
      <c r="B341" s="245" t="s">
        <v>19</v>
      </c>
      <c r="C341" s="246" t="s">
        <v>20</v>
      </c>
      <c r="D341" s="245" t="s">
        <v>21</v>
      </c>
      <c r="E341" s="245">
        <v>7.5</v>
      </c>
      <c r="F341" s="242" t="s">
        <v>507</v>
      </c>
      <c r="G341" s="242">
        <v>3.9</v>
      </c>
      <c r="H341" s="230">
        <f t="shared" si="16"/>
        <v>29.25</v>
      </c>
    </row>
    <row r="342" spans="1:8" ht="15.75" x14ac:dyDescent="0.25">
      <c r="A342" s="245">
        <v>2013</v>
      </c>
      <c r="B342" s="245" t="s">
        <v>19</v>
      </c>
      <c r="C342" s="246" t="s">
        <v>20</v>
      </c>
      <c r="D342" s="245" t="s">
        <v>21</v>
      </c>
      <c r="E342" s="245">
        <v>13.8</v>
      </c>
      <c r="F342" s="242" t="s">
        <v>507</v>
      </c>
      <c r="G342" s="242">
        <v>3.9</v>
      </c>
      <c r="H342" s="230">
        <f t="shared" si="16"/>
        <v>53.82</v>
      </c>
    </row>
    <row r="343" spans="1:8" ht="15.75" x14ac:dyDescent="0.25">
      <c r="A343" s="245">
        <v>2013</v>
      </c>
      <c r="B343" s="245" t="s">
        <v>19</v>
      </c>
      <c r="C343" s="246" t="s">
        <v>20</v>
      </c>
      <c r="D343" s="245" t="s">
        <v>21</v>
      </c>
      <c r="E343" s="245">
        <v>7.2</v>
      </c>
      <c r="F343" s="242" t="s">
        <v>507</v>
      </c>
      <c r="G343" s="242">
        <v>3.9</v>
      </c>
      <c r="H343" s="230">
        <f t="shared" si="16"/>
        <v>28.08</v>
      </c>
    </row>
    <row r="344" spans="1:8" ht="15.75" x14ac:dyDescent="0.25">
      <c r="A344" s="245">
        <v>2013</v>
      </c>
      <c r="B344" s="245" t="s">
        <v>19</v>
      </c>
      <c r="C344" s="246" t="s">
        <v>20</v>
      </c>
      <c r="D344" s="245" t="s">
        <v>21</v>
      </c>
      <c r="E344" s="245">
        <v>6.1</v>
      </c>
      <c r="F344" s="242" t="s">
        <v>507</v>
      </c>
      <c r="G344" s="242">
        <v>3.9</v>
      </c>
      <c r="H344" s="230">
        <f t="shared" si="16"/>
        <v>23.79</v>
      </c>
    </row>
    <row r="345" spans="1:8" ht="15.75" x14ac:dyDescent="0.25">
      <c r="A345" s="245">
        <v>2013</v>
      </c>
      <c r="B345" s="245" t="s">
        <v>19</v>
      </c>
      <c r="C345" s="246" t="s">
        <v>20</v>
      </c>
      <c r="D345" s="245" t="s">
        <v>21</v>
      </c>
      <c r="E345" s="245">
        <v>9</v>
      </c>
      <c r="F345" s="242" t="s">
        <v>507</v>
      </c>
      <c r="G345" s="242">
        <v>3.9</v>
      </c>
      <c r="H345" s="230">
        <f t="shared" si="16"/>
        <v>35.1</v>
      </c>
    </row>
    <row r="346" spans="1:8" ht="15.75" x14ac:dyDescent="0.25">
      <c r="A346" s="245">
        <v>2013</v>
      </c>
      <c r="B346" s="245" t="s">
        <v>19</v>
      </c>
      <c r="C346" s="246" t="s">
        <v>20</v>
      </c>
      <c r="D346" s="245" t="s">
        <v>21</v>
      </c>
      <c r="E346" s="245">
        <v>7.3</v>
      </c>
      <c r="F346" s="242" t="s">
        <v>507</v>
      </c>
      <c r="G346" s="242">
        <v>3.9</v>
      </c>
      <c r="H346" s="230">
        <f t="shared" si="16"/>
        <v>28.47</v>
      </c>
    </row>
    <row r="347" spans="1:8" ht="15.75" x14ac:dyDescent="0.25">
      <c r="A347" s="245">
        <v>2013</v>
      </c>
      <c r="B347" s="245" t="s">
        <v>19</v>
      </c>
      <c r="C347" s="246" t="s">
        <v>20</v>
      </c>
      <c r="D347" s="245" t="s">
        <v>21</v>
      </c>
      <c r="E347" s="245">
        <v>7.8</v>
      </c>
      <c r="F347" s="242" t="s">
        <v>507</v>
      </c>
      <c r="G347" s="242">
        <v>3.9</v>
      </c>
      <c r="H347" s="230">
        <f t="shared" si="16"/>
        <v>30.419999999999998</v>
      </c>
    </row>
    <row r="348" spans="1:8" ht="15.75" x14ac:dyDescent="0.25">
      <c r="A348" s="245">
        <v>2013</v>
      </c>
      <c r="B348" s="245" t="s">
        <v>19</v>
      </c>
      <c r="C348" s="246" t="s">
        <v>20</v>
      </c>
      <c r="D348" s="245" t="s">
        <v>21</v>
      </c>
      <c r="E348" s="245">
        <v>6.3</v>
      </c>
      <c r="F348" s="242" t="s">
        <v>507</v>
      </c>
      <c r="G348" s="242">
        <v>3.9</v>
      </c>
      <c r="H348" s="230">
        <f t="shared" si="16"/>
        <v>24.57</v>
      </c>
    </row>
    <row r="349" spans="1:8" ht="15.75" x14ac:dyDescent="0.25">
      <c r="A349" s="245">
        <v>2013</v>
      </c>
      <c r="B349" s="245" t="s">
        <v>19</v>
      </c>
      <c r="C349" s="246" t="s">
        <v>20</v>
      </c>
      <c r="D349" s="245" t="s">
        <v>21</v>
      </c>
      <c r="E349" s="245">
        <v>4.8</v>
      </c>
      <c r="F349" s="242" t="s">
        <v>507</v>
      </c>
      <c r="G349" s="242">
        <v>3.9</v>
      </c>
      <c r="H349" s="230">
        <f t="shared" si="16"/>
        <v>18.72</v>
      </c>
    </row>
    <row r="350" spans="1:8" ht="15.75" x14ac:dyDescent="0.25">
      <c r="A350" s="245">
        <v>2013</v>
      </c>
      <c r="B350" s="245" t="s">
        <v>19</v>
      </c>
      <c r="C350" s="246" t="s">
        <v>20</v>
      </c>
      <c r="D350" s="245" t="s">
        <v>21</v>
      </c>
      <c r="E350" s="245">
        <v>8.4</v>
      </c>
      <c r="F350" s="242" t="s">
        <v>507</v>
      </c>
      <c r="G350" s="242">
        <v>3.9</v>
      </c>
      <c r="H350" s="230">
        <f t="shared" si="16"/>
        <v>32.76</v>
      </c>
    </row>
    <row r="351" spans="1:8" ht="15.75" x14ac:dyDescent="0.25">
      <c r="A351" s="245">
        <v>2013</v>
      </c>
      <c r="B351" s="245" t="s">
        <v>19</v>
      </c>
      <c r="C351" s="246" t="s">
        <v>20</v>
      </c>
      <c r="D351" s="245" t="s">
        <v>21</v>
      </c>
      <c r="E351" s="245">
        <v>10</v>
      </c>
      <c r="F351" s="242" t="s">
        <v>507</v>
      </c>
      <c r="G351" s="242">
        <v>3.9</v>
      </c>
      <c r="H351" s="230">
        <f t="shared" si="16"/>
        <v>39</v>
      </c>
    </row>
    <row r="352" spans="1:8" ht="15.75" x14ac:dyDescent="0.25">
      <c r="A352" s="245">
        <v>2013</v>
      </c>
      <c r="B352" s="245" t="s">
        <v>19</v>
      </c>
      <c r="C352" s="246" t="s">
        <v>20</v>
      </c>
      <c r="D352" s="245" t="s">
        <v>21</v>
      </c>
      <c r="E352" s="245">
        <v>10.5</v>
      </c>
      <c r="F352" s="242" t="s">
        <v>507</v>
      </c>
      <c r="G352" s="242">
        <v>3.9</v>
      </c>
      <c r="H352" s="230">
        <f t="shared" si="16"/>
        <v>40.949999999999996</v>
      </c>
    </row>
    <row r="353" spans="1:8" ht="15.75" x14ac:dyDescent="0.25">
      <c r="A353" s="245">
        <v>2013</v>
      </c>
      <c r="B353" s="245" t="s">
        <v>19</v>
      </c>
      <c r="C353" s="246" t="s">
        <v>20</v>
      </c>
      <c r="D353" s="245" t="s">
        <v>21</v>
      </c>
      <c r="E353" s="245">
        <v>14.7</v>
      </c>
      <c r="F353" s="242" t="s">
        <v>507</v>
      </c>
      <c r="G353" s="242">
        <v>3.9</v>
      </c>
      <c r="H353" s="230">
        <f t="shared" si="16"/>
        <v>57.33</v>
      </c>
    </row>
    <row r="354" spans="1:8" ht="15.75" x14ac:dyDescent="0.25">
      <c r="A354" s="245">
        <v>2013</v>
      </c>
      <c r="B354" s="245" t="s">
        <v>19</v>
      </c>
      <c r="C354" s="246" t="s">
        <v>20</v>
      </c>
      <c r="D354" s="245" t="s">
        <v>21</v>
      </c>
      <c r="E354" s="245">
        <v>10.3</v>
      </c>
      <c r="F354" s="242" t="s">
        <v>507</v>
      </c>
      <c r="G354" s="242">
        <v>3.9</v>
      </c>
      <c r="H354" s="230">
        <f t="shared" si="16"/>
        <v>40.17</v>
      </c>
    </row>
    <row r="355" spans="1:8" ht="15.75" x14ac:dyDescent="0.25">
      <c r="A355" s="245">
        <v>2013</v>
      </c>
      <c r="B355" s="245" t="s">
        <v>19</v>
      </c>
      <c r="C355" s="246" t="s">
        <v>20</v>
      </c>
      <c r="D355" s="245" t="s">
        <v>21</v>
      </c>
      <c r="E355" s="245">
        <v>12</v>
      </c>
      <c r="F355" s="242" t="s">
        <v>507</v>
      </c>
      <c r="G355" s="242">
        <v>3.9</v>
      </c>
      <c r="H355" s="230">
        <f t="shared" si="16"/>
        <v>46.8</v>
      </c>
    </row>
    <row r="356" spans="1:8" ht="15.75" x14ac:dyDescent="0.25">
      <c r="A356" s="245">
        <v>2013</v>
      </c>
      <c r="B356" s="245" t="s">
        <v>19</v>
      </c>
      <c r="C356" s="246" t="s">
        <v>20</v>
      </c>
      <c r="D356" s="245" t="s">
        <v>21</v>
      </c>
      <c r="E356" s="245">
        <v>15.5</v>
      </c>
      <c r="F356" s="242" t="s">
        <v>507</v>
      </c>
      <c r="G356" s="242">
        <v>3.9</v>
      </c>
      <c r="H356" s="230">
        <f t="shared" si="16"/>
        <v>60.449999999999996</v>
      </c>
    </row>
    <row r="357" spans="1:8" ht="15.75" x14ac:dyDescent="0.25">
      <c r="A357" s="245">
        <v>2013</v>
      </c>
      <c r="B357" s="245" t="s">
        <v>19</v>
      </c>
      <c r="C357" s="246" t="s">
        <v>20</v>
      </c>
      <c r="D357" s="245" t="s">
        <v>21</v>
      </c>
      <c r="E357" s="245">
        <v>5.5</v>
      </c>
      <c r="F357" s="242" t="s">
        <v>507</v>
      </c>
      <c r="G357" s="242">
        <v>3.9</v>
      </c>
      <c r="H357" s="230">
        <f t="shared" si="16"/>
        <v>21.45</v>
      </c>
    </row>
    <row r="358" spans="1:8" ht="15.75" x14ac:dyDescent="0.25">
      <c r="A358" s="245">
        <v>2013</v>
      </c>
      <c r="B358" s="245" t="s">
        <v>19</v>
      </c>
      <c r="C358" s="246" t="s">
        <v>20</v>
      </c>
      <c r="D358" s="245" t="s">
        <v>21</v>
      </c>
      <c r="E358" s="245">
        <v>8.5</v>
      </c>
      <c r="F358" s="242" t="s">
        <v>507</v>
      </c>
      <c r="G358" s="242">
        <v>3.9</v>
      </c>
      <c r="H358" s="230">
        <f t="shared" si="16"/>
        <v>33.15</v>
      </c>
    </row>
    <row r="359" spans="1:8" ht="15.75" x14ac:dyDescent="0.25">
      <c r="A359" s="245">
        <v>2013</v>
      </c>
      <c r="B359" s="245" t="s">
        <v>19</v>
      </c>
      <c r="C359" s="246" t="s">
        <v>20</v>
      </c>
      <c r="D359" s="245" t="s">
        <v>21</v>
      </c>
      <c r="E359" s="245">
        <v>9.5</v>
      </c>
      <c r="F359" s="242" t="s">
        <v>507</v>
      </c>
      <c r="G359" s="242">
        <v>3.9</v>
      </c>
      <c r="H359" s="230">
        <f t="shared" si="16"/>
        <v>37.049999999999997</v>
      </c>
    </row>
    <row r="360" spans="1:8" ht="15.75" x14ac:dyDescent="0.25">
      <c r="A360" s="245">
        <v>2013</v>
      </c>
      <c r="B360" s="245" t="s">
        <v>19</v>
      </c>
      <c r="C360" s="246" t="s">
        <v>20</v>
      </c>
      <c r="D360" s="245" t="s">
        <v>21</v>
      </c>
      <c r="E360" s="245">
        <v>15.5</v>
      </c>
      <c r="F360" s="242" t="s">
        <v>507</v>
      </c>
      <c r="G360" s="242">
        <v>3.9</v>
      </c>
      <c r="H360" s="230">
        <f t="shared" si="16"/>
        <v>60.449999999999996</v>
      </c>
    </row>
    <row r="361" spans="1:8" ht="15.75" x14ac:dyDescent="0.25">
      <c r="A361" s="245">
        <v>2013</v>
      </c>
      <c r="B361" s="245" t="s">
        <v>19</v>
      </c>
      <c r="C361" s="246" t="s">
        <v>20</v>
      </c>
      <c r="D361" s="245" t="s">
        <v>21</v>
      </c>
      <c r="E361" s="245">
        <v>10.5</v>
      </c>
      <c r="F361" s="242" t="s">
        <v>507</v>
      </c>
      <c r="G361" s="242">
        <v>3.9</v>
      </c>
      <c r="H361" s="230">
        <f t="shared" si="16"/>
        <v>40.949999999999996</v>
      </c>
    </row>
    <row r="362" spans="1:8" ht="15.75" x14ac:dyDescent="0.25">
      <c r="A362" s="245">
        <v>2013</v>
      </c>
      <c r="B362" s="245" t="s">
        <v>19</v>
      </c>
      <c r="C362" s="246" t="s">
        <v>20</v>
      </c>
      <c r="D362" s="245" t="s">
        <v>21</v>
      </c>
      <c r="E362" s="245">
        <v>13</v>
      </c>
      <c r="F362" s="242" t="s">
        <v>507</v>
      </c>
      <c r="G362" s="242">
        <v>3.9</v>
      </c>
      <c r="H362" s="230">
        <f t="shared" si="16"/>
        <v>50.699999999999996</v>
      </c>
    </row>
    <row r="363" spans="1:8" ht="15.75" x14ac:dyDescent="0.25">
      <c r="A363" s="245">
        <v>2013</v>
      </c>
      <c r="B363" s="245" t="s">
        <v>19</v>
      </c>
      <c r="C363" s="246" t="s">
        <v>20</v>
      </c>
      <c r="D363" s="245" t="s">
        <v>21</v>
      </c>
      <c r="E363" s="245">
        <v>12</v>
      </c>
      <c r="F363" s="242" t="s">
        <v>507</v>
      </c>
      <c r="G363" s="242">
        <v>3.9</v>
      </c>
      <c r="H363" s="230">
        <f t="shared" si="16"/>
        <v>46.8</v>
      </c>
    </row>
    <row r="364" spans="1:8" ht="15.75" x14ac:dyDescent="0.25">
      <c r="A364" s="245">
        <v>2013</v>
      </c>
      <c r="B364" s="245" t="s">
        <v>19</v>
      </c>
      <c r="C364" s="246" t="s">
        <v>20</v>
      </c>
      <c r="D364" s="245" t="s">
        <v>21</v>
      </c>
      <c r="E364" s="245">
        <v>8.3000000000000007</v>
      </c>
      <c r="F364" s="242" t="s">
        <v>507</v>
      </c>
      <c r="G364" s="242">
        <v>3.9</v>
      </c>
      <c r="H364" s="230">
        <f t="shared" si="16"/>
        <v>32.370000000000005</v>
      </c>
    </row>
    <row r="365" spans="1:8" ht="15.75" x14ac:dyDescent="0.25">
      <c r="A365" s="245">
        <v>2013</v>
      </c>
      <c r="B365" s="245" t="s">
        <v>19</v>
      </c>
      <c r="C365" s="246" t="s">
        <v>20</v>
      </c>
      <c r="D365" s="245" t="s">
        <v>21</v>
      </c>
      <c r="E365" s="245">
        <v>15</v>
      </c>
      <c r="F365" s="242" t="s">
        <v>507</v>
      </c>
      <c r="G365" s="242">
        <v>3.9</v>
      </c>
      <c r="H365" s="230">
        <f t="shared" si="16"/>
        <v>58.5</v>
      </c>
    </row>
    <row r="366" spans="1:8" ht="15.75" x14ac:dyDescent="0.25">
      <c r="A366" s="245">
        <v>2013</v>
      </c>
      <c r="B366" s="245" t="s">
        <v>19</v>
      </c>
      <c r="C366" s="246" t="s">
        <v>20</v>
      </c>
      <c r="D366" s="245" t="s">
        <v>21</v>
      </c>
      <c r="E366" s="245">
        <v>10</v>
      </c>
      <c r="F366" s="242" t="s">
        <v>507</v>
      </c>
      <c r="G366" s="242">
        <v>3.9</v>
      </c>
      <c r="H366" s="230">
        <f t="shared" si="16"/>
        <v>39</v>
      </c>
    </row>
    <row r="367" spans="1:8" ht="15.75" x14ac:dyDescent="0.25">
      <c r="A367" s="245">
        <v>2013</v>
      </c>
      <c r="B367" s="245" t="s">
        <v>19</v>
      </c>
      <c r="C367" s="246" t="s">
        <v>20</v>
      </c>
      <c r="D367" s="245" t="s">
        <v>21</v>
      </c>
      <c r="E367" s="245">
        <v>9</v>
      </c>
      <c r="F367" s="242" t="s">
        <v>507</v>
      </c>
      <c r="G367" s="242">
        <v>3.9</v>
      </c>
      <c r="H367" s="230">
        <f t="shared" si="16"/>
        <v>35.1</v>
      </c>
    </row>
    <row r="368" spans="1:8" ht="15.75" x14ac:dyDescent="0.25">
      <c r="A368" s="245">
        <v>2013</v>
      </c>
      <c r="B368" s="245" t="s">
        <v>19</v>
      </c>
      <c r="C368" s="246" t="s">
        <v>20</v>
      </c>
      <c r="D368" s="245" t="s">
        <v>21</v>
      </c>
      <c r="E368" s="245">
        <v>10</v>
      </c>
      <c r="F368" s="242" t="s">
        <v>507</v>
      </c>
      <c r="G368" s="242">
        <v>3.9</v>
      </c>
      <c r="H368" s="230">
        <f t="shared" si="16"/>
        <v>39</v>
      </c>
    </row>
    <row r="369" spans="1:8" ht="15.75" x14ac:dyDescent="0.25">
      <c r="A369" s="245">
        <v>2013</v>
      </c>
      <c r="B369" s="245" t="s">
        <v>19</v>
      </c>
      <c r="C369" s="246" t="s">
        <v>20</v>
      </c>
      <c r="D369" s="245" t="s">
        <v>21</v>
      </c>
      <c r="E369" s="245">
        <v>8</v>
      </c>
      <c r="F369" s="242" t="s">
        <v>507</v>
      </c>
      <c r="G369" s="242">
        <v>3.9</v>
      </c>
      <c r="H369" s="230">
        <f t="shared" si="16"/>
        <v>31.2</v>
      </c>
    </row>
    <row r="370" spans="1:8" ht="15.75" x14ac:dyDescent="0.25">
      <c r="A370" s="245">
        <v>2013</v>
      </c>
      <c r="B370" s="245" t="s">
        <v>19</v>
      </c>
      <c r="C370" s="246" t="s">
        <v>20</v>
      </c>
      <c r="D370" s="245" t="s">
        <v>21</v>
      </c>
      <c r="E370" s="245">
        <v>10.5</v>
      </c>
      <c r="F370" s="242" t="s">
        <v>507</v>
      </c>
      <c r="G370" s="242">
        <v>3.9</v>
      </c>
      <c r="H370" s="230">
        <f t="shared" si="16"/>
        <v>40.949999999999996</v>
      </c>
    </row>
    <row r="371" spans="1:8" ht="15" customHeight="1" x14ac:dyDescent="0.2">
      <c r="A371" s="245">
        <v>2013</v>
      </c>
      <c r="B371" s="245" t="s">
        <v>19</v>
      </c>
      <c r="C371" s="246" t="s">
        <v>34</v>
      </c>
      <c r="D371" s="245" t="s">
        <v>41</v>
      </c>
      <c r="E371" s="245">
        <v>25</v>
      </c>
      <c r="F371" s="242" t="s">
        <v>506</v>
      </c>
      <c r="G371" s="242">
        <v>3.8</v>
      </c>
      <c r="H371" s="230">
        <f t="shared" si="16"/>
        <v>95</v>
      </c>
    </row>
    <row r="372" spans="1:8" ht="15" customHeight="1" x14ac:dyDescent="0.2">
      <c r="A372" s="245">
        <v>2013</v>
      </c>
      <c r="B372" s="245" t="s">
        <v>19</v>
      </c>
      <c r="C372" s="246" t="s">
        <v>34</v>
      </c>
      <c r="D372" s="245" t="s">
        <v>41</v>
      </c>
      <c r="E372" s="245">
        <v>16</v>
      </c>
      <c r="F372" s="242" t="s">
        <v>506</v>
      </c>
      <c r="G372" s="242">
        <v>3.8</v>
      </c>
      <c r="H372" s="230">
        <f t="shared" si="16"/>
        <v>60.8</v>
      </c>
    </row>
    <row r="373" spans="1:8" ht="15.75" x14ac:dyDescent="0.25">
      <c r="A373" s="245">
        <v>2012</v>
      </c>
      <c r="B373" s="245" t="s">
        <v>19</v>
      </c>
      <c r="C373" s="246" t="s">
        <v>20</v>
      </c>
      <c r="D373" s="245" t="s">
        <v>30</v>
      </c>
      <c r="E373" s="245">
        <v>18.100000000000001</v>
      </c>
      <c r="F373" s="242" t="s">
        <v>504</v>
      </c>
      <c r="G373" s="242">
        <v>4.5999999999999996</v>
      </c>
      <c r="H373" s="230">
        <f t="shared" si="16"/>
        <v>83.26</v>
      </c>
    </row>
    <row r="374" spans="1:8" ht="15.75" x14ac:dyDescent="0.25">
      <c r="A374" s="245">
        <v>2012</v>
      </c>
      <c r="B374" s="245" t="s">
        <v>19</v>
      </c>
      <c r="C374" s="246" t="s">
        <v>20</v>
      </c>
      <c r="D374" s="245" t="s">
        <v>30</v>
      </c>
      <c r="E374" s="245">
        <v>9.5</v>
      </c>
      <c r="F374" s="242" t="s">
        <v>504</v>
      </c>
      <c r="G374" s="242">
        <v>4.5999999999999996</v>
      </c>
      <c r="H374" s="230">
        <f t="shared" si="16"/>
        <v>43.699999999999996</v>
      </c>
    </row>
    <row r="375" spans="1:8" ht="15.75" x14ac:dyDescent="0.25">
      <c r="A375" s="245">
        <v>2012</v>
      </c>
      <c r="B375" s="245" t="s">
        <v>19</v>
      </c>
      <c r="C375" s="246" t="s">
        <v>20</v>
      </c>
      <c r="D375" s="245" t="s">
        <v>30</v>
      </c>
      <c r="E375" s="245">
        <v>8.9</v>
      </c>
      <c r="F375" s="242" t="s">
        <v>504</v>
      </c>
      <c r="G375" s="242">
        <v>4.5999999999999996</v>
      </c>
      <c r="H375" s="230">
        <f t="shared" si="16"/>
        <v>40.94</v>
      </c>
    </row>
    <row r="376" spans="1:8" ht="15.75" x14ac:dyDescent="0.25">
      <c r="A376" s="245">
        <v>2012</v>
      </c>
      <c r="B376" s="245" t="s">
        <v>19</v>
      </c>
      <c r="C376" s="246" t="s">
        <v>20</v>
      </c>
      <c r="D376" s="245" t="s">
        <v>30</v>
      </c>
      <c r="E376" s="245">
        <v>11.2</v>
      </c>
      <c r="F376" s="242" t="s">
        <v>504</v>
      </c>
      <c r="G376" s="242">
        <v>4.5999999999999996</v>
      </c>
      <c r="H376" s="230">
        <f t="shared" si="16"/>
        <v>51.519999999999996</v>
      </c>
    </row>
    <row r="377" spans="1:8" ht="15.75" x14ac:dyDescent="0.25">
      <c r="A377" s="245">
        <v>2012</v>
      </c>
      <c r="B377" s="245" t="s">
        <v>19</v>
      </c>
      <c r="C377" s="246" t="s">
        <v>20</v>
      </c>
      <c r="D377" s="245" t="s">
        <v>30</v>
      </c>
      <c r="E377" s="245">
        <v>9.5</v>
      </c>
      <c r="F377" s="242" t="s">
        <v>504</v>
      </c>
      <c r="G377" s="242">
        <v>4.5999999999999996</v>
      </c>
      <c r="H377" s="230">
        <f t="shared" si="16"/>
        <v>43.699999999999996</v>
      </c>
    </row>
    <row r="378" spans="1:8" ht="15.75" x14ac:dyDescent="0.25">
      <c r="A378" s="245">
        <v>2012</v>
      </c>
      <c r="B378" s="245" t="s">
        <v>19</v>
      </c>
      <c r="C378" s="246" t="s">
        <v>20</v>
      </c>
      <c r="D378" s="245" t="s">
        <v>30</v>
      </c>
      <c r="E378" s="245">
        <v>8.3000000000000007</v>
      </c>
      <c r="F378" s="242" t="s">
        <v>504</v>
      </c>
      <c r="G378" s="242">
        <v>4.5999999999999996</v>
      </c>
      <c r="H378" s="230">
        <f t="shared" si="16"/>
        <v>38.18</v>
      </c>
    </row>
    <row r="379" spans="1:8" ht="15.75" x14ac:dyDescent="0.25">
      <c r="A379" s="245">
        <v>2012</v>
      </c>
      <c r="B379" s="245" t="s">
        <v>19</v>
      </c>
      <c r="C379" s="246" t="s">
        <v>20</v>
      </c>
      <c r="D379" s="245" t="s">
        <v>30</v>
      </c>
      <c r="E379" s="245">
        <v>11</v>
      </c>
      <c r="F379" s="242" t="s">
        <v>504</v>
      </c>
      <c r="G379" s="242">
        <v>4.5999999999999996</v>
      </c>
      <c r="H379" s="230">
        <f t="shared" si="16"/>
        <v>50.599999999999994</v>
      </c>
    </row>
    <row r="380" spans="1:8" ht="15.75" x14ac:dyDescent="0.25">
      <c r="A380" s="245">
        <v>2012</v>
      </c>
      <c r="B380" s="245" t="s">
        <v>19</v>
      </c>
      <c r="C380" s="246" t="s">
        <v>20</v>
      </c>
      <c r="D380" s="245" t="s">
        <v>30</v>
      </c>
      <c r="E380" s="245">
        <v>11</v>
      </c>
      <c r="F380" s="242" t="s">
        <v>504</v>
      </c>
      <c r="G380" s="242">
        <v>4.5999999999999996</v>
      </c>
      <c r="H380" s="230">
        <f t="shared" si="16"/>
        <v>50.599999999999994</v>
      </c>
    </row>
    <row r="381" spans="1:8" ht="15.75" x14ac:dyDescent="0.25">
      <c r="A381" s="245">
        <v>2012</v>
      </c>
      <c r="B381" s="245" t="s">
        <v>19</v>
      </c>
      <c r="C381" s="246" t="s">
        <v>20</v>
      </c>
      <c r="D381" s="245" t="s">
        <v>30</v>
      </c>
      <c r="E381" s="245">
        <v>9.1999999999999993</v>
      </c>
      <c r="F381" s="242" t="s">
        <v>504</v>
      </c>
      <c r="G381" s="242">
        <v>4.5999999999999996</v>
      </c>
      <c r="H381" s="230">
        <f t="shared" si="16"/>
        <v>42.319999999999993</v>
      </c>
    </row>
    <row r="382" spans="1:8" ht="15.75" x14ac:dyDescent="0.25">
      <c r="A382" s="245">
        <v>2012</v>
      </c>
      <c r="B382" s="245" t="s">
        <v>19</v>
      </c>
      <c r="C382" s="246" t="s">
        <v>20</v>
      </c>
      <c r="D382" s="245" t="s">
        <v>30</v>
      </c>
      <c r="E382" s="245">
        <v>11.6</v>
      </c>
      <c r="F382" s="242" t="s">
        <v>504</v>
      </c>
      <c r="G382" s="242">
        <v>4.5999999999999996</v>
      </c>
      <c r="H382" s="230">
        <f t="shared" si="16"/>
        <v>53.359999999999992</v>
      </c>
    </row>
    <row r="383" spans="1:8" ht="15.75" x14ac:dyDescent="0.25">
      <c r="A383" s="245">
        <v>2012</v>
      </c>
      <c r="B383" s="245" t="s">
        <v>19</v>
      </c>
      <c r="C383" s="246" t="s">
        <v>20</v>
      </c>
      <c r="D383" s="245" t="s">
        <v>30</v>
      </c>
      <c r="E383" s="245">
        <v>7.3</v>
      </c>
      <c r="F383" s="242" t="s">
        <v>504</v>
      </c>
      <c r="G383" s="242">
        <v>4.5999999999999996</v>
      </c>
      <c r="H383" s="230">
        <f t="shared" si="16"/>
        <v>33.58</v>
      </c>
    </row>
    <row r="384" spans="1:8" ht="15.75" x14ac:dyDescent="0.25">
      <c r="A384" s="245">
        <v>2012</v>
      </c>
      <c r="B384" s="245" t="s">
        <v>19</v>
      </c>
      <c r="C384" s="246" t="s">
        <v>20</v>
      </c>
      <c r="D384" s="245" t="s">
        <v>30</v>
      </c>
      <c r="E384" s="245">
        <v>12</v>
      </c>
      <c r="F384" s="242" t="s">
        <v>504</v>
      </c>
      <c r="G384" s="242">
        <v>4.5999999999999996</v>
      </c>
      <c r="H384" s="230">
        <f t="shared" si="16"/>
        <v>55.199999999999996</v>
      </c>
    </row>
    <row r="385" spans="1:8" ht="15.75" x14ac:dyDescent="0.25">
      <c r="A385" s="245">
        <v>2012</v>
      </c>
      <c r="B385" s="245" t="s">
        <v>19</v>
      </c>
      <c r="C385" s="246" t="s">
        <v>20</v>
      </c>
      <c r="D385" s="245" t="s">
        <v>30</v>
      </c>
      <c r="E385" s="245">
        <v>11.5</v>
      </c>
      <c r="F385" s="242" t="s">
        <v>504</v>
      </c>
      <c r="G385" s="242">
        <v>4.5999999999999996</v>
      </c>
      <c r="H385" s="230">
        <f t="shared" si="16"/>
        <v>52.9</v>
      </c>
    </row>
    <row r="386" spans="1:8" ht="15.75" x14ac:dyDescent="0.25">
      <c r="A386" s="245">
        <v>2012</v>
      </c>
      <c r="B386" s="245" t="s">
        <v>19</v>
      </c>
      <c r="C386" s="246" t="s">
        <v>20</v>
      </c>
      <c r="D386" s="245" t="s">
        <v>30</v>
      </c>
      <c r="E386" s="245">
        <v>8.8000000000000007</v>
      </c>
      <c r="F386" s="242" t="s">
        <v>504</v>
      </c>
      <c r="G386" s="242">
        <v>4.5999999999999996</v>
      </c>
      <c r="H386" s="230">
        <f t="shared" si="16"/>
        <v>40.479999999999997</v>
      </c>
    </row>
    <row r="387" spans="1:8" ht="15.75" x14ac:dyDescent="0.25">
      <c r="A387" s="245">
        <v>2012</v>
      </c>
      <c r="B387" s="245" t="s">
        <v>19</v>
      </c>
      <c r="C387" s="246" t="s">
        <v>20</v>
      </c>
      <c r="D387" s="245" t="s">
        <v>30</v>
      </c>
      <c r="E387" s="245">
        <v>13.5</v>
      </c>
      <c r="F387" s="242" t="s">
        <v>504</v>
      </c>
      <c r="G387" s="242">
        <v>4.5999999999999996</v>
      </c>
      <c r="H387" s="230">
        <f t="shared" ref="H387:H450" si="17">E387*G387</f>
        <v>62.099999999999994</v>
      </c>
    </row>
    <row r="388" spans="1:8" ht="15.75" x14ac:dyDescent="0.25">
      <c r="A388" s="245">
        <v>2012</v>
      </c>
      <c r="B388" s="245" t="s">
        <v>19</v>
      </c>
      <c r="C388" s="246" t="s">
        <v>20</v>
      </c>
      <c r="D388" s="245" t="s">
        <v>30</v>
      </c>
      <c r="E388" s="245">
        <v>15.8</v>
      </c>
      <c r="F388" s="242" t="s">
        <v>504</v>
      </c>
      <c r="G388" s="242">
        <v>4.5999999999999996</v>
      </c>
      <c r="H388" s="230">
        <f t="shared" si="17"/>
        <v>72.679999999999993</v>
      </c>
    </row>
    <row r="389" spans="1:8" ht="15.75" x14ac:dyDescent="0.25">
      <c r="A389" s="245">
        <v>2012</v>
      </c>
      <c r="B389" s="245" t="s">
        <v>19</v>
      </c>
      <c r="C389" s="246" t="s">
        <v>20</v>
      </c>
      <c r="D389" s="245" t="s">
        <v>30</v>
      </c>
      <c r="E389" s="245">
        <v>14.8</v>
      </c>
      <c r="F389" s="242" t="s">
        <v>504</v>
      </c>
      <c r="G389" s="242">
        <v>4.5999999999999996</v>
      </c>
      <c r="H389" s="230">
        <f t="shared" si="17"/>
        <v>68.08</v>
      </c>
    </row>
    <row r="390" spans="1:8" ht="15.75" x14ac:dyDescent="0.25">
      <c r="A390" s="245">
        <v>2012</v>
      </c>
      <c r="B390" s="245" t="s">
        <v>19</v>
      </c>
      <c r="C390" s="246" t="s">
        <v>20</v>
      </c>
      <c r="D390" s="245" t="s">
        <v>30</v>
      </c>
      <c r="E390" s="245">
        <v>11.3</v>
      </c>
      <c r="F390" s="242" t="s">
        <v>504</v>
      </c>
      <c r="G390" s="242">
        <v>4.5999999999999996</v>
      </c>
      <c r="H390" s="230">
        <f t="shared" si="17"/>
        <v>51.98</v>
      </c>
    </row>
    <row r="391" spans="1:8" ht="15.75" x14ac:dyDescent="0.25">
      <c r="A391" s="245">
        <v>2012</v>
      </c>
      <c r="B391" s="245" t="s">
        <v>19</v>
      </c>
      <c r="C391" s="246" t="s">
        <v>20</v>
      </c>
      <c r="D391" s="245" t="s">
        <v>30</v>
      </c>
      <c r="E391" s="245">
        <v>9.5</v>
      </c>
      <c r="F391" s="242" t="s">
        <v>504</v>
      </c>
      <c r="G391" s="242">
        <v>4.5999999999999996</v>
      </c>
      <c r="H391" s="230">
        <f t="shared" si="17"/>
        <v>43.699999999999996</v>
      </c>
    </row>
    <row r="392" spans="1:8" ht="15.75" x14ac:dyDescent="0.25">
      <c r="A392" s="245">
        <v>2012</v>
      </c>
      <c r="B392" s="245" t="s">
        <v>19</v>
      </c>
      <c r="C392" s="246" t="s">
        <v>20</v>
      </c>
      <c r="D392" s="245" t="s">
        <v>30</v>
      </c>
      <c r="E392" s="245">
        <v>7.8</v>
      </c>
      <c r="F392" s="242" t="s">
        <v>504</v>
      </c>
      <c r="G392" s="242">
        <v>4.5999999999999996</v>
      </c>
      <c r="H392" s="230">
        <f t="shared" si="17"/>
        <v>35.879999999999995</v>
      </c>
    </row>
    <row r="393" spans="1:8" ht="15.75" x14ac:dyDescent="0.25">
      <c r="A393" s="245">
        <v>2012</v>
      </c>
      <c r="B393" s="245" t="s">
        <v>19</v>
      </c>
      <c r="C393" s="246" t="s">
        <v>20</v>
      </c>
      <c r="D393" s="245" t="s">
        <v>30</v>
      </c>
      <c r="E393" s="245">
        <v>5.8</v>
      </c>
      <c r="F393" s="242" t="s">
        <v>504</v>
      </c>
      <c r="G393" s="242">
        <v>4.5999999999999996</v>
      </c>
      <c r="H393" s="230">
        <f t="shared" si="17"/>
        <v>26.679999999999996</v>
      </c>
    </row>
    <row r="394" spans="1:8" ht="15.75" x14ac:dyDescent="0.25">
      <c r="A394" s="245">
        <v>2012</v>
      </c>
      <c r="B394" s="245" t="s">
        <v>19</v>
      </c>
      <c r="C394" s="246" t="s">
        <v>20</v>
      </c>
      <c r="D394" s="245" t="s">
        <v>30</v>
      </c>
      <c r="E394" s="245">
        <v>11.3</v>
      </c>
      <c r="F394" s="242" t="s">
        <v>504</v>
      </c>
      <c r="G394" s="242">
        <v>4.5999999999999996</v>
      </c>
      <c r="H394" s="230">
        <f t="shared" si="17"/>
        <v>51.98</v>
      </c>
    </row>
    <row r="395" spans="1:8" ht="15.75" x14ac:dyDescent="0.25">
      <c r="A395" s="245">
        <v>2012</v>
      </c>
      <c r="B395" s="245" t="s">
        <v>19</v>
      </c>
      <c r="C395" s="246" t="s">
        <v>20</v>
      </c>
      <c r="D395" s="245" t="s">
        <v>30</v>
      </c>
      <c r="E395" s="245">
        <v>11</v>
      </c>
      <c r="F395" s="242" t="s">
        <v>504</v>
      </c>
      <c r="G395" s="242">
        <v>4.5999999999999996</v>
      </c>
      <c r="H395" s="230">
        <f t="shared" si="17"/>
        <v>50.599999999999994</v>
      </c>
    </row>
    <row r="396" spans="1:8" ht="15.75" x14ac:dyDescent="0.25">
      <c r="A396" s="245">
        <v>2012</v>
      </c>
      <c r="B396" s="245" t="s">
        <v>19</v>
      </c>
      <c r="C396" s="246" t="s">
        <v>20</v>
      </c>
      <c r="D396" s="245" t="s">
        <v>30</v>
      </c>
      <c r="E396" s="245">
        <v>9</v>
      </c>
      <c r="F396" s="242" t="s">
        <v>504</v>
      </c>
      <c r="G396" s="242">
        <v>4.5999999999999996</v>
      </c>
      <c r="H396" s="230">
        <f t="shared" si="17"/>
        <v>41.4</v>
      </c>
    </row>
    <row r="397" spans="1:8" ht="15.75" x14ac:dyDescent="0.25">
      <c r="A397" s="245">
        <v>2012</v>
      </c>
      <c r="B397" s="245" t="s">
        <v>19</v>
      </c>
      <c r="C397" s="246" t="s">
        <v>20</v>
      </c>
      <c r="D397" s="245" t="s">
        <v>30</v>
      </c>
      <c r="E397" s="245">
        <v>14.5</v>
      </c>
      <c r="F397" s="242" t="s">
        <v>504</v>
      </c>
      <c r="G397" s="242">
        <v>4.5999999999999996</v>
      </c>
      <c r="H397" s="230">
        <f t="shared" si="17"/>
        <v>66.699999999999989</v>
      </c>
    </row>
    <row r="398" spans="1:8" ht="15.75" x14ac:dyDescent="0.25">
      <c r="A398" s="245">
        <v>2012</v>
      </c>
      <c r="B398" s="245" t="s">
        <v>19</v>
      </c>
      <c r="C398" s="246" t="s">
        <v>20</v>
      </c>
      <c r="D398" s="245" t="s">
        <v>30</v>
      </c>
      <c r="E398" s="245">
        <v>7</v>
      </c>
      <c r="F398" s="242" t="s">
        <v>504</v>
      </c>
      <c r="G398" s="242">
        <v>4.5999999999999996</v>
      </c>
      <c r="H398" s="230">
        <f t="shared" si="17"/>
        <v>32.199999999999996</v>
      </c>
    </row>
    <row r="399" spans="1:8" ht="15.75" x14ac:dyDescent="0.25">
      <c r="A399" s="245">
        <v>2012</v>
      </c>
      <c r="B399" s="245" t="s">
        <v>19</v>
      </c>
      <c r="C399" s="246" t="s">
        <v>20</v>
      </c>
      <c r="D399" s="245" t="s">
        <v>30</v>
      </c>
      <c r="E399" s="245">
        <v>13.7</v>
      </c>
      <c r="F399" s="242" t="s">
        <v>504</v>
      </c>
      <c r="G399" s="242">
        <v>4.5999999999999996</v>
      </c>
      <c r="H399" s="230">
        <f t="shared" si="17"/>
        <v>63.019999999999989</v>
      </c>
    </row>
    <row r="400" spans="1:8" ht="15.75" x14ac:dyDescent="0.25">
      <c r="A400" s="245">
        <v>2012</v>
      </c>
      <c r="B400" s="245" t="s">
        <v>19</v>
      </c>
      <c r="C400" s="246" t="s">
        <v>20</v>
      </c>
      <c r="D400" s="245" t="s">
        <v>30</v>
      </c>
      <c r="E400" s="245">
        <v>6</v>
      </c>
      <c r="F400" s="242" t="s">
        <v>504</v>
      </c>
      <c r="G400" s="242">
        <v>4.5999999999999996</v>
      </c>
      <c r="H400" s="230">
        <f t="shared" si="17"/>
        <v>27.599999999999998</v>
      </c>
    </row>
    <row r="401" spans="1:8" ht="15.75" x14ac:dyDescent="0.25">
      <c r="A401" s="245">
        <v>2012</v>
      </c>
      <c r="B401" s="245" t="s">
        <v>19</v>
      </c>
      <c r="C401" s="246" t="s">
        <v>20</v>
      </c>
      <c r="D401" s="245" t="s">
        <v>30</v>
      </c>
      <c r="E401" s="245">
        <v>14.6</v>
      </c>
      <c r="F401" s="242" t="s">
        <v>504</v>
      </c>
      <c r="G401" s="242">
        <v>4.5999999999999996</v>
      </c>
      <c r="H401" s="230">
        <f t="shared" si="17"/>
        <v>67.16</v>
      </c>
    </row>
    <row r="402" spans="1:8" ht="15.75" x14ac:dyDescent="0.25">
      <c r="A402" s="245">
        <v>2012</v>
      </c>
      <c r="B402" s="245" t="s">
        <v>19</v>
      </c>
      <c r="C402" s="246" t="s">
        <v>20</v>
      </c>
      <c r="D402" s="245" t="s">
        <v>30</v>
      </c>
      <c r="E402" s="245">
        <v>7</v>
      </c>
      <c r="F402" s="242" t="s">
        <v>504</v>
      </c>
      <c r="G402" s="242">
        <v>4.5999999999999996</v>
      </c>
      <c r="H402" s="230">
        <f t="shared" si="17"/>
        <v>32.199999999999996</v>
      </c>
    </row>
    <row r="403" spans="1:8" ht="15.75" x14ac:dyDescent="0.25">
      <c r="A403" s="245">
        <v>2012</v>
      </c>
      <c r="B403" s="245" t="s">
        <v>19</v>
      </c>
      <c r="C403" s="246" t="s">
        <v>20</v>
      </c>
      <c r="D403" s="245" t="s">
        <v>30</v>
      </c>
      <c r="E403" s="245">
        <v>10</v>
      </c>
      <c r="F403" s="242" t="s">
        <v>504</v>
      </c>
      <c r="G403" s="242">
        <v>4.5999999999999996</v>
      </c>
      <c r="H403" s="230">
        <f t="shared" si="17"/>
        <v>46</v>
      </c>
    </row>
    <row r="404" spans="1:8" ht="15.75" x14ac:dyDescent="0.25">
      <c r="A404" s="245">
        <v>2012</v>
      </c>
      <c r="B404" s="245" t="s">
        <v>19</v>
      </c>
      <c r="C404" s="246" t="s">
        <v>20</v>
      </c>
      <c r="D404" s="245" t="s">
        <v>30</v>
      </c>
      <c r="E404" s="245">
        <v>11.2</v>
      </c>
      <c r="F404" s="242" t="s">
        <v>504</v>
      </c>
      <c r="G404" s="242">
        <v>4.5999999999999996</v>
      </c>
      <c r="H404" s="230">
        <f t="shared" si="17"/>
        <v>51.519999999999996</v>
      </c>
    </row>
    <row r="405" spans="1:8" ht="15.75" x14ac:dyDescent="0.25">
      <c r="A405" s="245">
        <v>2012</v>
      </c>
      <c r="B405" s="245" t="s">
        <v>19</v>
      </c>
      <c r="C405" s="246" t="s">
        <v>20</v>
      </c>
      <c r="D405" s="245" t="s">
        <v>30</v>
      </c>
      <c r="E405" s="245">
        <v>15</v>
      </c>
      <c r="F405" s="242" t="s">
        <v>504</v>
      </c>
      <c r="G405" s="242">
        <v>4.5999999999999996</v>
      </c>
      <c r="H405" s="230">
        <f t="shared" si="17"/>
        <v>69</v>
      </c>
    </row>
    <row r="406" spans="1:8" ht="15" customHeight="1" x14ac:dyDescent="0.2">
      <c r="A406" s="245">
        <v>2012</v>
      </c>
      <c r="B406" s="245" t="s">
        <v>19</v>
      </c>
      <c r="C406" s="246" t="s">
        <v>20</v>
      </c>
      <c r="D406" s="245" t="s">
        <v>35</v>
      </c>
      <c r="E406" s="245">
        <v>9.1999999999999993</v>
      </c>
      <c r="F406" s="242" t="s">
        <v>505</v>
      </c>
      <c r="G406" s="242">
        <v>3.9</v>
      </c>
      <c r="H406" s="230">
        <f t="shared" si="17"/>
        <v>35.879999999999995</v>
      </c>
    </row>
    <row r="407" spans="1:8" ht="15" customHeight="1" x14ac:dyDescent="0.2">
      <c r="A407" s="245">
        <v>2012</v>
      </c>
      <c r="B407" s="245" t="s">
        <v>19</v>
      </c>
      <c r="C407" s="246" t="s">
        <v>20</v>
      </c>
      <c r="D407" s="245" t="s">
        <v>35</v>
      </c>
      <c r="E407" s="245">
        <v>7.4</v>
      </c>
      <c r="F407" s="242" t="s">
        <v>505</v>
      </c>
      <c r="G407" s="242">
        <v>3.9</v>
      </c>
      <c r="H407" s="230">
        <f t="shared" si="17"/>
        <v>28.86</v>
      </c>
    </row>
    <row r="408" spans="1:8" ht="15.75" x14ac:dyDescent="0.25">
      <c r="A408" s="245">
        <v>2012</v>
      </c>
      <c r="B408" s="245" t="s">
        <v>19</v>
      </c>
      <c r="C408" s="246" t="s">
        <v>20</v>
      </c>
      <c r="D408" s="245" t="s">
        <v>35</v>
      </c>
      <c r="E408" s="245">
        <v>7.8</v>
      </c>
      <c r="F408" s="242" t="s">
        <v>507</v>
      </c>
      <c r="G408" s="242">
        <v>3.9</v>
      </c>
      <c r="H408" s="230">
        <f t="shared" si="17"/>
        <v>30.419999999999998</v>
      </c>
    </row>
    <row r="409" spans="1:8" ht="15.75" x14ac:dyDescent="0.25">
      <c r="A409" s="245">
        <v>2012</v>
      </c>
      <c r="B409" s="245" t="s">
        <v>19</v>
      </c>
      <c r="C409" s="246" t="s">
        <v>20</v>
      </c>
      <c r="D409" s="245" t="s">
        <v>35</v>
      </c>
      <c r="E409" s="245">
        <v>3.1</v>
      </c>
      <c r="F409" s="242" t="s">
        <v>507</v>
      </c>
      <c r="G409" s="242">
        <v>3.9</v>
      </c>
      <c r="H409" s="230">
        <f t="shared" si="17"/>
        <v>12.09</v>
      </c>
    </row>
    <row r="410" spans="1:8" ht="15.75" x14ac:dyDescent="0.25">
      <c r="A410" s="245">
        <v>2012</v>
      </c>
      <c r="B410" s="245" t="s">
        <v>19</v>
      </c>
      <c r="C410" s="246" t="s">
        <v>20</v>
      </c>
      <c r="D410" s="245" t="s">
        <v>35</v>
      </c>
      <c r="E410" s="245">
        <v>3</v>
      </c>
      <c r="F410" s="242" t="s">
        <v>507</v>
      </c>
      <c r="G410" s="242">
        <v>3.9</v>
      </c>
      <c r="H410" s="230">
        <f t="shared" si="17"/>
        <v>11.7</v>
      </c>
    </row>
    <row r="411" spans="1:8" ht="15.75" x14ac:dyDescent="0.25">
      <c r="A411" s="245">
        <v>2012</v>
      </c>
      <c r="B411" s="245" t="s">
        <v>19</v>
      </c>
      <c r="C411" s="246" t="s">
        <v>20</v>
      </c>
      <c r="D411" s="245" t="s">
        <v>35</v>
      </c>
      <c r="E411" s="245">
        <v>9.3000000000000007</v>
      </c>
      <c r="F411" s="242" t="s">
        <v>507</v>
      </c>
      <c r="G411" s="242">
        <v>3.9</v>
      </c>
      <c r="H411" s="230">
        <f t="shared" si="17"/>
        <v>36.270000000000003</v>
      </c>
    </row>
    <row r="412" spans="1:8" ht="15.75" x14ac:dyDescent="0.25">
      <c r="A412" s="245">
        <v>2012</v>
      </c>
      <c r="B412" s="245" t="s">
        <v>19</v>
      </c>
      <c r="C412" s="246" t="s">
        <v>20</v>
      </c>
      <c r="D412" s="245" t="s">
        <v>35</v>
      </c>
      <c r="E412" s="245">
        <v>5.2</v>
      </c>
      <c r="F412" s="242" t="s">
        <v>507</v>
      </c>
      <c r="G412" s="242">
        <v>3.9</v>
      </c>
      <c r="H412" s="230">
        <f t="shared" si="17"/>
        <v>20.28</v>
      </c>
    </row>
    <row r="413" spans="1:8" ht="15.75" x14ac:dyDescent="0.25">
      <c r="A413" s="245">
        <v>2012</v>
      </c>
      <c r="B413" s="245" t="s">
        <v>19</v>
      </c>
      <c r="C413" s="246" t="s">
        <v>20</v>
      </c>
      <c r="D413" s="245" t="s">
        <v>21</v>
      </c>
      <c r="E413" s="245">
        <v>13.2</v>
      </c>
      <c r="F413" s="242" t="s">
        <v>507</v>
      </c>
      <c r="G413" s="242">
        <v>3.9</v>
      </c>
      <c r="H413" s="230">
        <f t="shared" si="17"/>
        <v>51.48</v>
      </c>
    </row>
    <row r="414" spans="1:8" ht="15.75" x14ac:dyDescent="0.25">
      <c r="A414" s="245">
        <v>2012</v>
      </c>
      <c r="B414" s="245" t="s">
        <v>19</v>
      </c>
      <c r="C414" s="246" t="s">
        <v>20</v>
      </c>
      <c r="D414" s="245" t="s">
        <v>21</v>
      </c>
      <c r="E414" s="245">
        <v>13</v>
      </c>
      <c r="F414" s="242" t="s">
        <v>507</v>
      </c>
      <c r="G414" s="242">
        <v>3.9</v>
      </c>
      <c r="H414" s="230">
        <f t="shared" si="17"/>
        <v>50.699999999999996</v>
      </c>
    </row>
    <row r="415" spans="1:8" ht="15.75" x14ac:dyDescent="0.25">
      <c r="A415" s="245">
        <v>2012</v>
      </c>
      <c r="B415" s="245" t="s">
        <v>19</v>
      </c>
      <c r="C415" s="246" t="s">
        <v>20</v>
      </c>
      <c r="D415" s="245" t="s">
        <v>21</v>
      </c>
      <c r="E415" s="245">
        <v>12.1</v>
      </c>
      <c r="F415" s="242" t="s">
        <v>507</v>
      </c>
      <c r="G415" s="242">
        <v>3.9</v>
      </c>
      <c r="H415" s="230">
        <f t="shared" si="17"/>
        <v>47.19</v>
      </c>
    </row>
    <row r="416" spans="1:8" ht="15.75" x14ac:dyDescent="0.25">
      <c r="A416" s="245">
        <v>2012</v>
      </c>
      <c r="B416" s="245" t="s">
        <v>19</v>
      </c>
      <c r="C416" s="246" t="s">
        <v>20</v>
      </c>
      <c r="D416" s="245" t="s">
        <v>21</v>
      </c>
      <c r="E416" s="245">
        <v>12</v>
      </c>
      <c r="F416" s="242" t="s">
        <v>507</v>
      </c>
      <c r="G416" s="242">
        <v>3.9</v>
      </c>
      <c r="H416" s="230">
        <f t="shared" si="17"/>
        <v>46.8</v>
      </c>
    </row>
    <row r="417" spans="1:8" ht="15.75" x14ac:dyDescent="0.25">
      <c r="A417" s="245">
        <v>2012</v>
      </c>
      <c r="B417" s="245" t="s">
        <v>19</v>
      </c>
      <c r="C417" s="246" t="s">
        <v>20</v>
      </c>
      <c r="D417" s="245" t="s">
        <v>21</v>
      </c>
      <c r="E417" s="245">
        <v>9.1999999999999993</v>
      </c>
      <c r="F417" s="242" t="s">
        <v>507</v>
      </c>
      <c r="G417" s="242">
        <v>3.9</v>
      </c>
      <c r="H417" s="230">
        <f t="shared" si="17"/>
        <v>35.879999999999995</v>
      </c>
    </row>
    <row r="418" spans="1:8" ht="15.75" x14ac:dyDescent="0.25">
      <c r="A418" s="245">
        <v>2012</v>
      </c>
      <c r="B418" s="245" t="s">
        <v>19</v>
      </c>
      <c r="C418" s="246" t="s">
        <v>20</v>
      </c>
      <c r="D418" s="245" t="s">
        <v>21</v>
      </c>
      <c r="E418" s="245">
        <v>9.1999999999999993</v>
      </c>
      <c r="F418" s="242" t="s">
        <v>507</v>
      </c>
      <c r="G418" s="242">
        <v>3.9</v>
      </c>
      <c r="H418" s="230">
        <f t="shared" si="17"/>
        <v>35.879999999999995</v>
      </c>
    </row>
    <row r="419" spans="1:8" ht="15.75" x14ac:dyDescent="0.25">
      <c r="A419" s="245">
        <v>2012</v>
      </c>
      <c r="B419" s="245" t="s">
        <v>19</v>
      </c>
      <c r="C419" s="246" t="s">
        <v>20</v>
      </c>
      <c r="D419" s="245" t="s">
        <v>21</v>
      </c>
      <c r="E419" s="245">
        <v>9.8000000000000007</v>
      </c>
      <c r="F419" s="242" t="s">
        <v>507</v>
      </c>
      <c r="G419" s="242">
        <v>3.9</v>
      </c>
      <c r="H419" s="230">
        <f t="shared" si="17"/>
        <v>38.22</v>
      </c>
    </row>
    <row r="420" spans="1:8" ht="15.75" x14ac:dyDescent="0.25">
      <c r="A420" s="245">
        <v>2012</v>
      </c>
      <c r="B420" s="245" t="s">
        <v>19</v>
      </c>
      <c r="C420" s="246" t="s">
        <v>20</v>
      </c>
      <c r="D420" s="245" t="s">
        <v>21</v>
      </c>
      <c r="E420" s="245">
        <v>6.8</v>
      </c>
      <c r="F420" s="242" t="s">
        <v>507</v>
      </c>
      <c r="G420" s="242">
        <v>3.9</v>
      </c>
      <c r="H420" s="230">
        <f t="shared" si="17"/>
        <v>26.52</v>
      </c>
    </row>
    <row r="421" spans="1:8" ht="15.75" x14ac:dyDescent="0.25">
      <c r="A421" s="245">
        <v>2012</v>
      </c>
      <c r="B421" s="245" t="s">
        <v>19</v>
      </c>
      <c r="C421" s="246" t="s">
        <v>20</v>
      </c>
      <c r="D421" s="245" t="s">
        <v>21</v>
      </c>
      <c r="E421" s="245">
        <v>7.4</v>
      </c>
      <c r="F421" s="242" t="s">
        <v>507</v>
      </c>
      <c r="G421" s="242">
        <v>3.9</v>
      </c>
      <c r="H421" s="230">
        <f t="shared" si="17"/>
        <v>28.86</v>
      </c>
    </row>
    <row r="422" spans="1:8" ht="15.75" x14ac:dyDescent="0.25">
      <c r="A422" s="245">
        <v>2012</v>
      </c>
      <c r="B422" s="245" t="s">
        <v>19</v>
      </c>
      <c r="C422" s="246" t="s">
        <v>20</v>
      </c>
      <c r="D422" s="245" t="s">
        <v>21</v>
      </c>
      <c r="E422" s="245">
        <v>12</v>
      </c>
      <c r="F422" s="242" t="s">
        <v>507</v>
      </c>
      <c r="G422" s="242">
        <v>3.9</v>
      </c>
      <c r="H422" s="230">
        <f t="shared" si="17"/>
        <v>46.8</v>
      </c>
    </row>
    <row r="423" spans="1:8" ht="15.75" x14ac:dyDescent="0.25">
      <c r="A423" s="245">
        <v>2012</v>
      </c>
      <c r="B423" s="245" t="s">
        <v>19</v>
      </c>
      <c r="C423" s="246" t="s">
        <v>20</v>
      </c>
      <c r="D423" s="245" t="s">
        <v>21</v>
      </c>
      <c r="E423" s="245">
        <v>10</v>
      </c>
      <c r="F423" s="242" t="s">
        <v>507</v>
      </c>
      <c r="G423" s="242">
        <v>3.9</v>
      </c>
      <c r="H423" s="230">
        <f t="shared" si="17"/>
        <v>39</v>
      </c>
    </row>
    <row r="424" spans="1:8" ht="15.75" x14ac:dyDescent="0.25">
      <c r="A424" s="245">
        <v>2012</v>
      </c>
      <c r="B424" s="245" t="s">
        <v>19</v>
      </c>
      <c r="C424" s="246" t="s">
        <v>20</v>
      </c>
      <c r="D424" s="245" t="s">
        <v>21</v>
      </c>
      <c r="E424" s="245">
        <v>11</v>
      </c>
      <c r="F424" s="242" t="s">
        <v>507</v>
      </c>
      <c r="G424" s="242">
        <v>3.9</v>
      </c>
      <c r="H424" s="230">
        <f t="shared" si="17"/>
        <v>42.9</v>
      </c>
    </row>
    <row r="425" spans="1:8" ht="15.75" x14ac:dyDescent="0.25">
      <c r="A425" s="245">
        <v>2012</v>
      </c>
      <c r="B425" s="245" t="s">
        <v>19</v>
      </c>
      <c r="C425" s="246" t="s">
        <v>20</v>
      </c>
      <c r="D425" s="245" t="s">
        <v>21</v>
      </c>
      <c r="E425" s="245">
        <v>14</v>
      </c>
      <c r="F425" s="242" t="s">
        <v>507</v>
      </c>
      <c r="G425" s="242">
        <v>3.9</v>
      </c>
      <c r="H425" s="230">
        <f t="shared" si="17"/>
        <v>54.6</v>
      </c>
    </row>
    <row r="426" spans="1:8" ht="15.75" x14ac:dyDescent="0.25">
      <c r="A426" s="245">
        <v>2012</v>
      </c>
      <c r="B426" s="245" t="s">
        <v>19</v>
      </c>
      <c r="C426" s="246" t="s">
        <v>20</v>
      </c>
      <c r="D426" s="245" t="s">
        <v>21</v>
      </c>
      <c r="E426" s="245">
        <v>5.8</v>
      </c>
      <c r="F426" s="242" t="s">
        <v>507</v>
      </c>
      <c r="G426" s="242">
        <v>3.9</v>
      </c>
      <c r="H426" s="230">
        <f t="shared" si="17"/>
        <v>22.619999999999997</v>
      </c>
    </row>
    <row r="427" spans="1:8" ht="15.75" x14ac:dyDescent="0.25">
      <c r="A427" s="245">
        <v>2012</v>
      </c>
      <c r="B427" s="245" t="s">
        <v>19</v>
      </c>
      <c r="C427" s="246" t="s">
        <v>20</v>
      </c>
      <c r="D427" s="245" t="s">
        <v>21</v>
      </c>
      <c r="E427" s="245">
        <v>13.3</v>
      </c>
      <c r="F427" s="242" t="s">
        <v>507</v>
      </c>
      <c r="G427" s="242">
        <v>3.9</v>
      </c>
      <c r="H427" s="230">
        <f t="shared" si="17"/>
        <v>51.870000000000005</v>
      </c>
    </row>
    <row r="428" spans="1:8" ht="15.75" x14ac:dyDescent="0.25">
      <c r="A428" s="245">
        <v>2012</v>
      </c>
      <c r="B428" s="245" t="s">
        <v>19</v>
      </c>
      <c r="C428" s="246" t="s">
        <v>20</v>
      </c>
      <c r="D428" s="245" t="s">
        <v>21</v>
      </c>
      <c r="E428" s="245">
        <v>7</v>
      </c>
      <c r="F428" s="242" t="s">
        <v>507</v>
      </c>
      <c r="G428" s="242">
        <v>3.9</v>
      </c>
      <c r="H428" s="230">
        <f t="shared" si="17"/>
        <v>27.3</v>
      </c>
    </row>
    <row r="429" spans="1:8" ht="15.75" x14ac:dyDescent="0.25">
      <c r="A429" s="245">
        <v>2012</v>
      </c>
      <c r="B429" s="245" t="s">
        <v>19</v>
      </c>
      <c r="C429" s="246" t="s">
        <v>20</v>
      </c>
      <c r="D429" s="245" t="s">
        <v>21</v>
      </c>
      <c r="E429" s="245">
        <v>8.1999999999999993</v>
      </c>
      <c r="F429" s="242" t="s">
        <v>507</v>
      </c>
      <c r="G429" s="242">
        <v>3.9</v>
      </c>
      <c r="H429" s="230">
        <f t="shared" si="17"/>
        <v>31.979999999999997</v>
      </c>
    </row>
    <row r="430" spans="1:8" ht="15.75" x14ac:dyDescent="0.25">
      <c r="A430" s="245">
        <v>2012</v>
      </c>
      <c r="B430" s="245" t="s">
        <v>19</v>
      </c>
      <c r="C430" s="246" t="s">
        <v>20</v>
      </c>
      <c r="D430" s="245" t="s">
        <v>21</v>
      </c>
      <c r="E430" s="245">
        <v>18.5</v>
      </c>
      <c r="F430" s="242" t="s">
        <v>507</v>
      </c>
      <c r="G430" s="242">
        <v>3.9</v>
      </c>
      <c r="H430" s="230">
        <f t="shared" si="17"/>
        <v>72.149999999999991</v>
      </c>
    </row>
    <row r="431" spans="1:8" ht="15.75" x14ac:dyDescent="0.25">
      <c r="A431" s="245">
        <v>2012</v>
      </c>
      <c r="B431" s="245" t="s">
        <v>19</v>
      </c>
      <c r="C431" s="246" t="s">
        <v>20</v>
      </c>
      <c r="D431" s="245" t="s">
        <v>21</v>
      </c>
      <c r="E431" s="245">
        <v>7.4</v>
      </c>
      <c r="F431" s="242" t="s">
        <v>507</v>
      </c>
      <c r="G431" s="242">
        <v>3.9</v>
      </c>
      <c r="H431" s="230">
        <f t="shared" si="17"/>
        <v>28.86</v>
      </c>
    </row>
    <row r="432" spans="1:8" ht="15.75" x14ac:dyDescent="0.25">
      <c r="A432" s="245">
        <v>2012</v>
      </c>
      <c r="B432" s="245" t="s">
        <v>19</v>
      </c>
      <c r="C432" s="246" t="s">
        <v>20</v>
      </c>
      <c r="D432" s="245" t="s">
        <v>21</v>
      </c>
      <c r="E432" s="245">
        <v>12.1</v>
      </c>
      <c r="F432" s="242" t="s">
        <v>507</v>
      </c>
      <c r="G432" s="242">
        <v>3.9</v>
      </c>
      <c r="H432" s="230">
        <f t="shared" si="17"/>
        <v>47.19</v>
      </c>
    </row>
    <row r="433" spans="1:8" ht="15.75" x14ac:dyDescent="0.25">
      <c r="A433" s="245">
        <v>2012</v>
      </c>
      <c r="B433" s="245" t="s">
        <v>19</v>
      </c>
      <c r="C433" s="246" t="s">
        <v>20</v>
      </c>
      <c r="D433" s="245" t="s">
        <v>21</v>
      </c>
      <c r="E433" s="245">
        <v>5.3</v>
      </c>
      <c r="F433" s="242" t="s">
        <v>507</v>
      </c>
      <c r="G433" s="242">
        <v>3.9</v>
      </c>
      <c r="H433" s="230">
        <f t="shared" si="17"/>
        <v>20.669999999999998</v>
      </c>
    </row>
    <row r="434" spans="1:8" ht="15.75" x14ac:dyDescent="0.25">
      <c r="A434" s="245">
        <v>2012</v>
      </c>
      <c r="B434" s="245" t="s">
        <v>19</v>
      </c>
      <c r="C434" s="246" t="s">
        <v>20</v>
      </c>
      <c r="D434" s="245" t="s">
        <v>21</v>
      </c>
      <c r="E434" s="245">
        <v>8.8000000000000007</v>
      </c>
      <c r="F434" s="242" t="s">
        <v>507</v>
      </c>
      <c r="G434" s="242">
        <v>3.9</v>
      </c>
      <c r="H434" s="230">
        <f t="shared" si="17"/>
        <v>34.32</v>
      </c>
    </row>
    <row r="435" spans="1:8" ht="15.75" x14ac:dyDescent="0.25">
      <c r="A435" s="245">
        <v>2012</v>
      </c>
      <c r="B435" s="245" t="s">
        <v>19</v>
      </c>
      <c r="C435" s="246" t="s">
        <v>20</v>
      </c>
      <c r="D435" s="245" t="s">
        <v>21</v>
      </c>
      <c r="E435" s="245">
        <v>12.8</v>
      </c>
      <c r="F435" s="242" t="s">
        <v>507</v>
      </c>
      <c r="G435" s="242">
        <v>3.9</v>
      </c>
      <c r="H435" s="230">
        <f t="shared" si="17"/>
        <v>49.92</v>
      </c>
    </row>
    <row r="436" spans="1:8" ht="15.75" x14ac:dyDescent="0.25">
      <c r="A436" s="245">
        <v>2012</v>
      </c>
      <c r="B436" s="245" t="s">
        <v>19</v>
      </c>
      <c r="C436" s="246" t="s">
        <v>20</v>
      </c>
      <c r="D436" s="245" t="s">
        <v>21</v>
      </c>
      <c r="E436" s="245">
        <v>12</v>
      </c>
      <c r="F436" s="242" t="s">
        <v>507</v>
      </c>
      <c r="G436" s="242">
        <v>3.9</v>
      </c>
      <c r="H436" s="230">
        <f t="shared" si="17"/>
        <v>46.8</v>
      </c>
    </row>
    <row r="437" spans="1:8" ht="15.75" x14ac:dyDescent="0.25">
      <c r="A437" s="245">
        <v>2012</v>
      </c>
      <c r="B437" s="245" t="s">
        <v>19</v>
      </c>
      <c r="C437" s="246" t="s">
        <v>20</v>
      </c>
      <c r="D437" s="245" t="s">
        <v>21</v>
      </c>
      <c r="E437" s="245">
        <v>9.3000000000000007</v>
      </c>
      <c r="F437" s="242" t="s">
        <v>507</v>
      </c>
      <c r="G437" s="242">
        <v>3.9</v>
      </c>
      <c r="H437" s="230">
        <f t="shared" si="17"/>
        <v>36.270000000000003</v>
      </c>
    </row>
    <row r="438" spans="1:8" ht="15.75" x14ac:dyDescent="0.25">
      <c r="A438" s="245">
        <v>2012</v>
      </c>
      <c r="B438" s="245" t="s">
        <v>19</v>
      </c>
      <c r="C438" s="246" t="s">
        <v>20</v>
      </c>
      <c r="D438" s="245" t="s">
        <v>21</v>
      </c>
      <c r="E438" s="245">
        <v>5.4</v>
      </c>
      <c r="F438" s="242" t="s">
        <v>507</v>
      </c>
      <c r="G438" s="242">
        <v>3.9</v>
      </c>
      <c r="H438" s="230">
        <f t="shared" si="17"/>
        <v>21.060000000000002</v>
      </c>
    </row>
    <row r="439" spans="1:8" ht="15.75" x14ac:dyDescent="0.25">
      <c r="A439" s="245">
        <v>2012</v>
      </c>
      <c r="B439" s="245" t="s">
        <v>19</v>
      </c>
      <c r="C439" s="246" t="s">
        <v>20</v>
      </c>
      <c r="D439" s="245" t="s">
        <v>21</v>
      </c>
      <c r="E439" s="245">
        <v>10.8</v>
      </c>
      <c r="F439" s="242" t="s">
        <v>507</v>
      </c>
      <c r="G439" s="242">
        <v>3.9</v>
      </c>
      <c r="H439" s="230">
        <f t="shared" si="17"/>
        <v>42.120000000000005</v>
      </c>
    </row>
    <row r="440" spans="1:8" ht="15.75" x14ac:dyDescent="0.25">
      <c r="A440" s="245">
        <v>2012</v>
      </c>
      <c r="B440" s="245" t="s">
        <v>19</v>
      </c>
      <c r="C440" s="246" t="s">
        <v>20</v>
      </c>
      <c r="D440" s="245" t="s">
        <v>21</v>
      </c>
      <c r="E440" s="245">
        <v>13.8</v>
      </c>
      <c r="F440" s="242" t="s">
        <v>507</v>
      </c>
      <c r="G440" s="242">
        <v>3.9</v>
      </c>
      <c r="H440" s="230">
        <f t="shared" si="17"/>
        <v>53.82</v>
      </c>
    </row>
    <row r="441" spans="1:8" ht="15.75" x14ac:dyDescent="0.25">
      <c r="A441" s="245">
        <v>2012</v>
      </c>
      <c r="B441" s="245" t="s">
        <v>19</v>
      </c>
      <c r="C441" s="246" t="s">
        <v>20</v>
      </c>
      <c r="D441" s="245" t="s">
        <v>21</v>
      </c>
      <c r="E441" s="245">
        <v>10</v>
      </c>
      <c r="F441" s="242" t="s">
        <v>507</v>
      </c>
      <c r="G441" s="242">
        <v>3.9</v>
      </c>
      <c r="H441" s="230">
        <f t="shared" si="17"/>
        <v>39</v>
      </c>
    </row>
    <row r="442" spans="1:8" ht="15.75" x14ac:dyDescent="0.25">
      <c r="A442" s="245">
        <v>2012</v>
      </c>
      <c r="B442" s="245" t="s">
        <v>19</v>
      </c>
      <c r="C442" s="246" t="s">
        <v>20</v>
      </c>
      <c r="D442" s="245" t="s">
        <v>21</v>
      </c>
      <c r="E442" s="245">
        <v>7.4</v>
      </c>
      <c r="F442" s="242" t="s">
        <v>507</v>
      </c>
      <c r="G442" s="242">
        <v>3.9</v>
      </c>
      <c r="H442" s="230">
        <f t="shared" si="17"/>
        <v>28.86</v>
      </c>
    </row>
    <row r="443" spans="1:8" ht="15.75" x14ac:dyDescent="0.25">
      <c r="A443" s="245">
        <v>2012</v>
      </c>
      <c r="B443" s="245" t="s">
        <v>19</v>
      </c>
      <c r="C443" s="246" t="s">
        <v>20</v>
      </c>
      <c r="D443" s="245" t="s">
        <v>21</v>
      </c>
      <c r="E443" s="245">
        <v>4.5999999999999996</v>
      </c>
      <c r="F443" s="242" t="s">
        <v>507</v>
      </c>
      <c r="G443" s="242">
        <v>3.9</v>
      </c>
      <c r="H443" s="230">
        <f t="shared" si="17"/>
        <v>17.939999999999998</v>
      </c>
    </row>
    <row r="444" spans="1:8" ht="15.75" x14ac:dyDescent="0.25">
      <c r="A444" s="245">
        <v>2012</v>
      </c>
      <c r="B444" s="245" t="s">
        <v>19</v>
      </c>
      <c r="C444" s="246" t="s">
        <v>20</v>
      </c>
      <c r="D444" s="245" t="s">
        <v>21</v>
      </c>
      <c r="E444" s="245">
        <v>9.1</v>
      </c>
      <c r="F444" s="242" t="s">
        <v>507</v>
      </c>
      <c r="G444" s="242">
        <v>3.9</v>
      </c>
      <c r="H444" s="230">
        <f t="shared" si="17"/>
        <v>35.489999999999995</v>
      </c>
    </row>
    <row r="445" spans="1:8" ht="15.75" x14ac:dyDescent="0.25">
      <c r="A445" s="245">
        <v>2012</v>
      </c>
      <c r="B445" s="245" t="s">
        <v>19</v>
      </c>
      <c r="C445" s="246" t="s">
        <v>20</v>
      </c>
      <c r="D445" s="245" t="s">
        <v>21</v>
      </c>
      <c r="E445" s="245">
        <v>6.1</v>
      </c>
      <c r="F445" s="242" t="s">
        <v>507</v>
      </c>
      <c r="G445" s="242">
        <v>3.9</v>
      </c>
      <c r="H445" s="230">
        <f t="shared" si="17"/>
        <v>23.79</v>
      </c>
    </row>
    <row r="446" spans="1:8" ht="15.75" x14ac:dyDescent="0.25">
      <c r="A446" s="245">
        <v>2012</v>
      </c>
      <c r="B446" s="245" t="s">
        <v>19</v>
      </c>
      <c r="C446" s="246" t="s">
        <v>20</v>
      </c>
      <c r="D446" s="245" t="s">
        <v>21</v>
      </c>
      <c r="E446" s="245">
        <v>7.3</v>
      </c>
      <c r="F446" s="242" t="s">
        <v>507</v>
      </c>
      <c r="G446" s="242">
        <v>3.9</v>
      </c>
      <c r="H446" s="230">
        <f t="shared" si="17"/>
        <v>28.47</v>
      </c>
    </row>
    <row r="447" spans="1:8" ht="15.75" x14ac:dyDescent="0.25">
      <c r="A447" s="245">
        <v>2012</v>
      </c>
      <c r="B447" s="245" t="s">
        <v>19</v>
      </c>
      <c r="C447" s="246" t="s">
        <v>20</v>
      </c>
      <c r="D447" s="245" t="s">
        <v>21</v>
      </c>
      <c r="E447" s="245">
        <v>11.4</v>
      </c>
      <c r="F447" s="242" t="s">
        <v>507</v>
      </c>
      <c r="G447" s="242">
        <v>3.9</v>
      </c>
      <c r="H447" s="230">
        <f t="shared" si="17"/>
        <v>44.46</v>
      </c>
    </row>
    <row r="448" spans="1:8" ht="15.75" x14ac:dyDescent="0.25">
      <c r="A448" s="245">
        <v>2012</v>
      </c>
      <c r="B448" s="245" t="s">
        <v>19</v>
      </c>
      <c r="C448" s="246" t="s">
        <v>20</v>
      </c>
      <c r="D448" s="245" t="s">
        <v>21</v>
      </c>
      <c r="E448" s="245">
        <v>4.3</v>
      </c>
      <c r="F448" s="242" t="s">
        <v>507</v>
      </c>
      <c r="G448" s="242">
        <v>3.9</v>
      </c>
      <c r="H448" s="230">
        <f t="shared" si="17"/>
        <v>16.77</v>
      </c>
    </row>
    <row r="449" spans="1:8" ht="15.75" x14ac:dyDescent="0.25">
      <c r="A449" s="245">
        <v>2012</v>
      </c>
      <c r="B449" s="245" t="s">
        <v>19</v>
      </c>
      <c r="C449" s="246" t="s">
        <v>20</v>
      </c>
      <c r="D449" s="245" t="s">
        <v>21</v>
      </c>
      <c r="E449" s="245">
        <v>8</v>
      </c>
      <c r="F449" s="242" t="s">
        <v>507</v>
      </c>
      <c r="G449" s="242">
        <v>3.9</v>
      </c>
      <c r="H449" s="230">
        <f t="shared" si="17"/>
        <v>31.2</v>
      </c>
    </row>
    <row r="450" spans="1:8" ht="15.75" x14ac:dyDescent="0.25">
      <c r="A450" s="245">
        <v>2012</v>
      </c>
      <c r="B450" s="245" t="s">
        <v>19</v>
      </c>
      <c r="C450" s="246" t="s">
        <v>20</v>
      </c>
      <c r="D450" s="245" t="s">
        <v>21</v>
      </c>
      <c r="E450" s="245">
        <v>8.9</v>
      </c>
      <c r="F450" s="242" t="s">
        <v>507</v>
      </c>
      <c r="G450" s="242">
        <v>3.9</v>
      </c>
      <c r="H450" s="230">
        <f t="shared" si="17"/>
        <v>34.71</v>
      </c>
    </row>
    <row r="451" spans="1:8" ht="15.75" x14ac:dyDescent="0.25">
      <c r="A451" s="245">
        <v>2012</v>
      </c>
      <c r="B451" s="245" t="s">
        <v>19</v>
      </c>
      <c r="C451" s="246" t="s">
        <v>20</v>
      </c>
      <c r="D451" s="245" t="s">
        <v>21</v>
      </c>
      <c r="E451" s="245">
        <v>8</v>
      </c>
      <c r="F451" s="242" t="s">
        <v>507</v>
      </c>
      <c r="G451" s="242">
        <v>3.9</v>
      </c>
      <c r="H451" s="230">
        <f t="shared" ref="H451:H514" si="18">E451*G451</f>
        <v>31.2</v>
      </c>
    </row>
    <row r="452" spans="1:8" ht="15.75" x14ac:dyDescent="0.25">
      <c r="A452" s="245">
        <v>2012</v>
      </c>
      <c r="B452" s="245" t="s">
        <v>19</v>
      </c>
      <c r="C452" s="246" t="s">
        <v>20</v>
      </c>
      <c r="D452" s="245" t="s">
        <v>21</v>
      </c>
      <c r="E452" s="245">
        <v>11.3</v>
      </c>
      <c r="F452" s="242" t="s">
        <v>507</v>
      </c>
      <c r="G452" s="242">
        <v>3.9</v>
      </c>
      <c r="H452" s="230">
        <f t="shared" si="18"/>
        <v>44.07</v>
      </c>
    </row>
    <row r="453" spans="1:8" ht="15.75" x14ac:dyDescent="0.25">
      <c r="A453" s="245">
        <v>2012</v>
      </c>
      <c r="B453" s="245" t="s">
        <v>19</v>
      </c>
      <c r="C453" s="246" t="s">
        <v>20</v>
      </c>
      <c r="D453" s="245" t="s">
        <v>21</v>
      </c>
      <c r="E453" s="245">
        <v>7.2</v>
      </c>
      <c r="F453" s="242" t="s">
        <v>507</v>
      </c>
      <c r="G453" s="242">
        <v>3.9</v>
      </c>
      <c r="H453" s="230">
        <f t="shared" si="18"/>
        <v>28.08</v>
      </c>
    </row>
    <row r="454" spans="1:8" ht="15.75" x14ac:dyDescent="0.25">
      <c r="A454" s="245">
        <v>2012</v>
      </c>
      <c r="B454" s="245" t="s">
        <v>19</v>
      </c>
      <c r="C454" s="246" t="s">
        <v>20</v>
      </c>
      <c r="D454" s="245" t="s">
        <v>21</v>
      </c>
      <c r="E454" s="245">
        <v>9.5</v>
      </c>
      <c r="F454" s="242" t="s">
        <v>507</v>
      </c>
      <c r="G454" s="242">
        <v>3.9</v>
      </c>
      <c r="H454" s="230">
        <f t="shared" si="18"/>
        <v>37.049999999999997</v>
      </c>
    </row>
    <row r="455" spans="1:8" ht="15.75" x14ac:dyDescent="0.25">
      <c r="A455" s="245">
        <v>2012</v>
      </c>
      <c r="B455" s="245" t="s">
        <v>19</v>
      </c>
      <c r="C455" s="246" t="s">
        <v>20</v>
      </c>
      <c r="D455" s="245" t="s">
        <v>21</v>
      </c>
      <c r="E455" s="245">
        <v>17</v>
      </c>
      <c r="F455" s="242" t="s">
        <v>507</v>
      </c>
      <c r="G455" s="242">
        <v>3.9</v>
      </c>
      <c r="H455" s="230">
        <f t="shared" si="18"/>
        <v>66.3</v>
      </c>
    </row>
    <row r="456" spans="1:8" ht="15.75" x14ac:dyDescent="0.25">
      <c r="A456" s="245">
        <v>2012</v>
      </c>
      <c r="B456" s="245" t="s">
        <v>19</v>
      </c>
      <c r="C456" s="246" t="s">
        <v>20</v>
      </c>
      <c r="D456" s="245" t="s">
        <v>21</v>
      </c>
      <c r="E456" s="245">
        <v>6.5</v>
      </c>
      <c r="F456" s="242" t="s">
        <v>507</v>
      </c>
      <c r="G456" s="242">
        <v>3.9</v>
      </c>
      <c r="H456" s="230">
        <f t="shared" si="18"/>
        <v>25.349999999999998</v>
      </c>
    </row>
    <row r="457" spans="1:8" ht="15.75" x14ac:dyDescent="0.25">
      <c r="A457" s="245">
        <v>2012</v>
      </c>
      <c r="B457" s="245" t="s">
        <v>19</v>
      </c>
      <c r="C457" s="246" t="s">
        <v>20</v>
      </c>
      <c r="D457" s="245" t="s">
        <v>21</v>
      </c>
      <c r="E457" s="245">
        <v>8.5</v>
      </c>
      <c r="F457" s="242" t="s">
        <v>507</v>
      </c>
      <c r="G457" s="242">
        <v>3.9</v>
      </c>
      <c r="H457" s="230">
        <f t="shared" si="18"/>
        <v>33.15</v>
      </c>
    </row>
    <row r="458" spans="1:8" ht="15.75" x14ac:dyDescent="0.25">
      <c r="A458" s="245">
        <v>2012</v>
      </c>
      <c r="B458" s="245" t="s">
        <v>19</v>
      </c>
      <c r="C458" s="246" t="s">
        <v>20</v>
      </c>
      <c r="D458" s="245" t="s">
        <v>21</v>
      </c>
      <c r="E458" s="245">
        <v>11</v>
      </c>
      <c r="F458" s="242" t="s">
        <v>507</v>
      </c>
      <c r="G458" s="242">
        <v>3.9</v>
      </c>
      <c r="H458" s="230">
        <f t="shared" si="18"/>
        <v>42.9</v>
      </c>
    </row>
    <row r="459" spans="1:8" ht="15.75" x14ac:dyDescent="0.25">
      <c r="A459" s="245">
        <v>2012</v>
      </c>
      <c r="B459" s="245" t="s">
        <v>19</v>
      </c>
      <c r="C459" s="246" t="s">
        <v>20</v>
      </c>
      <c r="D459" s="245" t="s">
        <v>21</v>
      </c>
      <c r="E459" s="245">
        <v>9</v>
      </c>
      <c r="F459" s="242" t="s">
        <v>507</v>
      </c>
      <c r="G459" s="242">
        <v>3.9</v>
      </c>
      <c r="H459" s="230">
        <f t="shared" si="18"/>
        <v>35.1</v>
      </c>
    </row>
    <row r="460" spans="1:8" ht="15" customHeight="1" x14ac:dyDescent="0.25">
      <c r="A460" s="245">
        <v>2012</v>
      </c>
      <c r="B460" s="245" t="s">
        <v>19</v>
      </c>
      <c r="C460" s="246" t="s">
        <v>20</v>
      </c>
      <c r="D460" s="245" t="s">
        <v>21</v>
      </c>
      <c r="E460" s="245">
        <v>8</v>
      </c>
      <c r="F460" s="242" t="s">
        <v>507</v>
      </c>
      <c r="G460" s="242">
        <v>3.9</v>
      </c>
      <c r="H460" s="230">
        <f t="shared" si="18"/>
        <v>31.2</v>
      </c>
    </row>
    <row r="461" spans="1:8" ht="15.75" x14ac:dyDescent="0.25">
      <c r="A461" s="11">
        <v>2012</v>
      </c>
      <c r="B461" s="11" t="s">
        <v>19</v>
      </c>
      <c r="C461" s="104" t="s">
        <v>34</v>
      </c>
      <c r="D461" s="11" t="s">
        <v>50</v>
      </c>
      <c r="E461" s="11">
        <v>16</v>
      </c>
      <c r="F461" s="242" t="s">
        <v>508</v>
      </c>
      <c r="G461" s="242">
        <v>3.8</v>
      </c>
      <c r="H461" s="230">
        <f t="shared" si="18"/>
        <v>60.8</v>
      </c>
    </row>
    <row r="462" spans="1:8" ht="15.75" x14ac:dyDescent="0.25">
      <c r="A462" s="245">
        <v>2012</v>
      </c>
      <c r="B462" s="245" t="s">
        <v>19</v>
      </c>
      <c r="C462" s="246" t="s">
        <v>34</v>
      </c>
      <c r="D462" s="245" t="s">
        <v>41</v>
      </c>
      <c r="E462" s="245">
        <v>19.2</v>
      </c>
      <c r="F462" s="242" t="s">
        <v>508</v>
      </c>
      <c r="G462" s="242">
        <v>3.8</v>
      </c>
      <c r="H462" s="230">
        <f t="shared" si="18"/>
        <v>72.959999999999994</v>
      </c>
    </row>
    <row r="463" spans="1:8" ht="15.75" x14ac:dyDescent="0.25">
      <c r="A463" s="244">
        <v>2011</v>
      </c>
      <c r="B463" s="245" t="s">
        <v>19</v>
      </c>
      <c r="C463" s="246" t="s">
        <v>20</v>
      </c>
      <c r="D463" s="245" t="s">
        <v>52</v>
      </c>
      <c r="E463" s="245">
        <v>9</v>
      </c>
      <c r="F463" s="242" t="s">
        <v>504</v>
      </c>
      <c r="G463" s="242">
        <v>4.5999999999999996</v>
      </c>
      <c r="H463" s="230">
        <f t="shared" si="18"/>
        <v>41.4</v>
      </c>
    </row>
    <row r="464" spans="1:8" ht="15.75" x14ac:dyDescent="0.25">
      <c r="A464" s="244">
        <v>2011</v>
      </c>
      <c r="B464" s="245" t="s">
        <v>19</v>
      </c>
      <c r="C464" s="246" t="s">
        <v>20</v>
      </c>
      <c r="D464" s="245" t="s">
        <v>52</v>
      </c>
      <c r="E464" s="245">
        <v>10</v>
      </c>
      <c r="F464" s="242" t="s">
        <v>504</v>
      </c>
      <c r="G464" s="242">
        <v>4.5999999999999996</v>
      </c>
      <c r="H464" s="230">
        <f t="shared" si="18"/>
        <v>46</v>
      </c>
    </row>
    <row r="465" spans="1:8" ht="15.75" x14ac:dyDescent="0.25">
      <c r="A465" s="244">
        <v>2011</v>
      </c>
      <c r="B465" s="245" t="s">
        <v>19</v>
      </c>
      <c r="C465" s="246" t="s">
        <v>20</v>
      </c>
      <c r="D465" s="245" t="s">
        <v>52</v>
      </c>
      <c r="E465" s="245">
        <v>13</v>
      </c>
      <c r="F465" s="242" t="s">
        <v>504</v>
      </c>
      <c r="G465" s="242">
        <v>4.5999999999999996</v>
      </c>
      <c r="H465" s="230">
        <f t="shared" si="18"/>
        <v>59.8</v>
      </c>
    </row>
    <row r="466" spans="1:8" ht="15.75" x14ac:dyDescent="0.25">
      <c r="A466" s="244">
        <v>2011</v>
      </c>
      <c r="B466" s="245" t="s">
        <v>19</v>
      </c>
      <c r="C466" s="246" t="s">
        <v>20</v>
      </c>
      <c r="D466" s="245" t="s">
        <v>52</v>
      </c>
      <c r="E466" s="245">
        <v>9</v>
      </c>
      <c r="F466" s="242" t="s">
        <v>504</v>
      </c>
      <c r="G466" s="242">
        <v>4.5999999999999996</v>
      </c>
      <c r="H466" s="230">
        <f t="shared" si="18"/>
        <v>41.4</v>
      </c>
    </row>
    <row r="467" spans="1:8" ht="15.75" x14ac:dyDescent="0.25">
      <c r="A467" s="244">
        <v>2011</v>
      </c>
      <c r="B467" s="245" t="s">
        <v>19</v>
      </c>
      <c r="C467" s="246" t="s">
        <v>20</v>
      </c>
      <c r="D467" s="245" t="s">
        <v>52</v>
      </c>
      <c r="E467" s="245">
        <v>10</v>
      </c>
      <c r="F467" s="242" t="s">
        <v>504</v>
      </c>
      <c r="G467" s="242">
        <v>4.5999999999999996</v>
      </c>
      <c r="H467" s="230">
        <f t="shared" si="18"/>
        <v>46</v>
      </c>
    </row>
    <row r="468" spans="1:8" ht="15.75" x14ac:dyDescent="0.25">
      <c r="A468" s="244">
        <v>2011</v>
      </c>
      <c r="B468" s="245" t="s">
        <v>19</v>
      </c>
      <c r="C468" s="246" t="s">
        <v>20</v>
      </c>
      <c r="D468" s="245" t="s">
        <v>52</v>
      </c>
      <c r="E468" s="245">
        <v>15.5</v>
      </c>
      <c r="F468" s="242" t="s">
        <v>504</v>
      </c>
      <c r="G468" s="242">
        <v>4.5999999999999996</v>
      </c>
      <c r="H468" s="230">
        <f t="shared" si="18"/>
        <v>71.3</v>
      </c>
    </row>
    <row r="469" spans="1:8" ht="15.75" x14ac:dyDescent="0.25">
      <c r="A469" s="244">
        <v>2011</v>
      </c>
      <c r="B469" s="245" t="s">
        <v>19</v>
      </c>
      <c r="C469" s="246" t="s">
        <v>20</v>
      </c>
      <c r="D469" s="245" t="s">
        <v>52</v>
      </c>
      <c r="E469" s="245">
        <v>12.3</v>
      </c>
      <c r="F469" s="242" t="s">
        <v>504</v>
      </c>
      <c r="G469" s="242">
        <v>4.5999999999999996</v>
      </c>
      <c r="H469" s="230">
        <f t="shared" si="18"/>
        <v>56.58</v>
      </c>
    </row>
    <row r="470" spans="1:8" ht="15.75" x14ac:dyDescent="0.25">
      <c r="A470" s="244">
        <v>2011</v>
      </c>
      <c r="B470" s="245" t="s">
        <v>19</v>
      </c>
      <c r="C470" s="246" t="s">
        <v>20</v>
      </c>
      <c r="D470" s="245" t="s">
        <v>52</v>
      </c>
      <c r="E470" s="245">
        <v>12</v>
      </c>
      <c r="F470" s="242" t="s">
        <v>504</v>
      </c>
      <c r="G470" s="242">
        <v>4.5999999999999996</v>
      </c>
      <c r="H470" s="230">
        <f t="shared" si="18"/>
        <v>55.199999999999996</v>
      </c>
    </row>
    <row r="471" spans="1:8" ht="15.75" x14ac:dyDescent="0.25">
      <c r="A471" s="244">
        <v>2011</v>
      </c>
      <c r="B471" s="245" t="s">
        <v>19</v>
      </c>
      <c r="C471" s="246" t="s">
        <v>20</v>
      </c>
      <c r="D471" s="245" t="s">
        <v>52</v>
      </c>
      <c r="E471" s="245">
        <v>10.3</v>
      </c>
      <c r="F471" s="242" t="s">
        <v>504</v>
      </c>
      <c r="G471" s="242">
        <v>4.5999999999999996</v>
      </c>
      <c r="H471" s="230">
        <f t="shared" si="18"/>
        <v>47.38</v>
      </c>
    </row>
    <row r="472" spans="1:8" ht="15.75" x14ac:dyDescent="0.25">
      <c r="A472" s="244">
        <v>2011</v>
      </c>
      <c r="B472" s="245" t="s">
        <v>19</v>
      </c>
      <c r="C472" s="246" t="s">
        <v>20</v>
      </c>
      <c r="D472" s="245" t="s">
        <v>52</v>
      </c>
      <c r="E472" s="245">
        <v>12.5</v>
      </c>
      <c r="F472" s="242" t="s">
        <v>504</v>
      </c>
      <c r="G472" s="242">
        <v>4.5999999999999996</v>
      </c>
      <c r="H472" s="230">
        <f t="shared" si="18"/>
        <v>57.499999999999993</v>
      </c>
    </row>
    <row r="473" spans="1:8" ht="15.75" x14ac:dyDescent="0.25">
      <c r="A473" s="244">
        <v>2011</v>
      </c>
      <c r="B473" s="245" t="s">
        <v>19</v>
      </c>
      <c r="C473" s="246" t="s">
        <v>20</v>
      </c>
      <c r="D473" s="245" t="s">
        <v>52</v>
      </c>
      <c r="E473" s="245">
        <v>12.3</v>
      </c>
      <c r="F473" s="242" t="s">
        <v>504</v>
      </c>
      <c r="G473" s="242">
        <v>4.5999999999999996</v>
      </c>
      <c r="H473" s="230">
        <f t="shared" si="18"/>
        <v>56.58</v>
      </c>
    </row>
    <row r="474" spans="1:8" ht="15.75" x14ac:dyDescent="0.25">
      <c r="A474" s="244">
        <v>2011</v>
      </c>
      <c r="B474" s="245" t="s">
        <v>19</v>
      </c>
      <c r="C474" s="246" t="s">
        <v>20</v>
      </c>
      <c r="D474" s="245" t="s">
        <v>52</v>
      </c>
      <c r="E474" s="245">
        <v>13.5</v>
      </c>
      <c r="F474" s="242" t="s">
        <v>504</v>
      </c>
      <c r="G474" s="242">
        <v>4.5999999999999996</v>
      </c>
      <c r="H474" s="230">
        <f t="shared" si="18"/>
        <v>62.099999999999994</v>
      </c>
    </row>
    <row r="475" spans="1:8" ht="15.75" x14ac:dyDescent="0.25">
      <c r="A475" s="244">
        <v>2011</v>
      </c>
      <c r="B475" s="245" t="s">
        <v>19</v>
      </c>
      <c r="C475" s="246" t="s">
        <v>20</v>
      </c>
      <c r="D475" s="245" t="s">
        <v>52</v>
      </c>
      <c r="E475" s="245">
        <v>10.5</v>
      </c>
      <c r="F475" s="242" t="s">
        <v>504</v>
      </c>
      <c r="G475" s="242">
        <v>4.5999999999999996</v>
      </c>
      <c r="H475" s="230">
        <f t="shared" si="18"/>
        <v>48.3</v>
      </c>
    </row>
    <row r="476" spans="1:8" ht="15.75" x14ac:dyDescent="0.25">
      <c r="A476" s="244">
        <v>2011</v>
      </c>
      <c r="B476" s="245" t="s">
        <v>19</v>
      </c>
      <c r="C476" s="246" t="s">
        <v>20</v>
      </c>
      <c r="D476" s="245" t="s">
        <v>52</v>
      </c>
      <c r="E476" s="245">
        <v>18</v>
      </c>
      <c r="F476" s="242" t="s">
        <v>504</v>
      </c>
      <c r="G476" s="242">
        <v>4.5999999999999996</v>
      </c>
      <c r="H476" s="230">
        <f t="shared" si="18"/>
        <v>82.8</v>
      </c>
    </row>
    <row r="477" spans="1:8" ht="15.75" x14ac:dyDescent="0.25">
      <c r="A477" s="244">
        <v>2011</v>
      </c>
      <c r="B477" s="245" t="s">
        <v>19</v>
      </c>
      <c r="C477" s="246" t="s">
        <v>20</v>
      </c>
      <c r="D477" s="245" t="s">
        <v>52</v>
      </c>
      <c r="E477" s="245">
        <v>14</v>
      </c>
      <c r="F477" s="242" t="s">
        <v>504</v>
      </c>
      <c r="G477" s="242">
        <v>4.5999999999999996</v>
      </c>
      <c r="H477" s="230">
        <f t="shared" si="18"/>
        <v>64.399999999999991</v>
      </c>
    </row>
    <row r="478" spans="1:8" ht="15.75" x14ac:dyDescent="0.25">
      <c r="A478" s="244">
        <v>2011</v>
      </c>
      <c r="B478" s="245" t="s">
        <v>19</v>
      </c>
      <c r="C478" s="246" t="s">
        <v>20</v>
      </c>
      <c r="D478" s="245" t="s">
        <v>52</v>
      </c>
      <c r="E478" s="245">
        <v>11</v>
      </c>
      <c r="F478" s="242" t="s">
        <v>504</v>
      </c>
      <c r="G478" s="242">
        <v>4.5999999999999996</v>
      </c>
      <c r="H478" s="230">
        <f t="shared" si="18"/>
        <v>50.599999999999994</v>
      </c>
    </row>
    <row r="479" spans="1:8" ht="15.75" x14ac:dyDescent="0.25">
      <c r="A479" s="244">
        <v>2011</v>
      </c>
      <c r="B479" s="245" t="s">
        <v>19</v>
      </c>
      <c r="C479" s="246" t="s">
        <v>20</v>
      </c>
      <c r="D479" s="245" t="s">
        <v>52</v>
      </c>
      <c r="E479" s="245">
        <v>9.5</v>
      </c>
      <c r="F479" s="242" t="s">
        <v>504</v>
      </c>
      <c r="G479" s="242">
        <v>4.5999999999999996</v>
      </c>
      <c r="H479" s="230">
        <f t="shared" si="18"/>
        <v>43.699999999999996</v>
      </c>
    </row>
    <row r="480" spans="1:8" ht="15.75" x14ac:dyDescent="0.25">
      <c r="A480" s="244">
        <v>2011</v>
      </c>
      <c r="B480" s="245" t="s">
        <v>19</v>
      </c>
      <c r="C480" s="246" t="s">
        <v>20</v>
      </c>
      <c r="D480" s="245" t="s">
        <v>52</v>
      </c>
      <c r="E480" s="245">
        <v>15.5</v>
      </c>
      <c r="F480" s="242" t="s">
        <v>504</v>
      </c>
      <c r="G480" s="242">
        <v>4.5999999999999996</v>
      </c>
      <c r="H480" s="230">
        <f t="shared" si="18"/>
        <v>71.3</v>
      </c>
    </row>
    <row r="481" spans="1:8" ht="15.75" x14ac:dyDescent="0.25">
      <c r="A481" s="244">
        <v>2011</v>
      </c>
      <c r="B481" s="245" t="s">
        <v>19</v>
      </c>
      <c r="C481" s="246" t="s">
        <v>20</v>
      </c>
      <c r="D481" s="245" t="s">
        <v>52</v>
      </c>
      <c r="E481" s="245">
        <v>14.5</v>
      </c>
      <c r="F481" s="242" t="s">
        <v>504</v>
      </c>
      <c r="G481" s="242">
        <v>4.5999999999999996</v>
      </c>
      <c r="H481" s="230">
        <f t="shared" si="18"/>
        <v>66.699999999999989</v>
      </c>
    </row>
    <row r="482" spans="1:8" ht="15.75" x14ac:dyDescent="0.25">
      <c r="A482" s="244">
        <v>2011</v>
      </c>
      <c r="B482" s="245" t="s">
        <v>19</v>
      </c>
      <c r="C482" s="246" t="s">
        <v>20</v>
      </c>
      <c r="D482" s="245" t="s">
        <v>52</v>
      </c>
      <c r="E482" s="245">
        <v>13</v>
      </c>
      <c r="F482" s="242" t="s">
        <v>504</v>
      </c>
      <c r="G482" s="242">
        <v>4.5999999999999996</v>
      </c>
      <c r="H482" s="230">
        <f t="shared" si="18"/>
        <v>59.8</v>
      </c>
    </row>
    <row r="483" spans="1:8" ht="15.75" x14ac:dyDescent="0.25">
      <c r="A483" s="244">
        <v>2011</v>
      </c>
      <c r="B483" s="245" t="s">
        <v>19</v>
      </c>
      <c r="C483" s="246" t="s">
        <v>20</v>
      </c>
      <c r="D483" s="245" t="s">
        <v>52</v>
      </c>
      <c r="E483" s="245">
        <v>15</v>
      </c>
      <c r="F483" s="242" t="s">
        <v>504</v>
      </c>
      <c r="G483" s="242">
        <v>4.5999999999999996</v>
      </c>
      <c r="H483" s="230">
        <f t="shared" si="18"/>
        <v>69</v>
      </c>
    </row>
    <row r="484" spans="1:8" ht="15.75" x14ac:dyDescent="0.25">
      <c r="A484" s="244">
        <v>2011</v>
      </c>
      <c r="B484" s="245" t="s">
        <v>19</v>
      </c>
      <c r="C484" s="246" t="s">
        <v>20</v>
      </c>
      <c r="D484" s="245" t="s">
        <v>52</v>
      </c>
      <c r="E484" s="245">
        <v>8</v>
      </c>
      <c r="F484" s="242" t="s">
        <v>504</v>
      </c>
      <c r="G484" s="242">
        <v>4.5999999999999996</v>
      </c>
      <c r="H484" s="230">
        <f t="shared" si="18"/>
        <v>36.799999999999997</v>
      </c>
    </row>
    <row r="485" spans="1:8" ht="15.75" x14ac:dyDescent="0.25">
      <c r="A485" s="244">
        <v>2011</v>
      </c>
      <c r="B485" s="245" t="s">
        <v>19</v>
      </c>
      <c r="C485" s="246" t="s">
        <v>20</v>
      </c>
      <c r="D485" s="245" t="s">
        <v>52</v>
      </c>
      <c r="E485" s="245">
        <v>12</v>
      </c>
      <c r="F485" s="242" t="s">
        <v>504</v>
      </c>
      <c r="G485" s="242">
        <v>4.5999999999999996</v>
      </c>
      <c r="H485" s="230">
        <f t="shared" si="18"/>
        <v>55.199999999999996</v>
      </c>
    </row>
    <row r="486" spans="1:8" ht="15.75" x14ac:dyDescent="0.25">
      <c r="A486" s="244">
        <v>2011</v>
      </c>
      <c r="B486" s="245" t="s">
        <v>19</v>
      </c>
      <c r="C486" s="246" t="s">
        <v>20</v>
      </c>
      <c r="D486" s="245" t="s">
        <v>52</v>
      </c>
      <c r="E486" s="245">
        <v>15</v>
      </c>
      <c r="F486" s="242" t="s">
        <v>504</v>
      </c>
      <c r="G486" s="242">
        <v>4.5999999999999996</v>
      </c>
      <c r="H486" s="230">
        <f t="shared" si="18"/>
        <v>69</v>
      </c>
    </row>
    <row r="487" spans="1:8" ht="15.75" x14ac:dyDescent="0.25">
      <c r="A487" s="244">
        <v>2011</v>
      </c>
      <c r="B487" s="245" t="s">
        <v>19</v>
      </c>
      <c r="C487" s="246" t="s">
        <v>20</v>
      </c>
      <c r="D487" s="245" t="s">
        <v>52</v>
      </c>
      <c r="E487" s="245">
        <v>12.1</v>
      </c>
      <c r="F487" s="242" t="s">
        <v>504</v>
      </c>
      <c r="G487" s="242">
        <v>4.5999999999999996</v>
      </c>
      <c r="H487" s="230">
        <f t="shared" si="18"/>
        <v>55.66</v>
      </c>
    </row>
    <row r="488" spans="1:8" ht="15.75" x14ac:dyDescent="0.25">
      <c r="A488" s="244">
        <v>2011</v>
      </c>
      <c r="B488" s="245" t="s">
        <v>19</v>
      </c>
      <c r="C488" s="246" t="s">
        <v>20</v>
      </c>
      <c r="D488" s="245" t="s">
        <v>52</v>
      </c>
      <c r="E488" s="245">
        <v>7</v>
      </c>
      <c r="F488" s="242" t="s">
        <v>504</v>
      </c>
      <c r="G488" s="242">
        <v>4.5999999999999996</v>
      </c>
      <c r="H488" s="230">
        <f t="shared" si="18"/>
        <v>32.199999999999996</v>
      </c>
    </row>
    <row r="489" spans="1:8" ht="15.75" x14ac:dyDescent="0.25">
      <c r="A489" s="244">
        <v>2011</v>
      </c>
      <c r="B489" s="245" t="s">
        <v>19</v>
      </c>
      <c r="C489" s="246" t="s">
        <v>20</v>
      </c>
      <c r="D489" s="245" t="s">
        <v>52</v>
      </c>
      <c r="E489" s="245">
        <v>17</v>
      </c>
      <c r="F489" s="242" t="s">
        <v>504</v>
      </c>
      <c r="G489" s="242">
        <v>4.5999999999999996</v>
      </c>
      <c r="H489" s="230">
        <f t="shared" si="18"/>
        <v>78.199999999999989</v>
      </c>
    </row>
    <row r="490" spans="1:8" ht="15.75" x14ac:dyDescent="0.25">
      <c r="A490" s="244">
        <v>2011</v>
      </c>
      <c r="B490" s="245" t="s">
        <v>19</v>
      </c>
      <c r="C490" s="246" t="s">
        <v>20</v>
      </c>
      <c r="D490" s="245" t="s">
        <v>52</v>
      </c>
      <c r="E490" s="245">
        <v>7.5</v>
      </c>
      <c r="F490" s="242" t="s">
        <v>504</v>
      </c>
      <c r="G490" s="242">
        <v>4.5999999999999996</v>
      </c>
      <c r="H490" s="230">
        <f t="shared" si="18"/>
        <v>34.5</v>
      </c>
    </row>
    <row r="491" spans="1:8" ht="15.75" x14ac:dyDescent="0.25">
      <c r="A491" s="244">
        <v>2011</v>
      </c>
      <c r="B491" s="245" t="s">
        <v>19</v>
      </c>
      <c r="C491" s="246" t="s">
        <v>20</v>
      </c>
      <c r="D491" s="245" t="s">
        <v>52</v>
      </c>
      <c r="E491" s="245">
        <v>7.2</v>
      </c>
      <c r="F491" s="242" t="s">
        <v>504</v>
      </c>
      <c r="G491" s="242">
        <v>4.5999999999999996</v>
      </c>
      <c r="H491" s="230">
        <f t="shared" si="18"/>
        <v>33.119999999999997</v>
      </c>
    </row>
    <row r="492" spans="1:8" ht="15.75" x14ac:dyDescent="0.25">
      <c r="A492" s="244">
        <v>2011</v>
      </c>
      <c r="B492" s="245" t="s">
        <v>19</v>
      </c>
      <c r="C492" s="246" t="s">
        <v>20</v>
      </c>
      <c r="D492" s="245" t="s">
        <v>52</v>
      </c>
      <c r="E492" s="245">
        <v>10.5</v>
      </c>
      <c r="F492" s="242" t="s">
        <v>504</v>
      </c>
      <c r="G492" s="242">
        <v>4.5999999999999996</v>
      </c>
      <c r="H492" s="230">
        <f t="shared" si="18"/>
        <v>48.3</v>
      </c>
    </row>
    <row r="493" spans="1:8" ht="15.75" x14ac:dyDescent="0.25">
      <c r="A493" s="244">
        <v>2011</v>
      </c>
      <c r="B493" s="245" t="s">
        <v>19</v>
      </c>
      <c r="C493" s="246" t="s">
        <v>20</v>
      </c>
      <c r="D493" s="245" t="s">
        <v>52</v>
      </c>
      <c r="E493" s="245">
        <v>13.5</v>
      </c>
      <c r="F493" s="242" t="s">
        <v>504</v>
      </c>
      <c r="G493" s="242">
        <v>4.5999999999999996</v>
      </c>
      <c r="H493" s="230">
        <f t="shared" si="18"/>
        <v>62.099999999999994</v>
      </c>
    </row>
    <row r="494" spans="1:8" ht="15.75" x14ac:dyDescent="0.25">
      <c r="A494" s="244">
        <v>2011</v>
      </c>
      <c r="B494" s="245" t="s">
        <v>19</v>
      </c>
      <c r="C494" s="246" t="s">
        <v>20</v>
      </c>
      <c r="D494" s="245" t="s">
        <v>52</v>
      </c>
      <c r="E494" s="245">
        <v>11.5</v>
      </c>
      <c r="F494" s="242" t="s">
        <v>504</v>
      </c>
      <c r="G494" s="242">
        <v>4.5999999999999996</v>
      </c>
      <c r="H494" s="230">
        <f t="shared" si="18"/>
        <v>52.9</v>
      </c>
    </row>
    <row r="495" spans="1:8" ht="15.75" x14ac:dyDescent="0.25">
      <c r="A495" s="244">
        <v>2011</v>
      </c>
      <c r="B495" s="245" t="s">
        <v>19</v>
      </c>
      <c r="C495" s="246" t="s">
        <v>20</v>
      </c>
      <c r="D495" s="245" t="s">
        <v>52</v>
      </c>
      <c r="E495" s="245">
        <v>10.5</v>
      </c>
      <c r="F495" s="242" t="s">
        <v>504</v>
      </c>
      <c r="G495" s="242">
        <v>4.5999999999999996</v>
      </c>
      <c r="H495" s="230">
        <f t="shared" si="18"/>
        <v>48.3</v>
      </c>
    </row>
    <row r="496" spans="1:8" ht="15.75" x14ac:dyDescent="0.25">
      <c r="A496" s="244">
        <v>2011</v>
      </c>
      <c r="B496" s="245" t="s">
        <v>19</v>
      </c>
      <c r="C496" s="246" t="s">
        <v>20</v>
      </c>
      <c r="D496" s="245" t="s">
        <v>52</v>
      </c>
      <c r="E496" s="245">
        <v>9</v>
      </c>
      <c r="F496" s="242" t="s">
        <v>504</v>
      </c>
      <c r="G496" s="242">
        <v>4.5999999999999996</v>
      </c>
      <c r="H496" s="230">
        <f t="shared" si="18"/>
        <v>41.4</v>
      </c>
    </row>
    <row r="497" spans="1:8" ht="15.75" x14ac:dyDescent="0.25">
      <c r="A497" s="244">
        <v>2011</v>
      </c>
      <c r="B497" s="245" t="s">
        <v>19</v>
      </c>
      <c r="C497" s="246" t="s">
        <v>20</v>
      </c>
      <c r="D497" s="245" t="s">
        <v>52</v>
      </c>
      <c r="E497" s="245">
        <v>14.5</v>
      </c>
      <c r="F497" s="242" t="s">
        <v>504</v>
      </c>
      <c r="G497" s="242">
        <v>4.5999999999999996</v>
      </c>
      <c r="H497" s="230">
        <f t="shared" si="18"/>
        <v>66.699999999999989</v>
      </c>
    </row>
    <row r="498" spans="1:8" ht="15.75" x14ac:dyDescent="0.25">
      <c r="A498" s="244">
        <v>2011</v>
      </c>
      <c r="B498" s="245" t="s">
        <v>19</v>
      </c>
      <c r="C498" s="246" t="s">
        <v>20</v>
      </c>
      <c r="D498" s="245" t="s">
        <v>52</v>
      </c>
      <c r="E498" s="245">
        <v>13.1</v>
      </c>
      <c r="F498" s="242" t="s">
        <v>504</v>
      </c>
      <c r="G498" s="242">
        <v>4.5999999999999996</v>
      </c>
      <c r="H498" s="230">
        <f t="shared" si="18"/>
        <v>60.259999999999991</v>
      </c>
    </row>
    <row r="499" spans="1:8" ht="15.75" x14ac:dyDescent="0.25">
      <c r="A499" s="244">
        <v>2011</v>
      </c>
      <c r="B499" s="245" t="s">
        <v>19</v>
      </c>
      <c r="C499" s="246" t="s">
        <v>20</v>
      </c>
      <c r="D499" s="245" t="s">
        <v>52</v>
      </c>
      <c r="E499" s="245">
        <v>10.5</v>
      </c>
      <c r="F499" s="242" t="s">
        <v>504</v>
      </c>
      <c r="G499" s="242">
        <v>4.5999999999999996</v>
      </c>
      <c r="H499" s="230">
        <f t="shared" si="18"/>
        <v>48.3</v>
      </c>
    </row>
    <row r="500" spans="1:8" ht="15.75" x14ac:dyDescent="0.25">
      <c r="A500" s="244">
        <v>2011</v>
      </c>
      <c r="B500" s="245" t="s">
        <v>19</v>
      </c>
      <c r="C500" s="246" t="s">
        <v>20</v>
      </c>
      <c r="D500" s="245" t="s">
        <v>52</v>
      </c>
      <c r="E500" s="245">
        <v>13.5</v>
      </c>
      <c r="F500" s="242" t="s">
        <v>504</v>
      </c>
      <c r="G500" s="242">
        <v>4.5999999999999996</v>
      </c>
      <c r="H500" s="230">
        <f t="shared" si="18"/>
        <v>62.099999999999994</v>
      </c>
    </row>
    <row r="501" spans="1:8" ht="15.75" x14ac:dyDescent="0.25">
      <c r="A501" s="244">
        <v>2011</v>
      </c>
      <c r="B501" s="245" t="s">
        <v>19</v>
      </c>
      <c r="C501" s="246" t="s">
        <v>20</v>
      </c>
      <c r="D501" s="245" t="s">
        <v>52</v>
      </c>
      <c r="E501" s="245">
        <v>14.7</v>
      </c>
      <c r="F501" s="242" t="s">
        <v>504</v>
      </c>
      <c r="G501" s="242">
        <v>4.5999999999999996</v>
      </c>
      <c r="H501" s="230">
        <f t="shared" si="18"/>
        <v>67.61999999999999</v>
      </c>
    </row>
    <row r="502" spans="1:8" ht="15.75" x14ac:dyDescent="0.25">
      <c r="A502" s="244">
        <v>2011</v>
      </c>
      <c r="B502" s="245" t="s">
        <v>19</v>
      </c>
      <c r="C502" s="246" t="s">
        <v>34</v>
      </c>
      <c r="D502" s="245" t="s">
        <v>52</v>
      </c>
      <c r="E502" s="245">
        <v>12</v>
      </c>
      <c r="F502" s="242" t="s">
        <v>504</v>
      </c>
      <c r="G502" s="242">
        <v>4.5999999999999996</v>
      </c>
      <c r="H502" s="230">
        <f t="shared" si="18"/>
        <v>55.199999999999996</v>
      </c>
    </row>
    <row r="503" spans="1:8" ht="15.75" x14ac:dyDescent="0.25">
      <c r="A503" s="244">
        <v>2011</v>
      </c>
      <c r="B503" s="245" t="s">
        <v>19</v>
      </c>
      <c r="C503" s="246" t="s">
        <v>34</v>
      </c>
      <c r="D503" s="245" t="s">
        <v>52</v>
      </c>
      <c r="E503" s="245">
        <v>9.9</v>
      </c>
      <c r="F503" s="242" t="s">
        <v>504</v>
      </c>
      <c r="G503" s="242">
        <v>4.5999999999999996</v>
      </c>
      <c r="H503" s="230">
        <f t="shared" si="18"/>
        <v>45.54</v>
      </c>
    </row>
    <row r="504" spans="1:8" ht="15.75" x14ac:dyDescent="0.25">
      <c r="A504" s="244">
        <v>2011</v>
      </c>
      <c r="B504" s="245" t="s">
        <v>19</v>
      </c>
      <c r="C504" s="246" t="s">
        <v>34</v>
      </c>
      <c r="D504" s="245" t="s">
        <v>52</v>
      </c>
      <c r="E504" s="245">
        <v>10</v>
      </c>
      <c r="F504" s="242" t="s">
        <v>504</v>
      </c>
      <c r="G504" s="242">
        <v>4.5999999999999996</v>
      </c>
      <c r="H504" s="230">
        <f t="shared" si="18"/>
        <v>46</v>
      </c>
    </row>
    <row r="505" spans="1:8" ht="15.75" x14ac:dyDescent="0.25">
      <c r="A505" s="244">
        <v>2011</v>
      </c>
      <c r="B505" s="245" t="s">
        <v>19</v>
      </c>
      <c r="C505" s="246" t="s">
        <v>34</v>
      </c>
      <c r="D505" s="245" t="s">
        <v>52</v>
      </c>
      <c r="E505" s="245">
        <v>12</v>
      </c>
      <c r="F505" s="242" t="s">
        <v>504</v>
      </c>
      <c r="G505" s="242">
        <v>4.5999999999999996</v>
      </c>
      <c r="H505" s="230">
        <f t="shared" si="18"/>
        <v>55.199999999999996</v>
      </c>
    </row>
    <row r="506" spans="1:8" ht="15.75" x14ac:dyDescent="0.25">
      <c r="A506" s="244">
        <v>2011</v>
      </c>
      <c r="B506" s="245" t="s">
        <v>19</v>
      </c>
      <c r="C506" s="246" t="s">
        <v>34</v>
      </c>
      <c r="D506" s="245" t="s">
        <v>52</v>
      </c>
      <c r="E506" s="245">
        <v>15.1</v>
      </c>
      <c r="F506" s="242" t="s">
        <v>504</v>
      </c>
      <c r="G506" s="242">
        <v>4.5999999999999996</v>
      </c>
      <c r="H506" s="230">
        <f t="shared" si="18"/>
        <v>69.459999999999994</v>
      </c>
    </row>
    <row r="507" spans="1:8" ht="15.75" x14ac:dyDescent="0.25">
      <c r="A507" s="244">
        <v>2011</v>
      </c>
      <c r="B507" s="245" t="s">
        <v>19</v>
      </c>
      <c r="C507" s="246" t="s">
        <v>34</v>
      </c>
      <c r="D507" s="245" t="s">
        <v>52</v>
      </c>
      <c r="E507" s="245">
        <v>10.5</v>
      </c>
      <c r="F507" s="242" t="s">
        <v>504</v>
      </c>
      <c r="G507" s="242">
        <v>4.5999999999999996</v>
      </c>
      <c r="H507" s="230">
        <f t="shared" si="18"/>
        <v>48.3</v>
      </c>
    </row>
    <row r="508" spans="1:8" ht="15.75" x14ac:dyDescent="0.25">
      <c r="A508" s="244">
        <v>2011</v>
      </c>
      <c r="B508" s="245" t="s">
        <v>19</v>
      </c>
      <c r="C508" s="246" t="s">
        <v>34</v>
      </c>
      <c r="D508" s="245" t="s">
        <v>52</v>
      </c>
      <c r="E508" s="245">
        <v>19</v>
      </c>
      <c r="F508" s="242" t="s">
        <v>504</v>
      </c>
      <c r="G508" s="242">
        <v>4.5999999999999996</v>
      </c>
      <c r="H508" s="230">
        <f t="shared" si="18"/>
        <v>87.399999999999991</v>
      </c>
    </row>
    <row r="509" spans="1:8" ht="15.75" x14ac:dyDescent="0.25">
      <c r="A509" s="244">
        <v>2011</v>
      </c>
      <c r="B509" s="245" t="s">
        <v>19</v>
      </c>
      <c r="C509" s="246" t="s">
        <v>34</v>
      </c>
      <c r="D509" s="245" t="s">
        <v>52</v>
      </c>
      <c r="E509" s="245">
        <v>13.6</v>
      </c>
      <c r="F509" s="242" t="s">
        <v>504</v>
      </c>
      <c r="G509" s="242">
        <v>4.5999999999999996</v>
      </c>
      <c r="H509" s="230">
        <f t="shared" si="18"/>
        <v>62.559999999999995</v>
      </c>
    </row>
    <row r="510" spans="1:8" ht="15.75" x14ac:dyDescent="0.25">
      <c r="A510" s="244">
        <v>2011</v>
      </c>
      <c r="B510" s="245" t="s">
        <v>19</v>
      </c>
      <c r="C510" s="246" t="s">
        <v>34</v>
      </c>
      <c r="D510" s="245" t="s">
        <v>52</v>
      </c>
      <c r="E510" s="245">
        <v>13.9</v>
      </c>
      <c r="F510" s="242" t="s">
        <v>504</v>
      </c>
      <c r="G510" s="242">
        <v>4.5999999999999996</v>
      </c>
      <c r="H510" s="230">
        <f t="shared" si="18"/>
        <v>63.94</v>
      </c>
    </row>
    <row r="511" spans="1:8" ht="15.75" x14ac:dyDescent="0.25">
      <c r="A511" s="244">
        <v>2011</v>
      </c>
      <c r="B511" s="245" t="s">
        <v>19</v>
      </c>
      <c r="C511" s="246" t="s">
        <v>34</v>
      </c>
      <c r="D511" s="245" t="s">
        <v>52</v>
      </c>
      <c r="E511" s="245">
        <v>17.899999999999999</v>
      </c>
      <c r="F511" s="242" t="s">
        <v>504</v>
      </c>
      <c r="G511" s="242">
        <v>4.5999999999999996</v>
      </c>
      <c r="H511" s="230">
        <f t="shared" si="18"/>
        <v>82.339999999999989</v>
      </c>
    </row>
    <row r="512" spans="1:8" ht="15.75" x14ac:dyDescent="0.25">
      <c r="A512" s="244">
        <v>2011</v>
      </c>
      <c r="B512" s="245" t="s">
        <v>19</v>
      </c>
      <c r="C512" s="246" t="s">
        <v>34</v>
      </c>
      <c r="D512" s="245" t="s">
        <v>52</v>
      </c>
      <c r="E512" s="245">
        <v>10.1</v>
      </c>
      <c r="F512" s="242" t="s">
        <v>504</v>
      </c>
      <c r="G512" s="242">
        <v>4.5999999999999996</v>
      </c>
      <c r="H512" s="230">
        <f t="shared" si="18"/>
        <v>46.459999999999994</v>
      </c>
    </row>
    <row r="513" spans="1:8" ht="15.75" x14ac:dyDescent="0.25">
      <c r="A513" s="244">
        <v>2011</v>
      </c>
      <c r="B513" s="245" t="s">
        <v>19</v>
      </c>
      <c r="C513" s="246" t="s">
        <v>34</v>
      </c>
      <c r="D513" s="245" t="s">
        <v>52</v>
      </c>
      <c r="E513" s="245">
        <v>7.5</v>
      </c>
      <c r="F513" s="242" t="s">
        <v>504</v>
      </c>
      <c r="G513" s="242">
        <v>4.5999999999999996</v>
      </c>
      <c r="H513" s="230">
        <f t="shared" si="18"/>
        <v>34.5</v>
      </c>
    </row>
    <row r="514" spans="1:8" ht="15.75" x14ac:dyDescent="0.25">
      <c r="A514" s="244">
        <v>2011</v>
      </c>
      <c r="B514" s="245" t="s">
        <v>19</v>
      </c>
      <c r="C514" s="246" t="s">
        <v>34</v>
      </c>
      <c r="D514" s="245" t="s">
        <v>52</v>
      </c>
      <c r="E514" s="245">
        <v>13.5</v>
      </c>
      <c r="F514" s="242" t="s">
        <v>504</v>
      </c>
      <c r="G514" s="242">
        <v>4.5999999999999996</v>
      </c>
      <c r="H514" s="230">
        <f t="shared" si="18"/>
        <v>62.099999999999994</v>
      </c>
    </row>
    <row r="515" spans="1:8" ht="15.75" x14ac:dyDescent="0.25">
      <c r="A515" s="244">
        <v>2011</v>
      </c>
      <c r="B515" s="245" t="s">
        <v>19</v>
      </c>
      <c r="C515" s="246" t="s">
        <v>34</v>
      </c>
      <c r="D515" s="245" t="s">
        <v>52</v>
      </c>
      <c r="E515" s="245">
        <v>16</v>
      </c>
      <c r="F515" s="242" t="s">
        <v>504</v>
      </c>
      <c r="G515" s="242">
        <v>4.5999999999999996</v>
      </c>
      <c r="H515" s="230">
        <f t="shared" ref="H515:H578" si="19">E515*G515</f>
        <v>73.599999999999994</v>
      </c>
    </row>
    <row r="516" spans="1:8" ht="15.75" x14ac:dyDescent="0.25">
      <c r="A516" s="244">
        <v>2011</v>
      </c>
      <c r="B516" s="245" t="s">
        <v>19</v>
      </c>
      <c r="C516" s="246" t="s">
        <v>34</v>
      </c>
      <c r="D516" s="245" t="s">
        <v>52</v>
      </c>
      <c r="E516" s="245">
        <v>12.5</v>
      </c>
      <c r="F516" s="242" t="s">
        <v>504</v>
      </c>
      <c r="G516" s="242">
        <v>4.5999999999999996</v>
      </c>
      <c r="H516" s="230">
        <f t="shared" si="19"/>
        <v>57.499999999999993</v>
      </c>
    </row>
    <row r="517" spans="1:8" ht="15.75" x14ac:dyDescent="0.25">
      <c r="A517" s="244">
        <v>2011</v>
      </c>
      <c r="B517" s="245" t="s">
        <v>19</v>
      </c>
      <c r="C517" s="246" t="s">
        <v>34</v>
      </c>
      <c r="D517" s="245" t="s">
        <v>52</v>
      </c>
      <c r="E517" s="245">
        <v>5.7</v>
      </c>
      <c r="F517" s="242" t="s">
        <v>504</v>
      </c>
      <c r="G517" s="242">
        <v>4.5999999999999996</v>
      </c>
      <c r="H517" s="230">
        <f t="shared" si="19"/>
        <v>26.22</v>
      </c>
    </row>
    <row r="518" spans="1:8" ht="15.75" x14ac:dyDescent="0.25">
      <c r="A518" s="244">
        <v>2011</v>
      </c>
      <c r="B518" s="245" t="s">
        <v>19</v>
      </c>
      <c r="C518" s="246" t="s">
        <v>34</v>
      </c>
      <c r="D518" s="245" t="s">
        <v>52</v>
      </c>
      <c r="E518" s="245">
        <v>10</v>
      </c>
      <c r="F518" s="242" t="s">
        <v>504</v>
      </c>
      <c r="G518" s="242">
        <v>4.5999999999999996</v>
      </c>
      <c r="H518" s="230">
        <f t="shared" si="19"/>
        <v>46</v>
      </c>
    </row>
    <row r="519" spans="1:8" ht="15.75" x14ac:dyDescent="0.25">
      <c r="A519" s="244">
        <v>2011</v>
      </c>
      <c r="B519" s="245" t="s">
        <v>19</v>
      </c>
      <c r="C519" s="246" t="s">
        <v>34</v>
      </c>
      <c r="D519" s="245" t="s">
        <v>52</v>
      </c>
      <c r="E519" s="245">
        <v>14.5</v>
      </c>
      <c r="F519" s="242" t="s">
        <v>504</v>
      </c>
      <c r="G519" s="242">
        <v>4.5999999999999996</v>
      </c>
      <c r="H519" s="230">
        <f t="shared" si="19"/>
        <v>66.699999999999989</v>
      </c>
    </row>
    <row r="520" spans="1:8" ht="15.75" x14ac:dyDescent="0.25">
      <c r="A520" s="244">
        <v>2011</v>
      </c>
      <c r="B520" s="245" t="s">
        <v>19</v>
      </c>
      <c r="C520" s="246" t="s">
        <v>20</v>
      </c>
      <c r="D520" s="245" t="s">
        <v>21</v>
      </c>
      <c r="E520" s="245">
        <v>6</v>
      </c>
      <c r="F520" s="242" t="s">
        <v>507</v>
      </c>
      <c r="G520" s="242">
        <v>3.9</v>
      </c>
      <c r="H520" s="230">
        <f t="shared" si="19"/>
        <v>23.4</v>
      </c>
    </row>
    <row r="521" spans="1:8" ht="15.75" x14ac:dyDescent="0.25">
      <c r="A521" s="244">
        <v>2011</v>
      </c>
      <c r="B521" s="245" t="s">
        <v>19</v>
      </c>
      <c r="C521" s="246" t="s">
        <v>20</v>
      </c>
      <c r="D521" s="245" t="s">
        <v>21</v>
      </c>
      <c r="E521" s="245">
        <v>10.5</v>
      </c>
      <c r="F521" s="242" t="s">
        <v>507</v>
      </c>
      <c r="G521" s="242">
        <v>3.9</v>
      </c>
      <c r="H521" s="230">
        <f t="shared" si="19"/>
        <v>40.949999999999996</v>
      </c>
    </row>
    <row r="522" spans="1:8" ht="15.75" x14ac:dyDescent="0.25">
      <c r="A522" s="244">
        <v>2011</v>
      </c>
      <c r="B522" s="245" t="s">
        <v>19</v>
      </c>
      <c r="C522" s="246" t="s">
        <v>20</v>
      </c>
      <c r="D522" s="245" t="s">
        <v>21</v>
      </c>
      <c r="E522" s="245">
        <v>9.35</v>
      </c>
      <c r="F522" s="242" t="s">
        <v>507</v>
      </c>
      <c r="G522" s="242">
        <v>3.9</v>
      </c>
      <c r="H522" s="230">
        <f t="shared" si="19"/>
        <v>36.464999999999996</v>
      </c>
    </row>
    <row r="523" spans="1:8" ht="15.75" x14ac:dyDescent="0.25">
      <c r="A523" s="244">
        <v>2011</v>
      </c>
      <c r="B523" s="245" t="s">
        <v>19</v>
      </c>
      <c r="C523" s="246" t="s">
        <v>20</v>
      </c>
      <c r="D523" s="245" t="s">
        <v>21</v>
      </c>
      <c r="E523" s="245">
        <v>8</v>
      </c>
      <c r="F523" s="242" t="s">
        <v>507</v>
      </c>
      <c r="G523" s="242">
        <v>3.9</v>
      </c>
      <c r="H523" s="230">
        <f t="shared" si="19"/>
        <v>31.2</v>
      </c>
    </row>
    <row r="524" spans="1:8" ht="15.75" x14ac:dyDescent="0.25">
      <c r="A524" s="244">
        <v>2011</v>
      </c>
      <c r="B524" s="245" t="s">
        <v>19</v>
      </c>
      <c r="C524" s="246" t="s">
        <v>20</v>
      </c>
      <c r="D524" s="245" t="s">
        <v>21</v>
      </c>
      <c r="E524" s="245">
        <v>11</v>
      </c>
      <c r="F524" s="242" t="s">
        <v>507</v>
      </c>
      <c r="G524" s="242">
        <v>3.9</v>
      </c>
      <c r="H524" s="230">
        <f t="shared" si="19"/>
        <v>42.9</v>
      </c>
    </row>
    <row r="525" spans="1:8" ht="15.75" x14ac:dyDescent="0.25">
      <c r="A525" s="244">
        <v>2011</v>
      </c>
      <c r="B525" s="245" t="s">
        <v>19</v>
      </c>
      <c r="C525" s="246" t="s">
        <v>20</v>
      </c>
      <c r="D525" s="245" t="s">
        <v>21</v>
      </c>
      <c r="E525" s="245">
        <v>10</v>
      </c>
      <c r="F525" s="242" t="s">
        <v>507</v>
      </c>
      <c r="G525" s="242">
        <v>3.9</v>
      </c>
      <c r="H525" s="230">
        <f t="shared" si="19"/>
        <v>39</v>
      </c>
    </row>
    <row r="526" spans="1:8" ht="15.75" x14ac:dyDescent="0.25">
      <c r="A526" s="244">
        <v>2011</v>
      </c>
      <c r="B526" s="245" t="s">
        <v>19</v>
      </c>
      <c r="C526" s="246" t="s">
        <v>20</v>
      </c>
      <c r="D526" s="245" t="s">
        <v>21</v>
      </c>
      <c r="E526" s="245">
        <v>10</v>
      </c>
      <c r="F526" s="242" t="s">
        <v>507</v>
      </c>
      <c r="G526" s="242">
        <v>3.9</v>
      </c>
      <c r="H526" s="230">
        <f t="shared" si="19"/>
        <v>39</v>
      </c>
    </row>
    <row r="527" spans="1:8" ht="15.75" x14ac:dyDescent="0.25">
      <c r="A527" s="244">
        <v>2011</v>
      </c>
      <c r="B527" s="245" t="s">
        <v>19</v>
      </c>
      <c r="C527" s="246" t="s">
        <v>20</v>
      </c>
      <c r="D527" s="245" t="s">
        <v>21</v>
      </c>
      <c r="E527" s="245">
        <v>4.5</v>
      </c>
      <c r="F527" s="242" t="s">
        <v>507</v>
      </c>
      <c r="G527" s="242">
        <v>3.9</v>
      </c>
      <c r="H527" s="230">
        <f t="shared" si="19"/>
        <v>17.55</v>
      </c>
    </row>
    <row r="528" spans="1:8" ht="15.75" x14ac:dyDescent="0.25">
      <c r="A528" s="244">
        <v>2011</v>
      </c>
      <c r="B528" s="245" t="s">
        <v>19</v>
      </c>
      <c r="C528" s="246" t="s">
        <v>20</v>
      </c>
      <c r="D528" s="245" t="s">
        <v>21</v>
      </c>
      <c r="E528" s="245">
        <v>7.5</v>
      </c>
      <c r="F528" s="242" t="s">
        <v>507</v>
      </c>
      <c r="G528" s="242">
        <v>3.9</v>
      </c>
      <c r="H528" s="230">
        <f t="shared" si="19"/>
        <v>29.25</v>
      </c>
    </row>
    <row r="529" spans="1:8" ht="15.75" x14ac:dyDescent="0.25">
      <c r="A529" s="244">
        <v>2011</v>
      </c>
      <c r="B529" s="245" t="s">
        <v>19</v>
      </c>
      <c r="C529" s="246" t="s">
        <v>20</v>
      </c>
      <c r="D529" s="245" t="s">
        <v>21</v>
      </c>
      <c r="E529" s="245">
        <v>9</v>
      </c>
      <c r="F529" s="242" t="s">
        <v>507</v>
      </c>
      <c r="G529" s="242">
        <v>3.9</v>
      </c>
      <c r="H529" s="230">
        <f t="shared" si="19"/>
        <v>35.1</v>
      </c>
    </row>
    <row r="530" spans="1:8" ht="15.75" x14ac:dyDescent="0.25">
      <c r="A530" s="244">
        <v>2011</v>
      </c>
      <c r="B530" s="245" t="s">
        <v>19</v>
      </c>
      <c r="C530" s="246" t="s">
        <v>20</v>
      </c>
      <c r="D530" s="245" t="s">
        <v>21</v>
      </c>
      <c r="E530" s="245">
        <v>8</v>
      </c>
      <c r="F530" s="242" t="s">
        <v>507</v>
      </c>
      <c r="G530" s="242">
        <v>3.9</v>
      </c>
      <c r="H530" s="230">
        <f t="shared" si="19"/>
        <v>31.2</v>
      </c>
    </row>
    <row r="531" spans="1:8" ht="15.75" x14ac:dyDescent="0.25">
      <c r="A531" s="244">
        <v>2011</v>
      </c>
      <c r="B531" s="245" t="s">
        <v>19</v>
      </c>
      <c r="C531" s="246" t="s">
        <v>20</v>
      </c>
      <c r="D531" s="245" t="s">
        <v>21</v>
      </c>
      <c r="E531" s="245">
        <v>7</v>
      </c>
      <c r="F531" s="242" t="s">
        <v>507</v>
      </c>
      <c r="G531" s="242">
        <v>3.9</v>
      </c>
      <c r="H531" s="230">
        <f t="shared" si="19"/>
        <v>27.3</v>
      </c>
    </row>
    <row r="532" spans="1:8" ht="15.75" x14ac:dyDescent="0.25">
      <c r="A532" s="244">
        <v>2011</v>
      </c>
      <c r="B532" s="245" t="s">
        <v>19</v>
      </c>
      <c r="C532" s="246" t="s">
        <v>20</v>
      </c>
      <c r="D532" s="245" t="s">
        <v>21</v>
      </c>
      <c r="E532" s="245">
        <v>5.5</v>
      </c>
      <c r="F532" s="242" t="s">
        <v>507</v>
      </c>
      <c r="G532" s="242">
        <v>3.9</v>
      </c>
      <c r="H532" s="230">
        <f t="shared" si="19"/>
        <v>21.45</v>
      </c>
    </row>
    <row r="533" spans="1:8" ht="15.75" x14ac:dyDescent="0.25">
      <c r="A533" s="244">
        <v>2011</v>
      </c>
      <c r="B533" s="245" t="s">
        <v>19</v>
      </c>
      <c r="C533" s="246" t="s">
        <v>20</v>
      </c>
      <c r="D533" s="245" t="s">
        <v>21</v>
      </c>
      <c r="E533" s="245">
        <v>11.5</v>
      </c>
      <c r="F533" s="242" t="s">
        <v>507</v>
      </c>
      <c r="G533" s="242">
        <v>3.9</v>
      </c>
      <c r="H533" s="230">
        <f t="shared" si="19"/>
        <v>44.85</v>
      </c>
    </row>
    <row r="534" spans="1:8" ht="15.75" x14ac:dyDescent="0.25">
      <c r="A534" s="244">
        <v>2011</v>
      </c>
      <c r="B534" s="245" t="s">
        <v>19</v>
      </c>
      <c r="C534" s="246" t="s">
        <v>20</v>
      </c>
      <c r="D534" s="245" t="s">
        <v>21</v>
      </c>
      <c r="E534" s="245">
        <v>9.1</v>
      </c>
      <c r="F534" s="242" t="s">
        <v>507</v>
      </c>
      <c r="G534" s="242">
        <v>3.9</v>
      </c>
      <c r="H534" s="230">
        <f t="shared" si="19"/>
        <v>35.489999999999995</v>
      </c>
    </row>
    <row r="535" spans="1:8" ht="15.75" x14ac:dyDescent="0.25">
      <c r="A535" s="244">
        <v>2011</v>
      </c>
      <c r="B535" s="245" t="s">
        <v>19</v>
      </c>
      <c r="C535" s="246" t="s">
        <v>20</v>
      </c>
      <c r="D535" s="245" t="s">
        <v>21</v>
      </c>
      <c r="E535" s="245">
        <v>7.5</v>
      </c>
      <c r="F535" s="242" t="s">
        <v>507</v>
      </c>
      <c r="G535" s="242">
        <v>3.9</v>
      </c>
      <c r="H535" s="230">
        <f t="shared" si="19"/>
        <v>29.25</v>
      </c>
    </row>
    <row r="536" spans="1:8" ht="15.75" x14ac:dyDescent="0.25">
      <c r="A536" s="244">
        <v>2011</v>
      </c>
      <c r="B536" s="245" t="s">
        <v>19</v>
      </c>
      <c r="C536" s="246" t="s">
        <v>20</v>
      </c>
      <c r="D536" s="245" t="s">
        <v>21</v>
      </c>
      <c r="E536" s="245">
        <v>10.5</v>
      </c>
      <c r="F536" s="242" t="s">
        <v>507</v>
      </c>
      <c r="G536" s="242">
        <v>3.9</v>
      </c>
      <c r="H536" s="230">
        <f t="shared" si="19"/>
        <v>40.949999999999996</v>
      </c>
    </row>
    <row r="537" spans="1:8" ht="15.75" x14ac:dyDescent="0.25">
      <c r="A537" s="244">
        <v>2011</v>
      </c>
      <c r="B537" s="245" t="s">
        <v>19</v>
      </c>
      <c r="C537" s="246" t="s">
        <v>20</v>
      </c>
      <c r="D537" s="245" t="s">
        <v>21</v>
      </c>
      <c r="E537" s="245">
        <v>11.5</v>
      </c>
      <c r="F537" s="242" t="s">
        <v>507</v>
      </c>
      <c r="G537" s="242">
        <v>3.9</v>
      </c>
      <c r="H537" s="230">
        <f t="shared" si="19"/>
        <v>44.85</v>
      </c>
    </row>
    <row r="538" spans="1:8" ht="15.75" x14ac:dyDescent="0.25">
      <c r="A538" s="244">
        <v>2011</v>
      </c>
      <c r="B538" s="245" t="s">
        <v>19</v>
      </c>
      <c r="C538" s="246" t="s">
        <v>20</v>
      </c>
      <c r="D538" s="245" t="s">
        <v>21</v>
      </c>
      <c r="E538" s="245">
        <v>11</v>
      </c>
      <c r="F538" s="242" t="s">
        <v>507</v>
      </c>
      <c r="G538" s="242">
        <v>3.9</v>
      </c>
      <c r="H538" s="230">
        <f t="shared" si="19"/>
        <v>42.9</v>
      </c>
    </row>
    <row r="539" spans="1:8" ht="15.75" x14ac:dyDescent="0.25">
      <c r="A539" s="244">
        <v>2011</v>
      </c>
      <c r="B539" s="245" t="s">
        <v>19</v>
      </c>
      <c r="C539" s="246" t="s">
        <v>20</v>
      </c>
      <c r="D539" s="245" t="s">
        <v>21</v>
      </c>
      <c r="E539" s="245">
        <v>14.5</v>
      </c>
      <c r="F539" s="242" t="s">
        <v>507</v>
      </c>
      <c r="G539" s="242">
        <v>3.9</v>
      </c>
      <c r="H539" s="230">
        <f t="shared" si="19"/>
        <v>56.55</v>
      </c>
    </row>
    <row r="540" spans="1:8" ht="15.75" x14ac:dyDescent="0.25">
      <c r="A540" s="244">
        <v>2011</v>
      </c>
      <c r="B540" s="245" t="s">
        <v>19</v>
      </c>
      <c r="C540" s="246" t="s">
        <v>20</v>
      </c>
      <c r="D540" s="245" t="s">
        <v>21</v>
      </c>
      <c r="E540" s="245">
        <v>10.5</v>
      </c>
      <c r="F540" s="242" t="s">
        <v>507</v>
      </c>
      <c r="G540" s="242">
        <v>3.9</v>
      </c>
      <c r="H540" s="230">
        <f t="shared" si="19"/>
        <v>40.949999999999996</v>
      </c>
    </row>
    <row r="541" spans="1:8" ht="15.75" x14ac:dyDescent="0.25">
      <c r="A541" s="244">
        <v>2011</v>
      </c>
      <c r="B541" s="245" t="s">
        <v>19</v>
      </c>
      <c r="C541" s="246" t="s">
        <v>20</v>
      </c>
      <c r="D541" s="245" t="s">
        <v>21</v>
      </c>
      <c r="E541" s="245">
        <v>10.5</v>
      </c>
      <c r="F541" s="242" t="s">
        <v>507</v>
      </c>
      <c r="G541" s="242">
        <v>3.9</v>
      </c>
      <c r="H541" s="230">
        <f t="shared" si="19"/>
        <v>40.949999999999996</v>
      </c>
    </row>
    <row r="542" spans="1:8" ht="15.75" x14ac:dyDescent="0.25">
      <c r="A542" s="244">
        <v>2011</v>
      </c>
      <c r="B542" s="245" t="s">
        <v>19</v>
      </c>
      <c r="C542" s="246" t="s">
        <v>20</v>
      </c>
      <c r="D542" s="245" t="s">
        <v>21</v>
      </c>
      <c r="E542" s="245">
        <v>11.5</v>
      </c>
      <c r="F542" s="242" t="s">
        <v>507</v>
      </c>
      <c r="G542" s="242">
        <v>3.9</v>
      </c>
      <c r="H542" s="230">
        <f t="shared" si="19"/>
        <v>44.85</v>
      </c>
    </row>
    <row r="543" spans="1:8" ht="15.75" x14ac:dyDescent="0.25">
      <c r="A543" s="244">
        <v>2011</v>
      </c>
      <c r="B543" s="245" t="s">
        <v>19</v>
      </c>
      <c r="C543" s="246" t="s">
        <v>20</v>
      </c>
      <c r="D543" s="245" t="s">
        <v>21</v>
      </c>
      <c r="E543" s="245">
        <v>10</v>
      </c>
      <c r="F543" s="242" t="s">
        <v>507</v>
      </c>
      <c r="G543" s="242">
        <v>3.9</v>
      </c>
      <c r="H543" s="230">
        <f t="shared" si="19"/>
        <v>39</v>
      </c>
    </row>
    <row r="544" spans="1:8" ht="15.75" x14ac:dyDescent="0.25">
      <c r="A544" s="244">
        <v>2011</v>
      </c>
      <c r="B544" s="245" t="s">
        <v>19</v>
      </c>
      <c r="C544" s="246" t="s">
        <v>20</v>
      </c>
      <c r="D544" s="245" t="s">
        <v>21</v>
      </c>
      <c r="E544" s="245">
        <v>9</v>
      </c>
      <c r="F544" s="242" t="s">
        <v>507</v>
      </c>
      <c r="G544" s="242">
        <v>3.9</v>
      </c>
      <c r="H544" s="230">
        <f t="shared" si="19"/>
        <v>35.1</v>
      </c>
    </row>
    <row r="545" spans="1:8" ht="15.75" x14ac:dyDescent="0.25">
      <c r="A545" s="244">
        <v>2011</v>
      </c>
      <c r="B545" s="245" t="s">
        <v>19</v>
      </c>
      <c r="C545" s="246" t="s">
        <v>20</v>
      </c>
      <c r="D545" s="245" t="s">
        <v>21</v>
      </c>
      <c r="E545" s="245">
        <v>6.2</v>
      </c>
      <c r="F545" s="242" t="s">
        <v>507</v>
      </c>
      <c r="G545" s="242">
        <v>3.9</v>
      </c>
      <c r="H545" s="230">
        <f t="shared" si="19"/>
        <v>24.18</v>
      </c>
    </row>
    <row r="546" spans="1:8" ht="15.75" x14ac:dyDescent="0.25">
      <c r="A546" s="244">
        <v>2011</v>
      </c>
      <c r="B546" s="245" t="s">
        <v>19</v>
      </c>
      <c r="C546" s="246" t="s">
        <v>20</v>
      </c>
      <c r="D546" s="245" t="s">
        <v>21</v>
      </c>
      <c r="E546" s="245">
        <v>9</v>
      </c>
      <c r="F546" s="242" t="s">
        <v>507</v>
      </c>
      <c r="G546" s="242">
        <v>3.9</v>
      </c>
      <c r="H546" s="230">
        <f t="shared" si="19"/>
        <v>35.1</v>
      </c>
    </row>
    <row r="547" spans="1:8" ht="15.75" x14ac:dyDescent="0.25">
      <c r="A547" s="244">
        <v>2011</v>
      </c>
      <c r="B547" s="245" t="s">
        <v>19</v>
      </c>
      <c r="C547" s="246" t="s">
        <v>20</v>
      </c>
      <c r="D547" s="245" t="s">
        <v>21</v>
      </c>
      <c r="E547" s="245">
        <v>10.5</v>
      </c>
      <c r="F547" s="242" t="s">
        <v>507</v>
      </c>
      <c r="G547" s="242">
        <v>3.9</v>
      </c>
      <c r="H547" s="230">
        <f t="shared" si="19"/>
        <v>40.949999999999996</v>
      </c>
    </row>
    <row r="548" spans="1:8" ht="15.75" x14ac:dyDescent="0.25">
      <c r="A548" s="244">
        <v>2011</v>
      </c>
      <c r="B548" s="245" t="s">
        <v>19</v>
      </c>
      <c r="C548" s="246" t="s">
        <v>20</v>
      </c>
      <c r="D548" s="245" t="s">
        <v>21</v>
      </c>
      <c r="E548" s="245">
        <v>8.5</v>
      </c>
      <c r="F548" s="242" t="s">
        <v>507</v>
      </c>
      <c r="G548" s="242">
        <v>3.9</v>
      </c>
      <c r="H548" s="230">
        <f t="shared" si="19"/>
        <v>33.15</v>
      </c>
    </row>
    <row r="549" spans="1:8" ht="15.75" x14ac:dyDescent="0.25">
      <c r="A549" s="244">
        <v>2011</v>
      </c>
      <c r="B549" s="245" t="s">
        <v>19</v>
      </c>
      <c r="C549" s="246" t="s">
        <v>20</v>
      </c>
      <c r="D549" s="245" t="s">
        <v>21</v>
      </c>
      <c r="E549" s="245">
        <v>5.5</v>
      </c>
      <c r="F549" s="242" t="s">
        <v>507</v>
      </c>
      <c r="G549" s="242">
        <v>3.9</v>
      </c>
      <c r="H549" s="230">
        <f t="shared" si="19"/>
        <v>21.45</v>
      </c>
    </row>
    <row r="550" spans="1:8" ht="15.75" x14ac:dyDescent="0.25">
      <c r="A550" s="244">
        <v>2011</v>
      </c>
      <c r="B550" s="245" t="s">
        <v>19</v>
      </c>
      <c r="C550" s="246" t="s">
        <v>20</v>
      </c>
      <c r="D550" s="245" t="s">
        <v>21</v>
      </c>
      <c r="E550" s="245">
        <v>9.5</v>
      </c>
      <c r="F550" s="242" t="s">
        <v>507</v>
      </c>
      <c r="G550" s="242">
        <v>3.9</v>
      </c>
      <c r="H550" s="230">
        <f t="shared" si="19"/>
        <v>37.049999999999997</v>
      </c>
    </row>
    <row r="551" spans="1:8" ht="15.75" x14ac:dyDescent="0.25">
      <c r="A551" s="244">
        <v>2011</v>
      </c>
      <c r="B551" s="245" t="s">
        <v>19</v>
      </c>
      <c r="C551" s="246" t="s">
        <v>20</v>
      </c>
      <c r="D551" s="245" t="s">
        <v>21</v>
      </c>
      <c r="E551" s="245">
        <v>10</v>
      </c>
      <c r="F551" s="242" t="s">
        <v>507</v>
      </c>
      <c r="G551" s="242">
        <v>3.9</v>
      </c>
      <c r="H551" s="230">
        <f t="shared" si="19"/>
        <v>39</v>
      </c>
    </row>
    <row r="552" spans="1:8" ht="15.75" x14ac:dyDescent="0.25">
      <c r="A552" s="244">
        <v>2011</v>
      </c>
      <c r="B552" s="245" t="s">
        <v>19</v>
      </c>
      <c r="C552" s="246" t="s">
        <v>20</v>
      </c>
      <c r="D552" s="245" t="s">
        <v>21</v>
      </c>
      <c r="E552" s="245">
        <v>11.5</v>
      </c>
      <c r="F552" s="242" t="s">
        <v>507</v>
      </c>
      <c r="G552" s="242">
        <v>3.9</v>
      </c>
      <c r="H552" s="230">
        <f t="shared" si="19"/>
        <v>44.85</v>
      </c>
    </row>
    <row r="553" spans="1:8" ht="15.75" x14ac:dyDescent="0.25">
      <c r="A553" s="244">
        <v>2011</v>
      </c>
      <c r="B553" s="245" t="s">
        <v>19</v>
      </c>
      <c r="C553" s="246" t="s">
        <v>20</v>
      </c>
      <c r="D553" s="245" t="s">
        <v>21</v>
      </c>
      <c r="E553" s="245">
        <v>10.5</v>
      </c>
      <c r="F553" s="242" t="s">
        <v>507</v>
      </c>
      <c r="G553" s="242">
        <v>3.9</v>
      </c>
      <c r="H553" s="230">
        <f t="shared" si="19"/>
        <v>40.949999999999996</v>
      </c>
    </row>
    <row r="554" spans="1:8" ht="15.75" x14ac:dyDescent="0.25">
      <c r="A554" s="244">
        <v>2011</v>
      </c>
      <c r="B554" s="245" t="s">
        <v>19</v>
      </c>
      <c r="C554" s="246" t="s">
        <v>20</v>
      </c>
      <c r="D554" s="245" t="s">
        <v>21</v>
      </c>
      <c r="E554" s="245">
        <v>11.5</v>
      </c>
      <c r="F554" s="242" t="s">
        <v>507</v>
      </c>
      <c r="G554" s="242">
        <v>3.9</v>
      </c>
      <c r="H554" s="230">
        <f t="shared" si="19"/>
        <v>44.85</v>
      </c>
    </row>
    <row r="555" spans="1:8" ht="15.75" x14ac:dyDescent="0.25">
      <c r="A555" s="244">
        <v>2011</v>
      </c>
      <c r="B555" s="245" t="s">
        <v>19</v>
      </c>
      <c r="C555" s="246" t="s">
        <v>20</v>
      </c>
      <c r="D555" s="245" t="s">
        <v>21</v>
      </c>
      <c r="E555" s="245">
        <v>9</v>
      </c>
      <c r="F555" s="242" t="s">
        <v>507</v>
      </c>
      <c r="G555" s="242">
        <v>3.9</v>
      </c>
      <c r="H555" s="230">
        <f t="shared" si="19"/>
        <v>35.1</v>
      </c>
    </row>
    <row r="556" spans="1:8" ht="15.75" x14ac:dyDescent="0.25">
      <c r="A556" s="244">
        <v>2011</v>
      </c>
      <c r="B556" s="245" t="s">
        <v>19</v>
      </c>
      <c r="C556" s="246" t="s">
        <v>20</v>
      </c>
      <c r="D556" s="245" t="s">
        <v>21</v>
      </c>
      <c r="E556" s="245">
        <v>8</v>
      </c>
      <c r="F556" s="242" t="s">
        <v>507</v>
      </c>
      <c r="G556" s="242">
        <v>3.9</v>
      </c>
      <c r="H556" s="230">
        <f t="shared" si="19"/>
        <v>31.2</v>
      </c>
    </row>
    <row r="557" spans="1:8" ht="15.75" x14ac:dyDescent="0.25">
      <c r="A557" s="244">
        <v>2011</v>
      </c>
      <c r="B557" s="245" t="s">
        <v>19</v>
      </c>
      <c r="C557" s="246" t="s">
        <v>20</v>
      </c>
      <c r="D557" s="245" t="s">
        <v>21</v>
      </c>
      <c r="E557" s="245">
        <v>13.5</v>
      </c>
      <c r="F557" s="242" t="s">
        <v>507</v>
      </c>
      <c r="G557" s="242">
        <v>3.9</v>
      </c>
      <c r="H557" s="230">
        <f t="shared" si="19"/>
        <v>52.65</v>
      </c>
    </row>
    <row r="558" spans="1:8" ht="15.75" x14ac:dyDescent="0.25">
      <c r="A558" s="244">
        <v>2011</v>
      </c>
      <c r="B558" s="245" t="s">
        <v>19</v>
      </c>
      <c r="C558" s="246" t="s">
        <v>34</v>
      </c>
      <c r="D558" s="245" t="s">
        <v>41</v>
      </c>
      <c r="E558" s="245">
        <v>12</v>
      </c>
      <c r="F558" s="242" t="s">
        <v>508</v>
      </c>
      <c r="G558" s="242">
        <v>3.8</v>
      </c>
      <c r="H558" s="230">
        <f t="shared" si="19"/>
        <v>45.599999999999994</v>
      </c>
    </row>
    <row r="559" spans="1:8" ht="15.75" x14ac:dyDescent="0.25">
      <c r="A559" s="244">
        <v>2011</v>
      </c>
      <c r="B559" s="245" t="s">
        <v>19</v>
      </c>
      <c r="C559" s="246" t="s">
        <v>34</v>
      </c>
      <c r="D559" s="245" t="s">
        <v>41</v>
      </c>
      <c r="E559" s="245">
        <v>15.9</v>
      </c>
      <c r="F559" s="242" t="s">
        <v>508</v>
      </c>
      <c r="G559" s="242">
        <v>3.8</v>
      </c>
      <c r="H559" s="230">
        <f t="shared" si="19"/>
        <v>60.42</v>
      </c>
    </row>
    <row r="560" spans="1:8" ht="15.75" x14ac:dyDescent="0.25">
      <c r="A560" s="244">
        <v>2011</v>
      </c>
      <c r="B560" s="245" t="s">
        <v>19</v>
      </c>
      <c r="C560" s="246" t="s">
        <v>34</v>
      </c>
      <c r="D560" s="245" t="s">
        <v>41</v>
      </c>
      <c r="E560" s="245">
        <v>26</v>
      </c>
      <c r="F560" s="242" t="s">
        <v>508</v>
      </c>
      <c r="G560" s="242">
        <v>3.8</v>
      </c>
      <c r="H560" s="230">
        <f t="shared" si="19"/>
        <v>98.8</v>
      </c>
    </row>
    <row r="561" spans="1:8" ht="15.75" x14ac:dyDescent="0.25">
      <c r="A561" s="244">
        <v>2011</v>
      </c>
      <c r="B561" s="245" t="s">
        <v>19</v>
      </c>
      <c r="C561" s="246" t="s">
        <v>34</v>
      </c>
      <c r="D561" s="245" t="s">
        <v>41</v>
      </c>
      <c r="E561" s="245">
        <v>20.100000000000001</v>
      </c>
      <c r="F561" s="242" t="s">
        <v>508</v>
      </c>
      <c r="G561" s="242">
        <v>3.8</v>
      </c>
      <c r="H561" s="230">
        <f t="shared" si="19"/>
        <v>76.38</v>
      </c>
    </row>
    <row r="562" spans="1:8" ht="15.75" x14ac:dyDescent="0.25">
      <c r="A562" s="244">
        <v>2011</v>
      </c>
      <c r="B562" s="245" t="s">
        <v>19</v>
      </c>
      <c r="C562" s="246" t="s">
        <v>34</v>
      </c>
      <c r="D562" s="245" t="s">
        <v>41</v>
      </c>
      <c r="E562" s="245">
        <v>15</v>
      </c>
      <c r="F562" s="242" t="s">
        <v>508</v>
      </c>
      <c r="G562" s="242">
        <v>3.8</v>
      </c>
      <c r="H562" s="230">
        <f t="shared" si="19"/>
        <v>57</v>
      </c>
    </row>
    <row r="563" spans="1:8" ht="15.75" x14ac:dyDescent="0.25">
      <c r="A563" s="244">
        <v>2011</v>
      </c>
      <c r="B563" s="245" t="s">
        <v>19</v>
      </c>
      <c r="C563" s="246" t="s">
        <v>34</v>
      </c>
      <c r="D563" s="245" t="s">
        <v>41</v>
      </c>
      <c r="E563" s="245">
        <v>20</v>
      </c>
      <c r="F563" s="242" t="s">
        <v>508</v>
      </c>
      <c r="G563" s="242">
        <v>3.8</v>
      </c>
      <c r="H563" s="230">
        <f t="shared" si="19"/>
        <v>76</v>
      </c>
    </row>
    <row r="564" spans="1:8" ht="15.75" x14ac:dyDescent="0.25">
      <c r="A564" s="244">
        <v>2011</v>
      </c>
      <c r="B564" s="245" t="s">
        <v>19</v>
      </c>
      <c r="C564" s="246" t="s">
        <v>34</v>
      </c>
      <c r="D564" s="245" t="s">
        <v>41</v>
      </c>
      <c r="E564" s="245">
        <v>17.5</v>
      </c>
      <c r="F564" s="242" t="s">
        <v>508</v>
      </c>
      <c r="G564" s="242">
        <v>3.8</v>
      </c>
      <c r="H564" s="230">
        <f t="shared" si="19"/>
        <v>66.5</v>
      </c>
    </row>
    <row r="565" spans="1:8" ht="15.75" x14ac:dyDescent="0.25">
      <c r="A565" s="244">
        <v>2011</v>
      </c>
      <c r="B565" s="245" t="s">
        <v>19</v>
      </c>
      <c r="C565" s="246" t="s">
        <v>34</v>
      </c>
      <c r="D565" s="245"/>
      <c r="E565" s="245">
        <v>7.5</v>
      </c>
      <c r="F565" s="242" t="s">
        <v>508</v>
      </c>
      <c r="G565" s="242">
        <v>3.8</v>
      </c>
      <c r="H565" s="230">
        <f t="shared" si="19"/>
        <v>28.5</v>
      </c>
    </row>
    <row r="566" spans="1:8" ht="15.75" x14ac:dyDescent="0.25">
      <c r="A566" s="244">
        <v>2011</v>
      </c>
      <c r="B566" s="245" t="s">
        <v>19</v>
      </c>
      <c r="C566" s="246" t="s">
        <v>34</v>
      </c>
      <c r="D566" s="245"/>
      <c r="E566" s="245">
        <v>13</v>
      </c>
      <c r="F566" s="242" t="s">
        <v>508</v>
      </c>
      <c r="G566" s="242">
        <v>3.8</v>
      </c>
      <c r="H566" s="230">
        <f t="shared" si="19"/>
        <v>49.4</v>
      </c>
    </row>
    <row r="567" spans="1:8" ht="15.75" x14ac:dyDescent="0.25">
      <c r="A567" s="244">
        <v>2011</v>
      </c>
      <c r="B567" s="245" t="s">
        <v>19</v>
      </c>
      <c r="C567" s="246" t="s">
        <v>34</v>
      </c>
      <c r="D567" s="245"/>
      <c r="E567" s="245">
        <v>10.5</v>
      </c>
      <c r="F567" s="242" t="s">
        <v>508</v>
      </c>
      <c r="G567" s="242">
        <v>3.8</v>
      </c>
      <c r="H567" s="230">
        <f t="shared" si="19"/>
        <v>39.9</v>
      </c>
    </row>
    <row r="568" spans="1:8" ht="15.75" x14ac:dyDescent="0.25">
      <c r="A568" s="244">
        <v>2011</v>
      </c>
      <c r="B568" s="245" t="s">
        <v>19</v>
      </c>
      <c r="C568" s="246" t="s">
        <v>34</v>
      </c>
      <c r="D568" s="245"/>
      <c r="E568" s="245">
        <v>9.1999999999999993</v>
      </c>
      <c r="F568" s="242" t="s">
        <v>508</v>
      </c>
      <c r="G568" s="242">
        <v>3.8</v>
      </c>
      <c r="H568" s="230">
        <f t="shared" si="19"/>
        <v>34.959999999999994</v>
      </c>
    </row>
    <row r="569" spans="1:8" ht="15.75" x14ac:dyDescent="0.25">
      <c r="A569" s="244">
        <v>2011</v>
      </c>
      <c r="B569" s="245" t="s">
        <v>19</v>
      </c>
      <c r="C569" s="246" t="s">
        <v>34</v>
      </c>
      <c r="D569" s="245"/>
      <c r="E569" s="245">
        <v>12</v>
      </c>
      <c r="F569" s="242" t="s">
        <v>508</v>
      </c>
      <c r="G569" s="242">
        <v>3.8</v>
      </c>
      <c r="H569" s="230">
        <f t="shared" si="19"/>
        <v>45.599999999999994</v>
      </c>
    </row>
    <row r="570" spans="1:8" ht="15.75" x14ac:dyDescent="0.25">
      <c r="A570" s="244">
        <v>2011</v>
      </c>
      <c r="B570" s="245" t="s">
        <v>19</v>
      </c>
      <c r="C570" s="246" t="s">
        <v>34</v>
      </c>
      <c r="D570" s="245"/>
      <c r="E570" s="245">
        <v>8</v>
      </c>
      <c r="F570" s="242" t="s">
        <v>508</v>
      </c>
      <c r="G570" s="242">
        <v>3.8</v>
      </c>
      <c r="H570" s="230">
        <f t="shared" si="19"/>
        <v>30.4</v>
      </c>
    </row>
    <row r="571" spans="1:8" ht="15.75" x14ac:dyDescent="0.25">
      <c r="A571" s="244">
        <v>2011</v>
      </c>
      <c r="B571" s="245" t="s">
        <v>19</v>
      </c>
      <c r="C571" s="246" t="s">
        <v>34</v>
      </c>
      <c r="D571" s="245"/>
      <c r="E571" s="245">
        <v>10.1</v>
      </c>
      <c r="F571" s="242" t="s">
        <v>508</v>
      </c>
      <c r="G571" s="242">
        <v>3.8</v>
      </c>
      <c r="H571" s="230">
        <f t="shared" si="19"/>
        <v>38.379999999999995</v>
      </c>
    </row>
    <row r="572" spans="1:8" ht="15.75" x14ac:dyDescent="0.25">
      <c r="A572" s="244">
        <v>2011</v>
      </c>
      <c r="B572" s="245" t="s">
        <v>19</v>
      </c>
      <c r="C572" s="246" t="s">
        <v>34</v>
      </c>
      <c r="D572" s="245"/>
      <c r="E572" s="245">
        <v>7.5</v>
      </c>
      <c r="F572" s="242" t="s">
        <v>508</v>
      </c>
      <c r="G572" s="242">
        <v>3.8</v>
      </c>
      <c r="H572" s="230">
        <f t="shared" si="19"/>
        <v>28.5</v>
      </c>
    </row>
    <row r="573" spans="1:8" ht="15.75" x14ac:dyDescent="0.25">
      <c r="A573" s="244">
        <v>2010</v>
      </c>
      <c r="B573" s="245" t="s">
        <v>19</v>
      </c>
      <c r="C573" s="246" t="s">
        <v>20</v>
      </c>
      <c r="D573" s="245" t="s">
        <v>30</v>
      </c>
      <c r="E573" s="245">
        <v>16.5</v>
      </c>
      <c r="F573" s="242" t="s">
        <v>504</v>
      </c>
      <c r="G573" s="242">
        <v>4.5999999999999996</v>
      </c>
      <c r="H573" s="230">
        <f t="shared" si="19"/>
        <v>75.899999999999991</v>
      </c>
    </row>
    <row r="574" spans="1:8" ht="15.75" x14ac:dyDescent="0.25">
      <c r="A574" s="244">
        <v>2010</v>
      </c>
      <c r="B574" s="245" t="s">
        <v>19</v>
      </c>
      <c r="C574" s="246" t="s">
        <v>20</v>
      </c>
      <c r="D574" s="245" t="s">
        <v>30</v>
      </c>
      <c r="E574" s="245">
        <v>15</v>
      </c>
      <c r="F574" s="242" t="s">
        <v>504</v>
      </c>
      <c r="G574" s="242">
        <v>4.5999999999999996</v>
      </c>
      <c r="H574" s="230">
        <f t="shared" si="19"/>
        <v>69</v>
      </c>
    </row>
    <row r="575" spans="1:8" ht="15.75" x14ac:dyDescent="0.25">
      <c r="A575" s="244">
        <v>2010</v>
      </c>
      <c r="B575" s="245" t="s">
        <v>19</v>
      </c>
      <c r="C575" s="246" t="s">
        <v>20</v>
      </c>
      <c r="D575" s="245" t="s">
        <v>30</v>
      </c>
      <c r="E575" s="245">
        <v>9.1999999999999993</v>
      </c>
      <c r="F575" s="242" t="s">
        <v>504</v>
      </c>
      <c r="G575" s="242">
        <v>4.5999999999999996</v>
      </c>
      <c r="H575" s="230">
        <f t="shared" si="19"/>
        <v>42.319999999999993</v>
      </c>
    </row>
    <row r="576" spans="1:8" ht="15.75" x14ac:dyDescent="0.25">
      <c r="A576" s="244">
        <v>2010</v>
      </c>
      <c r="B576" s="245" t="s">
        <v>19</v>
      </c>
      <c r="C576" s="246" t="s">
        <v>20</v>
      </c>
      <c r="D576" s="245" t="s">
        <v>30</v>
      </c>
      <c r="E576" s="245">
        <v>10</v>
      </c>
      <c r="F576" s="242" t="s">
        <v>504</v>
      </c>
      <c r="G576" s="242">
        <v>4.5999999999999996</v>
      </c>
      <c r="H576" s="230">
        <f t="shared" si="19"/>
        <v>46</v>
      </c>
    </row>
    <row r="577" spans="1:8" ht="15.75" x14ac:dyDescent="0.25">
      <c r="A577" s="244">
        <v>2010</v>
      </c>
      <c r="B577" s="245" t="s">
        <v>19</v>
      </c>
      <c r="C577" s="246" t="s">
        <v>20</v>
      </c>
      <c r="D577" s="245" t="s">
        <v>30</v>
      </c>
      <c r="E577" s="245">
        <v>11.5</v>
      </c>
      <c r="F577" s="242" t="s">
        <v>504</v>
      </c>
      <c r="G577" s="242">
        <v>4.5999999999999996</v>
      </c>
      <c r="H577" s="230">
        <f t="shared" si="19"/>
        <v>52.9</v>
      </c>
    </row>
    <row r="578" spans="1:8" ht="15.75" x14ac:dyDescent="0.25">
      <c r="A578" s="244">
        <v>2010</v>
      </c>
      <c r="B578" s="245" t="s">
        <v>19</v>
      </c>
      <c r="C578" s="246" t="s">
        <v>20</v>
      </c>
      <c r="D578" s="245" t="s">
        <v>30</v>
      </c>
      <c r="E578" s="245">
        <v>11</v>
      </c>
      <c r="F578" s="242" t="s">
        <v>504</v>
      </c>
      <c r="G578" s="242">
        <v>4.5999999999999996</v>
      </c>
      <c r="H578" s="230">
        <f t="shared" si="19"/>
        <v>50.599999999999994</v>
      </c>
    </row>
    <row r="579" spans="1:8" ht="15.75" x14ac:dyDescent="0.25">
      <c r="A579" s="244">
        <v>2010</v>
      </c>
      <c r="B579" s="245" t="s">
        <v>19</v>
      </c>
      <c r="C579" s="246" t="s">
        <v>20</v>
      </c>
      <c r="D579" s="245" t="s">
        <v>30</v>
      </c>
      <c r="E579" s="245">
        <v>13.5</v>
      </c>
      <c r="F579" s="242" t="s">
        <v>504</v>
      </c>
      <c r="G579" s="242">
        <v>4.5999999999999996</v>
      </c>
      <c r="H579" s="230">
        <f t="shared" ref="H579:H642" si="20">E579*G579</f>
        <v>62.099999999999994</v>
      </c>
    </row>
    <row r="580" spans="1:8" ht="15.75" x14ac:dyDescent="0.25">
      <c r="A580" s="244">
        <v>2010</v>
      </c>
      <c r="B580" s="245" t="s">
        <v>19</v>
      </c>
      <c r="C580" s="246" t="s">
        <v>20</v>
      </c>
      <c r="D580" s="245" t="s">
        <v>30</v>
      </c>
      <c r="E580" s="245">
        <v>16.5</v>
      </c>
      <c r="F580" s="242" t="s">
        <v>504</v>
      </c>
      <c r="G580" s="242">
        <v>4.5999999999999996</v>
      </c>
      <c r="H580" s="230">
        <f t="shared" si="20"/>
        <v>75.899999999999991</v>
      </c>
    </row>
    <row r="581" spans="1:8" ht="15.75" x14ac:dyDescent="0.25">
      <c r="A581" s="244">
        <v>2010</v>
      </c>
      <c r="B581" s="245" t="s">
        <v>19</v>
      </c>
      <c r="C581" s="246" t="s">
        <v>20</v>
      </c>
      <c r="D581" s="245" t="s">
        <v>30</v>
      </c>
      <c r="E581" s="245">
        <v>15</v>
      </c>
      <c r="F581" s="242" t="s">
        <v>504</v>
      </c>
      <c r="G581" s="242">
        <v>4.5999999999999996</v>
      </c>
      <c r="H581" s="230">
        <f t="shared" si="20"/>
        <v>69</v>
      </c>
    </row>
    <row r="582" spans="1:8" ht="15.75" x14ac:dyDescent="0.25">
      <c r="A582" s="244">
        <v>2010</v>
      </c>
      <c r="B582" s="245" t="s">
        <v>19</v>
      </c>
      <c r="C582" s="246" t="s">
        <v>20</v>
      </c>
      <c r="D582" s="245" t="s">
        <v>30</v>
      </c>
      <c r="E582" s="245">
        <v>11</v>
      </c>
      <c r="F582" s="242" t="s">
        <v>504</v>
      </c>
      <c r="G582" s="242">
        <v>4.5999999999999996</v>
      </c>
      <c r="H582" s="230">
        <f t="shared" si="20"/>
        <v>50.599999999999994</v>
      </c>
    </row>
    <row r="583" spans="1:8" ht="15.75" x14ac:dyDescent="0.25">
      <c r="A583" s="244">
        <v>2010</v>
      </c>
      <c r="B583" s="245" t="s">
        <v>19</v>
      </c>
      <c r="C583" s="246" t="s">
        <v>20</v>
      </c>
      <c r="D583" s="245" t="s">
        <v>30</v>
      </c>
      <c r="E583" s="245">
        <v>9.5</v>
      </c>
      <c r="F583" s="242" t="s">
        <v>504</v>
      </c>
      <c r="G583" s="242">
        <v>4.5999999999999996</v>
      </c>
      <c r="H583" s="230">
        <f t="shared" si="20"/>
        <v>43.699999999999996</v>
      </c>
    </row>
    <row r="584" spans="1:8" ht="15.75" x14ac:dyDescent="0.25">
      <c r="A584" s="244">
        <v>2010</v>
      </c>
      <c r="B584" s="245" t="s">
        <v>19</v>
      </c>
      <c r="C584" s="246" t="s">
        <v>20</v>
      </c>
      <c r="D584" s="245" t="s">
        <v>30</v>
      </c>
      <c r="E584" s="245">
        <v>15</v>
      </c>
      <c r="F584" s="242" t="s">
        <v>504</v>
      </c>
      <c r="G584" s="242">
        <v>4.5999999999999996</v>
      </c>
      <c r="H584" s="230">
        <f t="shared" si="20"/>
        <v>69</v>
      </c>
    </row>
    <row r="585" spans="1:8" ht="15.75" x14ac:dyDescent="0.25">
      <c r="A585" s="244">
        <v>2010</v>
      </c>
      <c r="B585" s="245" t="s">
        <v>19</v>
      </c>
      <c r="C585" s="246" t="s">
        <v>20</v>
      </c>
      <c r="D585" s="245" t="s">
        <v>30</v>
      </c>
      <c r="E585" s="245">
        <v>11</v>
      </c>
      <c r="F585" s="242" t="s">
        <v>504</v>
      </c>
      <c r="G585" s="242">
        <v>4.5999999999999996</v>
      </c>
      <c r="H585" s="230">
        <f t="shared" si="20"/>
        <v>50.599999999999994</v>
      </c>
    </row>
    <row r="586" spans="1:8" ht="15.75" x14ac:dyDescent="0.25">
      <c r="A586" s="244">
        <v>2010</v>
      </c>
      <c r="B586" s="245" t="s">
        <v>19</v>
      </c>
      <c r="C586" s="246" t="s">
        <v>20</v>
      </c>
      <c r="D586" s="245" t="s">
        <v>30</v>
      </c>
      <c r="E586" s="245">
        <v>11.5</v>
      </c>
      <c r="F586" s="242" t="s">
        <v>504</v>
      </c>
      <c r="G586" s="242">
        <v>4.5999999999999996</v>
      </c>
      <c r="H586" s="230">
        <f t="shared" si="20"/>
        <v>52.9</v>
      </c>
    </row>
    <row r="587" spans="1:8" ht="15.75" x14ac:dyDescent="0.25">
      <c r="A587" s="244">
        <v>2010</v>
      </c>
      <c r="B587" s="245" t="s">
        <v>19</v>
      </c>
      <c r="C587" s="246" t="s">
        <v>20</v>
      </c>
      <c r="D587" s="245" t="s">
        <v>30</v>
      </c>
      <c r="E587" s="245">
        <v>15.5</v>
      </c>
      <c r="F587" s="242" t="s">
        <v>504</v>
      </c>
      <c r="G587" s="242">
        <v>4.5999999999999996</v>
      </c>
      <c r="H587" s="230">
        <f t="shared" si="20"/>
        <v>71.3</v>
      </c>
    </row>
    <row r="588" spans="1:8" ht="15.75" x14ac:dyDescent="0.25">
      <c r="A588" s="244">
        <v>2010</v>
      </c>
      <c r="B588" s="245" t="s">
        <v>19</v>
      </c>
      <c r="C588" s="246" t="s">
        <v>20</v>
      </c>
      <c r="D588" s="245" t="s">
        <v>30</v>
      </c>
      <c r="E588" s="245">
        <v>12.5</v>
      </c>
      <c r="F588" s="242" t="s">
        <v>504</v>
      </c>
      <c r="G588" s="242">
        <v>4.5999999999999996</v>
      </c>
      <c r="H588" s="230">
        <f t="shared" si="20"/>
        <v>57.499999999999993</v>
      </c>
    </row>
    <row r="589" spans="1:8" ht="15.75" x14ac:dyDescent="0.25">
      <c r="A589" s="244">
        <v>2010</v>
      </c>
      <c r="B589" s="245" t="s">
        <v>19</v>
      </c>
      <c r="C589" s="246" t="s">
        <v>20</v>
      </c>
      <c r="D589" s="245" t="s">
        <v>30</v>
      </c>
      <c r="E589" s="245">
        <v>11.5</v>
      </c>
      <c r="F589" s="242" t="s">
        <v>504</v>
      </c>
      <c r="G589" s="242">
        <v>4.5999999999999996</v>
      </c>
      <c r="H589" s="230">
        <f t="shared" si="20"/>
        <v>52.9</v>
      </c>
    </row>
    <row r="590" spans="1:8" ht="15.75" x14ac:dyDescent="0.25">
      <c r="A590" s="244">
        <v>2010</v>
      </c>
      <c r="B590" s="245" t="s">
        <v>19</v>
      </c>
      <c r="C590" s="246" t="s">
        <v>20</v>
      </c>
      <c r="D590" s="245" t="s">
        <v>30</v>
      </c>
      <c r="E590" s="245">
        <v>15.5</v>
      </c>
      <c r="F590" s="242" t="s">
        <v>504</v>
      </c>
      <c r="G590" s="242">
        <v>4.5999999999999996</v>
      </c>
      <c r="H590" s="230">
        <f t="shared" si="20"/>
        <v>71.3</v>
      </c>
    </row>
    <row r="591" spans="1:8" ht="15.75" x14ac:dyDescent="0.25">
      <c r="A591" s="244">
        <v>2010</v>
      </c>
      <c r="B591" s="245" t="s">
        <v>19</v>
      </c>
      <c r="C591" s="246" t="s">
        <v>20</v>
      </c>
      <c r="D591" s="245" t="s">
        <v>30</v>
      </c>
      <c r="E591" s="245">
        <v>10</v>
      </c>
      <c r="F591" s="242" t="s">
        <v>504</v>
      </c>
      <c r="G591" s="242">
        <v>4.5999999999999996</v>
      </c>
      <c r="H591" s="230">
        <f t="shared" si="20"/>
        <v>46</v>
      </c>
    </row>
    <row r="592" spans="1:8" ht="15.75" x14ac:dyDescent="0.25">
      <c r="A592" s="244">
        <v>2010</v>
      </c>
      <c r="B592" s="245" t="s">
        <v>19</v>
      </c>
      <c r="C592" s="246" t="s">
        <v>20</v>
      </c>
      <c r="D592" s="245" t="s">
        <v>30</v>
      </c>
      <c r="E592" s="245">
        <v>11</v>
      </c>
      <c r="F592" s="242" t="s">
        <v>504</v>
      </c>
      <c r="G592" s="242">
        <v>4.5999999999999996</v>
      </c>
      <c r="H592" s="230">
        <f t="shared" si="20"/>
        <v>50.599999999999994</v>
      </c>
    </row>
    <row r="593" spans="1:8" ht="15.75" x14ac:dyDescent="0.25">
      <c r="A593" s="244">
        <v>2010</v>
      </c>
      <c r="B593" s="245" t="s">
        <v>19</v>
      </c>
      <c r="C593" s="246" t="s">
        <v>20</v>
      </c>
      <c r="D593" s="245" t="s">
        <v>30</v>
      </c>
      <c r="E593" s="245">
        <v>10.5</v>
      </c>
      <c r="F593" s="242" t="s">
        <v>504</v>
      </c>
      <c r="G593" s="242">
        <v>4.5999999999999996</v>
      </c>
      <c r="H593" s="230">
        <f t="shared" si="20"/>
        <v>48.3</v>
      </c>
    </row>
    <row r="594" spans="1:8" ht="15.75" x14ac:dyDescent="0.25">
      <c r="A594" s="244">
        <v>2010</v>
      </c>
      <c r="B594" s="245" t="s">
        <v>19</v>
      </c>
      <c r="C594" s="246" t="s">
        <v>20</v>
      </c>
      <c r="D594" s="245" t="s">
        <v>30</v>
      </c>
      <c r="E594" s="245">
        <v>16</v>
      </c>
      <c r="F594" s="242" t="s">
        <v>504</v>
      </c>
      <c r="G594" s="242">
        <v>4.5999999999999996</v>
      </c>
      <c r="H594" s="230">
        <f t="shared" si="20"/>
        <v>73.599999999999994</v>
      </c>
    </row>
    <row r="595" spans="1:8" ht="15.75" x14ac:dyDescent="0.25">
      <c r="A595" s="244">
        <v>2010</v>
      </c>
      <c r="B595" s="245" t="s">
        <v>19</v>
      </c>
      <c r="C595" s="246" t="s">
        <v>20</v>
      </c>
      <c r="D595" s="245" t="s">
        <v>30</v>
      </c>
      <c r="E595" s="245">
        <v>12.5</v>
      </c>
      <c r="F595" s="242" t="s">
        <v>504</v>
      </c>
      <c r="G595" s="242">
        <v>4.5999999999999996</v>
      </c>
      <c r="H595" s="230">
        <f t="shared" si="20"/>
        <v>57.499999999999993</v>
      </c>
    </row>
    <row r="596" spans="1:8" ht="15.75" x14ac:dyDescent="0.25">
      <c r="A596" s="244">
        <v>2010</v>
      </c>
      <c r="B596" s="245" t="s">
        <v>19</v>
      </c>
      <c r="C596" s="246" t="s">
        <v>20</v>
      </c>
      <c r="D596" s="245" t="s">
        <v>21</v>
      </c>
      <c r="E596" s="245">
        <v>9.5</v>
      </c>
      <c r="F596" s="242" t="s">
        <v>507</v>
      </c>
      <c r="G596" s="242">
        <v>3.9</v>
      </c>
      <c r="H596" s="230">
        <f t="shared" si="20"/>
        <v>37.049999999999997</v>
      </c>
    </row>
    <row r="597" spans="1:8" ht="15.75" x14ac:dyDescent="0.25">
      <c r="A597" s="244">
        <v>2010</v>
      </c>
      <c r="B597" s="245" t="s">
        <v>19</v>
      </c>
      <c r="C597" s="246" t="s">
        <v>20</v>
      </c>
      <c r="D597" s="245" t="s">
        <v>21</v>
      </c>
      <c r="E597" s="245">
        <v>11.5</v>
      </c>
      <c r="F597" s="242" t="s">
        <v>507</v>
      </c>
      <c r="G597" s="242">
        <v>3.9</v>
      </c>
      <c r="H597" s="230">
        <f t="shared" si="20"/>
        <v>44.85</v>
      </c>
    </row>
    <row r="598" spans="1:8" ht="15.75" x14ac:dyDescent="0.25">
      <c r="A598" s="244">
        <v>2010</v>
      </c>
      <c r="B598" s="245" t="s">
        <v>19</v>
      </c>
      <c r="C598" s="246" t="s">
        <v>34</v>
      </c>
      <c r="D598" s="245" t="s">
        <v>41</v>
      </c>
      <c r="E598" s="245">
        <v>24.5</v>
      </c>
      <c r="F598" s="242" t="s">
        <v>508</v>
      </c>
      <c r="G598" s="242">
        <v>3.8</v>
      </c>
      <c r="H598" s="230">
        <f t="shared" si="20"/>
        <v>93.1</v>
      </c>
    </row>
    <row r="599" spans="1:8" ht="15.75" x14ac:dyDescent="0.25">
      <c r="A599" s="244">
        <v>2010</v>
      </c>
      <c r="B599" s="245" t="s">
        <v>19</v>
      </c>
      <c r="C599" s="246" t="s">
        <v>34</v>
      </c>
      <c r="D599" s="245" t="s">
        <v>41</v>
      </c>
      <c r="E599" s="245">
        <v>13.5</v>
      </c>
      <c r="F599" s="242" t="s">
        <v>508</v>
      </c>
      <c r="G599" s="242">
        <v>3.8</v>
      </c>
      <c r="H599" s="230">
        <f t="shared" si="20"/>
        <v>51.3</v>
      </c>
    </row>
    <row r="600" spans="1:8" ht="15.75" x14ac:dyDescent="0.25">
      <c r="A600" s="244">
        <v>2010</v>
      </c>
      <c r="B600" s="245" t="s">
        <v>19</v>
      </c>
      <c r="C600" s="246" t="s">
        <v>34</v>
      </c>
      <c r="D600" s="245" t="s">
        <v>41</v>
      </c>
      <c r="E600" s="245">
        <v>21.5</v>
      </c>
      <c r="F600" s="242" t="s">
        <v>508</v>
      </c>
      <c r="G600" s="242">
        <v>3.8</v>
      </c>
      <c r="H600" s="230">
        <f t="shared" si="20"/>
        <v>81.7</v>
      </c>
    </row>
    <row r="601" spans="1:8" ht="15.75" x14ac:dyDescent="0.25">
      <c r="A601" s="244">
        <v>2010</v>
      </c>
      <c r="B601" s="245" t="s">
        <v>19</v>
      </c>
      <c r="C601" s="246" t="s">
        <v>34</v>
      </c>
      <c r="D601" s="245" t="s">
        <v>41</v>
      </c>
      <c r="E601" s="245">
        <v>14</v>
      </c>
      <c r="F601" s="242" t="s">
        <v>508</v>
      </c>
      <c r="G601" s="242">
        <v>3.8</v>
      </c>
      <c r="H601" s="230">
        <f t="shared" si="20"/>
        <v>53.199999999999996</v>
      </c>
    </row>
    <row r="602" spans="1:8" ht="15.75" x14ac:dyDescent="0.25">
      <c r="A602" s="244">
        <v>2010</v>
      </c>
      <c r="B602" s="245" t="s">
        <v>19</v>
      </c>
      <c r="C602" s="246" t="s">
        <v>34</v>
      </c>
      <c r="D602" s="245" t="s">
        <v>41</v>
      </c>
      <c r="E602" s="245">
        <v>21.5</v>
      </c>
      <c r="F602" s="242" t="s">
        <v>508</v>
      </c>
      <c r="G602" s="242">
        <v>3.8</v>
      </c>
      <c r="H602" s="230">
        <f t="shared" si="20"/>
        <v>81.7</v>
      </c>
    </row>
    <row r="603" spans="1:8" ht="15.75" x14ac:dyDescent="0.25">
      <c r="A603" s="244">
        <v>2010</v>
      </c>
      <c r="B603" s="245" t="s">
        <v>19</v>
      </c>
      <c r="C603" s="246" t="s">
        <v>34</v>
      </c>
      <c r="D603" s="245" t="s">
        <v>41</v>
      </c>
      <c r="E603" s="245">
        <v>18.5</v>
      </c>
      <c r="F603" s="242" t="s">
        <v>508</v>
      </c>
      <c r="G603" s="242">
        <v>3.8</v>
      </c>
      <c r="H603" s="230">
        <f t="shared" si="20"/>
        <v>70.3</v>
      </c>
    </row>
    <row r="604" spans="1:8" ht="15.75" x14ac:dyDescent="0.25">
      <c r="A604" s="244">
        <v>2009</v>
      </c>
      <c r="B604" s="245" t="s">
        <v>19</v>
      </c>
      <c r="C604" s="246" t="s">
        <v>20</v>
      </c>
      <c r="D604" s="245" t="s">
        <v>30</v>
      </c>
      <c r="E604" s="245">
        <v>12</v>
      </c>
      <c r="F604" s="242" t="s">
        <v>504</v>
      </c>
      <c r="G604" s="242">
        <v>4.5999999999999996</v>
      </c>
      <c r="H604" s="230">
        <f t="shared" si="20"/>
        <v>55.199999999999996</v>
      </c>
    </row>
    <row r="605" spans="1:8" ht="15.75" x14ac:dyDescent="0.25">
      <c r="A605" s="244">
        <v>2009</v>
      </c>
      <c r="B605" s="245" t="s">
        <v>19</v>
      </c>
      <c r="C605" s="246" t="s">
        <v>20</v>
      </c>
      <c r="D605" s="245" t="s">
        <v>30</v>
      </c>
      <c r="E605" s="245">
        <v>10</v>
      </c>
      <c r="F605" s="242" t="s">
        <v>504</v>
      </c>
      <c r="G605" s="242">
        <v>4.5999999999999996</v>
      </c>
      <c r="H605" s="230">
        <f t="shared" si="20"/>
        <v>46</v>
      </c>
    </row>
    <row r="606" spans="1:8" ht="15.75" x14ac:dyDescent="0.25">
      <c r="A606" s="244">
        <v>2009</v>
      </c>
      <c r="B606" s="245" t="s">
        <v>19</v>
      </c>
      <c r="C606" s="246" t="s">
        <v>20</v>
      </c>
      <c r="D606" s="245" t="s">
        <v>30</v>
      </c>
      <c r="E606" s="245">
        <v>9</v>
      </c>
      <c r="F606" s="242" t="s">
        <v>504</v>
      </c>
      <c r="G606" s="242">
        <v>4.5999999999999996</v>
      </c>
      <c r="H606" s="230">
        <f t="shared" si="20"/>
        <v>41.4</v>
      </c>
    </row>
    <row r="607" spans="1:8" ht="15.75" x14ac:dyDescent="0.25">
      <c r="A607" s="244">
        <v>2009</v>
      </c>
      <c r="B607" s="245" t="s">
        <v>19</v>
      </c>
      <c r="C607" s="246" t="s">
        <v>20</v>
      </c>
      <c r="D607" s="245" t="s">
        <v>30</v>
      </c>
      <c r="E607" s="245">
        <v>8.5</v>
      </c>
      <c r="F607" s="242" t="s">
        <v>504</v>
      </c>
      <c r="G607" s="242">
        <v>4.5999999999999996</v>
      </c>
      <c r="H607" s="230">
        <f t="shared" si="20"/>
        <v>39.099999999999994</v>
      </c>
    </row>
    <row r="608" spans="1:8" ht="15.75" x14ac:dyDescent="0.25">
      <c r="A608" s="244">
        <v>2009</v>
      </c>
      <c r="B608" s="245" t="s">
        <v>19</v>
      </c>
      <c r="C608" s="246" t="s">
        <v>20</v>
      </c>
      <c r="D608" s="245" t="s">
        <v>30</v>
      </c>
      <c r="E608" s="245">
        <v>13.5</v>
      </c>
      <c r="F608" s="242" t="s">
        <v>504</v>
      </c>
      <c r="G608" s="242">
        <v>4.5999999999999996</v>
      </c>
      <c r="H608" s="230">
        <f t="shared" si="20"/>
        <v>62.099999999999994</v>
      </c>
    </row>
    <row r="609" spans="1:8" ht="15.75" x14ac:dyDescent="0.25">
      <c r="A609" s="244">
        <v>2009</v>
      </c>
      <c r="B609" s="245" t="s">
        <v>19</v>
      </c>
      <c r="C609" s="246" t="s">
        <v>20</v>
      </c>
      <c r="D609" s="245" t="s">
        <v>30</v>
      </c>
      <c r="E609" s="245">
        <v>13.5</v>
      </c>
      <c r="F609" s="242" t="s">
        <v>504</v>
      </c>
      <c r="G609" s="242">
        <v>4.5999999999999996</v>
      </c>
      <c r="H609" s="230">
        <f t="shared" si="20"/>
        <v>62.099999999999994</v>
      </c>
    </row>
    <row r="610" spans="1:8" ht="15.75" x14ac:dyDescent="0.25">
      <c r="A610" s="244">
        <v>2009</v>
      </c>
      <c r="B610" s="245" t="s">
        <v>19</v>
      </c>
      <c r="C610" s="246" t="s">
        <v>20</v>
      </c>
      <c r="D610" s="245" t="s">
        <v>30</v>
      </c>
      <c r="E610" s="245">
        <v>17.5</v>
      </c>
      <c r="F610" s="242" t="s">
        <v>504</v>
      </c>
      <c r="G610" s="242">
        <v>4.5999999999999996</v>
      </c>
      <c r="H610" s="230">
        <f t="shared" si="20"/>
        <v>80.5</v>
      </c>
    </row>
    <row r="611" spans="1:8" ht="15.75" x14ac:dyDescent="0.25">
      <c r="A611" s="244">
        <v>2009</v>
      </c>
      <c r="B611" s="245" t="s">
        <v>19</v>
      </c>
      <c r="C611" s="246" t="s">
        <v>20</v>
      </c>
      <c r="D611" s="245" t="s">
        <v>30</v>
      </c>
      <c r="E611" s="245">
        <v>16.5</v>
      </c>
      <c r="F611" s="242" t="s">
        <v>504</v>
      </c>
      <c r="G611" s="242">
        <v>4.5999999999999996</v>
      </c>
      <c r="H611" s="230">
        <f t="shared" si="20"/>
        <v>75.899999999999991</v>
      </c>
    </row>
    <row r="612" spans="1:8" ht="15.75" x14ac:dyDescent="0.25">
      <c r="A612" s="244">
        <v>2009</v>
      </c>
      <c r="B612" s="245" t="s">
        <v>19</v>
      </c>
      <c r="C612" s="246" t="s">
        <v>20</v>
      </c>
      <c r="D612" s="245" t="s">
        <v>30</v>
      </c>
      <c r="E612" s="245">
        <v>12.5</v>
      </c>
      <c r="F612" s="242" t="s">
        <v>504</v>
      </c>
      <c r="G612" s="242">
        <v>4.5999999999999996</v>
      </c>
      <c r="H612" s="230">
        <f t="shared" si="20"/>
        <v>57.499999999999993</v>
      </c>
    </row>
    <row r="613" spans="1:8" ht="15.75" x14ac:dyDescent="0.25">
      <c r="A613" s="244">
        <v>2009</v>
      </c>
      <c r="B613" s="245" t="s">
        <v>19</v>
      </c>
      <c r="C613" s="246" t="s">
        <v>20</v>
      </c>
      <c r="D613" s="245" t="s">
        <v>30</v>
      </c>
      <c r="E613" s="245">
        <v>17.5</v>
      </c>
      <c r="F613" s="242" t="s">
        <v>504</v>
      </c>
      <c r="G613" s="242">
        <v>4.5999999999999996</v>
      </c>
      <c r="H613" s="230">
        <f t="shared" si="20"/>
        <v>80.5</v>
      </c>
    </row>
    <row r="614" spans="1:8" ht="15.75" x14ac:dyDescent="0.25">
      <c r="A614" s="244">
        <v>2009</v>
      </c>
      <c r="B614" s="245" t="s">
        <v>19</v>
      </c>
      <c r="C614" s="246" t="s">
        <v>20</v>
      </c>
      <c r="D614" s="245" t="s">
        <v>30</v>
      </c>
      <c r="E614" s="245">
        <v>14.5</v>
      </c>
      <c r="F614" s="242" t="s">
        <v>504</v>
      </c>
      <c r="G614" s="242">
        <v>4.5999999999999996</v>
      </c>
      <c r="H614" s="230">
        <f t="shared" si="20"/>
        <v>66.699999999999989</v>
      </c>
    </row>
    <row r="615" spans="1:8" ht="15.75" x14ac:dyDescent="0.25">
      <c r="A615" s="244">
        <v>2009</v>
      </c>
      <c r="B615" s="245" t="s">
        <v>19</v>
      </c>
      <c r="C615" s="246" t="s">
        <v>20</v>
      </c>
      <c r="D615" s="245" t="s">
        <v>30</v>
      </c>
      <c r="E615" s="245">
        <v>19.5</v>
      </c>
      <c r="F615" s="242" t="s">
        <v>504</v>
      </c>
      <c r="G615" s="242">
        <v>4.5999999999999996</v>
      </c>
      <c r="H615" s="230">
        <f t="shared" si="20"/>
        <v>89.699999999999989</v>
      </c>
    </row>
    <row r="616" spans="1:8" ht="15.75" x14ac:dyDescent="0.25">
      <c r="A616" s="244">
        <v>2009</v>
      </c>
      <c r="B616" s="245" t="s">
        <v>19</v>
      </c>
      <c r="C616" s="246" t="s">
        <v>20</v>
      </c>
      <c r="D616" s="245" t="s">
        <v>30</v>
      </c>
      <c r="E616" s="245">
        <v>17.2</v>
      </c>
      <c r="F616" s="242" t="s">
        <v>504</v>
      </c>
      <c r="G616" s="242">
        <v>4.5999999999999996</v>
      </c>
      <c r="H616" s="230">
        <f t="shared" si="20"/>
        <v>79.11999999999999</v>
      </c>
    </row>
    <row r="617" spans="1:8" ht="15.75" x14ac:dyDescent="0.25">
      <c r="A617" s="244">
        <v>2009</v>
      </c>
      <c r="B617" s="245" t="s">
        <v>19</v>
      </c>
      <c r="C617" s="246" t="s">
        <v>20</v>
      </c>
      <c r="D617" s="245" t="s">
        <v>30</v>
      </c>
      <c r="E617" s="245">
        <v>15.5</v>
      </c>
      <c r="F617" s="242" t="s">
        <v>504</v>
      </c>
      <c r="G617" s="242">
        <v>4.5999999999999996</v>
      </c>
      <c r="H617" s="230">
        <f t="shared" si="20"/>
        <v>71.3</v>
      </c>
    </row>
    <row r="618" spans="1:8" ht="15.75" x14ac:dyDescent="0.25">
      <c r="A618" s="244">
        <v>2009</v>
      </c>
      <c r="B618" s="245" t="s">
        <v>19</v>
      </c>
      <c r="C618" s="246" t="s">
        <v>20</v>
      </c>
      <c r="D618" s="245" t="s">
        <v>30</v>
      </c>
      <c r="E618" s="245">
        <v>10</v>
      </c>
      <c r="F618" s="242" t="s">
        <v>504</v>
      </c>
      <c r="G618" s="242">
        <v>4.5999999999999996</v>
      </c>
      <c r="H618" s="230">
        <f t="shared" si="20"/>
        <v>46</v>
      </c>
    </row>
    <row r="619" spans="1:8" ht="15.75" x14ac:dyDescent="0.25">
      <c r="A619" s="244">
        <v>2009</v>
      </c>
      <c r="B619" s="245" t="s">
        <v>19</v>
      </c>
      <c r="C619" s="246" t="s">
        <v>20</v>
      </c>
      <c r="D619" s="245" t="s">
        <v>30</v>
      </c>
      <c r="E619" s="245">
        <v>20.5</v>
      </c>
      <c r="F619" s="242" t="s">
        <v>504</v>
      </c>
      <c r="G619" s="242">
        <v>4.5999999999999996</v>
      </c>
      <c r="H619" s="230">
        <f t="shared" si="20"/>
        <v>94.3</v>
      </c>
    </row>
    <row r="620" spans="1:8" ht="15.75" x14ac:dyDescent="0.25">
      <c r="A620" s="244">
        <v>2009</v>
      </c>
      <c r="B620" s="245" t="s">
        <v>19</v>
      </c>
      <c r="C620" s="246" t="s">
        <v>20</v>
      </c>
      <c r="D620" s="245" t="s">
        <v>30</v>
      </c>
      <c r="E620" s="245">
        <v>13.5</v>
      </c>
      <c r="F620" s="242" t="s">
        <v>504</v>
      </c>
      <c r="G620" s="242">
        <v>4.5999999999999996</v>
      </c>
      <c r="H620" s="230">
        <f t="shared" si="20"/>
        <v>62.099999999999994</v>
      </c>
    </row>
    <row r="621" spans="1:8" ht="15.75" x14ac:dyDescent="0.25">
      <c r="A621" s="244">
        <v>2009</v>
      </c>
      <c r="B621" s="245" t="s">
        <v>19</v>
      </c>
      <c r="C621" s="246" t="s">
        <v>20</v>
      </c>
      <c r="D621" s="245" t="s">
        <v>30</v>
      </c>
      <c r="E621" s="245">
        <v>15.5</v>
      </c>
      <c r="F621" s="242" t="s">
        <v>504</v>
      </c>
      <c r="G621" s="242">
        <v>4.5999999999999996</v>
      </c>
      <c r="H621" s="230">
        <f t="shared" si="20"/>
        <v>71.3</v>
      </c>
    </row>
    <row r="622" spans="1:8" ht="15.75" x14ac:dyDescent="0.25">
      <c r="A622" s="244">
        <v>2009</v>
      </c>
      <c r="B622" s="245" t="s">
        <v>19</v>
      </c>
      <c r="C622" s="246" t="s">
        <v>20</v>
      </c>
      <c r="D622" s="245" t="s">
        <v>30</v>
      </c>
      <c r="E622" s="245">
        <v>11.5</v>
      </c>
      <c r="F622" s="242" t="s">
        <v>504</v>
      </c>
      <c r="G622" s="242">
        <v>4.5999999999999996</v>
      </c>
      <c r="H622" s="230">
        <f t="shared" si="20"/>
        <v>52.9</v>
      </c>
    </row>
    <row r="623" spans="1:8" ht="15.75" x14ac:dyDescent="0.25">
      <c r="A623" s="244">
        <v>2009</v>
      </c>
      <c r="B623" s="245" t="s">
        <v>19</v>
      </c>
      <c r="C623" s="246" t="s">
        <v>20</v>
      </c>
      <c r="D623" s="245" t="s">
        <v>30</v>
      </c>
      <c r="E623" s="245">
        <v>17</v>
      </c>
      <c r="F623" s="242" t="s">
        <v>504</v>
      </c>
      <c r="G623" s="242">
        <v>4.5999999999999996</v>
      </c>
      <c r="H623" s="230">
        <f t="shared" si="20"/>
        <v>78.199999999999989</v>
      </c>
    </row>
    <row r="624" spans="1:8" ht="15.75" x14ac:dyDescent="0.25">
      <c r="A624" s="244">
        <v>2009</v>
      </c>
      <c r="B624" s="245" t="s">
        <v>19</v>
      </c>
      <c r="C624" s="246" t="s">
        <v>20</v>
      </c>
      <c r="D624" s="245" t="s">
        <v>30</v>
      </c>
      <c r="E624" s="245">
        <v>17.5</v>
      </c>
      <c r="F624" s="242" t="s">
        <v>504</v>
      </c>
      <c r="G624" s="242">
        <v>4.5999999999999996</v>
      </c>
      <c r="H624" s="230">
        <f t="shared" si="20"/>
        <v>80.5</v>
      </c>
    </row>
    <row r="625" spans="1:8" ht="15.75" x14ac:dyDescent="0.25">
      <c r="A625" s="244">
        <v>2009</v>
      </c>
      <c r="B625" s="245" t="s">
        <v>19</v>
      </c>
      <c r="C625" s="246" t="s">
        <v>20</v>
      </c>
      <c r="D625" s="245" t="s">
        <v>30</v>
      </c>
      <c r="E625" s="245">
        <v>8.5</v>
      </c>
      <c r="F625" s="242" t="s">
        <v>504</v>
      </c>
      <c r="G625" s="242">
        <v>4.5999999999999996</v>
      </c>
      <c r="H625" s="230">
        <f t="shared" si="20"/>
        <v>39.099999999999994</v>
      </c>
    </row>
    <row r="626" spans="1:8" ht="15.75" x14ac:dyDescent="0.25">
      <c r="A626" s="244">
        <v>2009</v>
      </c>
      <c r="B626" s="245" t="s">
        <v>19</v>
      </c>
      <c r="C626" s="246" t="s">
        <v>20</v>
      </c>
      <c r="D626" s="245" t="s">
        <v>30</v>
      </c>
      <c r="E626" s="245">
        <v>12</v>
      </c>
      <c r="F626" s="242" t="s">
        <v>504</v>
      </c>
      <c r="G626" s="242">
        <v>4.5999999999999996</v>
      </c>
      <c r="H626" s="230">
        <f t="shared" si="20"/>
        <v>55.199999999999996</v>
      </c>
    </row>
    <row r="627" spans="1:8" ht="15.75" x14ac:dyDescent="0.25">
      <c r="A627" s="244">
        <v>2009</v>
      </c>
      <c r="B627" s="245" t="s">
        <v>19</v>
      </c>
      <c r="C627" s="246" t="s">
        <v>20</v>
      </c>
      <c r="D627" s="245" t="s">
        <v>30</v>
      </c>
      <c r="E627" s="245">
        <v>17</v>
      </c>
      <c r="F627" s="242" t="s">
        <v>504</v>
      </c>
      <c r="G627" s="242">
        <v>4.5999999999999996</v>
      </c>
      <c r="H627" s="230">
        <f t="shared" si="20"/>
        <v>78.199999999999989</v>
      </c>
    </row>
    <row r="628" spans="1:8" ht="15.75" x14ac:dyDescent="0.25">
      <c r="A628" s="244">
        <v>2009</v>
      </c>
      <c r="B628" s="245" t="s">
        <v>19</v>
      </c>
      <c r="C628" s="246" t="s">
        <v>20</v>
      </c>
      <c r="D628" s="245" t="s">
        <v>30</v>
      </c>
      <c r="E628" s="245">
        <v>16.5</v>
      </c>
      <c r="F628" s="242" t="s">
        <v>504</v>
      </c>
      <c r="G628" s="242">
        <v>4.5999999999999996</v>
      </c>
      <c r="H628" s="230">
        <f t="shared" si="20"/>
        <v>75.899999999999991</v>
      </c>
    </row>
    <row r="629" spans="1:8" ht="15.75" x14ac:dyDescent="0.25">
      <c r="A629" s="244">
        <v>2009</v>
      </c>
      <c r="B629" s="245" t="s">
        <v>19</v>
      </c>
      <c r="C629" s="246" t="s">
        <v>20</v>
      </c>
      <c r="D629" s="245" t="s">
        <v>30</v>
      </c>
      <c r="E629" s="245">
        <v>11</v>
      </c>
      <c r="F629" s="242" t="s">
        <v>504</v>
      </c>
      <c r="G629" s="242">
        <v>4.5999999999999996</v>
      </c>
      <c r="H629" s="230">
        <f t="shared" si="20"/>
        <v>50.599999999999994</v>
      </c>
    </row>
    <row r="630" spans="1:8" ht="15.75" x14ac:dyDescent="0.25">
      <c r="A630" s="244">
        <v>2009</v>
      </c>
      <c r="B630" s="245" t="s">
        <v>19</v>
      </c>
      <c r="C630" s="246" t="s">
        <v>20</v>
      </c>
      <c r="D630" s="245" t="s">
        <v>30</v>
      </c>
      <c r="E630" s="245">
        <v>8.5</v>
      </c>
      <c r="F630" s="242" t="s">
        <v>504</v>
      </c>
      <c r="G630" s="242">
        <v>4.5999999999999996</v>
      </c>
      <c r="H630" s="230">
        <f t="shared" si="20"/>
        <v>39.099999999999994</v>
      </c>
    </row>
    <row r="631" spans="1:8" ht="15.75" x14ac:dyDescent="0.25">
      <c r="A631" s="244">
        <v>2009</v>
      </c>
      <c r="B631" s="245" t="s">
        <v>19</v>
      </c>
      <c r="C631" s="246" t="s">
        <v>20</v>
      </c>
      <c r="D631" s="245" t="s">
        <v>30</v>
      </c>
      <c r="E631" s="245">
        <v>10.5</v>
      </c>
      <c r="F631" s="242" t="s">
        <v>504</v>
      </c>
      <c r="G631" s="242">
        <v>4.5999999999999996</v>
      </c>
      <c r="H631" s="230">
        <f t="shared" si="20"/>
        <v>48.3</v>
      </c>
    </row>
    <row r="632" spans="1:8" ht="15.75" x14ac:dyDescent="0.25">
      <c r="A632" s="244">
        <v>2009</v>
      </c>
      <c r="B632" s="245" t="s">
        <v>19</v>
      </c>
      <c r="C632" s="246" t="s">
        <v>20</v>
      </c>
      <c r="D632" s="245" t="s">
        <v>30</v>
      </c>
      <c r="E632" s="245">
        <v>15.8</v>
      </c>
      <c r="F632" s="242" t="s">
        <v>504</v>
      </c>
      <c r="G632" s="242">
        <v>4.5999999999999996</v>
      </c>
      <c r="H632" s="230">
        <f t="shared" si="20"/>
        <v>72.679999999999993</v>
      </c>
    </row>
    <row r="633" spans="1:8" ht="15.75" x14ac:dyDescent="0.25">
      <c r="A633" s="244">
        <v>2009</v>
      </c>
      <c r="B633" s="245" t="s">
        <v>19</v>
      </c>
      <c r="C633" s="246" t="s">
        <v>20</v>
      </c>
      <c r="D633" s="245" t="s">
        <v>30</v>
      </c>
      <c r="E633" s="245">
        <v>11.5</v>
      </c>
      <c r="F633" s="242" t="s">
        <v>504</v>
      </c>
      <c r="G633" s="242">
        <v>4.5999999999999996</v>
      </c>
      <c r="H633" s="230">
        <f t="shared" si="20"/>
        <v>52.9</v>
      </c>
    </row>
    <row r="634" spans="1:8" ht="15.75" x14ac:dyDescent="0.25">
      <c r="A634" s="244">
        <v>2009</v>
      </c>
      <c r="B634" s="245" t="s">
        <v>19</v>
      </c>
      <c r="C634" s="246" t="s">
        <v>20</v>
      </c>
      <c r="D634" s="245" t="s">
        <v>30</v>
      </c>
      <c r="E634" s="245">
        <v>14</v>
      </c>
      <c r="F634" s="242" t="s">
        <v>504</v>
      </c>
      <c r="G634" s="242">
        <v>4.5999999999999996</v>
      </c>
      <c r="H634" s="230">
        <f t="shared" si="20"/>
        <v>64.399999999999991</v>
      </c>
    </row>
    <row r="635" spans="1:8" ht="15.75" x14ac:dyDescent="0.25">
      <c r="A635" s="244">
        <v>2009</v>
      </c>
      <c r="B635" s="245" t="s">
        <v>19</v>
      </c>
      <c r="C635" s="246" t="s">
        <v>20</v>
      </c>
      <c r="D635" s="245" t="s">
        <v>30</v>
      </c>
      <c r="E635" s="245">
        <v>9.5</v>
      </c>
      <c r="F635" s="242" t="s">
        <v>504</v>
      </c>
      <c r="G635" s="242">
        <v>4.5999999999999996</v>
      </c>
      <c r="H635" s="230">
        <f t="shared" si="20"/>
        <v>43.699999999999996</v>
      </c>
    </row>
    <row r="636" spans="1:8" ht="15.75" x14ac:dyDescent="0.25">
      <c r="A636" s="244">
        <v>2009</v>
      </c>
      <c r="B636" s="245" t="s">
        <v>19</v>
      </c>
      <c r="C636" s="246" t="s">
        <v>20</v>
      </c>
      <c r="D636" s="245" t="s">
        <v>30</v>
      </c>
      <c r="E636" s="245">
        <v>6</v>
      </c>
      <c r="F636" s="242" t="s">
        <v>504</v>
      </c>
      <c r="G636" s="242">
        <v>4.5999999999999996</v>
      </c>
      <c r="H636" s="230">
        <f t="shared" si="20"/>
        <v>27.599999999999998</v>
      </c>
    </row>
    <row r="637" spans="1:8" ht="15.75" x14ac:dyDescent="0.25">
      <c r="A637" s="244">
        <v>2009</v>
      </c>
      <c r="B637" s="245" t="s">
        <v>19</v>
      </c>
      <c r="C637" s="246" t="s">
        <v>20</v>
      </c>
      <c r="D637" s="245" t="s">
        <v>21</v>
      </c>
      <c r="E637" s="245">
        <v>7.5</v>
      </c>
      <c r="F637" s="242" t="s">
        <v>507</v>
      </c>
      <c r="G637" s="242">
        <v>3.9</v>
      </c>
      <c r="H637" s="230">
        <f t="shared" si="20"/>
        <v>29.25</v>
      </c>
    </row>
    <row r="638" spans="1:8" ht="15.75" x14ac:dyDescent="0.25">
      <c r="A638" s="244">
        <v>2009</v>
      </c>
      <c r="B638" s="245" t="s">
        <v>19</v>
      </c>
      <c r="C638" s="246" t="s">
        <v>20</v>
      </c>
      <c r="D638" s="245" t="s">
        <v>21</v>
      </c>
      <c r="E638" s="245">
        <v>7</v>
      </c>
      <c r="F638" s="242" t="s">
        <v>507</v>
      </c>
      <c r="G638" s="242">
        <v>3.9</v>
      </c>
      <c r="H638" s="230">
        <f t="shared" si="20"/>
        <v>27.3</v>
      </c>
    </row>
    <row r="639" spans="1:8" ht="15.75" x14ac:dyDescent="0.25">
      <c r="A639" s="244">
        <v>2009</v>
      </c>
      <c r="B639" s="245" t="s">
        <v>19</v>
      </c>
      <c r="C639" s="246" t="s">
        <v>20</v>
      </c>
      <c r="D639" s="245" t="s">
        <v>21</v>
      </c>
      <c r="E639" s="245">
        <v>6.5</v>
      </c>
      <c r="F639" s="242" t="s">
        <v>507</v>
      </c>
      <c r="G639" s="242">
        <v>3.9</v>
      </c>
      <c r="H639" s="230">
        <f t="shared" si="20"/>
        <v>25.349999999999998</v>
      </c>
    </row>
    <row r="640" spans="1:8" ht="15.75" x14ac:dyDescent="0.25">
      <c r="A640" s="244">
        <v>2009</v>
      </c>
      <c r="B640" s="245" t="s">
        <v>19</v>
      </c>
      <c r="C640" s="246" t="s">
        <v>20</v>
      </c>
      <c r="D640" s="245" t="s">
        <v>21</v>
      </c>
      <c r="E640" s="245">
        <v>13</v>
      </c>
      <c r="F640" s="242" t="s">
        <v>507</v>
      </c>
      <c r="G640" s="242">
        <v>3.9</v>
      </c>
      <c r="H640" s="230">
        <f t="shared" si="20"/>
        <v>50.699999999999996</v>
      </c>
    </row>
    <row r="641" spans="1:8" ht="15.75" x14ac:dyDescent="0.25">
      <c r="A641" s="244">
        <v>2009</v>
      </c>
      <c r="B641" s="245" t="s">
        <v>19</v>
      </c>
      <c r="C641" s="246" t="s">
        <v>20</v>
      </c>
      <c r="D641" s="245" t="s">
        <v>21</v>
      </c>
      <c r="E641" s="245">
        <v>14.5</v>
      </c>
      <c r="F641" s="242" t="s">
        <v>507</v>
      </c>
      <c r="G641" s="242">
        <v>3.9</v>
      </c>
      <c r="H641" s="230">
        <f t="shared" si="20"/>
        <v>56.55</v>
      </c>
    </row>
    <row r="642" spans="1:8" ht="15.75" x14ac:dyDescent="0.25">
      <c r="A642" s="244">
        <v>2009</v>
      </c>
      <c r="B642" s="245" t="s">
        <v>19</v>
      </c>
      <c r="C642" s="246" t="s">
        <v>20</v>
      </c>
      <c r="D642" s="245" t="s">
        <v>21</v>
      </c>
      <c r="E642" s="245">
        <v>10</v>
      </c>
      <c r="F642" s="242" t="s">
        <v>507</v>
      </c>
      <c r="G642" s="242">
        <v>3.9</v>
      </c>
      <c r="H642" s="230">
        <f t="shared" si="20"/>
        <v>39</v>
      </c>
    </row>
    <row r="643" spans="1:8" ht="15.75" x14ac:dyDescent="0.25">
      <c r="A643" s="244">
        <v>2009</v>
      </c>
      <c r="B643" s="245" t="s">
        <v>19</v>
      </c>
      <c r="C643" s="246" t="s">
        <v>20</v>
      </c>
      <c r="D643" s="245" t="s">
        <v>21</v>
      </c>
      <c r="E643" s="245">
        <v>11.5</v>
      </c>
      <c r="F643" s="242" t="s">
        <v>507</v>
      </c>
      <c r="G643" s="242">
        <v>3.9</v>
      </c>
      <c r="H643" s="230">
        <f t="shared" ref="H643:H706" si="21">E643*G643</f>
        <v>44.85</v>
      </c>
    </row>
    <row r="644" spans="1:8" ht="15.75" x14ac:dyDescent="0.25">
      <c r="A644" s="244">
        <v>2009</v>
      </c>
      <c r="B644" s="245" t="s">
        <v>19</v>
      </c>
      <c r="C644" s="246" t="s">
        <v>20</v>
      </c>
      <c r="D644" s="245" t="s">
        <v>21</v>
      </c>
      <c r="E644" s="245">
        <v>13.5</v>
      </c>
      <c r="F644" s="242" t="s">
        <v>507</v>
      </c>
      <c r="G644" s="242">
        <v>3.9</v>
      </c>
      <c r="H644" s="230">
        <f t="shared" si="21"/>
        <v>52.65</v>
      </c>
    </row>
    <row r="645" spans="1:8" ht="15.75" x14ac:dyDescent="0.25">
      <c r="A645" s="244">
        <v>2009</v>
      </c>
      <c r="B645" s="245" t="s">
        <v>19</v>
      </c>
      <c r="C645" s="246" t="s">
        <v>20</v>
      </c>
      <c r="D645" s="245" t="s">
        <v>21</v>
      </c>
      <c r="E645" s="245">
        <v>11.5</v>
      </c>
      <c r="F645" s="242" t="s">
        <v>507</v>
      </c>
      <c r="G645" s="242">
        <v>3.9</v>
      </c>
      <c r="H645" s="230">
        <f t="shared" si="21"/>
        <v>44.85</v>
      </c>
    </row>
    <row r="646" spans="1:8" ht="15.75" x14ac:dyDescent="0.25">
      <c r="A646" s="244">
        <v>2009</v>
      </c>
      <c r="B646" s="245" t="s">
        <v>19</v>
      </c>
      <c r="C646" s="246" t="s">
        <v>20</v>
      </c>
      <c r="D646" s="245" t="s">
        <v>21</v>
      </c>
      <c r="E646" s="245">
        <v>8.1999999999999993</v>
      </c>
      <c r="F646" s="242" t="s">
        <v>507</v>
      </c>
      <c r="G646" s="242">
        <v>3.9</v>
      </c>
      <c r="H646" s="230">
        <f t="shared" si="21"/>
        <v>31.979999999999997</v>
      </c>
    </row>
    <row r="647" spans="1:8" ht="15.75" x14ac:dyDescent="0.25">
      <c r="A647" s="244">
        <v>2009</v>
      </c>
      <c r="B647" s="245" t="s">
        <v>19</v>
      </c>
      <c r="C647" s="246" t="s">
        <v>20</v>
      </c>
      <c r="D647" s="245" t="s">
        <v>21</v>
      </c>
      <c r="E647" s="245">
        <v>10</v>
      </c>
      <c r="F647" s="242" t="s">
        <v>507</v>
      </c>
      <c r="G647" s="242">
        <v>3.9</v>
      </c>
      <c r="H647" s="230">
        <f t="shared" si="21"/>
        <v>39</v>
      </c>
    </row>
    <row r="648" spans="1:8" ht="15.75" x14ac:dyDescent="0.25">
      <c r="A648" s="244">
        <v>2009</v>
      </c>
      <c r="B648" s="245" t="s">
        <v>19</v>
      </c>
      <c r="C648" s="246" t="s">
        <v>20</v>
      </c>
      <c r="D648" s="245" t="s">
        <v>21</v>
      </c>
      <c r="E648" s="245">
        <v>10.5</v>
      </c>
      <c r="F648" s="242" t="s">
        <v>507</v>
      </c>
      <c r="G648" s="242">
        <v>3.9</v>
      </c>
      <c r="H648" s="230">
        <f t="shared" si="21"/>
        <v>40.949999999999996</v>
      </c>
    </row>
    <row r="649" spans="1:8" ht="15.75" x14ac:dyDescent="0.25">
      <c r="A649" s="244">
        <v>2008</v>
      </c>
      <c r="B649" s="245" t="s">
        <v>19</v>
      </c>
      <c r="C649" s="246" t="s">
        <v>20</v>
      </c>
      <c r="D649" s="245" t="s">
        <v>30</v>
      </c>
      <c r="E649" s="245">
        <v>10.5</v>
      </c>
      <c r="F649" s="242" t="s">
        <v>504</v>
      </c>
      <c r="G649" s="242">
        <v>4.5999999999999996</v>
      </c>
      <c r="H649" s="230">
        <f t="shared" si="21"/>
        <v>48.3</v>
      </c>
    </row>
    <row r="650" spans="1:8" ht="15.75" x14ac:dyDescent="0.25">
      <c r="A650" s="244">
        <v>2008</v>
      </c>
      <c r="B650" s="245" t="s">
        <v>19</v>
      </c>
      <c r="C650" s="246" t="s">
        <v>20</v>
      </c>
      <c r="D650" s="245" t="s">
        <v>30</v>
      </c>
      <c r="E650" s="245">
        <v>15.5</v>
      </c>
      <c r="F650" s="242" t="s">
        <v>504</v>
      </c>
      <c r="G650" s="242">
        <v>4.5999999999999996</v>
      </c>
      <c r="H650" s="230">
        <f t="shared" si="21"/>
        <v>71.3</v>
      </c>
    </row>
    <row r="651" spans="1:8" ht="15.75" x14ac:dyDescent="0.25">
      <c r="A651" s="244">
        <v>2008</v>
      </c>
      <c r="B651" s="245" t="s">
        <v>19</v>
      </c>
      <c r="C651" s="246" t="s">
        <v>20</v>
      </c>
      <c r="D651" s="245" t="s">
        <v>30</v>
      </c>
      <c r="E651" s="245">
        <v>22.5</v>
      </c>
      <c r="F651" s="242" t="s">
        <v>504</v>
      </c>
      <c r="G651" s="242">
        <v>4.5999999999999996</v>
      </c>
      <c r="H651" s="230">
        <f t="shared" si="21"/>
        <v>103.49999999999999</v>
      </c>
    </row>
    <row r="652" spans="1:8" ht="15.75" x14ac:dyDescent="0.25">
      <c r="A652" s="244">
        <v>2008</v>
      </c>
      <c r="B652" s="245" t="s">
        <v>19</v>
      </c>
      <c r="C652" s="246" t="s">
        <v>20</v>
      </c>
      <c r="D652" s="245" t="s">
        <v>30</v>
      </c>
      <c r="E652" s="245">
        <v>12</v>
      </c>
      <c r="F652" s="242" t="s">
        <v>504</v>
      </c>
      <c r="G652" s="242">
        <v>4.5999999999999996</v>
      </c>
      <c r="H652" s="230">
        <f t="shared" si="21"/>
        <v>55.199999999999996</v>
      </c>
    </row>
    <row r="653" spans="1:8" ht="15.75" x14ac:dyDescent="0.25">
      <c r="A653" s="244">
        <v>2008</v>
      </c>
      <c r="B653" s="245" t="s">
        <v>19</v>
      </c>
      <c r="C653" s="246" t="s">
        <v>20</v>
      </c>
      <c r="D653" s="245" t="s">
        <v>30</v>
      </c>
      <c r="E653" s="245">
        <v>9.5</v>
      </c>
      <c r="F653" s="242" t="s">
        <v>504</v>
      </c>
      <c r="G653" s="242">
        <v>4.5999999999999996</v>
      </c>
      <c r="H653" s="230">
        <f t="shared" si="21"/>
        <v>43.699999999999996</v>
      </c>
    </row>
    <row r="654" spans="1:8" ht="15.75" x14ac:dyDescent="0.25">
      <c r="A654" s="244">
        <v>2008</v>
      </c>
      <c r="B654" s="245" t="s">
        <v>19</v>
      </c>
      <c r="C654" s="246" t="s">
        <v>20</v>
      </c>
      <c r="D654" s="245" t="s">
        <v>30</v>
      </c>
      <c r="E654" s="245">
        <v>13</v>
      </c>
      <c r="F654" s="242" t="s">
        <v>504</v>
      </c>
      <c r="G654" s="242">
        <v>4.5999999999999996</v>
      </c>
      <c r="H654" s="230">
        <f t="shared" si="21"/>
        <v>59.8</v>
      </c>
    </row>
    <row r="655" spans="1:8" ht="15.75" x14ac:dyDescent="0.25">
      <c r="A655" s="244">
        <v>2008</v>
      </c>
      <c r="B655" s="245" t="s">
        <v>19</v>
      </c>
      <c r="C655" s="246" t="s">
        <v>20</v>
      </c>
      <c r="D655" s="245" t="s">
        <v>30</v>
      </c>
      <c r="E655" s="245">
        <v>8.5</v>
      </c>
      <c r="F655" s="242" t="s">
        <v>504</v>
      </c>
      <c r="G655" s="242">
        <v>4.5999999999999996</v>
      </c>
      <c r="H655" s="230">
        <f t="shared" si="21"/>
        <v>39.099999999999994</v>
      </c>
    </row>
    <row r="656" spans="1:8" ht="15.75" x14ac:dyDescent="0.25">
      <c r="A656" s="244">
        <v>2008</v>
      </c>
      <c r="B656" s="245" t="s">
        <v>19</v>
      </c>
      <c r="C656" s="246" t="s">
        <v>20</v>
      </c>
      <c r="D656" s="245" t="s">
        <v>30</v>
      </c>
      <c r="E656" s="245">
        <v>11</v>
      </c>
      <c r="F656" s="242" t="s">
        <v>504</v>
      </c>
      <c r="G656" s="242">
        <v>4.5999999999999996</v>
      </c>
      <c r="H656" s="230">
        <f t="shared" si="21"/>
        <v>50.599999999999994</v>
      </c>
    </row>
    <row r="657" spans="1:8" ht="15.75" x14ac:dyDescent="0.25">
      <c r="A657" s="244">
        <v>2008</v>
      </c>
      <c r="B657" s="245" t="s">
        <v>19</v>
      </c>
      <c r="C657" s="246" t="s">
        <v>20</v>
      </c>
      <c r="D657" s="245" t="s">
        <v>30</v>
      </c>
      <c r="E657" s="245">
        <v>16</v>
      </c>
      <c r="F657" s="242" t="s">
        <v>504</v>
      </c>
      <c r="G657" s="242">
        <v>4.5999999999999996</v>
      </c>
      <c r="H657" s="230">
        <f t="shared" si="21"/>
        <v>73.599999999999994</v>
      </c>
    </row>
    <row r="658" spans="1:8" ht="15.75" x14ac:dyDescent="0.25">
      <c r="A658" s="244">
        <v>2008</v>
      </c>
      <c r="B658" s="245" t="s">
        <v>19</v>
      </c>
      <c r="C658" s="246" t="s">
        <v>20</v>
      </c>
      <c r="D658" s="245" t="s">
        <v>30</v>
      </c>
      <c r="E658" s="245">
        <v>13.5</v>
      </c>
      <c r="F658" s="242" t="s">
        <v>504</v>
      </c>
      <c r="G658" s="242">
        <v>4.5999999999999996</v>
      </c>
      <c r="H658" s="230">
        <f t="shared" si="21"/>
        <v>62.099999999999994</v>
      </c>
    </row>
    <row r="659" spans="1:8" ht="15.75" x14ac:dyDescent="0.25">
      <c r="A659" s="244">
        <v>2008</v>
      </c>
      <c r="B659" s="245" t="s">
        <v>19</v>
      </c>
      <c r="C659" s="246" t="s">
        <v>20</v>
      </c>
      <c r="D659" s="245" t="s">
        <v>30</v>
      </c>
      <c r="E659" s="245">
        <v>22</v>
      </c>
      <c r="F659" s="242" t="s">
        <v>504</v>
      </c>
      <c r="G659" s="242">
        <v>4.5999999999999996</v>
      </c>
      <c r="H659" s="230">
        <f t="shared" si="21"/>
        <v>101.19999999999999</v>
      </c>
    </row>
    <row r="660" spans="1:8" ht="15.75" x14ac:dyDescent="0.25">
      <c r="A660" s="244">
        <v>2008</v>
      </c>
      <c r="B660" s="245" t="s">
        <v>19</v>
      </c>
      <c r="C660" s="246" t="s">
        <v>20</v>
      </c>
      <c r="D660" s="245" t="s">
        <v>30</v>
      </c>
      <c r="E660" s="245">
        <v>21.5</v>
      </c>
      <c r="F660" s="242" t="s">
        <v>504</v>
      </c>
      <c r="G660" s="242">
        <v>4.5999999999999996</v>
      </c>
      <c r="H660" s="230">
        <f t="shared" si="21"/>
        <v>98.899999999999991</v>
      </c>
    </row>
    <row r="661" spans="1:8" ht="15.75" x14ac:dyDescent="0.25">
      <c r="A661" s="244">
        <v>2008</v>
      </c>
      <c r="B661" s="245" t="s">
        <v>19</v>
      </c>
      <c r="C661" s="246" t="s">
        <v>20</v>
      </c>
      <c r="D661" s="245" t="s">
        <v>30</v>
      </c>
      <c r="E661" s="245">
        <v>13</v>
      </c>
      <c r="F661" s="242" t="s">
        <v>504</v>
      </c>
      <c r="G661" s="242">
        <v>4.5999999999999996</v>
      </c>
      <c r="H661" s="230">
        <f t="shared" si="21"/>
        <v>59.8</v>
      </c>
    </row>
    <row r="662" spans="1:8" ht="15.75" x14ac:dyDescent="0.25">
      <c r="A662" s="244">
        <v>2008</v>
      </c>
      <c r="B662" s="245" t="s">
        <v>19</v>
      </c>
      <c r="C662" s="246" t="s">
        <v>20</v>
      </c>
      <c r="D662" s="245" t="s">
        <v>30</v>
      </c>
      <c r="E662" s="245">
        <v>10</v>
      </c>
      <c r="F662" s="242" t="s">
        <v>504</v>
      </c>
      <c r="G662" s="242">
        <v>4.5999999999999996</v>
      </c>
      <c r="H662" s="230">
        <f t="shared" si="21"/>
        <v>46</v>
      </c>
    </row>
    <row r="663" spans="1:8" ht="15.75" x14ac:dyDescent="0.25">
      <c r="A663" s="244">
        <v>2008</v>
      </c>
      <c r="B663" s="245" t="s">
        <v>19</v>
      </c>
      <c r="C663" s="246" t="s">
        <v>20</v>
      </c>
      <c r="D663" s="245" t="s">
        <v>30</v>
      </c>
      <c r="E663" s="245">
        <v>7</v>
      </c>
      <c r="F663" s="242" t="s">
        <v>504</v>
      </c>
      <c r="G663" s="242">
        <v>4.5999999999999996</v>
      </c>
      <c r="H663" s="230">
        <f t="shared" si="21"/>
        <v>32.199999999999996</v>
      </c>
    </row>
    <row r="664" spans="1:8" ht="15.75" x14ac:dyDescent="0.25">
      <c r="A664" s="244">
        <v>2008</v>
      </c>
      <c r="B664" s="245" t="s">
        <v>19</v>
      </c>
      <c r="C664" s="246" t="s">
        <v>20</v>
      </c>
      <c r="D664" s="245" t="s">
        <v>30</v>
      </c>
      <c r="E664" s="245">
        <v>21</v>
      </c>
      <c r="F664" s="242" t="s">
        <v>504</v>
      </c>
      <c r="G664" s="242">
        <v>4.5999999999999996</v>
      </c>
      <c r="H664" s="230">
        <f t="shared" si="21"/>
        <v>96.6</v>
      </c>
    </row>
    <row r="665" spans="1:8" ht="15.75" x14ac:dyDescent="0.25">
      <c r="A665" s="244">
        <v>2008</v>
      </c>
      <c r="B665" s="245" t="s">
        <v>19</v>
      </c>
      <c r="C665" s="246" t="s">
        <v>20</v>
      </c>
      <c r="D665" s="245" t="s">
        <v>30</v>
      </c>
      <c r="E665" s="245">
        <v>5</v>
      </c>
      <c r="F665" s="242" t="s">
        <v>504</v>
      </c>
      <c r="G665" s="242">
        <v>4.5999999999999996</v>
      </c>
      <c r="H665" s="230">
        <f t="shared" si="21"/>
        <v>23</v>
      </c>
    </row>
    <row r="666" spans="1:8" ht="15.75" x14ac:dyDescent="0.25">
      <c r="A666" s="244">
        <v>2008</v>
      </c>
      <c r="B666" s="245" t="s">
        <v>19</v>
      </c>
      <c r="C666" s="246" t="s">
        <v>20</v>
      </c>
      <c r="D666" s="245" t="s">
        <v>30</v>
      </c>
      <c r="E666" s="245">
        <v>11.5</v>
      </c>
      <c r="F666" s="242" t="s">
        <v>504</v>
      </c>
      <c r="G666" s="242">
        <v>4.5999999999999996</v>
      </c>
      <c r="H666" s="230">
        <f t="shared" si="21"/>
        <v>52.9</v>
      </c>
    </row>
    <row r="667" spans="1:8" ht="15.75" x14ac:dyDescent="0.25">
      <c r="A667" s="244">
        <v>2008</v>
      </c>
      <c r="B667" s="245" t="s">
        <v>19</v>
      </c>
      <c r="C667" s="246" t="s">
        <v>20</v>
      </c>
      <c r="D667" s="245" t="s">
        <v>30</v>
      </c>
      <c r="E667" s="245">
        <v>10</v>
      </c>
      <c r="F667" s="242" t="s">
        <v>504</v>
      </c>
      <c r="G667" s="242">
        <v>4.5999999999999996</v>
      </c>
      <c r="H667" s="230">
        <f t="shared" si="21"/>
        <v>46</v>
      </c>
    </row>
    <row r="668" spans="1:8" ht="15.75" x14ac:dyDescent="0.25">
      <c r="A668" s="244">
        <v>2008</v>
      </c>
      <c r="B668" s="245" t="s">
        <v>19</v>
      </c>
      <c r="C668" s="246" t="s">
        <v>20</v>
      </c>
      <c r="D668" s="245" t="s">
        <v>30</v>
      </c>
      <c r="E668" s="245">
        <v>20</v>
      </c>
      <c r="F668" s="242" t="s">
        <v>504</v>
      </c>
      <c r="G668" s="242">
        <v>4.5999999999999996</v>
      </c>
      <c r="H668" s="230">
        <f t="shared" si="21"/>
        <v>92</v>
      </c>
    </row>
    <row r="669" spans="1:8" ht="15.75" x14ac:dyDescent="0.25">
      <c r="A669" s="244">
        <v>2008</v>
      </c>
      <c r="B669" s="245" t="s">
        <v>19</v>
      </c>
      <c r="C669" s="246" t="s">
        <v>20</v>
      </c>
      <c r="D669" s="245" t="s">
        <v>30</v>
      </c>
      <c r="E669" s="245">
        <v>11</v>
      </c>
      <c r="F669" s="242" t="s">
        <v>504</v>
      </c>
      <c r="G669" s="242">
        <v>4.5999999999999996</v>
      </c>
      <c r="H669" s="230">
        <f t="shared" si="21"/>
        <v>50.599999999999994</v>
      </c>
    </row>
    <row r="670" spans="1:8" ht="15.75" x14ac:dyDescent="0.25">
      <c r="A670" s="244">
        <v>2008</v>
      </c>
      <c r="B670" s="245" t="s">
        <v>19</v>
      </c>
      <c r="C670" s="246" t="s">
        <v>20</v>
      </c>
      <c r="D670" s="245" t="s">
        <v>30</v>
      </c>
      <c r="E670" s="245">
        <v>14</v>
      </c>
      <c r="F670" s="242" t="s">
        <v>504</v>
      </c>
      <c r="G670" s="242">
        <v>4.5999999999999996</v>
      </c>
      <c r="H670" s="230">
        <f t="shared" si="21"/>
        <v>64.399999999999991</v>
      </c>
    </row>
    <row r="671" spans="1:8" ht="15.75" x14ac:dyDescent="0.25">
      <c r="A671" s="244">
        <v>2008</v>
      </c>
      <c r="B671" s="245" t="s">
        <v>19</v>
      </c>
      <c r="C671" s="246" t="s">
        <v>20</v>
      </c>
      <c r="D671" s="245" t="s">
        <v>30</v>
      </c>
      <c r="E671" s="245">
        <v>9.5</v>
      </c>
      <c r="F671" s="242" t="s">
        <v>504</v>
      </c>
      <c r="G671" s="242">
        <v>4.5999999999999996</v>
      </c>
      <c r="H671" s="230">
        <f t="shared" si="21"/>
        <v>43.699999999999996</v>
      </c>
    </row>
    <row r="672" spans="1:8" ht="15.75" x14ac:dyDescent="0.25">
      <c r="A672" s="244">
        <v>2008</v>
      </c>
      <c r="B672" s="245" t="s">
        <v>19</v>
      </c>
      <c r="C672" s="246" t="s">
        <v>20</v>
      </c>
      <c r="D672" s="245" t="s">
        <v>30</v>
      </c>
      <c r="E672" s="245">
        <v>14.5</v>
      </c>
      <c r="F672" s="242" t="s">
        <v>504</v>
      </c>
      <c r="G672" s="242">
        <v>4.5999999999999996</v>
      </c>
      <c r="H672" s="230">
        <f t="shared" si="21"/>
        <v>66.699999999999989</v>
      </c>
    </row>
    <row r="673" spans="1:8" ht="15.75" x14ac:dyDescent="0.25">
      <c r="A673" s="244">
        <v>2008</v>
      </c>
      <c r="B673" s="245" t="s">
        <v>19</v>
      </c>
      <c r="C673" s="246" t="s">
        <v>20</v>
      </c>
      <c r="D673" s="245" t="s">
        <v>30</v>
      </c>
      <c r="E673" s="245">
        <v>9.5</v>
      </c>
      <c r="F673" s="242" t="s">
        <v>504</v>
      </c>
      <c r="G673" s="242">
        <v>4.5999999999999996</v>
      </c>
      <c r="H673" s="230">
        <f t="shared" si="21"/>
        <v>43.699999999999996</v>
      </c>
    </row>
    <row r="674" spans="1:8" ht="15.75" x14ac:dyDescent="0.25">
      <c r="A674" s="244">
        <v>2008</v>
      </c>
      <c r="B674" s="245" t="s">
        <v>19</v>
      </c>
      <c r="C674" s="246" t="s">
        <v>20</v>
      </c>
      <c r="D674" s="245" t="s">
        <v>30</v>
      </c>
      <c r="E674" s="245">
        <v>18</v>
      </c>
      <c r="F674" s="242" t="s">
        <v>504</v>
      </c>
      <c r="G674" s="242">
        <v>4.5999999999999996</v>
      </c>
      <c r="H674" s="230">
        <f t="shared" si="21"/>
        <v>82.8</v>
      </c>
    </row>
    <row r="675" spans="1:8" ht="15.75" x14ac:dyDescent="0.25">
      <c r="A675" s="244">
        <v>2008</v>
      </c>
      <c r="B675" s="245" t="s">
        <v>19</v>
      </c>
      <c r="C675" s="246" t="s">
        <v>20</v>
      </c>
      <c r="D675" s="245" t="s">
        <v>30</v>
      </c>
      <c r="E675" s="245">
        <v>21</v>
      </c>
      <c r="F675" s="242" t="s">
        <v>504</v>
      </c>
      <c r="G675" s="242">
        <v>4.5999999999999996</v>
      </c>
      <c r="H675" s="230">
        <f t="shared" si="21"/>
        <v>96.6</v>
      </c>
    </row>
    <row r="676" spans="1:8" ht="15.75" x14ac:dyDescent="0.25">
      <c r="A676" s="244">
        <v>2008</v>
      </c>
      <c r="B676" s="245" t="s">
        <v>19</v>
      </c>
      <c r="C676" s="246" t="s">
        <v>20</v>
      </c>
      <c r="D676" s="245" t="s">
        <v>30</v>
      </c>
      <c r="E676" s="245">
        <v>10</v>
      </c>
      <c r="F676" s="242" t="s">
        <v>504</v>
      </c>
      <c r="G676" s="242">
        <v>4.5999999999999996</v>
      </c>
      <c r="H676" s="230">
        <f t="shared" si="21"/>
        <v>46</v>
      </c>
    </row>
    <row r="677" spans="1:8" ht="15.75" x14ac:dyDescent="0.25">
      <c r="A677" s="244">
        <v>2008</v>
      </c>
      <c r="B677" s="245" t="s">
        <v>19</v>
      </c>
      <c r="C677" s="246" t="s">
        <v>20</v>
      </c>
      <c r="D677" s="245" t="s">
        <v>30</v>
      </c>
      <c r="E677" s="245">
        <v>17</v>
      </c>
      <c r="F677" s="242" t="s">
        <v>504</v>
      </c>
      <c r="G677" s="242">
        <v>4.5999999999999996</v>
      </c>
      <c r="H677" s="230">
        <f t="shared" si="21"/>
        <v>78.199999999999989</v>
      </c>
    </row>
    <row r="678" spans="1:8" ht="15.75" x14ac:dyDescent="0.25">
      <c r="A678" s="244">
        <v>2008</v>
      </c>
      <c r="B678" s="245" t="s">
        <v>19</v>
      </c>
      <c r="C678" s="246" t="s">
        <v>20</v>
      </c>
      <c r="D678" s="245" t="s">
        <v>30</v>
      </c>
      <c r="E678" s="245">
        <v>13</v>
      </c>
      <c r="F678" s="242" t="s">
        <v>504</v>
      </c>
      <c r="G678" s="242">
        <v>4.5999999999999996</v>
      </c>
      <c r="H678" s="230">
        <f t="shared" si="21"/>
        <v>59.8</v>
      </c>
    </row>
    <row r="679" spans="1:8" ht="15.75" x14ac:dyDescent="0.25">
      <c r="A679" s="244">
        <v>2008</v>
      </c>
      <c r="B679" s="245" t="s">
        <v>19</v>
      </c>
      <c r="C679" s="246" t="s">
        <v>20</v>
      </c>
      <c r="D679" s="245" t="s">
        <v>30</v>
      </c>
      <c r="E679" s="245">
        <v>20</v>
      </c>
      <c r="F679" s="242" t="s">
        <v>504</v>
      </c>
      <c r="G679" s="242">
        <v>4.5999999999999996</v>
      </c>
      <c r="H679" s="230">
        <f t="shared" si="21"/>
        <v>92</v>
      </c>
    </row>
    <row r="680" spans="1:8" ht="15.75" x14ac:dyDescent="0.25">
      <c r="A680" s="244">
        <v>2008</v>
      </c>
      <c r="B680" s="245" t="s">
        <v>19</v>
      </c>
      <c r="C680" s="246" t="s">
        <v>20</v>
      </c>
      <c r="D680" s="245" t="s">
        <v>30</v>
      </c>
      <c r="E680" s="245">
        <v>15</v>
      </c>
      <c r="F680" s="242" t="s">
        <v>504</v>
      </c>
      <c r="G680" s="242">
        <v>4.5999999999999996</v>
      </c>
      <c r="H680" s="230">
        <f t="shared" si="21"/>
        <v>69</v>
      </c>
    </row>
    <row r="681" spans="1:8" ht="15.75" x14ac:dyDescent="0.25">
      <c r="A681" s="244">
        <v>2008</v>
      </c>
      <c r="B681" s="245" t="s">
        <v>19</v>
      </c>
      <c r="C681" s="246" t="s">
        <v>20</v>
      </c>
      <c r="D681" s="245" t="s">
        <v>30</v>
      </c>
      <c r="E681" s="245">
        <v>9</v>
      </c>
      <c r="F681" s="242" t="s">
        <v>504</v>
      </c>
      <c r="G681" s="242">
        <v>4.5999999999999996</v>
      </c>
      <c r="H681" s="230">
        <f t="shared" si="21"/>
        <v>41.4</v>
      </c>
    </row>
    <row r="682" spans="1:8" ht="15.75" x14ac:dyDescent="0.25">
      <c r="A682" s="244">
        <v>2008</v>
      </c>
      <c r="B682" s="245" t="s">
        <v>19</v>
      </c>
      <c r="C682" s="246" t="s">
        <v>20</v>
      </c>
      <c r="D682" s="245" t="s">
        <v>30</v>
      </c>
      <c r="E682" s="245">
        <v>13.5</v>
      </c>
      <c r="F682" s="242" t="s">
        <v>504</v>
      </c>
      <c r="G682" s="242">
        <v>4.5999999999999996</v>
      </c>
      <c r="H682" s="230">
        <f t="shared" si="21"/>
        <v>62.099999999999994</v>
      </c>
    </row>
    <row r="683" spans="1:8" ht="15.75" x14ac:dyDescent="0.25">
      <c r="A683" s="244">
        <v>2008</v>
      </c>
      <c r="B683" s="245" t="s">
        <v>19</v>
      </c>
      <c r="C683" s="246" t="s">
        <v>20</v>
      </c>
      <c r="D683" s="245" t="s">
        <v>30</v>
      </c>
      <c r="E683" s="245">
        <v>13</v>
      </c>
      <c r="F683" s="242" t="s">
        <v>504</v>
      </c>
      <c r="G683" s="242">
        <v>4.5999999999999996</v>
      </c>
      <c r="H683" s="230">
        <f t="shared" si="21"/>
        <v>59.8</v>
      </c>
    </row>
    <row r="684" spans="1:8" ht="15.75" x14ac:dyDescent="0.25">
      <c r="A684" s="244">
        <v>2008</v>
      </c>
      <c r="B684" s="245" t="s">
        <v>19</v>
      </c>
      <c r="C684" s="246" t="s">
        <v>20</v>
      </c>
      <c r="D684" s="245" t="s">
        <v>30</v>
      </c>
      <c r="E684" s="245">
        <v>13.2</v>
      </c>
      <c r="F684" s="242" t="s">
        <v>504</v>
      </c>
      <c r="G684" s="242">
        <v>4.5999999999999996</v>
      </c>
      <c r="H684" s="230">
        <f t="shared" si="21"/>
        <v>60.719999999999992</v>
      </c>
    </row>
    <row r="685" spans="1:8" ht="15.75" x14ac:dyDescent="0.25">
      <c r="A685" s="244">
        <v>2008</v>
      </c>
      <c r="B685" s="245" t="s">
        <v>19</v>
      </c>
      <c r="C685" s="246" t="s">
        <v>20</v>
      </c>
      <c r="D685" s="245" t="s">
        <v>30</v>
      </c>
      <c r="E685" s="245">
        <v>13.5</v>
      </c>
      <c r="F685" s="242" t="s">
        <v>504</v>
      </c>
      <c r="G685" s="242">
        <v>4.5999999999999996</v>
      </c>
      <c r="H685" s="230">
        <f t="shared" si="21"/>
        <v>62.099999999999994</v>
      </c>
    </row>
    <row r="686" spans="1:8" ht="15.75" x14ac:dyDescent="0.25">
      <c r="A686" s="244">
        <v>2008</v>
      </c>
      <c r="B686" s="245" t="s">
        <v>19</v>
      </c>
      <c r="C686" s="246" t="s">
        <v>20</v>
      </c>
      <c r="D686" s="245" t="s">
        <v>30</v>
      </c>
      <c r="E686" s="245">
        <v>14</v>
      </c>
      <c r="F686" s="242" t="s">
        <v>504</v>
      </c>
      <c r="G686" s="242">
        <v>4.5999999999999996</v>
      </c>
      <c r="H686" s="230">
        <f t="shared" si="21"/>
        <v>64.399999999999991</v>
      </c>
    </row>
    <row r="687" spans="1:8" ht="15.75" x14ac:dyDescent="0.25">
      <c r="A687" s="244">
        <v>2008</v>
      </c>
      <c r="B687" s="245" t="s">
        <v>19</v>
      </c>
      <c r="C687" s="246" t="s">
        <v>20</v>
      </c>
      <c r="D687" s="245" t="s">
        <v>21</v>
      </c>
      <c r="E687" s="245">
        <v>11.5</v>
      </c>
      <c r="F687" s="242" t="s">
        <v>507</v>
      </c>
      <c r="G687" s="242">
        <v>3.9</v>
      </c>
      <c r="H687" s="230">
        <f t="shared" si="21"/>
        <v>44.85</v>
      </c>
    </row>
    <row r="688" spans="1:8" ht="15.75" x14ac:dyDescent="0.25">
      <c r="A688" s="244">
        <v>2008</v>
      </c>
      <c r="B688" s="245" t="s">
        <v>19</v>
      </c>
      <c r="C688" s="246" t="s">
        <v>20</v>
      </c>
      <c r="D688" s="245" t="s">
        <v>21</v>
      </c>
      <c r="E688" s="245">
        <v>11</v>
      </c>
      <c r="F688" s="242" t="s">
        <v>507</v>
      </c>
      <c r="G688" s="242">
        <v>3.9</v>
      </c>
      <c r="H688" s="230">
        <f t="shared" si="21"/>
        <v>42.9</v>
      </c>
    </row>
    <row r="689" spans="1:8" ht="15.75" x14ac:dyDescent="0.25">
      <c r="A689" s="244">
        <v>2008</v>
      </c>
      <c r="B689" s="245" t="s">
        <v>19</v>
      </c>
      <c r="C689" s="246" t="s">
        <v>20</v>
      </c>
      <c r="D689" s="245" t="s">
        <v>21</v>
      </c>
      <c r="E689" s="245">
        <v>11.5</v>
      </c>
      <c r="F689" s="242" t="s">
        <v>507</v>
      </c>
      <c r="G689" s="242">
        <v>3.9</v>
      </c>
      <c r="H689" s="230">
        <f t="shared" si="21"/>
        <v>44.85</v>
      </c>
    </row>
    <row r="690" spans="1:8" ht="15.75" x14ac:dyDescent="0.25">
      <c r="A690" s="244">
        <v>2008</v>
      </c>
      <c r="B690" s="245" t="s">
        <v>19</v>
      </c>
      <c r="C690" s="246" t="s">
        <v>20</v>
      </c>
      <c r="D690" s="245" t="s">
        <v>21</v>
      </c>
      <c r="E690" s="245">
        <v>11</v>
      </c>
      <c r="F690" s="242" t="s">
        <v>507</v>
      </c>
      <c r="G690" s="242">
        <v>3.9</v>
      </c>
      <c r="H690" s="230">
        <f t="shared" si="21"/>
        <v>42.9</v>
      </c>
    </row>
    <row r="691" spans="1:8" ht="15.75" x14ac:dyDescent="0.25">
      <c r="A691" s="244">
        <v>2008</v>
      </c>
      <c r="B691" s="245" t="s">
        <v>19</v>
      </c>
      <c r="C691" s="246" t="s">
        <v>20</v>
      </c>
      <c r="D691" s="245" t="s">
        <v>21</v>
      </c>
      <c r="E691" s="245">
        <v>11.5</v>
      </c>
      <c r="F691" s="242" t="s">
        <v>507</v>
      </c>
      <c r="G691" s="242">
        <v>3.9</v>
      </c>
      <c r="H691" s="230">
        <f t="shared" si="21"/>
        <v>44.85</v>
      </c>
    </row>
    <row r="692" spans="1:8" ht="15.75" x14ac:dyDescent="0.25">
      <c r="A692" s="244">
        <v>2008</v>
      </c>
      <c r="B692" s="245" t="s">
        <v>19</v>
      </c>
      <c r="C692" s="246" t="s">
        <v>20</v>
      </c>
      <c r="D692" s="245" t="s">
        <v>21</v>
      </c>
      <c r="E692" s="245">
        <v>14</v>
      </c>
      <c r="F692" s="242" t="s">
        <v>507</v>
      </c>
      <c r="G692" s="242">
        <v>3.9</v>
      </c>
      <c r="H692" s="230">
        <f t="shared" si="21"/>
        <v>54.6</v>
      </c>
    </row>
    <row r="693" spans="1:8" ht="15.75" x14ac:dyDescent="0.25">
      <c r="A693" s="244">
        <v>2008</v>
      </c>
      <c r="B693" s="245" t="s">
        <v>19</v>
      </c>
      <c r="C693" s="246" t="s">
        <v>20</v>
      </c>
      <c r="D693" s="245" t="s">
        <v>21</v>
      </c>
      <c r="E693" s="245">
        <v>8</v>
      </c>
      <c r="F693" s="242" t="s">
        <v>507</v>
      </c>
      <c r="G693" s="242">
        <v>3.9</v>
      </c>
      <c r="H693" s="230">
        <f t="shared" si="21"/>
        <v>31.2</v>
      </c>
    </row>
    <row r="694" spans="1:8" ht="15.75" x14ac:dyDescent="0.25">
      <c r="A694" s="244">
        <v>2008</v>
      </c>
      <c r="B694" s="245" t="s">
        <v>19</v>
      </c>
      <c r="C694" s="246" t="s">
        <v>20</v>
      </c>
      <c r="D694" s="245" t="s">
        <v>21</v>
      </c>
      <c r="E694" s="245">
        <v>9.5</v>
      </c>
      <c r="F694" s="242" t="s">
        <v>507</v>
      </c>
      <c r="G694" s="242">
        <v>3.9</v>
      </c>
      <c r="H694" s="230">
        <f t="shared" si="21"/>
        <v>37.049999999999997</v>
      </c>
    </row>
    <row r="695" spans="1:8" ht="15.75" x14ac:dyDescent="0.25">
      <c r="A695" s="244">
        <v>2008</v>
      </c>
      <c r="B695" s="245" t="s">
        <v>19</v>
      </c>
      <c r="C695" s="246" t="s">
        <v>20</v>
      </c>
      <c r="D695" s="245" t="s">
        <v>21</v>
      </c>
      <c r="E695" s="245">
        <v>13</v>
      </c>
      <c r="F695" s="242" t="s">
        <v>507</v>
      </c>
      <c r="G695" s="242">
        <v>3.9</v>
      </c>
      <c r="H695" s="230">
        <f t="shared" si="21"/>
        <v>50.699999999999996</v>
      </c>
    </row>
    <row r="696" spans="1:8" ht="15.75" x14ac:dyDescent="0.25">
      <c r="A696" s="244">
        <v>2008</v>
      </c>
      <c r="B696" s="245" t="s">
        <v>19</v>
      </c>
      <c r="C696" s="246" t="s">
        <v>20</v>
      </c>
      <c r="D696" s="245" t="s">
        <v>21</v>
      </c>
      <c r="E696" s="245">
        <v>7</v>
      </c>
      <c r="F696" s="242" t="s">
        <v>507</v>
      </c>
      <c r="G696" s="242">
        <v>3.9</v>
      </c>
      <c r="H696" s="230">
        <f t="shared" si="21"/>
        <v>27.3</v>
      </c>
    </row>
    <row r="697" spans="1:8" ht="15.75" x14ac:dyDescent="0.25">
      <c r="A697" s="244">
        <v>2008</v>
      </c>
      <c r="B697" s="245" t="s">
        <v>19</v>
      </c>
      <c r="C697" s="246" t="s">
        <v>20</v>
      </c>
      <c r="D697" s="245" t="s">
        <v>21</v>
      </c>
      <c r="E697" s="245">
        <v>13</v>
      </c>
      <c r="F697" s="242" t="s">
        <v>507</v>
      </c>
      <c r="G697" s="242">
        <v>3.9</v>
      </c>
      <c r="H697" s="230">
        <f t="shared" si="21"/>
        <v>50.699999999999996</v>
      </c>
    </row>
    <row r="698" spans="1:8" ht="15.75" x14ac:dyDescent="0.25">
      <c r="A698" s="244">
        <v>2008</v>
      </c>
      <c r="B698" s="245" t="s">
        <v>19</v>
      </c>
      <c r="C698" s="246" t="s">
        <v>20</v>
      </c>
      <c r="D698" s="245" t="s">
        <v>21</v>
      </c>
      <c r="E698" s="245">
        <v>13.5</v>
      </c>
      <c r="F698" s="242" t="s">
        <v>507</v>
      </c>
      <c r="G698" s="242">
        <v>3.9</v>
      </c>
      <c r="H698" s="230">
        <f t="shared" si="21"/>
        <v>52.65</v>
      </c>
    </row>
    <row r="699" spans="1:8" ht="15.75" x14ac:dyDescent="0.25">
      <c r="A699" s="244">
        <v>2008</v>
      </c>
      <c r="B699" s="245" t="s">
        <v>19</v>
      </c>
      <c r="C699" s="246" t="s">
        <v>20</v>
      </c>
      <c r="D699" s="245" t="s">
        <v>21</v>
      </c>
      <c r="E699" s="245">
        <v>10</v>
      </c>
      <c r="F699" s="242" t="s">
        <v>507</v>
      </c>
      <c r="G699" s="242">
        <v>3.9</v>
      </c>
      <c r="H699" s="230">
        <f t="shared" si="21"/>
        <v>39</v>
      </c>
    </row>
    <row r="700" spans="1:8" ht="15.75" x14ac:dyDescent="0.25">
      <c r="A700" s="244">
        <v>2008</v>
      </c>
      <c r="B700" s="245" t="s">
        <v>19</v>
      </c>
      <c r="C700" s="246" t="s">
        <v>20</v>
      </c>
      <c r="D700" s="245" t="s">
        <v>21</v>
      </c>
      <c r="E700" s="245">
        <v>9</v>
      </c>
      <c r="F700" s="242" t="s">
        <v>507</v>
      </c>
      <c r="G700" s="242">
        <v>3.9</v>
      </c>
      <c r="H700" s="230">
        <f t="shared" si="21"/>
        <v>35.1</v>
      </c>
    </row>
    <row r="701" spans="1:8" ht="15.75" x14ac:dyDescent="0.25">
      <c r="A701" s="244">
        <v>2008</v>
      </c>
      <c r="B701" s="245" t="s">
        <v>19</v>
      </c>
      <c r="C701" s="246" t="s">
        <v>20</v>
      </c>
      <c r="D701" s="245" t="s">
        <v>21</v>
      </c>
      <c r="E701" s="245">
        <v>11</v>
      </c>
      <c r="F701" s="242" t="s">
        <v>507</v>
      </c>
      <c r="G701" s="242">
        <v>3.9</v>
      </c>
      <c r="H701" s="230">
        <f t="shared" si="21"/>
        <v>42.9</v>
      </c>
    </row>
    <row r="702" spans="1:8" ht="15.75" x14ac:dyDescent="0.25">
      <c r="A702" s="244">
        <v>2008</v>
      </c>
      <c r="B702" s="245" t="s">
        <v>19</v>
      </c>
      <c r="C702" s="246" t="s">
        <v>20</v>
      </c>
      <c r="D702" s="245" t="s">
        <v>21</v>
      </c>
      <c r="E702" s="245">
        <v>11</v>
      </c>
      <c r="F702" s="242" t="s">
        <v>507</v>
      </c>
      <c r="G702" s="242">
        <v>3.9</v>
      </c>
      <c r="H702" s="230">
        <f t="shared" si="21"/>
        <v>42.9</v>
      </c>
    </row>
    <row r="703" spans="1:8" ht="15.75" x14ac:dyDescent="0.25">
      <c r="A703" s="244">
        <v>2008</v>
      </c>
      <c r="B703" s="245" t="s">
        <v>19</v>
      </c>
      <c r="C703" s="246" t="s">
        <v>20</v>
      </c>
      <c r="D703" s="245" t="s">
        <v>21</v>
      </c>
      <c r="E703" s="245">
        <v>6.5</v>
      </c>
      <c r="F703" s="242" t="s">
        <v>507</v>
      </c>
      <c r="G703" s="242">
        <v>3.9</v>
      </c>
      <c r="H703" s="230">
        <f t="shared" si="21"/>
        <v>25.349999999999998</v>
      </c>
    </row>
    <row r="704" spans="1:8" ht="15.75" x14ac:dyDescent="0.25">
      <c r="A704" s="244">
        <v>2008</v>
      </c>
      <c r="B704" s="245" t="s">
        <v>19</v>
      </c>
      <c r="C704" s="246" t="s">
        <v>20</v>
      </c>
      <c r="D704" s="245" t="s">
        <v>21</v>
      </c>
      <c r="E704" s="245">
        <v>6.5</v>
      </c>
      <c r="F704" s="242" t="s">
        <v>507</v>
      </c>
      <c r="G704" s="242">
        <v>3.9</v>
      </c>
      <c r="H704" s="230">
        <f t="shared" si="21"/>
        <v>25.349999999999998</v>
      </c>
    </row>
    <row r="705" spans="1:8" ht="15.75" x14ac:dyDescent="0.25">
      <c r="A705" s="244">
        <v>2008</v>
      </c>
      <c r="B705" s="245" t="s">
        <v>19</v>
      </c>
      <c r="C705" s="246" t="s">
        <v>20</v>
      </c>
      <c r="D705" s="245" t="s">
        <v>21</v>
      </c>
      <c r="E705" s="245">
        <v>14</v>
      </c>
      <c r="F705" s="242" t="s">
        <v>507</v>
      </c>
      <c r="G705" s="242">
        <v>3.9</v>
      </c>
      <c r="H705" s="230">
        <f t="shared" si="21"/>
        <v>54.6</v>
      </c>
    </row>
    <row r="706" spans="1:8" ht="15.75" x14ac:dyDescent="0.25">
      <c r="A706" s="244">
        <v>2008</v>
      </c>
      <c r="B706" s="245" t="s">
        <v>19</v>
      </c>
      <c r="C706" s="246" t="s">
        <v>20</v>
      </c>
      <c r="D706" s="245" t="s">
        <v>21</v>
      </c>
      <c r="E706" s="245">
        <v>11</v>
      </c>
      <c r="F706" s="242" t="s">
        <v>507</v>
      </c>
      <c r="G706" s="242">
        <v>3.9</v>
      </c>
      <c r="H706" s="230">
        <f t="shared" si="21"/>
        <v>42.9</v>
      </c>
    </row>
    <row r="707" spans="1:8" ht="15.75" x14ac:dyDescent="0.25">
      <c r="A707" s="244">
        <v>2008</v>
      </c>
      <c r="B707" s="245" t="s">
        <v>19</v>
      </c>
      <c r="C707" s="246" t="s">
        <v>20</v>
      </c>
      <c r="D707" s="245" t="s">
        <v>21</v>
      </c>
      <c r="E707" s="245">
        <v>10</v>
      </c>
      <c r="F707" s="242" t="s">
        <v>507</v>
      </c>
      <c r="G707" s="242">
        <v>3.9</v>
      </c>
      <c r="H707" s="230">
        <f t="shared" ref="H707:H770" si="22">E707*G707</f>
        <v>39</v>
      </c>
    </row>
    <row r="708" spans="1:8" ht="15.75" x14ac:dyDescent="0.25">
      <c r="A708" s="244">
        <v>2008</v>
      </c>
      <c r="B708" s="245" t="s">
        <v>19</v>
      </c>
      <c r="C708" s="246" t="s">
        <v>20</v>
      </c>
      <c r="D708" s="245" t="s">
        <v>21</v>
      </c>
      <c r="E708" s="245">
        <v>18.5</v>
      </c>
      <c r="F708" s="242" t="s">
        <v>507</v>
      </c>
      <c r="G708" s="242">
        <v>3.9</v>
      </c>
      <c r="H708" s="230">
        <f t="shared" si="22"/>
        <v>72.149999999999991</v>
      </c>
    </row>
    <row r="709" spans="1:8" ht="15.75" x14ac:dyDescent="0.25">
      <c r="A709" s="244">
        <v>2008</v>
      </c>
      <c r="B709" s="245" t="s">
        <v>19</v>
      </c>
      <c r="C709" s="246" t="s">
        <v>20</v>
      </c>
      <c r="D709" s="245" t="s">
        <v>21</v>
      </c>
      <c r="E709" s="245">
        <v>13.5</v>
      </c>
      <c r="F709" s="242" t="s">
        <v>507</v>
      </c>
      <c r="G709" s="242">
        <v>3.9</v>
      </c>
      <c r="H709" s="230">
        <f t="shared" si="22"/>
        <v>52.65</v>
      </c>
    </row>
    <row r="710" spans="1:8" ht="15.75" x14ac:dyDescent="0.25">
      <c r="A710" s="244">
        <v>2008</v>
      </c>
      <c r="B710" s="245" t="s">
        <v>19</v>
      </c>
      <c r="C710" s="246" t="s">
        <v>20</v>
      </c>
      <c r="D710" s="245" t="s">
        <v>21</v>
      </c>
      <c r="E710" s="245">
        <v>8</v>
      </c>
      <c r="F710" s="242" t="s">
        <v>507</v>
      </c>
      <c r="G710" s="242">
        <v>3.9</v>
      </c>
      <c r="H710" s="230">
        <f t="shared" si="22"/>
        <v>31.2</v>
      </c>
    </row>
    <row r="711" spans="1:8" ht="15.75" x14ac:dyDescent="0.25">
      <c r="A711" s="244">
        <v>2008</v>
      </c>
      <c r="B711" s="245" t="s">
        <v>19</v>
      </c>
      <c r="C711" s="246" t="s">
        <v>20</v>
      </c>
      <c r="D711" s="245" t="s">
        <v>21</v>
      </c>
      <c r="E711" s="245">
        <v>10.5</v>
      </c>
      <c r="F711" s="242" t="s">
        <v>507</v>
      </c>
      <c r="G711" s="242">
        <v>3.9</v>
      </c>
      <c r="H711" s="230">
        <f t="shared" si="22"/>
        <v>40.949999999999996</v>
      </c>
    </row>
    <row r="712" spans="1:8" ht="15.75" x14ac:dyDescent="0.25">
      <c r="A712" s="244">
        <v>2008</v>
      </c>
      <c r="B712" s="245" t="s">
        <v>19</v>
      </c>
      <c r="C712" s="246" t="s">
        <v>20</v>
      </c>
      <c r="D712" s="245" t="s">
        <v>21</v>
      </c>
      <c r="E712" s="245">
        <v>8</v>
      </c>
      <c r="F712" s="242" t="s">
        <v>507</v>
      </c>
      <c r="G712" s="242">
        <v>3.9</v>
      </c>
      <c r="H712" s="230">
        <f t="shared" si="22"/>
        <v>31.2</v>
      </c>
    </row>
    <row r="713" spans="1:8" ht="15.75" x14ac:dyDescent="0.25">
      <c r="A713" s="244">
        <v>2008</v>
      </c>
      <c r="B713" s="245" t="s">
        <v>19</v>
      </c>
      <c r="C713" s="246" t="s">
        <v>20</v>
      </c>
      <c r="D713" s="245" t="s">
        <v>21</v>
      </c>
      <c r="E713" s="245">
        <v>11.5</v>
      </c>
      <c r="F713" s="242" t="s">
        <v>507</v>
      </c>
      <c r="G713" s="242">
        <v>3.9</v>
      </c>
      <c r="H713" s="230">
        <f t="shared" si="22"/>
        <v>44.85</v>
      </c>
    </row>
    <row r="714" spans="1:8" ht="15.75" x14ac:dyDescent="0.25">
      <c r="A714" s="244">
        <v>2008</v>
      </c>
      <c r="B714" s="245" t="s">
        <v>19</v>
      </c>
      <c r="C714" s="246" t="s">
        <v>20</v>
      </c>
      <c r="D714" s="245" t="s">
        <v>21</v>
      </c>
      <c r="E714" s="245">
        <v>6.5</v>
      </c>
      <c r="F714" s="242" t="s">
        <v>507</v>
      </c>
      <c r="G714" s="242">
        <v>3.9</v>
      </c>
      <c r="H714" s="230">
        <f t="shared" si="22"/>
        <v>25.349999999999998</v>
      </c>
    </row>
    <row r="715" spans="1:8" ht="15.75" x14ac:dyDescent="0.25">
      <c r="A715" s="244">
        <v>2008</v>
      </c>
      <c r="B715" s="245" t="s">
        <v>19</v>
      </c>
      <c r="C715" s="246" t="s">
        <v>20</v>
      </c>
      <c r="D715" s="245" t="s">
        <v>21</v>
      </c>
      <c r="E715" s="245">
        <v>14.5</v>
      </c>
      <c r="F715" s="242" t="s">
        <v>507</v>
      </c>
      <c r="G715" s="242">
        <v>3.9</v>
      </c>
      <c r="H715" s="230">
        <f t="shared" si="22"/>
        <v>56.55</v>
      </c>
    </row>
    <row r="716" spans="1:8" ht="15.75" x14ac:dyDescent="0.25">
      <c r="A716" s="244">
        <v>2008</v>
      </c>
      <c r="B716" s="245" t="s">
        <v>19</v>
      </c>
      <c r="C716" s="246" t="s">
        <v>20</v>
      </c>
      <c r="D716" s="245" t="s">
        <v>21</v>
      </c>
      <c r="E716" s="245">
        <v>18.5</v>
      </c>
      <c r="F716" s="242" t="s">
        <v>507</v>
      </c>
      <c r="G716" s="242">
        <v>3.9</v>
      </c>
      <c r="H716" s="230">
        <f t="shared" si="22"/>
        <v>72.149999999999991</v>
      </c>
    </row>
    <row r="717" spans="1:8" ht="15.75" x14ac:dyDescent="0.25">
      <c r="A717" s="244">
        <v>2008</v>
      </c>
      <c r="B717" s="245" t="s">
        <v>19</v>
      </c>
      <c r="C717" s="246" t="s">
        <v>20</v>
      </c>
      <c r="D717" s="245" t="s">
        <v>21</v>
      </c>
      <c r="E717" s="245">
        <v>18.5</v>
      </c>
      <c r="F717" s="242" t="s">
        <v>507</v>
      </c>
      <c r="G717" s="242">
        <v>3.9</v>
      </c>
      <c r="H717" s="230">
        <f t="shared" si="22"/>
        <v>72.149999999999991</v>
      </c>
    </row>
    <row r="718" spans="1:8" ht="15.75" x14ac:dyDescent="0.25">
      <c r="A718" s="244">
        <v>2008</v>
      </c>
      <c r="B718" s="245" t="s">
        <v>19</v>
      </c>
      <c r="C718" s="246" t="s">
        <v>20</v>
      </c>
      <c r="D718" s="245" t="s">
        <v>21</v>
      </c>
      <c r="E718" s="245">
        <v>10.5</v>
      </c>
      <c r="F718" s="242" t="s">
        <v>507</v>
      </c>
      <c r="G718" s="242">
        <v>3.9</v>
      </c>
      <c r="H718" s="230">
        <f t="shared" si="22"/>
        <v>40.949999999999996</v>
      </c>
    </row>
    <row r="719" spans="1:8" ht="15.75" x14ac:dyDescent="0.25">
      <c r="A719" s="244">
        <v>2008</v>
      </c>
      <c r="B719" s="245" t="s">
        <v>19</v>
      </c>
      <c r="C719" s="246" t="s">
        <v>20</v>
      </c>
      <c r="D719" s="245" t="s">
        <v>21</v>
      </c>
      <c r="E719" s="245">
        <v>10.5</v>
      </c>
      <c r="F719" s="242" t="s">
        <v>507</v>
      </c>
      <c r="G719" s="242">
        <v>3.9</v>
      </c>
      <c r="H719" s="230">
        <f t="shared" si="22"/>
        <v>40.949999999999996</v>
      </c>
    </row>
    <row r="720" spans="1:8" ht="15.75" x14ac:dyDescent="0.25">
      <c r="A720" s="244">
        <v>2008</v>
      </c>
      <c r="B720" s="245" t="s">
        <v>19</v>
      </c>
      <c r="C720" s="246" t="s">
        <v>20</v>
      </c>
      <c r="D720" s="245" t="s">
        <v>21</v>
      </c>
      <c r="E720" s="245">
        <v>9</v>
      </c>
      <c r="F720" s="242" t="s">
        <v>507</v>
      </c>
      <c r="G720" s="242">
        <v>3.9</v>
      </c>
      <c r="H720" s="230">
        <f t="shared" si="22"/>
        <v>35.1</v>
      </c>
    </row>
    <row r="721" spans="1:8" ht="15.75" x14ac:dyDescent="0.25">
      <c r="A721" s="244">
        <v>2008</v>
      </c>
      <c r="B721" s="245" t="s">
        <v>19</v>
      </c>
      <c r="C721" s="246" t="s">
        <v>20</v>
      </c>
      <c r="D721" s="245" t="s">
        <v>21</v>
      </c>
      <c r="E721" s="245">
        <v>22</v>
      </c>
      <c r="F721" s="242" t="s">
        <v>507</v>
      </c>
      <c r="G721" s="242">
        <v>3.9</v>
      </c>
      <c r="H721" s="230">
        <f t="shared" si="22"/>
        <v>85.8</v>
      </c>
    </row>
    <row r="722" spans="1:8" ht="15.75" x14ac:dyDescent="0.25">
      <c r="A722" s="244">
        <v>2008</v>
      </c>
      <c r="B722" s="245" t="s">
        <v>19</v>
      </c>
      <c r="C722" s="246" t="s">
        <v>20</v>
      </c>
      <c r="D722" s="245" t="s">
        <v>21</v>
      </c>
      <c r="E722" s="245">
        <v>14</v>
      </c>
      <c r="F722" s="242" t="s">
        <v>507</v>
      </c>
      <c r="G722" s="242">
        <v>3.9</v>
      </c>
      <c r="H722" s="230">
        <f t="shared" si="22"/>
        <v>54.6</v>
      </c>
    </row>
    <row r="723" spans="1:8" ht="15.75" x14ac:dyDescent="0.25">
      <c r="A723" s="244">
        <v>2008</v>
      </c>
      <c r="B723" s="245" t="s">
        <v>19</v>
      </c>
      <c r="C723" s="246" t="s">
        <v>20</v>
      </c>
      <c r="D723" s="245" t="s">
        <v>21</v>
      </c>
      <c r="E723" s="245">
        <v>10</v>
      </c>
      <c r="F723" s="242" t="s">
        <v>507</v>
      </c>
      <c r="G723" s="242">
        <v>3.9</v>
      </c>
      <c r="H723" s="230">
        <f t="shared" si="22"/>
        <v>39</v>
      </c>
    </row>
    <row r="724" spans="1:8" ht="15.75" x14ac:dyDescent="0.25">
      <c r="A724" s="244">
        <v>2008</v>
      </c>
      <c r="B724" s="245" t="s">
        <v>19</v>
      </c>
      <c r="C724" s="246" t="s">
        <v>20</v>
      </c>
      <c r="D724" s="245" t="s">
        <v>21</v>
      </c>
      <c r="E724" s="245">
        <v>7.5</v>
      </c>
      <c r="F724" s="242" t="s">
        <v>507</v>
      </c>
      <c r="G724" s="242">
        <v>3.9</v>
      </c>
      <c r="H724" s="230">
        <f t="shared" si="22"/>
        <v>29.25</v>
      </c>
    </row>
    <row r="725" spans="1:8" ht="15.75" x14ac:dyDescent="0.25">
      <c r="A725" s="244">
        <v>2008</v>
      </c>
      <c r="B725" s="245" t="s">
        <v>19</v>
      </c>
      <c r="C725" s="246" t="s">
        <v>20</v>
      </c>
      <c r="D725" s="245" t="s">
        <v>21</v>
      </c>
      <c r="E725" s="245">
        <v>14</v>
      </c>
      <c r="F725" s="242" t="s">
        <v>507</v>
      </c>
      <c r="G725" s="242">
        <v>3.9</v>
      </c>
      <c r="H725" s="230">
        <f t="shared" si="22"/>
        <v>54.6</v>
      </c>
    </row>
    <row r="726" spans="1:8" ht="15.75" x14ac:dyDescent="0.25">
      <c r="A726" s="244">
        <v>2008</v>
      </c>
      <c r="B726" s="245" t="s">
        <v>19</v>
      </c>
      <c r="C726" s="246" t="s">
        <v>20</v>
      </c>
      <c r="D726" s="245" t="s">
        <v>21</v>
      </c>
      <c r="E726" s="245">
        <v>11.5</v>
      </c>
      <c r="F726" s="242" t="s">
        <v>507</v>
      </c>
      <c r="G726" s="242">
        <v>3.9</v>
      </c>
      <c r="H726" s="230">
        <f t="shared" si="22"/>
        <v>44.85</v>
      </c>
    </row>
    <row r="727" spans="1:8" ht="15.75" x14ac:dyDescent="0.25">
      <c r="A727" s="244">
        <v>2008</v>
      </c>
      <c r="B727" s="245" t="s">
        <v>19</v>
      </c>
      <c r="C727" s="246" t="s">
        <v>20</v>
      </c>
      <c r="D727" s="245" t="s">
        <v>21</v>
      </c>
      <c r="E727" s="245">
        <v>15.5</v>
      </c>
      <c r="F727" s="242" t="s">
        <v>507</v>
      </c>
      <c r="G727" s="242">
        <v>3.9</v>
      </c>
      <c r="H727" s="230">
        <f t="shared" si="22"/>
        <v>60.449999999999996</v>
      </c>
    </row>
    <row r="728" spans="1:8" ht="15.75" x14ac:dyDescent="0.25">
      <c r="A728" s="244">
        <v>2008</v>
      </c>
      <c r="B728" s="245" t="s">
        <v>19</v>
      </c>
      <c r="C728" s="246" t="s">
        <v>20</v>
      </c>
      <c r="D728" s="245" t="s">
        <v>21</v>
      </c>
      <c r="E728" s="245">
        <v>12</v>
      </c>
      <c r="F728" s="242" t="s">
        <v>507</v>
      </c>
      <c r="G728" s="242">
        <v>3.9</v>
      </c>
      <c r="H728" s="230">
        <f t="shared" si="22"/>
        <v>46.8</v>
      </c>
    </row>
    <row r="729" spans="1:8" ht="15.75" x14ac:dyDescent="0.25">
      <c r="A729" s="244">
        <v>2008</v>
      </c>
      <c r="B729" s="245" t="s">
        <v>19</v>
      </c>
      <c r="C729" s="246" t="s">
        <v>20</v>
      </c>
      <c r="D729" s="245" t="s">
        <v>21</v>
      </c>
      <c r="E729" s="245">
        <v>12</v>
      </c>
      <c r="F729" s="242" t="s">
        <v>507</v>
      </c>
      <c r="G729" s="242">
        <v>3.9</v>
      </c>
      <c r="H729" s="230">
        <f t="shared" si="22"/>
        <v>46.8</v>
      </c>
    </row>
    <row r="730" spans="1:8" ht="15.75" x14ac:dyDescent="0.25">
      <c r="A730" s="244">
        <v>2008</v>
      </c>
      <c r="B730" s="245" t="s">
        <v>19</v>
      </c>
      <c r="C730" s="246" t="s">
        <v>20</v>
      </c>
      <c r="D730" s="245" t="s">
        <v>21</v>
      </c>
      <c r="E730" s="245">
        <v>9.5</v>
      </c>
      <c r="F730" s="242" t="s">
        <v>507</v>
      </c>
      <c r="G730" s="242">
        <v>3.9</v>
      </c>
      <c r="H730" s="230">
        <f t="shared" si="22"/>
        <v>37.049999999999997</v>
      </c>
    </row>
    <row r="731" spans="1:8" ht="15.75" x14ac:dyDescent="0.25">
      <c r="A731" s="244">
        <v>2008</v>
      </c>
      <c r="B731" s="245" t="s">
        <v>19</v>
      </c>
      <c r="C731" s="246" t="s">
        <v>20</v>
      </c>
      <c r="D731" s="245" t="s">
        <v>21</v>
      </c>
      <c r="E731" s="245">
        <v>12</v>
      </c>
      <c r="F731" s="242" t="s">
        <v>507</v>
      </c>
      <c r="G731" s="242">
        <v>3.9</v>
      </c>
      <c r="H731" s="230">
        <f t="shared" si="22"/>
        <v>46.8</v>
      </c>
    </row>
    <row r="732" spans="1:8" ht="15.75" x14ac:dyDescent="0.25">
      <c r="A732" s="244">
        <v>2008</v>
      </c>
      <c r="B732" s="245" t="s">
        <v>19</v>
      </c>
      <c r="C732" s="246" t="s">
        <v>20</v>
      </c>
      <c r="D732" s="245" t="s">
        <v>21</v>
      </c>
      <c r="E732" s="245">
        <v>13.5</v>
      </c>
      <c r="F732" s="242" t="s">
        <v>507</v>
      </c>
      <c r="G732" s="242">
        <v>3.9</v>
      </c>
      <c r="H732" s="230">
        <f t="shared" si="22"/>
        <v>52.65</v>
      </c>
    </row>
    <row r="733" spans="1:8" ht="15.75" x14ac:dyDescent="0.25">
      <c r="A733" s="244">
        <v>2008</v>
      </c>
      <c r="B733" s="245" t="s">
        <v>19</v>
      </c>
      <c r="C733" s="246" t="s">
        <v>20</v>
      </c>
      <c r="D733" s="245" t="s">
        <v>21</v>
      </c>
      <c r="E733" s="245">
        <v>11.5</v>
      </c>
      <c r="F733" s="242" t="s">
        <v>507</v>
      </c>
      <c r="G733" s="242">
        <v>3.9</v>
      </c>
      <c r="H733" s="230">
        <f t="shared" si="22"/>
        <v>44.85</v>
      </c>
    </row>
    <row r="734" spans="1:8" ht="15.75" x14ac:dyDescent="0.25">
      <c r="A734" s="244">
        <v>2008</v>
      </c>
      <c r="B734" s="245" t="s">
        <v>19</v>
      </c>
      <c r="C734" s="246" t="s">
        <v>20</v>
      </c>
      <c r="D734" s="245" t="s">
        <v>21</v>
      </c>
      <c r="E734" s="245">
        <v>13.5</v>
      </c>
      <c r="F734" s="242" t="s">
        <v>507</v>
      </c>
      <c r="G734" s="242">
        <v>3.9</v>
      </c>
      <c r="H734" s="230">
        <f t="shared" si="22"/>
        <v>52.65</v>
      </c>
    </row>
    <row r="735" spans="1:8" ht="15.75" x14ac:dyDescent="0.25">
      <c r="A735" s="244">
        <v>2008</v>
      </c>
      <c r="B735" s="245" t="s">
        <v>19</v>
      </c>
      <c r="C735" s="246" t="s">
        <v>20</v>
      </c>
      <c r="D735" s="245" t="s">
        <v>21</v>
      </c>
      <c r="E735" s="245">
        <v>7.5</v>
      </c>
      <c r="F735" s="242" t="s">
        <v>507</v>
      </c>
      <c r="G735" s="242">
        <v>3.9</v>
      </c>
      <c r="H735" s="230">
        <f t="shared" si="22"/>
        <v>29.25</v>
      </c>
    </row>
    <row r="736" spans="1:8" ht="15.75" x14ac:dyDescent="0.25">
      <c r="A736" s="244">
        <v>2008</v>
      </c>
      <c r="B736" s="245" t="s">
        <v>19</v>
      </c>
      <c r="C736" s="246" t="s">
        <v>20</v>
      </c>
      <c r="D736" s="245" t="s">
        <v>21</v>
      </c>
      <c r="E736" s="245">
        <v>9.5</v>
      </c>
      <c r="F736" s="242" t="s">
        <v>507</v>
      </c>
      <c r="G736" s="242">
        <v>3.9</v>
      </c>
      <c r="H736" s="230">
        <f t="shared" si="22"/>
        <v>37.049999999999997</v>
      </c>
    </row>
    <row r="737" spans="1:8" ht="15.75" x14ac:dyDescent="0.25">
      <c r="A737" s="244">
        <v>2008</v>
      </c>
      <c r="B737" s="245" t="s">
        <v>19</v>
      </c>
      <c r="C737" s="246" t="s">
        <v>20</v>
      </c>
      <c r="D737" s="245" t="s">
        <v>21</v>
      </c>
      <c r="E737" s="245">
        <v>7.5</v>
      </c>
      <c r="F737" s="242" t="s">
        <v>507</v>
      </c>
      <c r="G737" s="242">
        <v>3.9</v>
      </c>
      <c r="H737" s="230">
        <f t="shared" si="22"/>
        <v>29.25</v>
      </c>
    </row>
    <row r="738" spans="1:8" ht="15.75" x14ac:dyDescent="0.25">
      <c r="A738" s="244">
        <v>2008</v>
      </c>
      <c r="B738" s="245" t="s">
        <v>19</v>
      </c>
      <c r="C738" s="246" t="s">
        <v>20</v>
      </c>
      <c r="D738" s="245" t="s">
        <v>21</v>
      </c>
      <c r="E738" s="245">
        <v>11.5</v>
      </c>
      <c r="F738" s="242" t="s">
        <v>507</v>
      </c>
      <c r="G738" s="242">
        <v>3.9</v>
      </c>
      <c r="H738" s="230">
        <f t="shared" si="22"/>
        <v>44.85</v>
      </c>
    </row>
    <row r="739" spans="1:8" ht="15.75" x14ac:dyDescent="0.25">
      <c r="A739" s="244">
        <v>2008</v>
      </c>
      <c r="B739" s="245" t="s">
        <v>19</v>
      </c>
      <c r="C739" s="246" t="s">
        <v>20</v>
      </c>
      <c r="D739" s="245" t="s">
        <v>21</v>
      </c>
      <c r="E739" s="245">
        <v>11.5</v>
      </c>
      <c r="F739" s="242" t="s">
        <v>507</v>
      </c>
      <c r="G739" s="242">
        <v>3.9</v>
      </c>
      <c r="H739" s="230">
        <f t="shared" si="22"/>
        <v>44.85</v>
      </c>
    </row>
    <row r="740" spans="1:8" ht="15.75" x14ac:dyDescent="0.25">
      <c r="A740" s="244">
        <v>2008</v>
      </c>
      <c r="B740" s="245" t="s">
        <v>19</v>
      </c>
      <c r="C740" s="246" t="s">
        <v>20</v>
      </c>
      <c r="D740" s="245" t="s">
        <v>21</v>
      </c>
      <c r="E740" s="245">
        <v>10.5</v>
      </c>
      <c r="F740" s="242" t="s">
        <v>507</v>
      </c>
      <c r="G740" s="242">
        <v>3.9</v>
      </c>
      <c r="H740" s="230">
        <f t="shared" si="22"/>
        <v>40.949999999999996</v>
      </c>
    </row>
    <row r="741" spans="1:8" ht="15.75" x14ac:dyDescent="0.25">
      <c r="A741" s="244">
        <v>2007</v>
      </c>
      <c r="B741" s="245" t="s">
        <v>19</v>
      </c>
      <c r="C741" s="246" t="s">
        <v>20</v>
      </c>
      <c r="D741" s="245" t="s">
        <v>30</v>
      </c>
      <c r="E741" s="245">
        <v>11.5</v>
      </c>
      <c r="F741" s="242" t="s">
        <v>504</v>
      </c>
      <c r="G741" s="242">
        <v>4.5999999999999996</v>
      </c>
      <c r="H741" s="230">
        <f t="shared" si="22"/>
        <v>52.9</v>
      </c>
    </row>
    <row r="742" spans="1:8" ht="15.75" x14ac:dyDescent="0.25">
      <c r="A742" s="244">
        <v>2007</v>
      </c>
      <c r="B742" s="245" t="s">
        <v>19</v>
      </c>
      <c r="C742" s="246" t="s">
        <v>20</v>
      </c>
      <c r="D742" s="245" t="s">
        <v>30</v>
      </c>
      <c r="E742" s="245">
        <v>13.8</v>
      </c>
      <c r="F742" s="242" t="s">
        <v>504</v>
      </c>
      <c r="G742" s="242">
        <v>4.5999999999999996</v>
      </c>
      <c r="H742" s="230">
        <f t="shared" si="22"/>
        <v>63.48</v>
      </c>
    </row>
    <row r="743" spans="1:8" ht="15.75" x14ac:dyDescent="0.25">
      <c r="A743" s="244">
        <v>2007</v>
      </c>
      <c r="B743" s="245" t="s">
        <v>19</v>
      </c>
      <c r="C743" s="246" t="s">
        <v>20</v>
      </c>
      <c r="D743" s="245" t="s">
        <v>30</v>
      </c>
      <c r="E743" s="245">
        <v>9</v>
      </c>
      <c r="F743" s="242" t="s">
        <v>504</v>
      </c>
      <c r="G743" s="242">
        <v>4.5999999999999996</v>
      </c>
      <c r="H743" s="230">
        <f t="shared" si="22"/>
        <v>41.4</v>
      </c>
    </row>
    <row r="744" spans="1:8" ht="15.75" x14ac:dyDescent="0.25">
      <c r="A744" s="244">
        <v>2007</v>
      </c>
      <c r="B744" s="245" t="s">
        <v>19</v>
      </c>
      <c r="C744" s="246" t="s">
        <v>20</v>
      </c>
      <c r="D744" s="245" t="s">
        <v>30</v>
      </c>
      <c r="E744" s="245">
        <v>11.2</v>
      </c>
      <c r="F744" s="242" t="s">
        <v>504</v>
      </c>
      <c r="G744" s="242">
        <v>4.5999999999999996</v>
      </c>
      <c r="H744" s="230">
        <f t="shared" si="22"/>
        <v>51.519999999999996</v>
      </c>
    </row>
    <row r="745" spans="1:8" ht="15.75" x14ac:dyDescent="0.25">
      <c r="A745" s="244">
        <v>2007</v>
      </c>
      <c r="B745" s="245" t="s">
        <v>19</v>
      </c>
      <c r="C745" s="246" t="s">
        <v>20</v>
      </c>
      <c r="D745" s="245" t="s">
        <v>30</v>
      </c>
      <c r="E745" s="245">
        <v>14</v>
      </c>
      <c r="F745" s="242" t="s">
        <v>504</v>
      </c>
      <c r="G745" s="242">
        <v>4.5999999999999996</v>
      </c>
      <c r="H745" s="230">
        <f t="shared" si="22"/>
        <v>64.399999999999991</v>
      </c>
    </row>
    <row r="746" spans="1:8" ht="15.75" x14ac:dyDescent="0.25">
      <c r="A746" s="244">
        <v>2007</v>
      </c>
      <c r="B746" s="245" t="s">
        <v>19</v>
      </c>
      <c r="C746" s="246" t="s">
        <v>20</v>
      </c>
      <c r="D746" s="245" t="s">
        <v>30</v>
      </c>
      <c r="E746" s="245">
        <v>11.6</v>
      </c>
      <c r="F746" s="242" t="s">
        <v>504</v>
      </c>
      <c r="G746" s="242">
        <v>4.5999999999999996</v>
      </c>
      <c r="H746" s="230">
        <f t="shared" si="22"/>
        <v>53.359999999999992</v>
      </c>
    </row>
    <row r="747" spans="1:8" ht="15.75" x14ac:dyDescent="0.25">
      <c r="A747" s="244">
        <v>2007</v>
      </c>
      <c r="B747" s="245" t="s">
        <v>19</v>
      </c>
      <c r="C747" s="246" t="s">
        <v>20</v>
      </c>
      <c r="D747" s="245" t="s">
        <v>30</v>
      </c>
      <c r="E747" s="245">
        <v>18.899999999999999</v>
      </c>
      <c r="F747" s="242" t="s">
        <v>504</v>
      </c>
      <c r="G747" s="242">
        <v>4.5999999999999996</v>
      </c>
      <c r="H747" s="230">
        <f t="shared" si="22"/>
        <v>86.939999999999984</v>
      </c>
    </row>
    <row r="748" spans="1:8" ht="15.75" x14ac:dyDescent="0.25">
      <c r="A748" s="244">
        <v>2007</v>
      </c>
      <c r="B748" s="245" t="s">
        <v>19</v>
      </c>
      <c r="C748" s="246" t="s">
        <v>20</v>
      </c>
      <c r="D748" s="245" t="s">
        <v>30</v>
      </c>
      <c r="E748" s="245">
        <v>16.5</v>
      </c>
      <c r="F748" s="242" t="s">
        <v>504</v>
      </c>
      <c r="G748" s="242">
        <v>4.5999999999999996</v>
      </c>
      <c r="H748" s="230">
        <f t="shared" si="22"/>
        <v>75.899999999999991</v>
      </c>
    </row>
    <row r="749" spans="1:8" ht="15.75" x14ac:dyDescent="0.25">
      <c r="A749" s="244">
        <v>2007</v>
      </c>
      <c r="B749" s="245" t="s">
        <v>19</v>
      </c>
      <c r="C749" s="246" t="s">
        <v>20</v>
      </c>
      <c r="D749" s="245" t="s">
        <v>30</v>
      </c>
      <c r="E749" s="245">
        <v>15.2</v>
      </c>
      <c r="F749" s="242" t="s">
        <v>504</v>
      </c>
      <c r="G749" s="242">
        <v>4.5999999999999996</v>
      </c>
      <c r="H749" s="230">
        <f t="shared" si="22"/>
        <v>69.919999999999987</v>
      </c>
    </row>
    <row r="750" spans="1:8" ht="15.75" x14ac:dyDescent="0.25">
      <c r="A750" s="244">
        <v>2007</v>
      </c>
      <c r="B750" s="245" t="s">
        <v>19</v>
      </c>
      <c r="C750" s="246" t="s">
        <v>20</v>
      </c>
      <c r="D750" s="245" t="s">
        <v>30</v>
      </c>
      <c r="E750" s="245">
        <v>12.2</v>
      </c>
      <c r="F750" s="242" t="s">
        <v>504</v>
      </c>
      <c r="G750" s="242">
        <v>4.5999999999999996</v>
      </c>
      <c r="H750" s="230">
        <f t="shared" si="22"/>
        <v>56.11999999999999</v>
      </c>
    </row>
    <row r="751" spans="1:8" ht="15.75" x14ac:dyDescent="0.25">
      <c r="A751" s="244">
        <v>2007</v>
      </c>
      <c r="B751" s="245" t="s">
        <v>19</v>
      </c>
      <c r="C751" s="246" t="s">
        <v>20</v>
      </c>
      <c r="D751" s="245" t="s">
        <v>30</v>
      </c>
      <c r="E751" s="245">
        <v>8</v>
      </c>
      <c r="F751" s="242" t="s">
        <v>504</v>
      </c>
      <c r="G751" s="242">
        <v>4.5999999999999996</v>
      </c>
      <c r="H751" s="230">
        <f t="shared" si="22"/>
        <v>36.799999999999997</v>
      </c>
    </row>
    <row r="752" spans="1:8" ht="15.75" x14ac:dyDescent="0.25">
      <c r="A752" s="244">
        <v>2007</v>
      </c>
      <c r="B752" s="245" t="s">
        <v>19</v>
      </c>
      <c r="C752" s="246" t="s">
        <v>20</v>
      </c>
      <c r="D752" s="245" t="s">
        <v>30</v>
      </c>
      <c r="E752" s="245">
        <v>10.5</v>
      </c>
      <c r="F752" s="242" t="s">
        <v>504</v>
      </c>
      <c r="G752" s="242">
        <v>4.5999999999999996</v>
      </c>
      <c r="H752" s="230">
        <f t="shared" si="22"/>
        <v>48.3</v>
      </c>
    </row>
    <row r="753" spans="1:8" ht="15.75" x14ac:dyDescent="0.25">
      <c r="A753" s="244">
        <v>2007</v>
      </c>
      <c r="B753" s="245" t="s">
        <v>19</v>
      </c>
      <c r="C753" s="246" t="s">
        <v>20</v>
      </c>
      <c r="D753" s="245" t="s">
        <v>30</v>
      </c>
      <c r="E753" s="245">
        <v>12.2</v>
      </c>
      <c r="F753" s="242" t="s">
        <v>504</v>
      </c>
      <c r="G753" s="242">
        <v>4.5999999999999996</v>
      </c>
      <c r="H753" s="230">
        <f t="shared" si="22"/>
        <v>56.11999999999999</v>
      </c>
    </row>
    <row r="754" spans="1:8" ht="15.75" x14ac:dyDescent="0.25">
      <c r="A754" s="244">
        <v>2007</v>
      </c>
      <c r="B754" s="245" t="s">
        <v>19</v>
      </c>
      <c r="C754" s="246" t="s">
        <v>20</v>
      </c>
      <c r="D754" s="245" t="s">
        <v>30</v>
      </c>
      <c r="E754" s="245">
        <v>10</v>
      </c>
      <c r="F754" s="242" t="s">
        <v>504</v>
      </c>
      <c r="G754" s="242">
        <v>4.5999999999999996</v>
      </c>
      <c r="H754" s="230">
        <f t="shared" si="22"/>
        <v>46</v>
      </c>
    </row>
    <row r="755" spans="1:8" ht="15.75" x14ac:dyDescent="0.25">
      <c r="A755" s="244">
        <v>2007</v>
      </c>
      <c r="B755" s="245" t="s">
        <v>19</v>
      </c>
      <c r="C755" s="246" t="s">
        <v>20</v>
      </c>
      <c r="D755" s="245" t="s">
        <v>30</v>
      </c>
      <c r="E755" s="245">
        <v>10.4</v>
      </c>
      <c r="F755" s="242" t="s">
        <v>504</v>
      </c>
      <c r="G755" s="242">
        <v>4.5999999999999996</v>
      </c>
      <c r="H755" s="230">
        <f t="shared" si="22"/>
        <v>47.839999999999996</v>
      </c>
    </row>
    <row r="756" spans="1:8" ht="15.75" x14ac:dyDescent="0.25">
      <c r="A756" s="244">
        <v>2007</v>
      </c>
      <c r="B756" s="245" t="s">
        <v>19</v>
      </c>
      <c r="C756" s="246" t="s">
        <v>20</v>
      </c>
      <c r="D756" s="245" t="s">
        <v>30</v>
      </c>
      <c r="E756" s="245">
        <v>11.2</v>
      </c>
      <c r="F756" s="242" t="s">
        <v>504</v>
      </c>
      <c r="G756" s="242">
        <v>4.5999999999999996</v>
      </c>
      <c r="H756" s="230">
        <f t="shared" si="22"/>
        <v>51.519999999999996</v>
      </c>
    </row>
    <row r="757" spans="1:8" ht="15.75" x14ac:dyDescent="0.25">
      <c r="A757" s="244">
        <v>2007</v>
      </c>
      <c r="B757" s="245" t="s">
        <v>19</v>
      </c>
      <c r="C757" s="246" t="s">
        <v>20</v>
      </c>
      <c r="D757" s="245" t="s">
        <v>30</v>
      </c>
      <c r="E757" s="245">
        <v>10.25</v>
      </c>
      <c r="F757" s="242" t="s">
        <v>504</v>
      </c>
      <c r="G757" s="242">
        <v>4.5999999999999996</v>
      </c>
      <c r="H757" s="230">
        <f t="shared" si="22"/>
        <v>47.15</v>
      </c>
    </row>
    <row r="758" spans="1:8" ht="15.75" x14ac:dyDescent="0.25">
      <c r="A758" s="244">
        <v>2007</v>
      </c>
      <c r="B758" s="245" t="s">
        <v>19</v>
      </c>
      <c r="C758" s="246" t="s">
        <v>20</v>
      </c>
      <c r="D758" s="245" t="s">
        <v>30</v>
      </c>
      <c r="E758" s="245">
        <v>11</v>
      </c>
      <c r="F758" s="242" t="s">
        <v>504</v>
      </c>
      <c r="G758" s="242">
        <v>4.5999999999999996</v>
      </c>
      <c r="H758" s="230">
        <f t="shared" si="22"/>
        <v>50.599999999999994</v>
      </c>
    </row>
    <row r="759" spans="1:8" ht="15.75" x14ac:dyDescent="0.25">
      <c r="A759" s="244">
        <v>2007</v>
      </c>
      <c r="B759" s="245" t="s">
        <v>19</v>
      </c>
      <c r="C759" s="246" t="s">
        <v>20</v>
      </c>
      <c r="D759" s="245" t="s">
        <v>30</v>
      </c>
      <c r="E759" s="245">
        <v>16.25</v>
      </c>
      <c r="F759" s="242" t="s">
        <v>504</v>
      </c>
      <c r="G759" s="242">
        <v>4.5999999999999996</v>
      </c>
      <c r="H759" s="230">
        <f t="shared" si="22"/>
        <v>74.75</v>
      </c>
    </row>
    <row r="760" spans="1:8" ht="15.75" x14ac:dyDescent="0.25">
      <c r="A760" s="244">
        <v>2007</v>
      </c>
      <c r="B760" s="245" t="s">
        <v>19</v>
      </c>
      <c r="C760" s="246" t="s">
        <v>20</v>
      </c>
      <c r="D760" s="245" t="s">
        <v>30</v>
      </c>
      <c r="E760" s="245">
        <v>12.7</v>
      </c>
      <c r="F760" s="242" t="s">
        <v>504</v>
      </c>
      <c r="G760" s="242">
        <v>4.5999999999999996</v>
      </c>
      <c r="H760" s="230">
        <f t="shared" si="22"/>
        <v>58.419999999999995</v>
      </c>
    </row>
    <row r="761" spans="1:8" ht="15.75" x14ac:dyDescent="0.25">
      <c r="A761" s="244">
        <v>2007</v>
      </c>
      <c r="B761" s="245" t="s">
        <v>19</v>
      </c>
      <c r="C761" s="246" t="s">
        <v>20</v>
      </c>
      <c r="D761" s="245" t="s">
        <v>30</v>
      </c>
      <c r="E761" s="245">
        <v>14.2</v>
      </c>
      <c r="F761" s="242" t="s">
        <v>504</v>
      </c>
      <c r="G761" s="242">
        <v>4.5999999999999996</v>
      </c>
      <c r="H761" s="230">
        <f t="shared" si="22"/>
        <v>65.319999999999993</v>
      </c>
    </row>
    <row r="762" spans="1:8" ht="15.75" x14ac:dyDescent="0.25">
      <c r="A762" s="244">
        <v>2007</v>
      </c>
      <c r="B762" s="245" t="s">
        <v>19</v>
      </c>
      <c r="C762" s="246" t="s">
        <v>20</v>
      </c>
      <c r="D762" s="245" t="s">
        <v>30</v>
      </c>
      <c r="E762" s="245">
        <v>11.7</v>
      </c>
      <c r="F762" s="242" t="s">
        <v>504</v>
      </c>
      <c r="G762" s="242">
        <v>4.5999999999999996</v>
      </c>
      <c r="H762" s="230">
        <f t="shared" si="22"/>
        <v>53.819999999999993</v>
      </c>
    </row>
    <row r="763" spans="1:8" ht="15.75" x14ac:dyDescent="0.25">
      <c r="A763" s="244">
        <v>2007</v>
      </c>
      <c r="B763" s="245" t="s">
        <v>19</v>
      </c>
      <c r="C763" s="246" t="s">
        <v>20</v>
      </c>
      <c r="D763" s="245" t="s">
        <v>30</v>
      </c>
      <c r="E763" s="245">
        <v>21</v>
      </c>
      <c r="F763" s="242" t="s">
        <v>504</v>
      </c>
      <c r="G763" s="242">
        <v>4.5999999999999996</v>
      </c>
      <c r="H763" s="230">
        <f t="shared" si="22"/>
        <v>96.6</v>
      </c>
    </row>
    <row r="764" spans="1:8" ht="15.75" x14ac:dyDescent="0.25">
      <c r="A764" s="244">
        <v>2007</v>
      </c>
      <c r="B764" s="245" t="s">
        <v>19</v>
      </c>
      <c r="C764" s="246" t="s">
        <v>20</v>
      </c>
      <c r="D764" s="245" t="s">
        <v>30</v>
      </c>
      <c r="E764" s="245">
        <v>10.5</v>
      </c>
      <c r="F764" s="242" t="s">
        <v>504</v>
      </c>
      <c r="G764" s="242">
        <v>4.5999999999999996</v>
      </c>
      <c r="H764" s="230">
        <f t="shared" si="22"/>
        <v>48.3</v>
      </c>
    </row>
    <row r="765" spans="1:8" ht="15.75" x14ac:dyDescent="0.25">
      <c r="A765" s="244">
        <v>2007</v>
      </c>
      <c r="B765" s="245" t="s">
        <v>19</v>
      </c>
      <c r="C765" s="246" t="s">
        <v>20</v>
      </c>
      <c r="D765" s="245" t="s">
        <v>30</v>
      </c>
      <c r="E765" s="245">
        <v>15.5</v>
      </c>
      <c r="F765" s="242" t="s">
        <v>504</v>
      </c>
      <c r="G765" s="242">
        <v>4.5999999999999996</v>
      </c>
      <c r="H765" s="230">
        <f t="shared" si="22"/>
        <v>71.3</v>
      </c>
    </row>
    <row r="766" spans="1:8" ht="15.75" x14ac:dyDescent="0.25">
      <c r="A766" s="244">
        <v>2007</v>
      </c>
      <c r="B766" s="245" t="s">
        <v>19</v>
      </c>
      <c r="C766" s="246" t="s">
        <v>20</v>
      </c>
      <c r="D766" s="245" t="s">
        <v>30</v>
      </c>
      <c r="E766" s="245">
        <v>10.1</v>
      </c>
      <c r="F766" s="242" t="s">
        <v>504</v>
      </c>
      <c r="G766" s="242">
        <v>4.5999999999999996</v>
      </c>
      <c r="H766" s="230">
        <f t="shared" si="22"/>
        <v>46.459999999999994</v>
      </c>
    </row>
    <row r="767" spans="1:8" ht="15.75" x14ac:dyDescent="0.25">
      <c r="A767" s="244">
        <v>2007</v>
      </c>
      <c r="B767" s="245" t="s">
        <v>19</v>
      </c>
      <c r="C767" s="246" t="s">
        <v>20</v>
      </c>
      <c r="D767" s="245" t="s">
        <v>30</v>
      </c>
      <c r="E767" s="245">
        <v>13</v>
      </c>
      <c r="F767" s="242" t="s">
        <v>504</v>
      </c>
      <c r="G767" s="242">
        <v>4.5999999999999996</v>
      </c>
      <c r="H767" s="230">
        <f t="shared" si="22"/>
        <v>59.8</v>
      </c>
    </row>
    <row r="768" spans="1:8" ht="15.75" x14ac:dyDescent="0.25">
      <c r="A768" s="244">
        <v>2007</v>
      </c>
      <c r="B768" s="245" t="s">
        <v>19</v>
      </c>
      <c r="C768" s="246" t="s">
        <v>20</v>
      </c>
      <c r="D768" s="245" t="s">
        <v>30</v>
      </c>
      <c r="E768" s="245">
        <v>11.5</v>
      </c>
      <c r="F768" s="242" t="s">
        <v>504</v>
      </c>
      <c r="G768" s="242">
        <v>4.5999999999999996</v>
      </c>
      <c r="H768" s="230">
        <f t="shared" si="22"/>
        <v>52.9</v>
      </c>
    </row>
    <row r="769" spans="1:8" ht="15.75" x14ac:dyDescent="0.25">
      <c r="A769" s="244">
        <v>2007</v>
      </c>
      <c r="B769" s="245" t="s">
        <v>19</v>
      </c>
      <c r="C769" s="246" t="s">
        <v>20</v>
      </c>
      <c r="D769" s="245" t="s">
        <v>30</v>
      </c>
      <c r="E769" s="245">
        <v>15.5</v>
      </c>
      <c r="F769" s="242" t="s">
        <v>504</v>
      </c>
      <c r="G769" s="242">
        <v>4.5999999999999996</v>
      </c>
      <c r="H769" s="230">
        <f t="shared" si="22"/>
        <v>71.3</v>
      </c>
    </row>
    <row r="770" spans="1:8" ht="15.75" x14ac:dyDescent="0.25">
      <c r="A770" s="244">
        <v>2007</v>
      </c>
      <c r="B770" s="245" t="s">
        <v>19</v>
      </c>
      <c r="C770" s="246" t="s">
        <v>20</v>
      </c>
      <c r="D770" s="245" t="s">
        <v>30</v>
      </c>
      <c r="E770" s="245">
        <v>20</v>
      </c>
      <c r="F770" s="242" t="s">
        <v>504</v>
      </c>
      <c r="G770" s="242">
        <v>4.5999999999999996</v>
      </c>
      <c r="H770" s="230">
        <f t="shared" si="22"/>
        <v>92</v>
      </c>
    </row>
    <row r="771" spans="1:8" ht="15.75" x14ac:dyDescent="0.25">
      <c r="A771" s="244">
        <v>2007</v>
      </c>
      <c r="B771" s="245" t="s">
        <v>19</v>
      </c>
      <c r="C771" s="246" t="s">
        <v>20</v>
      </c>
      <c r="D771" s="245" t="s">
        <v>30</v>
      </c>
      <c r="E771" s="245">
        <v>16</v>
      </c>
      <c r="F771" s="242" t="s">
        <v>504</v>
      </c>
      <c r="G771" s="242">
        <v>4.5999999999999996</v>
      </c>
      <c r="H771" s="230">
        <f t="shared" ref="H771:H834" si="23">E771*G771</f>
        <v>73.599999999999994</v>
      </c>
    </row>
    <row r="772" spans="1:8" ht="15.75" x14ac:dyDescent="0.25">
      <c r="A772" s="244">
        <v>2007</v>
      </c>
      <c r="B772" s="245" t="s">
        <v>19</v>
      </c>
      <c r="C772" s="246" t="s">
        <v>20</v>
      </c>
      <c r="D772" s="245" t="s">
        <v>30</v>
      </c>
      <c r="E772" s="245">
        <v>9</v>
      </c>
      <c r="F772" s="242" t="s">
        <v>504</v>
      </c>
      <c r="G772" s="242">
        <v>4.5999999999999996</v>
      </c>
      <c r="H772" s="230">
        <f t="shared" si="23"/>
        <v>41.4</v>
      </c>
    </row>
    <row r="773" spans="1:8" ht="15.75" x14ac:dyDescent="0.25">
      <c r="A773" s="244">
        <v>2007</v>
      </c>
      <c r="B773" s="245" t="s">
        <v>19</v>
      </c>
      <c r="C773" s="246" t="s">
        <v>20</v>
      </c>
      <c r="D773" s="245" t="s">
        <v>30</v>
      </c>
      <c r="E773" s="245">
        <v>12.9</v>
      </c>
      <c r="F773" s="242" t="s">
        <v>504</v>
      </c>
      <c r="G773" s="242">
        <v>4.5999999999999996</v>
      </c>
      <c r="H773" s="230">
        <f t="shared" si="23"/>
        <v>59.339999999999996</v>
      </c>
    </row>
    <row r="774" spans="1:8" ht="15.75" x14ac:dyDescent="0.25">
      <c r="A774" s="244">
        <v>2007</v>
      </c>
      <c r="B774" s="245" t="s">
        <v>19</v>
      </c>
      <c r="C774" s="246" t="s">
        <v>20</v>
      </c>
      <c r="D774" s="245" t="s">
        <v>30</v>
      </c>
      <c r="E774" s="245">
        <v>14.8</v>
      </c>
      <c r="F774" s="242" t="s">
        <v>504</v>
      </c>
      <c r="G774" s="242">
        <v>4.5999999999999996</v>
      </c>
      <c r="H774" s="230">
        <f t="shared" si="23"/>
        <v>68.08</v>
      </c>
    </row>
    <row r="775" spans="1:8" ht="15.75" x14ac:dyDescent="0.25">
      <c r="A775" s="244">
        <v>2007</v>
      </c>
      <c r="B775" s="245" t="s">
        <v>19</v>
      </c>
      <c r="C775" s="246" t="s">
        <v>20</v>
      </c>
      <c r="D775" s="245" t="s">
        <v>30</v>
      </c>
      <c r="E775" s="245">
        <v>12.2</v>
      </c>
      <c r="F775" s="242" t="s">
        <v>504</v>
      </c>
      <c r="G775" s="242">
        <v>4.5999999999999996</v>
      </c>
      <c r="H775" s="230">
        <f t="shared" si="23"/>
        <v>56.11999999999999</v>
      </c>
    </row>
    <row r="776" spans="1:8" ht="15.75" x14ac:dyDescent="0.25">
      <c r="A776" s="244">
        <v>2007</v>
      </c>
      <c r="B776" s="245" t="s">
        <v>19</v>
      </c>
      <c r="C776" s="246" t="s">
        <v>20</v>
      </c>
      <c r="D776" s="245" t="s">
        <v>30</v>
      </c>
      <c r="E776" s="245">
        <v>9.5</v>
      </c>
      <c r="F776" s="242" t="s">
        <v>504</v>
      </c>
      <c r="G776" s="242">
        <v>4.5999999999999996</v>
      </c>
      <c r="H776" s="230">
        <f t="shared" si="23"/>
        <v>43.699999999999996</v>
      </c>
    </row>
    <row r="777" spans="1:8" ht="15.75" x14ac:dyDescent="0.25">
      <c r="A777" s="244">
        <v>2007</v>
      </c>
      <c r="B777" s="245" t="s">
        <v>19</v>
      </c>
      <c r="C777" s="246" t="s">
        <v>20</v>
      </c>
      <c r="D777" s="245" t="s">
        <v>30</v>
      </c>
      <c r="E777" s="245">
        <v>11.5</v>
      </c>
      <c r="F777" s="242" t="s">
        <v>504</v>
      </c>
      <c r="G777" s="242">
        <v>4.5999999999999996</v>
      </c>
      <c r="H777" s="230">
        <f t="shared" si="23"/>
        <v>52.9</v>
      </c>
    </row>
    <row r="778" spans="1:8" ht="15.75" x14ac:dyDescent="0.25">
      <c r="A778" s="244">
        <v>2007</v>
      </c>
      <c r="B778" s="245" t="s">
        <v>19</v>
      </c>
      <c r="C778" s="246" t="s">
        <v>20</v>
      </c>
      <c r="D778" s="245" t="s">
        <v>30</v>
      </c>
      <c r="E778" s="245">
        <v>12.9</v>
      </c>
      <c r="F778" s="242" t="s">
        <v>504</v>
      </c>
      <c r="G778" s="242">
        <v>4.5999999999999996</v>
      </c>
      <c r="H778" s="230">
        <f t="shared" si="23"/>
        <v>59.339999999999996</v>
      </c>
    </row>
    <row r="779" spans="1:8" ht="15.75" x14ac:dyDescent="0.25">
      <c r="A779" s="244">
        <v>2007</v>
      </c>
      <c r="B779" s="245" t="s">
        <v>19</v>
      </c>
      <c r="C779" s="246" t="s">
        <v>20</v>
      </c>
      <c r="D779" s="245" t="s">
        <v>30</v>
      </c>
      <c r="E779" s="245">
        <v>14.8</v>
      </c>
      <c r="F779" s="242" t="s">
        <v>504</v>
      </c>
      <c r="G779" s="242">
        <v>4.5999999999999996</v>
      </c>
      <c r="H779" s="230">
        <f t="shared" si="23"/>
        <v>68.08</v>
      </c>
    </row>
    <row r="780" spans="1:8" ht="15.75" x14ac:dyDescent="0.25">
      <c r="A780" s="244">
        <v>2007</v>
      </c>
      <c r="B780" s="245" t="s">
        <v>19</v>
      </c>
      <c r="C780" s="246" t="s">
        <v>20</v>
      </c>
      <c r="D780" s="245" t="s">
        <v>30</v>
      </c>
      <c r="E780" s="245">
        <v>12.2</v>
      </c>
      <c r="F780" s="242" t="s">
        <v>504</v>
      </c>
      <c r="G780" s="242">
        <v>4.5999999999999996</v>
      </c>
      <c r="H780" s="230">
        <f t="shared" si="23"/>
        <v>56.11999999999999</v>
      </c>
    </row>
    <row r="781" spans="1:8" ht="15.75" x14ac:dyDescent="0.25">
      <c r="A781" s="244">
        <v>2007</v>
      </c>
      <c r="B781" s="245" t="s">
        <v>19</v>
      </c>
      <c r="C781" s="246" t="s">
        <v>20</v>
      </c>
      <c r="D781" s="245" t="s">
        <v>30</v>
      </c>
      <c r="E781" s="245">
        <v>16</v>
      </c>
      <c r="F781" s="242" t="s">
        <v>504</v>
      </c>
      <c r="G781" s="242">
        <v>4.5999999999999996</v>
      </c>
      <c r="H781" s="230">
        <f t="shared" si="23"/>
        <v>73.599999999999994</v>
      </c>
    </row>
    <row r="782" spans="1:8" ht="15.75" x14ac:dyDescent="0.25">
      <c r="A782" s="244">
        <v>2007</v>
      </c>
      <c r="B782" s="245" t="s">
        <v>19</v>
      </c>
      <c r="C782" s="246" t="s">
        <v>20</v>
      </c>
      <c r="D782" s="245" t="s">
        <v>30</v>
      </c>
      <c r="E782" s="245">
        <v>15.5</v>
      </c>
      <c r="F782" s="242" t="s">
        <v>504</v>
      </c>
      <c r="G782" s="242">
        <v>4.5999999999999996</v>
      </c>
      <c r="H782" s="230">
        <f t="shared" si="23"/>
        <v>71.3</v>
      </c>
    </row>
    <row r="783" spans="1:8" ht="15.75" x14ac:dyDescent="0.25">
      <c r="A783" s="244">
        <v>2007</v>
      </c>
      <c r="B783" s="245" t="s">
        <v>19</v>
      </c>
      <c r="C783" s="246" t="s">
        <v>20</v>
      </c>
      <c r="D783" s="245" t="s">
        <v>30</v>
      </c>
      <c r="E783" s="245">
        <v>19.399999999999999</v>
      </c>
      <c r="F783" s="242" t="s">
        <v>504</v>
      </c>
      <c r="G783" s="242">
        <v>4.5999999999999996</v>
      </c>
      <c r="H783" s="230">
        <f t="shared" si="23"/>
        <v>89.239999999999981</v>
      </c>
    </row>
    <row r="784" spans="1:8" ht="15.75" x14ac:dyDescent="0.25">
      <c r="A784" s="244">
        <v>2007</v>
      </c>
      <c r="B784" s="245" t="s">
        <v>19</v>
      </c>
      <c r="C784" s="246" t="s">
        <v>20</v>
      </c>
      <c r="D784" s="245" t="s">
        <v>30</v>
      </c>
      <c r="E784" s="245">
        <v>9.5</v>
      </c>
      <c r="F784" s="242" t="s">
        <v>504</v>
      </c>
      <c r="G784" s="242">
        <v>4.5999999999999996</v>
      </c>
      <c r="H784" s="230">
        <f t="shared" si="23"/>
        <v>43.699999999999996</v>
      </c>
    </row>
    <row r="785" spans="1:8" ht="15.75" x14ac:dyDescent="0.25">
      <c r="A785" s="244">
        <v>2007</v>
      </c>
      <c r="B785" s="245" t="s">
        <v>19</v>
      </c>
      <c r="C785" s="246" t="s">
        <v>20</v>
      </c>
      <c r="D785" s="245" t="s">
        <v>30</v>
      </c>
      <c r="E785" s="245">
        <v>16.3</v>
      </c>
      <c r="F785" s="242" t="s">
        <v>504</v>
      </c>
      <c r="G785" s="242">
        <v>4.5999999999999996</v>
      </c>
      <c r="H785" s="230">
        <f t="shared" si="23"/>
        <v>74.98</v>
      </c>
    </row>
    <row r="786" spans="1:8" ht="15.75" x14ac:dyDescent="0.25">
      <c r="A786" s="244">
        <v>2007</v>
      </c>
      <c r="B786" s="245" t="s">
        <v>19</v>
      </c>
      <c r="C786" s="246" t="s">
        <v>20</v>
      </c>
      <c r="D786" s="245" t="s">
        <v>30</v>
      </c>
      <c r="E786" s="245">
        <v>12</v>
      </c>
      <c r="F786" s="242" t="s">
        <v>504</v>
      </c>
      <c r="G786" s="242">
        <v>4.5999999999999996</v>
      </c>
      <c r="H786" s="230">
        <f t="shared" si="23"/>
        <v>55.199999999999996</v>
      </c>
    </row>
    <row r="787" spans="1:8" ht="15.75" x14ac:dyDescent="0.25">
      <c r="A787" s="244">
        <v>2007</v>
      </c>
      <c r="B787" s="245" t="s">
        <v>19</v>
      </c>
      <c r="C787" s="246" t="s">
        <v>20</v>
      </c>
      <c r="D787" s="245" t="s">
        <v>30</v>
      </c>
      <c r="E787" s="245">
        <v>9</v>
      </c>
      <c r="F787" s="242" t="s">
        <v>504</v>
      </c>
      <c r="G787" s="242">
        <v>4.5999999999999996</v>
      </c>
      <c r="H787" s="230">
        <f t="shared" si="23"/>
        <v>41.4</v>
      </c>
    </row>
    <row r="788" spans="1:8" ht="15.75" x14ac:dyDescent="0.25">
      <c r="A788" s="244">
        <v>2007</v>
      </c>
      <c r="B788" s="245" t="s">
        <v>19</v>
      </c>
      <c r="C788" s="246" t="s">
        <v>20</v>
      </c>
      <c r="D788" s="245" t="s">
        <v>35</v>
      </c>
      <c r="E788" s="245">
        <v>8</v>
      </c>
      <c r="F788" s="242" t="s">
        <v>507</v>
      </c>
      <c r="G788" s="242">
        <v>3.9</v>
      </c>
      <c r="H788" s="230">
        <f t="shared" si="23"/>
        <v>31.2</v>
      </c>
    </row>
    <row r="789" spans="1:8" ht="15.75" x14ac:dyDescent="0.25">
      <c r="A789" s="244">
        <v>2007</v>
      </c>
      <c r="B789" s="245" t="s">
        <v>19</v>
      </c>
      <c r="C789" s="246" t="s">
        <v>20</v>
      </c>
      <c r="D789" s="245" t="s">
        <v>35</v>
      </c>
      <c r="E789" s="245">
        <v>8</v>
      </c>
      <c r="F789" s="242" t="s">
        <v>507</v>
      </c>
      <c r="G789" s="242">
        <v>3.9</v>
      </c>
      <c r="H789" s="230">
        <f t="shared" si="23"/>
        <v>31.2</v>
      </c>
    </row>
    <row r="790" spans="1:8" ht="15.75" x14ac:dyDescent="0.25">
      <c r="A790" s="244">
        <v>2007</v>
      </c>
      <c r="B790" s="245" t="s">
        <v>19</v>
      </c>
      <c r="C790" s="246" t="s">
        <v>20</v>
      </c>
      <c r="D790" s="245" t="s">
        <v>21</v>
      </c>
      <c r="E790" s="245">
        <v>10.25</v>
      </c>
      <c r="F790" s="242" t="s">
        <v>507</v>
      </c>
      <c r="G790" s="242">
        <v>3.9</v>
      </c>
      <c r="H790" s="230">
        <f t="shared" si="23"/>
        <v>39.975000000000001</v>
      </c>
    </row>
    <row r="791" spans="1:8" ht="15.75" x14ac:dyDescent="0.25">
      <c r="A791" s="244">
        <v>2007</v>
      </c>
      <c r="B791" s="245" t="s">
        <v>19</v>
      </c>
      <c r="C791" s="246" t="s">
        <v>20</v>
      </c>
      <c r="D791" s="245" t="s">
        <v>21</v>
      </c>
      <c r="E791" s="245">
        <v>11.5</v>
      </c>
      <c r="F791" s="242" t="s">
        <v>507</v>
      </c>
      <c r="G791" s="242">
        <v>3.9</v>
      </c>
      <c r="H791" s="230">
        <f t="shared" si="23"/>
        <v>44.85</v>
      </c>
    </row>
    <row r="792" spans="1:8" ht="15.75" x14ac:dyDescent="0.25">
      <c r="A792" s="244">
        <v>2007</v>
      </c>
      <c r="B792" s="245" t="s">
        <v>19</v>
      </c>
      <c r="C792" s="246" t="s">
        <v>20</v>
      </c>
      <c r="D792" s="245" t="s">
        <v>21</v>
      </c>
      <c r="E792" s="245">
        <v>12</v>
      </c>
      <c r="F792" s="242" t="s">
        <v>507</v>
      </c>
      <c r="G792" s="242">
        <v>3.9</v>
      </c>
      <c r="H792" s="230">
        <f t="shared" si="23"/>
        <v>46.8</v>
      </c>
    </row>
    <row r="793" spans="1:8" ht="15.75" x14ac:dyDescent="0.25">
      <c r="A793" s="244">
        <v>2007</v>
      </c>
      <c r="B793" s="245" t="s">
        <v>19</v>
      </c>
      <c r="C793" s="246" t="s">
        <v>20</v>
      </c>
      <c r="D793" s="245" t="s">
        <v>21</v>
      </c>
      <c r="E793" s="245">
        <v>9.1999999999999993</v>
      </c>
      <c r="F793" s="242" t="s">
        <v>507</v>
      </c>
      <c r="G793" s="242">
        <v>3.9</v>
      </c>
      <c r="H793" s="230">
        <f t="shared" si="23"/>
        <v>35.879999999999995</v>
      </c>
    </row>
    <row r="794" spans="1:8" ht="15.75" x14ac:dyDescent="0.25">
      <c r="A794" s="244">
        <v>2007</v>
      </c>
      <c r="B794" s="245" t="s">
        <v>19</v>
      </c>
      <c r="C794" s="246" t="s">
        <v>20</v>
      </c>
      <c r="D794" s="245" t="s">
        <v>21</v>
      </c>
      <c r="E794" s="245">
        <v>12.5</v>
      </c>
      <c r="F794" s="242" t="s">
        <v>507</v>
      </c>
      <c r="G794" s="242">
        <v>3.9</v>
      </c>
      <c r="H794" s="230">
        <f t="shared" si="23"/>
        <v>48.75</v>
      </c>
    </row>
    <row r="795" spans="1:8" ht="15.75" x14ac:dyDescent="0.25">
      <c r="A795" s="244">
        <v>2007</v>
      </c>
      <c r="B795" s="245" t="s">
        <v>19</v>
      </c>
      <c r="C795" s="246" t="s">
        <v>20</v>
      </c>
      <c r="D795" s="245" t="s">
        <v>21</v>
      </c>
      <c r="E795" s="245">
        <v>13.2</v>
      </c>
      <c r="F795" s="242" t="s">
        <v>507</v>
      </c>
      <c r="G795" s="242">
        <v>3.9</v>
      </c>
      <c r="H795" s="230">
        <f t="shared" si="23"/>
        <v>51.48</v>
      </c>
    </row>
    <row r="796" spans="1:8" ht="15.75" x14ac:dyDescent="0.25">
      <c r="A796" s="244">
        <v>2007</v>
      </c>
      <c r="B796" s="245" t="s">
        <v>19</v>
      </c>
      <c r="C796" s="246" t="s">
        <v>20</v>
      </c>
      <c r="D796" s="245" t="s">
        <v>21</v>
      </c>
      <c r="E796" s="245">
        <v>15.2</v>
      </c>
      <c r="F796" s="242" t="s">
        <v>507</v>
      </c>
      <c r="G796" s="242">
        <v>3.9</v>
      </c>
      <c r="H796" s="230">
        <f t="shared" si="23"/>
        <v>59.279999999999994</v>
      </c>
    </row>
    <row r="797" spans="1:8" ht="15.75" x14ac:dyDescent="0.25">
      <c r="A797" s="244">
        <v>2007</v>
      </c>
      <c r="B797" s="245" t="s">
        <v>19</v>
      </c>
      <c r="C797" s="246" t="s">
        <v>20</v>
      </c>
      <c r="D797" s="245" t="s">
        <v>21</v>
      </c>
      <c r="E797" s="245">
        <v>10.5</v>
      </c>
      <c r="F797" s="242" t="s">
        <v>507</v>
      </c>
      <c r="G797" s="242">
        <v>3.9</v>
      </c>
      <c r="H797" s="230">
        <f t="shared" si="23"/>
        <v>40.949999999999996</v>
      </c>
    </row>
    <row r="798" spans="1:8" ht="15.75" x14ac:dyDescent="0.25">
      <c r="A798" s="244">
        <v>2007</v>
      </c>
      <c r="B798" s="245" t="s">
        <v>19</v>
      </c>
      <c r="C798" s="246" t="s">
        <v>20</v>
      </c>
      <c r="D798" s="245" t="s">
        <v>21</v>
      </c>
      <c r="E798" s="245">
        <v>9.1999999999999993</v>
      </c>
      <c r="F798" s="242" t="s">
        <v>507</v>
      </c>
      <c r="G798" s="242">
        <v>3.9</v>
      </c>
      <c r="H798" s="230">
        <f t="shared" si="23"/>
        <v>35.879999999999995</v>
      </c>
    </row>
    <row r="799" spans="1:8" ht="15.75" x14ac:dyDescent="0.25">
      <c r="A799" s="244">
        <v>2007</v>
      </c>
      <c r="B799" s="245" t="s">
        <v>19</v>
      </c>
      <c r="C799" s="246" t="s">
        <v>20</v>
      </c>
      <c r="D799" s="245" t="s">
        <v>21</v>
      </c>
      <c r="E799" s="245">
        <v>14</v>
      </c>
      <c r="F799" s="242" t="s">
        <v>507</v>
      </c>
      <c r="G799" s="242">
        <v>3.9</v>
      </c>
      <c r="H799" s="230">
        <f t="shared" si="23"/>
        <v>54.6</v>
      </c>
    </row>
    <row r="800" spans="1:8" ht="15.75" x14ac:dyDescent="0.25">
      <c r="A800" s="244">
        <v>2007</v>
      </c>
      <c r="B800" s="245" t="s">
        <v>19</v>
      </c>
      <c r="C800" s="246" t="s">
        <v>20</v>
      </c>
      <c r="D800" s="245" t="s">
        <v>21</v>
      </c>
      <c r="E800" s="245">
        <v>11</v>
      </c>
      <c r="F800" s="242" t="s">
        <v>507</v>
      </c>
      <c r="G800" s="242">
        <v>3.9</v>
      </c>
      <c r="H800" s="230">
        <f t="shared" si="23"/>
        <v>42.9</v>
      </c>
    </row>
    <row r="801" spans="1:8" ht="15.75" x14ac:dyDescent="0.25">
      <c r="A801" s="244">
        <v>2007</v>
      </c>
      <c r="B801" s="245" t="s">
        <v>19</v>
      </c>
      <c r="C801" s="246" t="s">
        <v>20</v>
      </c>
      <c r="D801" s="245" t="s">
        <v>21</v>
      </c>
      <c r="E801" s="245">
        <v>11</v>
      </c>
      <c r="F801" s="242" t="s">
        <v>507</v>
      </c>
      <c r="G801" s="242">
        <v>3.9</v>
      </c>
      <c r="H801" s="230">
        <f t="shared" si="23"/>
        <v>42.9</v>
      </c>
    </row>
    <row r="802" spans="1:8" ht="15.75" x14ac:dyDescent="0.25">
      <c r="A802" s="244">
        <v>2007</v>
      </c>
      <c r="B802" s="245" t="s">
        <v>19</v>
      </c>
      <c r="C802" s="246" t="s">
        <v>20</v>
      </c>
      <c r="D802" s="245" t="s">
        <v>21</v>
      </c>
      <c r="E802" s="245">
        <v>9</v>
      </c>
      <c r="F802" s="242" t="s">
        <v>507</v>
      </c>
      <c r="G802" s="242">
        <v>3.9</v>
      </c>
      <c r="H802" s="230">
        <f t="shared" si="23"/>
        <v>35.1</v>
      </c>
    </row>
    <row r="803" spans="1:8" ht="15.75" x14ac:dyDescent="0.25">
      <c r="A803" s="244">
        <v>2007</v>
      </c>
      <c r="B803" s="245" t="s">
        <v>19</v>
      </c>
      <c r="C803" s="246" t="s">
        <v>20</v>
      </c>
      <c r="D803" s="245" t="s">
        <v>21</v>
      </c>
      <c r="E803" s="245">
        <v>15.5</v>
      </c>
      <c r="F803" s="242" t="s">
        <v>507</v>
      </c>
      <c r="G803" s="242">
        <v>3.9</v>
      </c>
      <c r="H803" s="230">
        <f t="shared" si="23"/>
        <v>60.449999999999996</v>
      </c>
    </row>
    <row r="804" spans="1:8" ht="15.75" x14ac:dyDescent="0.25">
      <c r="A804" s="244">
        <v>2007</v>
      </c>
      <c r="B804" s="245" t="s">
        <v>19</v>
      </c>
      <c r="C804" s="246" t="s">
        <v>20</v>
      </c>
      <c r="D804" s="245" t="s">
        <v>21</v>
      </c>
      <c r="E804" s="245">
        <v>9.75</v>
      </c>
      <c r="F804" s="242" t="s">
        <v>507</v>
      </c>
      <c r="G804" s="242">
        <v>3.9</v>
      </c>
      <c r="H804" s="230">
        <f t="shared" si="23"/>
        <v>38.024999999999999</v>
      </c>
    </row>
    <row r="805" spans="1:8" ht="15.75" x14ac:dyDescent="0.25">
      <c r="A805" s="244">
        <v>2007</v>
      </c>
      <c r="B805" s="245" t="s">
        <v>19</v>
      </c>
      <c r="C805" s="246" t="s">
        <v>20</v>
      </c>
      <c r="D805" s="245" t="s">
        <v>21</v>
      </c>
      <c r="E805" s="245">
        <v>15</v>
      </c>
      <c r="F805" s="242" t="s">
        <v>507</v>
      </c>
      <c r="G805" s="242">
        <v>3.9</v>
      </c>
      <c r="H805" s="230">
        <f t="shared" si="23"/>
        <v>58.5</v>
      </c>
    </row>
    <row r="806" spans="1:8" ht="15.75" x14ac:dyDescent="0.25">
      <c r="A806" s="244">
        <v>2007</v>
      </c>
      <c r="B806" s="245" t="s">
        <v>19</v>
      </c>
      <c r="C806" s="246" t="s">
        <v>20</v>
      </c>
      <c r="D806" s="245" t="s">
        <v>21</v>
      </c>
      <c r="E806" s="245">
        <v>12</v>
      </c>
      <c r="F806" s="242" t="s">
        <v>507</v>
      </c>
      <c r="G806" s="242">
        <v>3.9</v>
      </c>
      <c r="H806" s="230">
        <f t="shared" si="23"/>
        <v>46.8</v>
      </c>
    </row>
    <row r="807" spans="1:8" ht="15.75" x14ac:dyDescent="0.25">
      <c r="A807" s="244">
        <v>2007</v>
      </c>
      <c r="B807" s="245" t="s">
        <v>19</v>
      </c>
      <c r="C807" s="246" t="s">
        <v>20</v>
      </c>
      <c r="D807" s="245" t="s">
        <v>21</v>
      </c>
      <c r="E807" s="245">
        <v>15.75</v>
      </c>
      <c r="F807" s="242" t="s">
        <v>507</v>
      </c>
      <c r="G807" s="242">
        <v>3.9</v>
      </c>
      <c r="H807" s="230">
        <f t="shared" si="23"/>
        <v>61.424999999999997</v>
      </c>
    </row>
    <row r="808" spans="1:8" ht="15.75" x14ac:dyDescent="0.25">
      <c r="A808" s="244">
        <v>2007</v>
      </c>
      <c r="B808" s="245" t="s">
        <v>19</v>
      </c>
      <c r="C808" s="246" t="s">
        <v>20</v>
      </c>
      <c r="D808" s="245" t="s">
        <v>21</v>
      </c>
      <c r="E808" s="245">
        <v>18.5</v>
      </c>
      <c r="F808" s="242" t="s">
        <v>507</v>
      </c>
      <c r="G808" s="242">
        <v>3.9</v>
      </c>
      <c r="H808" s="230">
        <f t="shared" si="23"/>
        <v>72.149999999999991</v>
      </c>
    </row>
    <row r="809" spans="1:8" ht="15.75" x14ac:dyDescent="0.25">
      <c r="A809" s="244">
        <v>2007</v>
      </c>
      <c r="B809" s="245" t="s">
        <v>19</v>
      </c>
      <c r="C809" s="246" t="s">
        <v>20</v>
      </c>
      <c r="D809" s="245" t="s">
        <v>21</v>
      </c>
      <c r="E809" s="245">
        <v>9.5</v>
      </c>
      <c r="F809" s="242" t="s">
        <v>507</v>
      </c>
      <c r="G809" s="242">
        <v>3.9</v>
      </c>
      <c r="H809" s="230">
        <f t="shared" si="23"/>
        <v>37.049999999999997</v>
      </c>
    </row>
    <row r="810" spans="1:8" ht="15.75" x14ac:dyDescent="0.25">
      <c r="A810" s="244">
        <v>2007</v>
      </c>
      <c r="B810" s="245" t="s">
        <v>19</v>
      </c>
      <c r="C810" s="246" t="s">
        <v>20</v>
      </c>
      <c r="D810" s="245" t="s">
        <v>21</v>
      </c>
      <c r="E810" s="245">
        <v>12.2</v>
      </c>
      <c r="F810" s="242" t="s">
        <v>507</v>
      </c>
      <c r="G810" s="242">
        <v>3.9</v>
      </c>
      <c r="H810" s="230">
        <f t="shared" si="23"/>
        <v>47.58</v>
      </c>
    </row>
    <row r="811" spans="1:8" ht="15.75" x14ac:dyDescent="0.25">
      <c r="A811" s="244">
        <v>2007</v>
      </c>
      <c r="B811" s="245" t="s">
        <v>19</v>
      </c>
      <c r="C811" s="246" t="s">
        <v>20</v>
      </c>
      <c r="D811" s="245" t="s">
        <v>21</v>
      </c>
      <c r="E811" s="245">
        <v>12.8</v>
      </c>
      <c r="F811" s="242" t="s">
        <v>507</v>
      </c>
      <c r="G811" s="242">
        <v>3.9</v>
      </c>
      <c r="H811" s="230">
        <f t="shared" si="23"/>
        <v>49.92</v>
      </c>
    </row>
    <row r="812" spans="1:8" ht="15.75" x14ac:dyDescent="0.25">
      <c r="A812" s="244">
        <v>2007</v>
      </c>
      <c r="B812" s="245" t="s">
        <v>19</v>
      </c>
      <c r="C812" s="246" t="s">
        <v>20</v>
      </c>
      <c r="D812" s="245" t="s">
        <v>21</v>
      </c>
      <c r="E812" s="245">
        <v>11.4</v>
      </c>
      <c r="F812" s="242" t="s">
        <v>507</v>
      </c>
      <c r="G812" s="242">
        <v>3.9</v>
      </c>
      <c r="H812" s="230">
        <f t="shared" si="23"/>
        <v>44.46</v>
      </c>
    </row>
    <row r="813" spans="1:8" ht="15.75" x14ac:dyDescent="0.25">
      <c r="A813" s="244">
        <v>2007</v>
      </c>
      <c r="B813" s="245" t="s">
        <v>19</v>
      </c>
      <c r="C813" s="246" t="s">
        <v>20</v>
      </c>
      <c r="D813" s="245" t="s">
        <v>21</v>
      </c>
      <c r="E813" s="245">
        <v>9.4</v>
      </c>
      <c r="F813" s="242" t="s">
        <v>507</v>
      </c>
      <c r="G813" s="242">
        <v>3.9</v>
      </c>
      <c r="H813" s="230">
        <f t="shared" si="23"/>
        <v>36.660000000000004</v>
      </c>
    </row>
    <row r="814" spans="1:8" ht="15.75" x14ac:dyDescent="0.25">
      <c r="A814" s="244">
        <v>2007</v>
      </c>
      <c r="B814" s="245" t="s">
        <v>19</v>
      </c>
      <c r="C814" s="246" t="s">
        <v>20</v>
      </c>
      <c r="D814" s="245" t="s">
        <v>21</v>
      </c>
      <c r="E814" s="245">
        <v>9.5</v>
      </c>
      <c r="F814" s="242" t="s">
        <v>507</v>
      </c>
      <c r="G814" s="242">
        <v>3.9</v>
      </c>
      <c r="H814" s="230">
        <f t="shared" si="23"/>
        <v>37.049999999999997</v>
      </c>
    </row>
    <row r="815" spans="1:8" ht="15.75" x14ac:dyDescent="0.25">
      <c r="A815" s="244">
        <v>2007</v>
      </c>
      <c r="B815" s="245" t="s">
        <v>19</v>
      </c>
      <c r="C815" s="246" t="s">
        <v>20</v>
      </c>
      <c r="D815" s="245" t="s">
        <v>21</v>
      </c>
      <c r="E815" s="245">
        <v>7.4</v>
      </c>
      <c r="F815" s="242" t="s">
        <v>507</v>
      </c>
      <c r="G815" s="242">
        <v>3.9</v>
      </c>
      <c r="H815" s="230">
        <f t="shared" si="23"/>
        <v>28.86</v>
      </c>
    </row>
    <row r="816" spans="1:8" ht="15.75" x14ac:dyDescent="0.25">
      <c r="A816" s="244">
        <v>2007</v>
      </c>
      <c r="B816" s="245" t="s">
        <v>19</v>
      </c>
      <c r="C816" s="246" t="s">
        <v>20</v>
      </c>
      <c r="D816" s="245" t="s">
        <v>21</v>
      </c>
      <c r="E816" s="245">
        <v>7</v>
      </c>
      <c r="F816" s="242" t="s">
        <v>507</v>
      </c>
      <c r="G816" s="242">
        <v>3.9</v>
      </c>
      <c r="H816" s="230">
        <f t="shared" si="23"/>
        <v>27.3</v>
      </c>
    </row>
    <row r="817" spans="1:8" ht="15.75" x14ac:dyDescent="0.25">
      <c r="A817" s="244">
        <v>2007</v>
      </c>
      <c r="B817" s="245" t="s">
        <v>19</v>
      </c>
      <c r="C817" s="246" t="s">
        <v>20</v>
      </c>
      <c r="D817" s="245" t="s">
        <v>21</v>
      </c>
      <c r="E817" s="245">
        <v>11.5</v>
      </c>
      <c r="F817" s="242" t="s">
        <v>507</v>
      </c>
      <c r="G817" s="242">
        <v>3.9</v>
      </c>
      <c r="H817" s="230">
        <f t="shared" si="23"/>
        <v>44.85</v>
      </c>
    </row>
    <row r="818" spans="1:8" ht="15.75" x14ac:dyDescent="0.25">
      <c r="A818" s="244">
        <v>2007</v>
      </c>
      <c r="B818" s="245" t="s">
        <v>19</v>
      </c>
      <c r="C818" s="246" t="s">
        <v>20</v>
      </c>
      <c r="D818" s="245" t="s">
        <v>21</v>
      </c>
      <c r="E818" s="245">
        <v>8.5</v>
      </c>
      <c r="F818" s="242" t="s">
        <v>507</v>
      </c>
      <c r="G818" s="242">
        <v>3.9</v>
      </c>
      <c r="H818" s="230">
        <f t="shared" si="23"/>
        <v>33.15</v>
      </c>
    </row>
    <row r="819" spans="1:8" ht="15.75" x14ac:dyDescent="0.25">
      <c r="A819" s="244">
        <v>2007</v>
      </c>
      <c r="B819" s="245" t="s">
        <v>19</v>
      </c>
      <c r="C819" s="246" t="s">
        <v>20</v>
      </c>
      <c r="D819" s="245" t="s">
        <v>21</v>
      </c>
      <c r="E819" s="245">
        <v>11.5</v>
      </c>
      <c r="F819" s="242" t="s">
        <v>507</v>
      </c>
      <c r="G819" s="242">
        <v>3.9</v>
      </c>
      <c r="H819" s="230">
        <f t="shared" si="23"/>
        <v>44.85</v>
      </c>
    </row>
    <row r="820" spans="1:8" ht="15.75" x14ac:dyDescent="0.25">
      <c r="A820" s="244">
        <v>2007</v>
      </c>
      <c r="B820" s="245" t="s">
        <v>19</v>
      </c>
      <c r="C820" s="246" t="s">
        <v>20</v>
      </c>
      <c r="D820" s="245" t="s">
        <v>21</v>
      </c>
      <c r="E820" s="245">
        <v>13.7</v>
      </c>
      <c r="F820" s="242" t="s">
        <v>507</v>
      </c>
      <c r="G820" s="242">
        <v>3.9</v>
      </c>
      <c r="H820" s="230">
        <f t="shared" si="23"/>
        <v>53.429999999999993</v>
      </c>
    </row>
    <row r="821" spans="1:8" ht="15.75" x14ac:dyDescent="0.25">
      <c r="A821" s="244">
        <v>2007</v>
      </c>
      <c r="B821" s="245" t="s">
        <v>19</v>
      </c>
      <c r="C821" s="246" t="s">
        <v>20</v>
      </c>
      <c r="D821" s="245" t="s">
        <v>21</v>
      </c>
      <c r="E821" s="245">
        <v>10.5</v>
      </c>
      <c r="F821" s="242" t="s">
        <v>507</v>
      </c>
      <c r="G821" s="242">
        <v>3.9</v>
      </c>
      <c r="H821" s="230">
        <f t="shared" si="23"/>
        <v>40.949999999999996</v>
      </c>
    </row>
    <row r="822" spans="1:8" ht="15.75" x14ac:dyDescent="0.25">
      <c r="A822" s="244">
        <v>2007</v>
      </c>
      <c r="B822" s="245" t="s">
        <v>19</v>
      </c>
      <c r="C822" s="246" t="s">
        <v>20</v>
      </c>
      <c r="D822" s="245" t="s">
        <v>21</v>
      </c>
      <c r="E822" s="245">
        <v>11.8</v>
      </c>
      <c r="F822" s="242" t="s">
        <v>507</v>
      </c>
      <c r="G822" s="242">
        <v>3.9</v>
      </c>
      <c r="H822" s="230">
        <f t="shared" si="23"/>
        <v>46.02</v>
      </c>
    </row>
    <row r="823" spans="1:8" ht="15.75" x14ac:dyDescent="0.25">
      <c r="A823" s="244">
        <v>2007</v>
      </c>
      <c r="B823" s="245" t="s">
        <v>19</v>
      </c>
      <c r="C823" s="246" t="s">
        <v>20</v>
      </c>
      <c r="D823" s="245" t="s">
        <v>21</v>
      </c>
      <c r="E823" s="245">
        <v>13.6</v>
      </c>
      <c r="F823" s="242" t="s">
        <v>507</v>
      </c>
      <c r="G823" s="242">
        <v>3.9</v>
      </c>
      <c r="H823" s="230">
        <f t="shared" si="23"/>
        <v>53.04</v>
      </c>
    </row>
    <row r="824" spans="1:8" ht="15.75" x14ac:dyDescent="0.25">
      <c r="A824" s="244">
        <v>2007</v>
      </c>
      <c r="B824" s="245" t="s">
        <v>19</v>
      </c>
      <c r="C824" s="246" t="s">
        <v>20</v>
      </c>
      <c r="D824" s="245" t="s">
        <v>21</v>
      </c>
      <c r="E824" s="245">
        <v>9.5</v>
      </c>
      <c r="F824" s="242" t="s">
        <v>507</v>
      </c>
      <c r="G824" s="242">
        <v>3.9</v>
      </c>
      <c r="H824" s="230">
        <f t="shared" si="23"/>
        <v>37.049999999999997</v>
      </c>
    </row>
    <row r="825" spans="1:8" ht="15.75" x14ac:dyDescent="0.25">
      <c r="A825" s="244">
        <v>2007</v>
      </c>
      <c r="B825" s="245" t="s">
        <v>19</v>
      </c>
      <c r="C825" s="246" t="s">
        <v>20</v>
      </c>
      <c r="D825" s="245" t="s">
        <v>21</v>
      </c>
      <c r="E825" s="245">
        <v>16</v>
      </c>
      <c r="F825" s="242" t="s">
        <v>507</v>
      </c>
      <c r="G825" s="242">
        <v>3.9</v>
      </c>
      <c r="H825" s="230">
        <f t="shared" si="23"/>
        <v>62.4</v>
      </c>
    </row>
    <row r="826" spans="1:8" ht="15.75" x14ac:dyDescent="0.25">
      <c r="A826" s="244">
        <v>2007</v>
      </c>
      <c r="B826" s="245" t="s">
        <v>19</v>
      </c>
      <c r="C826" s="246" t="s">
        <v>20</v>
      </c>
      <c r="D826" s="245" t="s">
        <v>21</v>
      </c>
      <c r="E826" s="245">
        <v>10</v>
      </c>
      <c r="F826" s="242" t="s">
        <v>507</v>
      </c>
      <c r="G826" s="242">
        <v>3.9</v>
      </c>
      <c r="H826" s="230">
        <f t="shared" si="23"/>
        <v>39</v>
      </c>
    </row>
    <row r="827" spans="1:8" ht="15.75" x14ac:dyDescent="0.25">
      <c r="A827" s="244">
        <v>2007</v>
      </c>
      <c r="B827" s="245" t="s">
        <v>19</v>
      </c>
      <c r="C827" s="246" t="s">
        <v>20</v>
      </c>
      <c r="D827" s="245" t="s">
        <v>21</v>
      </c>
      <c r="E827" s="245">
        <v>12.7</v>
      </c>
      <c r="F827" s="242" t="s">
        <v>507</v>
      </c>
      <c r="G827" s="242">
        <v>3.9</v>
      </c>
      <c r="H827" s="230">
        <f t="shared" si="23"/>
        <v>49.529999999999994</v>
      </c>
    </row>
    <row r="828" spans="1:8" ht="15.75" x14ac:dyDescent="0.25">
      <c r="A828" s="244">
        <v>2007</v>
      </c>
      <c r="B828" s="245" t="s">
        <v>19</v>
      </c>
      <c r="C828" s="246" t="s">
        <v>20</v>
      </c>
      <c r="D828" s="245" t="s">
        <v>21</v>
      </c>
      <c r="E828" s="245">
        <v>16.5</v>
      </c>
      <c r="F828" s="242" t="s">
        <v>507</v>
      </c>
      <c r="G828" s="242">
        <v>3.9</v>
      </c>
      <c r="H828" s="230">
        <f t="shared" si="23"/>
        <v>64.349999999999994</v>
      </c>
    </row>
    <row r="829" spans="1:8" ht="15.75" x14ac:dyDescent="0.25">
      <c r="A829" s="244">
        <v>2007</v>
      </c>
      <c r="B829" s="245" t="s">
        <v>19</v>
      </c>
      <c r="C829" s="246" t="s">
        <v>20</v>
      </c>
      <c r="D829" s="245" t="s">
        <v>21</v>
      </c>
      <c r="E829" s="245">
        <v>9.8000000000000007</v>
      </c>
      <c r="F829" s="242" t="s">
        <v>507</v>
      </c>
      <c r="G829" s="242">
        <v>3.9</v>
      </c>
      <c r="H829" s="230">
        <f t="shared" si="23"/>
        <v>38.22</v>
      </c>
    </row>
    <row r="830" spans="1:8" ht="15.75" x14ac:dyDescent="0.25">
      <c r="A830" s="244">
        <v>2007</v>
      </c>
      <c r="B830" s="245" t="s">
        <v>19</v>
      </c>
      <c r="C830" s="246" t="s">
        <v>20</v>
      </c>
      <c r="D830" s="245" t="s">
        <v>21</v>
      </c>
      <c r="E830" s="245">
        <v>17</v>
      </c>
      <c r="F830" s="242" t="s">
        <v>507</v>
      </c>
      <c r="G830" s="242">
        <v>3.9</v>
      </c>
      <c r="H830" s="230">
        <f t="shared" si="23"/>
        <v>66.3</v>
      </c>
    </row>
    <row r="831" spans="1:8" ht="15.75" x14ac:dyDescent="0.25">
      <c r="A831" s="244">
        <v>2007</v>
      </c>
      <c r="B831" s="245" t="s">
        <v>19</v>
      </c>
      <c r="C831" s="246" t="s">
        <v>20</v>
      </c>
      <c r="D831" s="245" t="s">
        <v>21</v>
      </c>
      <c r="E831" s="245">
        <v>17.5</v>
      </c>
      <c r="F831" s="242" t="s">
        <v>507</v>
      </c>
      <c r="G831" s="242">
        <v>3.9</v>
      </c>
      <c r="H831" s="230">
        <f t="shared" si="23"/>
        <v>68.25</v>
      </c>
    </row>
    <row r="832" spans="1:8" ht="15.75" x14ac:dyDescent="0.25">
      <c r="A832" s="244">
        <v>2007</v>
      </c>
      <c r="B832" s="245" t="s">
        <v>19</v>
      </c>
      <c r="C832" s="246" t="s">
        <v>20</v>
      </c>
      <c r="D832" s="245" t="s">
        <v>21</v>
      </c>
      <c r="E832" s="245">
        <v>8.5</v>
      </c>
      <c r="F832" s="242" t="s">
        <v>507</v>
      </c>
      <c r="G832" s="242">
        <v>3.9</v>
      </c>
      <c r="H832" s="230">
        <f t="shared" si="23"/>
        <v>33.15</v>
      </c>
    </row>
    <row r="833" spans="1:8" ht="15.75" x14ac:dyDescent="0.25">
      <c r="A833" s="244">
        <v>2007</v>
      </c>
      <c r="B833" s="245" t="s">
        <v>19</v>
      </c>
      <c r="C833" s="246" t="s">
        <v>20</v>
      </c>
      <c r="D833" s="245" t="s">
        <v>21</v>
      </c>
      <c r="E833" s="245">
        <v>10.7</v>
      </c>
      <c r="F833" s="242" t="s">
        <v>507</v>
      </c>
      <c r="G833" s="242">
        <v>3.9</v>
      </c>
      <c r="H833" s="230">
        <f t="shared" si="23"/>
        <v>41.73</v>
      </c>
    </row>
    <row r="834" spans="1:8" ht="15.75" x14ac:dyDescent="0.25">
      <c r="A834" s="244">
        <v>2007</v>
      </c>
      <c r="B834" s="245" t="s">
        <v>19</v>
      </c>
      <c r="C834" s="246" t="s">
        <v>20</v>
      </c>
      <c r="D834" s="245" t="s">
        <v>21</v>
      </c>
      <c r="E834" s="245">
        <v>16</v>
      </c>
      <c r="F834" s="242" t="s">
        <v>507</v>
      </c>
      <c r="G834" s="242">
        <v>3.9</v>
      </c>
      <c r="H834" s="230">
        <f t="shared" si="23"/>
        <v>62.4</v>
      </c>
    </row>
    <row r="835" spans="1:8" ht="15.75" x14ac:dyDescent="0.25">
      <c r="A835" s="244">
        <v>2007</v>
      </c>
      <c r="B835" s="245" t="s">
        <v>19</v>
      </c>
      <c r="C835" s="246" t="s">
        <v>20</v>
      </c>
      <c r="D835" s="245" t="s">
        <v>21</v>
      </c>
      <c r="E835" s="245">
        <v>13.2</v>
      </c>
      <c r="F835" s="242" t="s">
        <v>507</v>
      </c>
      <c r="G835" s="242">
        <v>3.9</v>
      </c>
      <c r="H835" s="230">
        <f t="shared" ref="H835:H898" si="24">E835*G835</f>
        <v>51.48</v>
      </c>
    </row>
    <row r="836" spans="1:8" ht="15.75" x14ac:dyDescent="0.25">
      <c r="A836" s="244">
        <v>2007</v>
      </c>
      <c r="B836" s="245" t="s">
        <v>19</v>
      </c>
      <c r="C836" s="246" t="s">
        <v>20</v>
      </c>
      <c r="D836" s="245" t="s">
        <v>21</v>
      </c>
      <c r="E836" s="245">
        <v>8</v>
      </c>
      <c r="F836" s="242" t="s">
        <v>507</v>
      </c>
      <c r="G836" s="242">
        <v>3.9</v>
      </c>
      <c r="H836" s="230">
        <f t="shared" si="24"/>
        <v>31.2</v>
      </c>
    </row>
    <row r="837" spans="1:8" ht="15.75" x14ac:dyDescent="0.25">
      <c r="A837" s="244">
        <v>2007</v>
      </c>
      <c r="B837" s="245" t="s">
        <v>19</v>
      </c>
      <c r="C837" s="246" t="s">
        <v>20</v>
      </c>
      <c r="D837" s="245" t="s">
        <v>21</v>
      </c>
      <c r="E837" s="245">
        <v>9.5</v>
      </c>
      <c r="F837" s="242" t="s">
        <v>507</v>
      </c>
      <c r="G837" s="242">
        <v>3.9</v>
      </c>
      <c r="H837" s="230">
        <f t="shared" si="24"/>
        <v>37.049999999999997</v>
      </c>
    </row>
    <row r="838" spans="1:8" ht="15.75" x14ac:dyDescent="0.25">
      <c r="A838" s="244">
        <v>2007</v>
      </c>
      <c r="B838" s="245" t="s">
        <v>19</v>
      </c>
      <c r="C838" s="246" t="s">
        <v>20</v>
      </c>
      <c r="D838" s="245" t="s">
        <v>21</v>
      </c>
      <c r="E838" s="245">
        <v>8.1999999999999993</v>
      </c>
      <c r="F838" s="242" t="s">
        <v>507</v>
      </c>
      <c r="G838" s="242">
        <v>3.9</v>
      </c>
      <c r="H838" s="230">
        <f t="shared" si="24"/>
        <v>31.979999999999997</v>
      </c>
    </row>
    <row r="839" spans="1:8" ht="15.75" x14ac:dyDescent="0.25">
      <c r="A839" s="244">
        <v>2007</v>
      </c>
      <c r="B839" s="245" t="s">
        <v>19</v>
      </c>
      <c r="C839" s="246" t="s">
        <v>20</v>
      </c>
      <c r="D839" s="245" t="s">
        <v>21</v>
      </c>
      <c r="E839" s="245">
        <v>16.100000000000001</v>
      </c>
      <c r="F839" s="242" t="s">
        <v>507</v>
      </c>
      <c r="G839" s="242">
        <v>3.9</v>
      </c>
      <c r="H839" s="230">
        <f t="shared" si="24"/>
        <v>62.790000000000006</v>
      </c>
    </row>
    <row r="840" spans="1:8" ht="15.75" x14ac:dyDescent="0.25">
      <c r="A840" s="244">
        <v>2007</v>
      </c>
      <c r="B840" s="245" t="s">
        <v>19</v>
      </c>
      <c r="C840" s="246" t="s">
        <v>20</v>
      </c>
      <c r="D840" s="245" t="s">
        <v>21</v>
      </c>
      <c r="E840" s="245">
        <v>14.8</v>
      </c>
      <c r="F840" s="242" t="s">
        <v>507</v>
      </c>
      <c r="G840" s="242">
        <v>3.9</v>
      </c>
      <c r="H840" s="230">
        <f t="shared" si="24"/>
        <v>57.72</v>
      </c>
    </row>
    <row r="841" spans="1:8" ht="15.75" x14ac:dyDescent="0.25">
      <c r="A841" s="244">
        <v>2007</v>
      </c>
      <c r="B841" s="245" t="s">
        <v>19</v>
      </c>
      <c r="C841" s="246" t="s">
        <v>20</v>
      </c>
      <c r="D841" s="245" t="s">
        <v>21</v>
      </c>
      <c r="E841" s="245">
        <v>7.6</v>
      </c>
      <c r="F841" s="242" t="s">
        <v>507</v>
      </c>
      <c r="G841" s="242">
        <v>3.9</v>
      </c>
      <c r="H841" s="230">
        <f t="shared" si="24"/>
        <v>29.639999999999997</v>
      </c>
    </row>
    <row r="842" spans="1:8" ht="15.75" x14ac:dyDescent="0.25">
      <c r="A842" s="244">
        <v>2007</v>
      </c>
      <c r="B842" s="245" t="s">
        <v>19</v>
      </c>
      <c r="C842" s="246" t="s">
        <v>20</v>
      </c>
      <c r="D842" s="245" t="s">
        <v>21</v>
      </c>
      <c r="E842" s="245">
        <v>6.8</v>
      </c>
      <c r="F842" s="242" t="s">
        <v>507</v>
      </c>
      <c r="G842" s="242">
        <v>3.9</v>
      </c>
      <c r="H842" s="230">
        <f t="shared" si="24"/>
        <v>26.52</v>
      </c>
    </row>
    <row r="843" spans="1:8" ht="15.75" x14ac:dyDescent="0.25">
      <c r="A843" s="244">
        <v>2007</v>
      </c>
      <c r="B843" s="245" t="s">
        <v>19</v>
      </c>
      <c r="C843" s="246" t="s">
        <v>20</v>
      </c>
      <c r="D843" s="245" t="s">
        <v>21</v>
      </c>
      <c r="E843" s="245">
        <v>16</v>
      </c>
      <c r="F843" s="242" t="s">
        <v>507</v>
      </c>
      <c r="G843" s="242">
        <v>3.9</v>
      </c>
      <c r="H843" s="230">
        <f t="shared" si="24"/>
        <v>62.4</v>
      </c>
    </row>
    <row r="844" spans="1:8" ht="15.75" x14ac:dyDescent="0.25">
      <c r="A844" s="244">
        <v>2007</v>
      </c>
      <c r="B844" s="245" t="s">
        <v>19</v>
      </c>
      <c r="C844" s="246" t="s">
        <v>20</v>
      </c>
      <c r="D844" s="245" t="s">
        <v>21</v>
      </c>
      <c r="E844" s="245">
        <v>14.5</v>
      </c>
      <c r="F844" s="242" t="s">
        <v>507</v>
      </c>
      <c r="G844" s="242">
        <v>3.9</v>
      </c>
      <c r="H844" s="230">
        <f t="shared" si="24"/>
        <v>56.55</v>
      </c>
    </row>
    <row r="845" spans="1:8" ht="15.75" x14ac:dyDescent="0.25">
      <c r="A845" s="244">
        <v>2007</v>
      </c>
      <c r="B845" s="245" t="s">
        <v>19</v>
      </c>
      <c r="C845" s="246" t="s">
        <v>20</v>
      </c>
      <c r="D845" s="245" t="s">
        <v>21</v>
      </c>
      <c r="E845" s="245">
        <v>11.5</v>
      </c>
      <c r="F845" s="242" t="s">
        <v>507</v>
      </c>
      <c r="G845" s="242">
        <v>3.9</v>
      </c>
      <c r="H845" s="230">
        <f t="shared" si="24"/>
        <v>44.85</v>
      </c>
    </row>
    <row r="846" spans="1:8" ht="15.75" x14ac:dyDescent="0.25">
      <c r="A846" s="244">
        <v>2007</v>
      </c>
      <c r="B846" s="245" t="s">
        <v>19</v>
      </c>
      <c r="C846" s="246" t="s">
        <v>20</v>
      </c>
      <c r="D846" s="245" t="s">
        <v>21</v>
      </c>
      <c r="E846" s="245">
        <v>16.5</v>
      </c>
      <c r="F846" s="242" t="s">
        <v>507</v>
      </c>
      <c r="G846" s="242">
        <v>3.9</v>
      </c>
      <c r="H846" s="230">
        <f t="shared" si="24"/>
        <v>64.349999999999994</v>
      </c>
    </row>
    <row r="847" spans="1:8" ht="15.75" x14ac:dyDescent="0.25">
      <c r="A847" s="244">
        <v>2007</v>
      </c>
      <c r="B847" s="245" t="s">
        <v>19</v>
      </c>
      <c r="C847" s="246" t="s">
        <v>20</v>
      </c>
      <c r="D847" s="245" t="s">
        <v>21</v>
      </c>
      <c r="E847" s="245">
        <v>9.8000000000000007</v>
      </c>
      <c r="F847" s="242" t="s">
        <v>507</v>
      </c>
      <c r="G847" s="242">
        <v>3.9</v>
      </c>
      <c r="H847" s="230">
        <f t="shared" si="24"/>
        <v>38.22</v>
      </c>
    </row>
    <row r="848" spans="1:8" ht="15.75" x14ac:dyDescent="0.25">
      <c r="A848" s="244">
        <v>2007</v>
      </c>
      <c r="B848" s="245" t="s">
        <v>19</v>
      </c>
      <c r="C848" s="246" t="s">
        <v>20</v>
      </c>
      <c r="D848" s="245" t="s">
        <v>21</v>
      </c>
      <c r="E848" s="245">
        <v>17</v>
      </c>
      <c r="F848" s="242" t="s">
        <v>507</v>
      </c>
      <c r="G848" s="242">
        <v>3.9</v>
      </c>
      <c r="H848" s="230">
        <f t="shared" si="24"/>
        <v>66.3</v>
      </c>
    </row>
    <row r="849" spans="1:8" ht="15.75" x14ac:dyDescent="0.25">
      <c r="A849" s="244">
        <v>2007</v>
      </c>
      <c r="B849" s="245" t="s">
        <v>19</v>
      </c>
      <c r="C849" s="246" t="s">
        <v>20</v>
      </c>
      <c r="D849" s="245" t="s">
        <v>21</v>
      </c>
      <c r="E849" s="245">
        <v>17.5</v>
      </c>
      <c r="F849" s="242" t="s">
        <v>507</v>
      </c>
      <c r="G849" s="242">
        <v>3.9</v>
      </c>
      <c r="H849" s="230">
        <f t="shared" si="24"/>
        <v>68.25</v>
      </c>
    </row>
    <row r="850" spans="1:8" ht="15.75" x14ac:dyDescent="0.25">
      <c r="A850" s="244">
        <v>2007</v>
      </c>
      <c r="B850" s="245" t="s">
        <v>19</v>
      </c>
      <c r="C850" s="246" t="s">
        <v>20</v>
      </c>
      <c r="D850" s="245" t="s">
        <v>21</v>
      </c>
      <c r="E850" s="245">
        <v>8.5</v>
      </c>
      <c r="F850" s="242" t="s">
        <v>507</v>
      </c>
      <c r="G850" s="242">
        <v>3.9</v>
      </c>
      <c r="H850" s="230">
        <f t="shared" si="24"/>
        <v>33.15</v>
      </c>
    </row>
    <row r="851" spans="1:8" ht="15.75" x14ac:dyDescent="0.25">
      <c r="A851" s="244">
        <v>2007</v>
      </c>
      <c r="B851" s="245" t="s">
        <v>19</v>
      </c>
      <c r="C851" s="246" t="s">
        <v>20</v>
      </c>
      <c r="D851" s="245" t="s">
        <v>21</v>
      </c>
      <c r="E851" s="245">
        <v>10.7</v>
      </c>
      <c r="F851" s="242" t="s">
        <v>507</v>
      </c>
      <c r="G851" s="242">
        <v>3.9</v>
      </c>
      <c r="H851" s="230">
        <f t="shared" si="24"/>
        <v>41.73</v>
      </c>
    </row>
    <row r="852" spans="1:8" ht="15.75" x14ac:dyDescent="0.25">
      <c r="A852" s="244">
        <v>2007</v>
      </c>
      <c r="B852" s="245" t="s">
        <v>19</v>
      </c>
      <c r="C852" s="246" t="s">
        <v>20</v>
      </c>
      <c r="D852" s="245" t="s">
        <v>21</v>
      </c>
      <c r="E852" s="245">
        <v>16</v>
      </c>
      <c r="F852" s="242" t="s">
        <v>507</v>
      </c>
      <c r="G852" s="242">
        <v>3.9</v>
      </c>
      <c r="H852" s="230">
        <f t="shared" si="24"/>
        <v>62.4</v>
      </c>
    </row>
    <row r="853" spans="1:8" ht="15.75" x14ac:dyDescent="0.25">
      <c r="A853" s="244">
        <v>2007</v>
      </c>
      <c r="B853" s="245" t="s">
        <v>19</v>
      </c>
      <c r="C853" s="246" t="s">
        <v>20</v>
      </c>
      <c r="D853" s="245" t="s">
        <v>21</v>
      </c>
      <c r="E853" s="245">
        <v>13.2</v>
      </c>
      <c r="F853" s="242" t="s">
        <v>507</v>
      </c>
      <c r="G853" s="242">
        <v>3.9</v>
      </c>
      <c r="H853" s="230">
        <f t="shared" si="24"/>
        <v>51.48</v>
      </c>
    </row>
    <row r="854" spans="1:8" ht="15.75" x14ac:dyDescent="0.25">
      <c r="A854" s="244">
        <v>2007</v>
      </c>
      <c r="B854" s="245" t="s">
        <v>19</v>
      </c>
      <c r="C854" s="246" t="s">
        <v>20</v>
      </c>
      <c r="D854" s="245" t="s">
        <v>21</v>
      </c>
      <c r="E854" s="245">
        <v>8</v>
      </c>
      <c r="F854" s="242" t="s">
        <v>507</v>
      </c>
      <c r="G854" s="242">
        <v>3.9</v>
      </c>
      <c r="H854" s="230">
        <f t="shared" si="24"/>
        <v>31.2</v>
      </c>
    </row>
    <row r="855" spans="1:8" ht="15.75" x14ac:dyDescent="0.25">
      <c r="A855" s="244">
        <v>2007</v>
      </c>
      <c r="B855" s="245" t="s">
        <v>19</v>
      </c>
      <c r="C855" s="246" t="s">
        <v>20</v>
      </c>
      <c r="D855" s="245" t="s">
        <v>21</v>
      </c>
      <c r="E855" s="245">
        <v>9.5</v>
      </c>
      <c r="F855" s="242" t="s">
        <v>507</v>
      </c>
      <c r="G855" s="242">
        <v>3.9</v>
      </c>
      <c r="H855" s="230">
        <f t="shared" si="24"/>
        <v>37.049999999999997</v>
      </c>
    </row>
    <row r="856" spans="1:8" ht="15.75" x14ac:dyDescent="0.25">
      <c r="A856" s="244">
        <v>2007</v>
      </c>
      <c r="B856" s="245" t="s">
        <v>19</v>
      </c>
      <c r="C856" s="246" t="s">
        <v>20</v>
      </c>
      <c r="D856" s="245" t="s">
        <v>21</v>
      </c>
      <c r="E856" s="245">
        <v>8.1999999999999993</v>
      </c>
      <c r="F856" s="242" t="s">
        <v>507</v>
      </c>
      <c r="G856" s="242">
        <v>3.9</v>
      </c>
      <c r="H856" s="230">
        <f t="shared" si="24"/>
        <v>31.979999999999997</v>
      </c>
    </row>
    <row r="857" spans="1:8" ht="15.75" x14ac:dyDescent="0.25">
      <c r="A857" s="244">
        <v>2007</v>
      </c>
      <c r="B857" s="245" t="s">
        <v>19</v>
      </c>
      <c r="C857" s="246" t="s">
        <v>20</v>
      </c>
      <c r="D857" s="245" t="s">
        <v>21</v>
      </c>
      <c r="E857" s="245">
        <v>16.100000000000001</v>
      </c>
      <c r="F857" s="242" t="s">
        <v>507</v>
      </c>
      <c r="G857" s="242">
        <v>3.9</v>
      </c>
      <c r="H857" s="230">
        <f t="shared" si="24"/>
        <v>62.790000000000006</v>
      </c>
    </row>
    <row r="858" spans="1:8" ht="15.75" x14ac:dyDescent="0.25">
      <c r="A858" s="244">
        <v>2007</v>
      </c>
      <c r="B858" s="245" t="s">
        <v>19</v>
      </c>
      <c r="C858" s="246" t="s">
        <v>20</v>
      </c>
      <c r="D858" s="245" t="s">
        <v>21</v>
      </c>
      <c r="E858" s="245">
        <v>14.8</v>
      </c>
      <c r="F858" s="242" t="s">
        <v>507</v>
      </c>
      <c r="G858" s="242">
        <v>3.9</v>
      </c>
      <c r="H858" s="230">
        <f t="shared" si="24"/>
        <v>57.72</v>
      </c>
    </row>
    <row r="859" spans="1:8" ht="15.75" x14ac:dyDescent="0.25">
      <c r="A859" s="244">
        <v>2007</v>
      </c>
      <c r="B859" s="245" t="s">
        <v>19</v>
      </c>
      <c r="C859" s="246" t="s">
        <v>20</v>
      </c>
      <c r="D859" s="245" t="s">
        <v>21</v>
      </c>
      <c r="E859" s="245">
        <v>7.6</v>
      </c>
      <c r="F859" s="242" t="s">
        <v>507</v>
      </c>
      <c r="G859" s="242">
        <v>3.9</v>
      </c>
      <c r="H859" s="230">
        <f t="shared" si="24"/>
        <v>29.639999999999997</v>
      </c>
    </row>
    <row r="860" spans="1:8" ht="15.75" x14ac:dyDescent="0.25">
      <c r="A860" s="244">
        <v>2007</v>
      </c>
      <c r="B860" s="245" t="s">
        <v>19</v>
      </c>
      <c r="C860" s="246" t="s">
        <v>20</v>
      </c>
      <c r="D860" s="245" t="s">
        <v>21</v>
      </c>
      <c r="E860" s="245">
        <v>6.8</v>
      </c>
      <c r="F860" s="242" t="s">
        <v>507</v>
      </c>
      <c r="G860" s="242">
        <v>3.9</v>
      </c>
      <c r="H860" s="230">
        <f t="shared" si="24"/>
        <v>26.52</v>
      </c>
    </row>
    <row r="861" spans="1:8" ht="15.75" x14ac:dyDescent="0.25">
      <c r="A861" s="244">
        <v>2007</v>
      </c>
      <c r="B861" s="245" t="s">
        <v>19</v>
      </c>
      <c r="C861" s="246" t="s">
        <v>20</v>
      </c>
      <c r="D861" s="245" t="s">
        <v>21</v>
      </c>
      <c r="E861" s="247">
        <v>16.5</v>
      </c>
      <c r="F861" s="242" t="s">
        <v>507</v>
      </c>
      <c r="G861" s="242">
        <v>3.9</v>
      </c>
      <c r="H861" s="230">
        <f t="shared" si="24"/>
        <v>64.349999999999994</v>
      </c>
    </row>
    <row r="862" spans="1:8" ht="15.75" x14ac:dyDescent="0.25">
      <c r="A862" s="244">
        <v>2007</v>
      </c>
      <c r="B862" s="245" t="s">
        <v>19</v>
      </c>
      <c r="C862" s="246" t="s">
        <v>20</v>
      </c>
      <c r="D862" s="245" t="s">
        <v>21</v>
      </c>
      <c r="E862" s="245">
        <v>9.1999999999999993</v>
      </c>
      <c r="F862" s="242" t="s">
        <v>507</v>
      </c>
      <c r="G862" s="242">
        <v>3.9</v>
      </c>
      <c r="H862" s="230">
        <f t="shared" si="24"/>
        <v>35.879999999999995</v>
      </c>
    </row>
    <row r="863" spans="1:8" ht="15.75" x14ac:dyDescent="0.25">
      <c r="A863" s="244">
        <v>2007</v>
      </c>
      <c r="B863" s="245" t="s">
        <v>19</v>
      </c>
      <c r="C863" s="246" t="s">
        <v>20</v>
      </c>
      <c r="D863" s="245" t="s">
        <v>21</v>
      </c>
      <c r="E863" s="245">
        <v>21</v>
      </c>
      <c r="F863" s="242" t="s">
        <v>507</v>
      </c>
      <c r="G863" s="242">
        <v>3.9</v>
      </c>
      <c r="H863" s="230">
        <f t="shared" si="24"/>
        <v>81.899999999999991</v>
      </c>
    </row>
    <row r="864" spans="1:8" ht="15.75" x14ac:dyDescent="0.25">
      <c r="A864" s="244">
        <v>2007</v>
      </c>
      <c r="B864" s="245" t="s">
        <v>19</v>
      </c>
      <c r="C864" s="246" t="s">
        <v>20</v>
      </c>
      <c r="D864" s="245" t="s">
        <v>21</v>
      </c>
      <c r="E864" s="245">
        <v>15.5</v>
      </c>
      <c r="F864" s="242" t="s">
        <v>507</v>
      </c>
      <c r="G864" s="242">
        <v>3.9</v>
      </c>
      <c r="H864" s="230">
        <f t="shared" si="24"/>
        <v>60.449999999999996</v>
      </c>
    </row>
    <row r="865" spans="1:8" ht="15.75" x14ac:dyDescent="0.25">
      <c r="A865" s="244">
        <v>2007</v>
      </c>
      <c r="B865" s="245" t="s">
        <v>19</v>
      </c>
      <c r="C865" s="246" t="s">
        <v>20</v>
      </c>
      <c r="D865" s="245" t="s">
        <v>21</v>
      </c>
      <c r="E865" s="245">
        <v>15.5</v>
      </c>
      <c r="F865" s="242" t="s">
        <v>507</v>
      </c>
      <c r="G865" s="242">
        <v>3.9</v>
      </c>
      <c r="H865" s="230">
        <f t="shared" si="24"/>
        <v>60.449999999999996</v>
      </c>
    </row>
    <row r="866" spans="1:8" ht="15.75" x14ac:dyDescent="0.25">
      <c r="A866" s="244">
        <v>2007</v>
      </c>
      <c r="B866" s="245" t="s">
        <v>19</v>
      </c>
      <c r="C866" s="246" t="s">
        <v>20</v>
      </c>
      <c r="D866" s="245" t="s">
        <v>21</v>
      </c>
      <c r="E866" s="245">
        <v>8</v>
      </c>
      <c r="F866" s="242" t="s">
        <v>507</v>
      </c>
      <c r="G866" s="242">
        <v>3.9</v>
      </c>
      <c r="H866" s="230">
        <f t="shared" si="24"/>
        <v>31.2</v>
      </c>
    </row>
    <row r="867" spans="1:8" ht="15.75" x14ac:dyDescent="0.25">
      <c r="A867" s="244">
        <v>2007</v>
      </c>
      <c r="B867" s="245" t="s">
        <v>19</v>
      </c>
      <c r="C867" s="246" t="s">
        <v>20</v>
      </c>
      <c r="D867" s="245" t="s">
        <v>21</v>
      </c>
      <c r="E867" s="245">
        <v>11</v>
      </c>
      <c r="F867" s="242" t="s">
        <v>507</v>
      </c>
      <c r="G867" s="242">
        <v>3.9</v>
      </c>
      <c r="H867" s="230">
        <f t="shared" si="24"/>
        <v>42.9</v>
      </c>
    </row>
    <row r="868" spans="1:8" ht="15.75" x14ac:dyDescent="0.25">
      <c r="A868" s="244">
        <v>2007</v>
      </c>
      <c r="B868" s="245" t="s">
        <v>19</v>
      </c>
      <c r="C868" s="246" t="s">
        <v>20</v>
      </c>
      <c r="D868" s="245" t="s">
        <v>21</v>
      </c>
      <c r="E868" s="245">
        <v>15.5</v>
      </c>
      <c r="F868" s="242" t="s">
        <v>507</v>
      </c>
      <c r="G868" s="242">
        <v>3.9</v>
      </c>
      <c r="H868" s="230">
        <f t="shared" si="24"/>
        <v>60.449999999999996</v>
      </c>
    </row>
    <row r="869" spans="1:8" ht="15.75" x14ac:dyDescent="0.25">
      <c r="A869" s="244">
        <v>2007</v>
      </c>
      <c r="B869" s="245" t="s">
        <v>19</v>
      </c>
      <c r="C869" s="246" t="s">
        <v>20</v>
      </c>
      <c r="D869" s="245" t="s">
        <v>21</v>
      </c>
      <c r="E869" s="245">
        <v>10</v>
      </c>
      <c r="F869" s="242" t="s">
        <v>507</v>
      </c>
      <c r="G869" s="242">
        <v>3.9</v>
      </c>
      <c r="H869" s="230">
        <f t="shared" si="24"/>
        <v>39</v>
      </c>
    </row>
    <row r="870" spans="1:8" ht="15.75" x14ac:dyDescent="0.25">
      <c r="A870" s="244">
        <v>2007</v>
      </c>
      <c r="B870" s="245" t="s">
        <v>19</v>
      </c>
      <c r="C870" s="246" t="s">
        <v>20</v>
      </c>
      <c r="D870" s="245" t="s">
        <v>21</v>
      </c>
      <c r="E870" s="245">
        <v>8</v>
      </c>
      <c r="F870" s="242" t="s">
        <v>507</v>
      </c>
      <c r="G870" s="242">
        <v>3.9</v>
      </c>
      <c r="H870" s="230">
        <f t="shared" si="24"/>
        <v>31.2</v>
      </c>
    </row>
    <row r="871" spans="1:8" ht="15.75" x14ac:dyDescent="0.25">
      <c r="A871" s="244">
        <v>2007</v>
      </c>
      <c r="B871" s="245" t="s">
        <v>19</v>
      </c>
      <c r="C871" s="246" t="s">
        <v>20</v>
      </c>
      <c r="D871" s="245" t="s">
        <v>21</v>
      </c>
      <c r="E871" s="245">
        <v>12.5</v>
      </c>
      <c r="F871" s="242" t="s">
        <v>507</v>
      </c>
      <c r="G871" s="242">
        <v>3.9</v>
      </c>
      <c r="H871" s="230">
        <f t="shared" si="24"/>
        <v>48.75</v>
      </c>
    </row>
    <row r="872" spans="1:8" ht="15.75" x14ac:dyDescent="0.25">
      <c r="A872" s="244">
        <v>2007</v>
      </c>
      <c r="B872" s="245" t="s">
        <v>19</v>
      </c>
      <c r="C872" s="246" t="s">
        <v>20</v>
      </c>
      <c r="D872" s="245" t="s">
        <v>21</v>
      </c>
      <c r="E872" s="245">
        <v>14.5</v>
      </c>
      <c r="F872" s="242" t="s">
        <v>507</v>
      </c>
      <c r="G872" s="242">
        <v>3.9</v>
      </c>
      <c r="H872" s="230">
        <f t="shared" si="24"/>
        <v>56.55</v>
      </c>
    </row>
    <row r="873" spans="1:8" ht="15.75" x14ac:dyDescent="0.25">
      <c r="A873" s="244">
        <v>2007</v>
      </c>
      <c r="B873" s="245" t="s">
        <v>19</v>
      </c>
      <c r="C873" s="246" t="s">
        <v>20</v>
      </c>
      <c r="D873" s="245" t="s">
        <v>21</v>
      </c>
      <c r="E873" s="245">
        <v>11.5</v>
      </c>
      <c r="F873" s="242" t="s">
        <v>507</v>
      </c>
      <c r="G873" s="242">
        <v>3.9</v>
      </c>
      <c r="H873" s="230">
        <f t="shared" si="24"/>
        <v>44.85</v>
      </c>
    </row>
    <row r="874" spans="1:8" ht="15.75" x14ac:dyDescent="0.25">
      <c r="A874" s="244">
        <v>2007</v>
      </c>
      <c r="B874" s="245" t="s">
        <v>19</v>
      </c>
      <c r="C874" s="246" t="s">
        <v>34</v>
      </c>
      <c r="D874" s="245" t="s">
        <v>41</v>
      </c>
      <c r="E874" s="245">
        <v>21.5</v>
      </c>
      <c r="F874" s="242" t="s">
        <v>508</v>
      </c>
      <c r="G874" s="242">
        <v>3.8</v>
      </c>
      <c r="H874" s="230">
        <f t="shared" si="24"/>
        <v>81.7</v>
      </c>
    </row>
    <row r="875" spans="1:8" ht="15.75" x14ac:dyDescent="0.25">
      <c r="A875" s="244">
        <v>2006</v>
      </c>
      <c r="B875" s="245" t="s">
        <v>19</v>
      </c>
      <c r="C875" s="243" t="s">
        <v>20</v>
      </c>
      <c r="D875" s="242" t="s">
        <v>30</v>
      </c>
      <c r="E875" s="242">
        <v>11.2</v>
      </c>
      <c r="F875" s="242" t="s">
        <v>504</v>
      </c>
      <c r="G875" s="242">
        <v>4.5999999999999996</v>
      </c>
      <c r="H875" s="230">
        <f t="shared" si="24"/>
        <v>51.519999999999996</v>
      </c>
    </row>
    <row r="876" spans="1:8" ht="15.75" x14ac:dyDescent="0.25">
      <c r="A876" s="244">
        <v>2006</v>
      </c>
      <c r="B876" s="245" t="s">
        <v>19</v>
      </c>
      <c r="C876" s="243" t="s">
        <v>20</v>
      </c>
      <c r="D876" s="242" t="s">
        <v>35</v>
      </c>
      <c r="E876" s="242">
        <v>5.5</v>
      </c>
      <c r="F876" s="242" t="s">
        <v>507</v>
      </c>
      <c r="G876" s="242">
        <v>3.9</v>
      </c>
      <c r="H876" s="230">
        <f t="shared" si="24"/>
        <v>21.45</v>
      </c>
    </row>
    <row r="877" spans="1:8" ht="15.75" x14ac:dyDescent="0.25">
      <c r="A877" s="244">
        <v>2006</v>
      </c>
      <c r="B877" s="245" t="s">
        <v>19</v>
      </c>
      <c r="C877" s="243" t="s">
        <v>20</v>
      </c>
      <c r="D877" s="242" t="s">
        <v>35</v>
      </c>
      <c r="E877" s="242">
        <v>6</v>
      </c>
      <c r="F877" s="242" t="s">
        <v>507</v>
      </c>
      <c r="G877" s="242">
        <v>3.9</v>
      </c>
      <c r="H877" s="230">
        <f t="shared" si="24"/>
        <v>23.4</v>
      </c>
    </row>
    <row r="878" spans="1:8" ht="15.75" x14ac:dyDescent="0.25">
      <c r="A878" s="244">
        <v>2006</v>
      </c>
      <c r="B878" s="245" t="s">
        <v>19</v>
      </c>
      <c r="C878" s="243" t="s">
        <v>20</v>
      </c>
      <c r="D878" s="245" t="s">
        <v>21</v>
      </c>
      <c r="E878" s="242">
        <v>9.3000000000000007</v>
      </c>
      <c r="F878" s="242" t="s">
        <v>507</v>
      </c>
      <c r="G878" s="242">
        <v>3.9</v>
      </c>
      <c r="H878" s="230">
        <f t="shared" si="24"/>
        <v>36.270000000000003</v>
      </c>
    </row>
    <row r="879" spans="1:8" ht="15.75" x14ac:dyDescent="0.25">
      <c r="A879" s="244">
        <v>2006</v>
      </c>
      <c r="B879" s="245" t="s">
        <v>19</v>
      </c>
      <c r="C879" s="243" t="s">
        <v>20</v>
      </c>
      <c r="D879" s="245" t="s">
        <v>21</v>
      </c>
      <c r="E879" s="242">
        <v>12</v>
      </c>
      <c r="F879" s="242" t="s">
        <v>507</v>
      </c>
      <c r="G879" s="242">
        <v>3.9</v>
      </c>
      <c r="H879" s="230">
        <f t="shared" si="24"/>
        <v>46.8</v>
      </c>
    </row>
    <row r="880" spans="1:8" ht="15.75" x14ac:dyDescent="0.25">
      <c r="A880" s="244">
        <v>2006</v>
      </c>
      <c r="B880" s="245" t="s">
        <v>19</v>
      </c>
      <c r="C880" s="243" t="s">
        <v>20</v>
      </c>
      <c r="D880" s="245" t="s">
        <v>21</v>
      </c>
      <c r="E880" s="242">
        <v>7.3</v>
      </c>
      <c r="F880" s="242" t="s">
        <v>507</v>
      </c>
      <c r="G880" s="242">
        <v>3.9</v>
      </c>
      <c r="H880" s="230">
        <f t="shared" si="24"/>
        <v>28.47</v>
      </c>
    </row>
    <row r="881" spans="1:8" ht="15.75" x14ac:dyDescent="0.25">
      <c r="A881" s="244">
        <v>2006</v>
      </c>
      <c r="B881" s="245" t="s">
        <v>19</v>
      </c>
      <c r="C881" s="243" t="s">
        <v>20</v>
      </c>
      <c r="D881" s="245" t="s">
        <v>21</v>
      </c>
      <c r="E881" s="242">
        <v>9.1999999999999993</v>
      </c>
      <c r="F881" s="242" t="s">
        <v>507</v>
      </c>
      <c r="G881" s="242">
        <v>3.9</v>
      </c>
      <c r="H881" s="230">
        <f t="shared" si="24"/>
        <v>35.879999999999995</v>
      </c>
    </row>
    <row r="882" spans="1:8" ht="15.75" x14ac:dyDescent="0.25">
      <c r="A882" s="244">
        <v>2006</v>
      </c>
      <c r="B882" s="245" t="s">
        <v>19</v>
      </c>
      <c r="C882" s="243" t="s">
        <v>20</v>
      </c>
      <c r="D882" s="245" t="s">
        <v>21</v>
      </c>
      <c r="E882" s="242">
        <v>9.6999999999999993</v>
      </c>
      <c r="F882" s="242" t="s">
        <v>507</v>
      </c>
      <c r="G882" s="242">
        <v>3.9</v>
      </c>
      <c r="H882" s="230">
        <f t="shared" si="24"/>
        <v>37.83</v>
      </c>
    </row>
    <row r="883" spans="1:8" ht="15.75" x14ac:dyDescent="0.25">
      <c r="A883" s="244">
        <v>2006</v>
      </c>
      <c r="B883" s="245" t="s">
        <v>19</v>
      </c>
      <c r="C883" s="243" t="s">
        <v>20</v>
      </c>
      <c r="D883" s="245" t="s">
        <v>21</v>
      </c>
      <c r="E883" s="242">
        <v>13.3</v>
      </c>
      <c r="F883" s="242" t="s">
        <v>507</v>
      </c>
      <c r="G883" s="242">
        <v>3.9</v>
      </c>
      <c r="H883" s="230">
        <f t="shared" si="24"/>
        <v>51.870000000000005</v>
      </c>
    </row>
    <row r="884" spans="1:8" ht="15.75" x14ac:dyDescent="0.25">
      <c r="A884" s="244">
        <v>2006</v>
      </c>
      <c r="B884" s="245" t="s">
        <v>19</v>
      </c>
      <c r="C884" s="243" t="s">
        <v>20</v>
      </c>
      <c r="D884" s="245" t="s">
        <v>21</v>
      </c>
      <c r="E884" s="242">
        <v>11.9</v>
      </c>
      <c r="F884" s="242" t="s">
        <v>507</v>
      </c>
      <c r="G884" s="242">
        <v>3.9</v>
      </c>
      <c r="H884" s="230">
        <f t="shared" si="24"/>
        <v>46.410000000000004</v>
      </c>
    </row>
    <row r="885" spans="1:8" ht="15.75" x14ac:dyDescent="0.25">
      <c r="A885" s="244">
        <v>2006</v>
      </c>
      <c r="B885" s="245" t="s">
        <v>19</v>
      </c>
      <c r="C885" s="243" t="s">
        <v>20</v>
      </c>
      <c r="D885" s="245" t="s">
        <v>21</v>
      </c>
      <c r="E885" s="242">
        <v>9.5</v>
      </c>
      <c r="F885" s="242" t="s">
        <v>507</v>
      </c>
      <c r="G885" s="242">
        <v>3.9</v>
      </c>
      <c r="H885" s="230">
        <f t="shared" si="24"/>
        <v>37.049999999999997</v>
      </c>
    </row>
    <row r="886" spans="1:8" ht="15.75" x14ac:dyDescent="0.25">
      <c r="A886" s="244">
        <v>2006</v>
      </c>
      <c r="B886" s="245" t="s">
        <v>19</v>
      </c>
      <c r="C886" s="243" t="s">
        <v>20</v>
      </c>
      <c r="D886" s="245" t="s">
        <v>21</v>
      </c>
      <c r="E886" s="242">
        <v>10.8</v>
      </c>
      <c r="F886" s="242" t="s">
        <v>507</v>
      </c>
      <c r="G886" s="242">
        <v>3.9</v>
      </c>
      <c r="H886" s="230">
        <f t="shared" si="24"/>
        <v>42.120000000000005</v>
      </c>
    </row>
    <row r="887" spans="1:8" ht="15.75" x14ac:dyDescent="0.25">
      <c r="A887" s="244">
        <v>2006</v>
      </c>
      <c r="B887" s="245" t="s">
        <v>19</v>
      </c>
      <c r="C887" s="243" t="s">
        <v>20</v>
      </c>
      <c r="D887" s="245" t="s">
        <v>21</v>
      </c>
      <c r="E887" s="242">
        <v>6.8</v>
      </c>
      <c r="F887" s="242" t="s">
        <v>507</v>
      </c>
      <c r="G887" s="242">
        <v>3.9</v>
      </c>
      <c r="H887" s="230">
        <f t="shared" si="24"/>
        <v>26.52</v>
      </c>
    </row>
    <row r="888" spans="1:8" ht="15.75" x14ac:dyDescent="0.25">
      <c r="A888" s="244">
        <v>2006</v>
      </c>
      <c r="B888" s="245" t="s">
        <v>19</v>
      </c>
      <c r="C888" s="243" t="s">
        <v>20</v>
      </c>
      <c r="D888" s="245" t="s">
        <v>21</v>
      </c>
      <c r="E888" s="242">
        <v>13.5</v>
      </c>
      <c r="F888" s="242" t="s">
        <v>507</v>
      </c>
      <c r="G888" s="242">
        <v>3.9</v>
      </c>
      <c r="H888" s="230">
        <f t="shared" si="24"/>
        <v>52.65</v>
      </c>
    </row>
    <row r="889" spans="1:8" ht="15.75" x14ac:dyDescent="0.25">
      <c r="A889" s="244">
        <v>2006</v>
      </c>
      <c r="B889" s="245" t="s">
        <v>19</v>
      </c>
      <c r="C889" s="243" t="s">
        <v>20</v>
      </c>
      <c r="D889" s="245" t="s">
        <v>21</v>
      </c>
      <c r="E889" s="242">
        <v>6.8</v>
      </c>
      <c r="F889" s="242" t="s">
        <v>507</v>
      </c>
      <c r="G889" s="242">
        <v>3.9</v>
      </c>
      <c r="H889" s="230">
        <f t="shared" si="24"/>
        <v>26.52</v>
      </c>
    </row>
    <row r="890" spans="1:8" ht="15.75" x14ac:dyDescent="0.25">
      <c r="A890" s="244">
        <v>2006</v>
      </c>
      <c r="B890" s="245" t="s">
        <v>19</v>
      </c>
      <c r="C890" s="243" t="s">
        <v>20</v>
      </c>
      <c r="D890" s="245" t="s">
        <v>21</v>
      </c>
      <c r="E890" s="242">
        <v>9.3000000000000007</v>
      </c>
      <c r="F890" s="242" t="s">
        <v>507</v>
      </c>
      <c r="G890" s="242">
        <v>3.9</v>
      </c>
      <c r="H890" s="230">
        <f t="shared" si="24"/>
        <v>36.270000000000003</v>
      </c>
    </row>
    <row r="891" spans="1:8" ht="15.75" x14ac:dyDescent="0.25">
      <c r="A891" s="244">
        <v>2006</v>
      </c>
      <c r="B891" s="245" t="s">
        <v>19</v>
      </c>
      <c r="C891" s="243" t="s">
        <v>20</v>
      </c>
      <c r="D891" s="245" t="s">
        <v>21</v>
      </c>
      <c r="E891" s="242">
        <v>5.5</v>
      </c>
      <c r="F891" s="242" t="s">
        <v>507</v>
      </c>
      <c r="G891" s="242">
        <v>3.9</v>
      </c>
      <c r="H891" s="230">
        <f t="shared" si="24"/>
        <v>21.45</v>
      </c>
    </row>
    <row r="892" spans="1:8" ht="15.75" x14ac:dyDescent="0.25">
      <c r="A892" s="244">
        <v>2006</v>
      </c>
      <c r="B892" s="245" t="s">
        <v>19</v>
      </c>
      <c r="C892" s="243" t="s">
        <v>20</v>
      </c>
      <c r="D892" s="245" t="s">
        <v>21</v>
      </c>
      <c r="E892" s="242">
        <v>6.6</v>
      </c>
      <c r="F892" s="242" t="s">
        <v>507</v>
      </c>
      <c r="G892" s="242">
        <v>3.9</v>
      </c>
      <c r="H892" s="230">
        <f t="shared" si="24"/>
        <v>25.74</v>
      </c>
    </row>
    <row r="893" spans="1:8" ht="15.75" x14ac:dyDescent="0.25">
      <c r="A893" s="244">
        <v>2006</v>
      </c>
      <c r="B893" s="245" t="s">
        <v>19</v>
      </c>
      <c r="C893" s="243" t="s">
        <v>20</v>
      </c>
      <c r="D893" s="245" t="s">
        <v>21</v>
      </c>
      <c r="E893" s="242">
        <v>7.9</v>
      </c>
      <c r="F893" s="242" t="s">
        <v>507</v>
      </c>
      <c r="G893" s="242">
        <v>3.9</v>
      </c>
      <c r="H893" s="230">
        <f t="shared" si="24"/>
        <v>30.810000000000002</v>
      </c>
    </row>
    <row r="894" spans="1:8" ht="15.75" x14ac:dyDescent="0.25">
      <c r="A894" s="244">
        <v>2006</v>
      </c>
      <c r="B894" s="245" t="s">
        <v>19</v>
      </c>
      <c r="C894" s="243" t="s">
        <v>20</v>
      </c>
      <c r="D894" s="245" t="s">
        <v>21</v>
      </c>
      <c r="E894" s="242">
        <v>9.1999999999999993</v>
      </c>
      <c r="F894" s="242" t="s">
        <v>507</v>
      </c>
      <c r="G894" s="242">
        <v>3.9</v>
      </c>
      <c r="H894" s="230">
        <f t="shared" si="24"/>
        <v>35.879999999999995</v>
      </c>
    </row>
    <row r="895" spans="1:8" ht="15.75" x14ac:dyDescent="0.25">
      <c r="A895" s="244">
        <v>2006</v>
      </c>
      <c r="B895" s="245" t="s">
        <v>19</v>
      </c>
      <c r="C895" s="243" t="s">
        <v>20</v>
      </c>
      <c r="D895" s="245" t="s">
        <v>21</v>
      </c>
      <c r="E895" s="242">
        <v>11.5</v>
      </c>
      <c r="F895" s="242" t="s">
        <v>507</v>
      </c>
      <c r="G895" s="242">
        <v>3.9</v>
      </c>
      <c r="H895" s="230">
        <f t="shared" si="24"/>
        <v>44.85</v>
      </c>
    </row>
    <row r="896" spans="1:8" ht="15.75" x14ac:dyDescent="0.25">
      <c r="A896" s="244">
        <v>2006</v>
      </c>
      <c r="B896" s="245" t="s">
        <v>19</v>
      </c>
      <c r="C896" s="243" t="s">
        <v>20</v>
      </c>
      <c r="D896" s="245" t="s">
        <v>21</v>
      </c>
      <c r="E896" s="242">
        <v>8.9</v>
      </c>
      <c r="F896" s="242" t="s">
        <v>507</v>
      </c>
      <c r="G896" s="242">
        <v>3.9</v>
      </c>
      <c r="H896" s="230">
        <f t="shared" si="24"/>
        <v>34.71</v>
      </c>
    </row>
    <row r="897" spans="1:8" ht="15.75" x14ac:dyDescent="0.25">
      <c r="A897" s="244">
        <v>2006</v>
      </c>
      <c r="B897" s="245" t="s">
        <v>19</v>
      </c>
      <c r="C897" s="243" t="s">
        <v>34</v>
      </c>
      <c r="E897" s="242">
        <v>19.8</v>
      </c>
      <c r="F897" s="242" t="s">
        <v>508</v>
      </c>
      <c r="G897" s="242">
        <v>3.8</v>
      </c>
      <c r="H897" s="230">
        <f t="shared" si="24"/>
        <v>75.239999999999995</v>
      </c>
    </row>
    <row r="898" spans="1:8" ht="15.75" x14ac:dyDescent="0.25">
      <c r="A898" s="244">
        <v>2005</v>
      </c>
      <c r="B898" s="245" t="s">
        <v>19</v>
      </c>
      <c r="C898" s="249" t="s">
        <v>20</v>
      </c>
      <c r="D898" s="250" t="s">
        <v>30</v>
      </c>
      <c r="E898" s="250">
        <v>9.5</v>
      </c>
      <c r="F898" s="242" t="s">
        <v>504</v>
      </c>
      <c r="G898" s="242">
        <v>4.5999999999999996</v>
      </c>
      <c r="H898" s="230">
        <f t="shared" si="24"/>
        <v>43.699999999999996</v>
      </c>
    </row>
    <row r="899" spans="1:8" ht="15.75" x14ac:dyDescent="0.25">
      <c r="A899" s="244">
        <v>2005</v>
      </c>
      <c r="B899" s="245" t="s">
        <v>19</v>
      </c>
      <c r="C899" s="249" t="s">
        <v>20</v>
      </c>
      <c r="D899" s="250" t="s">
        <v>30</v>
      </c>
      <c r="E899" s="250">
        <v>7</v>
      </c>
      <c r="F899" s="242" t="s">
        <v>504</v>
      </c>
      <c r="G899" s="242">
        <v>4.5999999999999996</v>
      </c>
      <c r="H899" s="230">
        <f t="shared" ref="H899:H962" si="25">E899*G899</f>
        <v>32.199999999999996</v>
      </c>
    </row>
    <row r="900" spans="1:8" ht="15.75" x14ac:dyDescent="0.25">
      <c r="A900" s="244">
        <v>2005</v>
      </c>
      <c r="B900" s="245" t="s">
        <v>19</v>
      </c>
      <c r="C900" s="249" t="s">
        <v>20</v>
      </c>
      <c r="D900" s="250" t="s">
        <v>30</v>
      </c>
      <c r="E900" s="250">
        <v>9.3000000000000007</v>
      </c>
      <c r="F900" s="242" t="s">
        <v>504</v>
      </c>
      <c r="G900" s="242">
        <v>4.5999999999999996</v>
      </c>
      <c r="H900" s="230">
        <f t="shared" si="25"/>
        <v>42.78</v>
      </c>
    </row>
    <row r="901" spans="1:8" ht="15.75" x14ac:dyDescent="0.25">
      <c r="A901" s="244">
        <v>2005</v>
      </c>
      <c r="B901" s="245" t="s">
        <v>19</v>
      </c>
      <c r="C901" s="249" t="s">
        <v>20</v>
      </c>
      <c r="D901" s="250" t="s">
        <v>30</v>
      </c>
      <c r="E901" s="250">
        <v>15.3</v>
      </c>
      <c r="F901" s="242" t="s">
        <v>504</v>
      </c>
      <c r="G901" s="242">
        <v>4.5999999999999996</v>
      </c>
      <c r="H901" s="230">
        <f t="shared" si="25"/>
        <v>70.38</v>
      </c>
    </row>
    <row r="902" spans="1:8" ht="15.75" x14ac:dyDescent="0.25">
      <c r="A902" s="244">
        <v>2005</v>
      </c>
      <c r="B902" s="245" t="s">
        <v>19</v>
      </c>
      <c r="C902" s="249" t="s">
        <v>20</v>
      </c>
      <c r="D902" s="250" t="s">
        <v>30</v>
      </c>
      <c r="E902" s="250">
        <v>12.1</v>
      </c>
      <c r="F902" s="242" t="s">
        <v>504</v>
      </c>
      <c r="G902" s="242">
        <v>4.5999999999999996</v>
      </c>
      <c r="H902" s="230">
        <f t="shared" si="25"/>
        <v>55.66</v>
      </c>
    </row>
    <row r="903" spans="1:8" ht="15.75" x14ac:dyDescent="0.25">
      <c r="A903" s="244">
        <v>2005</v>
      </c>
      <c r="B903" s="245" t="s">
        <v>19</v>
      </c>
      <c r="C903" s="249" t="s">
        <v>20</v>
      </c>
      <c r="D903" s="250" t="s">
        <v>35</v>
      </c>
      <c r="E903" s="250">
        <v>7.5</v>
      </c>
      <c r="F903" s="242" t="s">
        <v>507</v>
      </c>
      <c r="G903" s="242">
        <v>3.9</v>
      </c>
      <c r="H903" s="230">
        <f t="shared" si="25"/>
        <v>29.25</v>
      </c>
    </row>
    <row r="904" spans="1:8" ht="15.75" x14ac:dyDescent="0.25">
      <c r="A904" s="244">
        <v>2005</v>
      </c>
      <c r="B904" s="245" t="s">
        <v>19</v>
      </c>
      <c r="C904" s="249" t="s">
        <v>20</v>
      </c>
      <c r="D904" s="250" t="s">
        <v>35</v>
      </c>
      <c r="E904" s="250">
        <v>11.7</v>
      </c>
      <c r="F904" s="242" t="s">
        <v>507</v>
      </c>
      <c r="G904" s="242">
        <v>3.9</v>
      </c>
      <c r="H904" s="230">
        <f t="shared" si="25"/>
        <v>45.629999999999995</v>
      </c>
    </row>
    <row r="905" spans="1:8" ht="15.75" x14ac:dyDescent="0.25">
      <c r="A905" s="244">
        <v>2005</v>
      </c>
      <c r="B905" s="245" t="s">
        <v>19</v>
      </c>
      <c r="C905" s="249" t="s">
        <v>20</v>
      </c>
      <c r="D905" s="250" t="s">
        <v>35</v>
      </c>
      <c r="E905" s="250">
        <v>12.1</v>
      </c>
      <c r="F905" s="242" t="s">
        <v>507</v>
      </c>
      <c r="G905" s="242">
        <v>3.9</v>
      </c>
      <c r="H905" s="230">
        <f t="shared" si="25"/>
        <v>47.19</v>
      </c>
    </row>
    <row r="906" spans="1:8" ht="15.75" x14ac:dyDescent="0.25">
      <c r="A906" s="244">
        <v>2005</v>
      </c>
      <c r="B906" s="245" t="s">
        <v>19</v>
      </c>
      <c r="C906" s="249" t="s">
        <v>20</v>
      </c>
      <c r="D906" s="250" t="s">
        <v>35</v>
      </c>
      <c r="E906" s="250">
        <v>12</v>
      </c>
      <c r="F906" s="242" t="s">
        <v>507</v>
      </c>
      <c r="G906" s="242">
        <v>3.9</v>
      </c>
      <c r="H906" s="230">
        <f t="shared" si="25"/>
        <v>46.8</v>
      </c>
    </row>
    <row r="907" spans="1:8" ht="15.75" x14ac:dyDescent="0.25">
      <c r="A907" s="244">
        <v>2005</v>
      </c>
      <c r="B907" s="245" t="s">
        <v>19</v>
      </c>
      <c r="C907" s="249" t="s">
        <v>20</v>
      </c>
      <c r="D907" s="250" t="s">
        <v>35</v>
      </c>
      <c r="E907" s="250">
        <v>9.6999999999999993</v>
      </c>
      <c r="F907" s="242" t="s">
        <v>507</v>
      </c>
      <c r="G907" s="242">
        <v>3.9</v>
      </c>
      <c r="H907" s="230">
        <f t="shared" si="25"/>
        <v>37.83</v>
      </c>
    </row>
    <row r="908" spans="1:8" ht="15.75" x14ac:dyDescent="0.25">
      <c r="A908" s="244">
        <v>2005</v>
      </c>
      <c r="B908" s="245" t="s">
        <v>19</v>
      </c>
      <c r="C908" s="249" t="s">
        <v>20</v>
      </c>
      <c r="D908" s="250" t="s">
        <v>35</v>
      </c>
      <c r="E908" s="250">
        <v>10.4</v>
      </c>
      <c r="F908" s="242" t="s">
        <v>507</v>
      </c>
      <c r="G908" s="242">
        <v>3.9</v>
      </c>
      <c r="H908" s="230">
        <f t="shared" si="25"/>
        <v>40.56</v>
      </c>
    </row>
    <row r="909" spans="1:8" ht="15.75" x14ac:dyDescent="0.25">
      <c r="A909" s="244">
        <v>2005</v>
      </c>
      <c r="B909" s="245" t="s">
        <v>19</v>
      </c>
      <c r="C909" s="249" t="s">
        <v>20</v>
      </c>
      <c r="D909" s="250" t="s">
        <v>35</v>
      </c>
      <c r="E909" s="250">
        <v>4.5999999999999996</v>
      </c>
      <c r="F909" s="242" t="s">
        <v>507</v>
      </c>
      <c r="G909" s="242">
        <v>3.9</v>
      </c>
      <c r="H909" s="230">
        <f t="shared" si="25"/>
        <v>17.939999999999998</v>
      </c>
    </row>
    <row r="910" spans="1:8" ht="15.75" x14ac:dyDescent="0.25">
      <c r="A910" s="244">
        <v>2005</v>
      </c>
      <c r="B910" s="245" t="s">
        <v>19</v>
      </c>
      <c r="C910" s="249" t="s">
        <v>20</v>
      </c>
      <c r="D910" s="250" t="s">
        <v>35</v>
      </c>
      <c r="E910" s="250">
        <v>6.4</v>
      </c>
      <c r="F910" s="242" t="s">
        <v>507</v>
      </c>
      <c r="G910" s="242">
        <v>3.9</v>
      </c>
      <c r="H910" s="230">
        <f t="shared" si="25"/>
        <v>24.96</v>
      </c>
    </row>
    <row r="911" spans="1:8" ht="15.75" x14ac:dyDescent="0.25">
      <c r="A911" s="244">
        <v>2005</v>
      </c>
      <c r="B911" s="245" t="s">
        <v>19</v>
      </c>
      <c r="C911" s="249" t="s">
        <v>34</v>
      </c>
      <c r="D911" s="250" t="s">
        <v>35</v>
      </c>
      <c r="E911" s="250">
        <v>11</v>
      </c>
      <c r="F911" s="242" t="s">
        <v>507</v>
      </c>
      <c r="G911" s="242">
        <v>3.9</v>
      </c>
      <c r="H911" s="230">
        <f t="shared" si="25"/>
        <v>42.9</v>
      </c>
    </row>
    <row r="912" spans="1:8" ht="15.75" x14ac:dyDescent="0.25">
      <c r="A912" s="244">
        <v>2005</v>
      </c>
      <c r="B912" s="245" t="s">
        <v>19</v>
      </c>
      <c r="C912" s="249" t="s">
        <v>20</v>
      </c>
      <c r="D912" s="245" t="s">
        <v>21</v>
      </c>
      <c r="E912" s="250">
        <v>18.5</v>
      </c>
      <c r="F912" s="242" t="s">
        <v>507</v>
      </c>
      <c r="G912" s="242">
        <v>3.9</v>
      </c>
      <c r="H912" s="230">
        <f t="shared" si="25"/>
        <v>72.149999999999991</v>
      </c>
    </row>
    <row r="913" spans="1:8" ht="15.75" x14ac:dyDescent="0.25">
      <c r="A913" s="244">
        <v>2005</v>
      </c>
      <c r="B913" s="245" t="s">
        <v>19</v>
      </c>
      <c r="C913" s="249" t="s">
        <v>20</v>
      </c>
      <c r="D913" s="245" t="s">
        <v>21</v>
      </c>
      <c r="E913" s="250">
        <v>11.3</v>
      </c>
      <c r="F913" s="242" t="s">
        <v>507</v>
      </c>
      <c r="G913" s="242">
        <v>3.9</v>
      </c>
      <c r="H913" s="230">
        <f t="shared" si="25"/>
        <v>44.07</v>
      </c>
    </row>
    <row r="914" spans="1:8" ht="15.75" x14ac:dyDescent="0.25">
      <c r="A914" s="244">
        <v>2005</v>
      </c>
      <c r="B914" s="245" t="s">
        <v>19</v>
      </c>
      <c r="C914" s="249" t="s">
        <v>20</v>
      </c>
      <c r="D914" s="245" t="s">
        <v>21</v>
      </c>
      <c r="E914" s="250">
        <v>9</v>
      </c>
      <c r="F914" s="242" t="s">
        <v>507</v>
      </c>
      <c r="G914" s="242">
        <v>3.9</v>
      </c>
      <c r="H914" s="230">
        <f t="shared" si="25"/>
        <v>35.1</v>
      </c>
    </row>
    <row r="915" spans="1:8" ht="15.75" x14ac:dyDescent="0.25">
      <c r="A915" s="244">
        <v>2005</v>
      </c>
      <c r="B915" s="245" t="s">
        <v>19</v>
      </c>
      <c r="C915" s="249" t="s">
        <v>20</v>
      </c>
      <c r="D915" s="245" t="s">
        <v>21</v>
      </c>
      <c r="E915" s="250">
        <v>8</v>
      </c>
      <c r="F915" s="242" t="s">
        <v>507</v>
      </c>
      <c r="G915" s="242">
        <v>3.9</v>
      </c>
      <c r="H915" s="230">
        <f t="shared" si="25"/>
        <v>31.2</v>
      </c>
    </row>
    <row r="916" spans="1:8" ht="15.75" x14ac:dyDescent="0.25">
      <c r="A916" s="244">
        <v>2005</v>
      </c>
      <c r="B916" s="245" t="s">
        <v>19</v>
      </c>
      <c r="C916" s="249" t="s">
        <v>20</v>
      </c>
      <c r="D916" s="245" t="s">
        <v>21</v>
      </c>
      <c r="E916" s="250">
        <v>10</v>
      </c>
      <c r="F916" s="242" t="s">
        <v>507</v>
      </c>
      <c r="G916" s="242">
        <v>3.9</v>
      </c>
      <c r="H916" s="230">
        <f t="shared" si="25"/>
        <v>39</v>
      </c>
    </row>
    <row r="917" spans="1:8" ht="15.75" x14ac:dyDescent="0.25">
      <c r="A917" s="244">
        <v>2005</v>
      </c>
      <c r="B917" s="245" t="s">
        <v>19</v>
      </c>
      <c r="C917" s="249" t="s">
        <v>20</v>
      </c>
      <c r="D917" s="245" t="s">
        <v>21</v>
      </c>
      <c r="E917" s="250">
        <v>14.5</v>
      </c>
      <c r="F917" s="242" t="s">
        <v>507</v>
      </c>
      <c r="G917" s="242">
        <v>3.9</v>
      </c>
      <c r="H917" s="230">
        <f t="shared" si="25"/>
        <v>56.55</v>
      </c>
    </row>
    <row r="918" spans="1:8" ht="15.75" x14ac:dyDescent="0.25">
      <c r="A918" s="244">
        <v>2005</v>
      </c>
      <c r="B918" s="245" t="s">
        <v>19</v>
      </c>
      <c r="C918" s="249" t="s">
        <v>20</v>
      </c>
      <c r="D918" s="245" t="s">
        <v>21</v>
      </c>
      <c r="E918" s="250">
        <v>7.5</v>
      </c>
      <c r="F918" s="242" t="s">
        <v>507</v>
      </c>
      <c r="G918" s="242">
        <v>3.9</v>
      </c>
      <c r="H918" s="230">
        <f t="shared" si="25"/>
        <v>29.25</v>
      </c>
    </row>
    <row r="919" spans="1:8" ht="15.75" x14ac:dyDescent="0.25">
      <c r="A919" s="244">
        <v>2005</v>
      </c>
      <c r="B919" s="245" t="s">
        <v>19</v>
      </c>
      <c r="C919" s="249" t="s">
        <v>20</v>
      </c>
      <c r="D919" s="245" t="s">
        <v>21</v>
      </c>
      <c r="E919" s="250">
        <v>9.5</v>
      </c>
      <c r="F919" s="242" t="s">
        <v>507</v>
      </c>
      <c r="G919" s="242">
        <v>3.9</v>
      </c>
      <c r="H919" s="230">
        <f t="shared" si="25"/>
        <v>37.049999999999997</v>
      </c>
    </row>
    <row r="920" spans="1:8" ht="15.75" x14ac:dyDescent="0.25">
      <c r="A920" s="244">
        <v>2005</v>
      </c>
      <c r="B920" s="245" t="s">
        <v>19</v>
      </c>
      <c r="C920" s="249" t="s">
        <v>20</v>
      </c>
      <c r="D920" s="245" t="s">
        <v>21</v>
      </c>
      <c r="E920" s="250">
        <v>8.5</v>
      </c>
      <c r="F920" s="242" t="s">
        <v>507</v>
      </c>
      <c r="G920" s="242">
        <v>3.9</v>
      </c>
      <c r="H920" s="230">
        <f t="shared" si="25"/>
        <v>33.15</v>
      </c>
    </row>
    <row r="921" spans="1:8" ht="15.75" x14ac:dyDescent="0.25">
      <c r="A921" s="244">
        <v>2005</v>
      </c>
      <c r="B921" s="245" t="s">
        <v>19</v>
      </c>
      <c r="C921" s="249" t="s">
        <v>20</v>
      </c>
      <c r="D921" s="245" t="s">
        <v>21</v>
      </c>
      <c r="E921" s="250">
        <v>8.5</v>
      </c>
      <c r="F921" s="242" t="s">
        <v>507</v>
      </c>
      <c r="G921" s="242">
        <v>3.9</v>
      </c>
      <c r="H921" s="230">
        <f t="shared" si="25"/>
        <v>33.15</v>
      </c>
    </row>
    <row r="922" spans="1:8" ht="15.75" x14ac:dyDescent="0.25">
      <c r="A922" s="244">
        <v>2005</v>
      </c>
      <c r="B922" s="245" t="s">
        <v>19</v>
      </c>
      <c r="C922" s="249" t="s">
        <v>20</v>
      </c>
      <c r="D922" s="245" t="s">
        <v>21</v>
      </c>
      <c r="E922" s="250">
        <v>7</v>
      </c>
      <c r="F922" s="242" t="s">
        <v>507</v>
      </c>
      <c r="G922" s="242">
        <v>3.9</v>
      </c>
      <c r="H922" s="230">
        <f t="shared" si="25"/>
        <v>27.3</v>
      </c>
    </row>
    <row r="923" spans="1:8" ht="15.75" x14ac:dyDescent="0.25">
      <c r="A923" s="244">
        <v>2005</v>
      </c>
      <c r="B923" s="245" t="s">
        <v>19</v>
      </c>
      <c r="C923" s="249" t="s">
        <v>20</v>
      </c>
      <c r="D923" s="245" t="s">
        <v>21</v>
      </c>
      <c r="E923" s="250">
        <v>7.5</v>
      </c>
      <c r="F923" s="242" t="s">
        <v>507</v>
      </c>
      <c r="G923" s="242">
        <v>3.9</v>
      </c>
      <c r="H923" s="230">
        <f t="shared" si="25"/>
        <v>29.25</v>
      </c>
    </row>
    <row r="924" spans="1:8" ht="15.75" x14ac:dyDescent="0.25">
      <c r="A924" s="244">
        <v>2005</v>
      </c>
      <c r="B924" s="245" t="s">
        <v>19</v>
      </c>
      <c r="C924" s="249" t="s">
        <v>20</v>
      </c>
      <c r="D924" s="245" t="s">
        <v>21</v>
      </c>
      <c r="E924" s="250">
        <v>9.5</v>
      </c>
      <c r="F924" s="242" t="s">
        <v>507</v>
      </c>
      <c r="G924" s="242">
        <v>3.9</v>
      </c>
      <c r="H924" s="230">
        <f t="shared" si="25"/>
        <v>37.049999999999997</v>
      </c>
    </row>
    <row r="925" spans="1:8" ht="15.75" x14ac:dyDescent="0.25">
      <c r="A925" s="244">
        <v>2005</v>
      </c>
      <c r="B925" s="245" t="s">
        <v>19</v>
      </c>
      <c r="C925" s="249" t="s">
        <v>20</v>
      </c>
      <c r="D925" s="245" t="s">
        <v>21</v>
      </c>
      <c r="E925" s="250">
        <v>7</v>
      </c>
      <c r="F925" s="242" t="s">
        <v>507</v>
      </c>
      <c r="G925" s="242">
        <v>3.9</v>
      </c>
      <c r="H925" s="230">
        <f t="shared" si="25"/>
        <v>27.3</v>
      </c>
    </row>
    <row r="926" spans="1:8" ht="15.75" x14ac:dyDescent="0.25">
      <c r="A926" s="244">
        <v>2005</v>
      </c>
      <c r="B926" s="245" t="s">
        <v>19</v>
      </c>
      <c r="C926" s="249" t="s">
        <v>20</v>
      </c>
      <c r="D926" s="245" t="s">
        <v>21</v>
      </c>
      <c r="E926" s="250">
        <v>14.1</v>
      </c>
      <c r="F926" s="242" t="s">
        <v>507</v>
      </c>
      <c r="G926" s="242">
        <v>3.9</v>
      </c>
      <c r="H926" s="230">
        <f t="shared" si="25"/>
        <v>54.989999999999995</v>
      </c>
    </row>
    <row r="927" spans="1:8" ht="15.75" x14ac:dyDescent="0.25">
      <c r="A927" s="244">
        <v>2005</v>
      </c>
      <c r="B927" s="245" t="s">
        <v>19</v>
      </c>
      <c r="C927" s="249" t="s">
        <v>20</v>
      </c>
      <c r="D927" s="245" t="s">
        <v>21</v>
      </c>
      <c r="E927" s="250">
        <v>14.6</v>
      </c>
      <c r="F927" s="242" t="s">
        <v>507</v>
      </c>
      <c r="G927" s="242">
        <v>3.9</v>
      </c>
      <c r="H927" s="230">
        <f t="shared" si="25"/>
        <v>56.94</v>
      </c>
    </row>
    <row r="928" spans="1:8" ht="15.75" x14ac:dyDescent="0.25">
      <c r="A928" s="244">
        <v>2005</v>
      </c>
      <c r="B928" s="245" t="s">
        <v>19</v>
      </c>
      <c r="C928" s="249" t="s">
        <v>20</v>
      </c>
      <c r="D928" s="245" t="s">
        <v>21</v>
      </c>
      <c r="E928" s="250">
        <v>16</v>
      </c>
      <c r="F928" s="242" t="s">
        <v>507</v>
      </c>
      <c r="G928" s="242">
        <v>3.9</v>
      </c>
      <c r="H928" s="230">
        <f t="shared" si="25"/>
        <v>62.4</v>
      </c>
    </row>
    <row r="929" spans="1:8" ht="15.75" x14ac:dyDescent="0.25">
      <c r="A929" s="244">
        <v>2005</v>
      </c>
      <c r="B929" s="245" t="s">
        <v>19</v>
      </c>
      <c r="C929" s="249" t="s">
        <v>20</v>
      </c>
      <c r="D929" s="245" t="s">
        <v>21</v>
      </c>
      <c r="E929" s="250">
        <v>9.1</v>
      </c>
      <c r="F929" s="242" t="s">
        <v>507</v>
      </c>
      <c r="G929" s="242">
        <v>3.9</v>
      </c>
      <c r="H929" s="230">
        <f t="shared" si="25"/>
        <v>35.489999999999995</v>
      </c>
    </row>
    <row r="930" spans="1:8" ht="15.75" x14ac:dyDescent="0.25">
      <c r="A930" s="244">
        <v>2005</v>
      </c>
      <c r="B930" s="245" t="s">
        <v>19</v>
      </c>
      <c r="C930" s="249" t="s">
        <v>20</v>
      </c>
      <c r="D930" s="245" t="s">
        <v>21</v>
      </c>
      <c r="E930" s="250">
        <v>8.5</v>
      </c>
      <c r="F930" s="242" t="s">
        <v>507</v>
      </c>
      <c r="G930" s="242">
        <v>3.9</v>
      </c>
      <c r="H930" s="230">
        <f t="shared" si="25"/>
        <v>33.15</v>
      </c>
    </row>
    <row r="931" spans="1:8" ht="15.75" x14ac:dyDescent="0.25">
      <c r="A931" s="244">
        <v>2005</v>
      </c>
      <c r="B931" s="245" t="s">
        <v>19</v>
      </c>
      <c r="C931" s="249" t="s">
        <v>20</v>
      </c>
      <c r="D931" s="245" t="s">
        <v>21</v>
      </c>
      <c r="E931" s="250">
        <v>8.1999999999999993</v>
      </c>
      <c r="F931" s="242" t="s">
        <v>507</v>
      </c>
      <c r="G931" s="242">
        <v>3.9</v>
      </c>
      <c r="H931" s="230">
        <f t="shared" si="25"/>
        <v>31.979999999999997</v>
      </c>
    </row>
    <row r="932" spans="1:8" ht="15.75" x14ac:dyDescent="0.25">
      <c r="A932" s="244">
        <v>2005</v>
      </c>
      <c r="B932" s="245" t="s">
        <v>19</v>
      </c>
      <c r="C932" s="249" t="s">
        <v>20</v>
      </c>
      <c r="D932" s="245" t="s">
        <v>21</v>
      </c>
      <c r="E932" s="250">
        <v>13</v>
      </c>
      <c r="F932" s="242" t="s">
        <v>507</v>
      </c>
      <c r="G932" s="242">
        <v>3.9</v>
      </c>
      <c r="H932" s="230">
        <f t="shared" si="25"/>
        <v>50.699999999999996</v>
      </c>
    </row>
    <row r="933" spans="1:8" ht="15.75" x14ac:dyDescent="0.25">
      <c r="A933" s="244">
        <v>2005</v>
      </c>
      <c r="B933" s="245" t="s">
        <v>19</v>
      </c>
      <c r="C933" s="249" t="s">
        <v>20</v>
      </c>
      <c r="D933" s="245" t="s">
        <v>21</v>
      </c>
      <c r="E933" s="250">
        <v>7</v>
      </c>
      <c r="F933" s="242" t="s">
        <v>507</v>
      </c>
      <c r="G933" s="242">
        <v>3.9</v>
      </c>
      <c r="H933" s="230">
        <f t="shared" si="25"/>
        <v>27.3</v>
      </c>
    </row>
    <row r="934" spans="1:8" ht="15.75" x14ac:dyDescent="0.25">
      <c r="A934" s="244">
        <v>2005</v>
      </c>
      <c r="B934" s="245" t="s">
        <v>19</v>
      </c>
      <c r="C934" s="249" t="s">
        <v>20</v>
      </c>
      <c r="D934" s="245" t="s">
        <v>21</v>
      </c>
      <c r="E934" s="250">
        <v>9</v>
      </c>
      <c r="F934" s="242" t="s">
        <v>507</v>
      </c>
      <c r="G934" s="242">
        <v>3.9</v>
      </c>
      <c r="H934" s="230">
        <f t="shared" si="25"/>
        <v>35.1</v>
      </c>
    </row>
    <row r="935" spans="1:8" ht="15.75" x14ac:dyDescent="0.25">
      <c r="A935" s="244">
        <v>2005</v>
      </c>
      <c r="B935" s="245" t="s">
        <v>19</v>
      </c>
      <c r="C935" s="249" t="s">
        <v>20</v>
      </c>
      <c r="D935" s="245" t="s">
        <v>21</v>
      </c>
      <c r="E935" s="250">
        <v>6.5</v>
      </c>
      <c r="F935" s="242" t="s">
        <v>507</v>
      </c>
      <c r="G935" s="242">
        <v>3.9</v>
      </c>
      <c r="H935" s="230">
        <f t="shared" si="25"/>
        <v>25.349999999999998</v>
      </c>
    </row>
    <row r="936" spans="1:8" ht="15.75" x14ac:dyDescent="0.25">
      <c r="A936" s="244">
        <v>2005</v>
      </c>
      <c r="B936" s="245" t="s">
        <v>19</v>
      </c>
      <c r="C936" s="249" t="s">
        <v>20</v>
      </c>
      <c r="D936" s="245" t="s">
        <v>21</v>
      </c>
      <c r="E936" s="250">
        <v>8</v>
      </c>
      <c r="F936" s="242" t="s">
        <v>507</v>
      </c>
      <c r="G936" s="242">
        <v>3.9</v>
      </c>
      <c r="H936" s="230">
        <f t="shared" si="25"/>
        <v>31.2</v>
      </c>
    </row>
    <row r="937" spans="1:8" ht="15.75" x14ac:dyDescent="0.25">
      <c r="A937" s="244">
        <v>2005</v>
      </c>
      <c r="B937" s="245" t="s">
        <v>19</v>
      </c>
      <c r="C937" s="249" t="s">
        <v>20</v>
      </c>
      <c r="D937" s="245" t="s">
        <v>21</v>
      </c>
      <c r="E937" s="250">
        <v>11.5</v>
      </c>
      <c r="F937" s="242" t="s">
        <v>507</v>
      </c>
      <c r="G937" s="242">
        <v>3.9</v>
      </c>
      <c r="H937" s="230">
        <f t="shared" si="25"/>
        <v>44.85</v>
      </c>
    </row>
    <row r="938" spans="1:8" ht="15.75" x14ac:dyDescent="0.25">
      <c r="A938" s="244">
        <v>2005</v>
      </c>
      <c r="B938" s="245" t="s">
        <v>19</v>
      </c>
      <c r="C938" s="249" t="s">
        <v>20</v>
      </c>
      <c r="D938" s="245" t="s">
        <v>21</v>
      </c>
      <c r="E938" s="250">
        <v>10</v>
      </c>
      <c r="F938" s="242" t="s">
        <v>507</v>
      </c>
      <c r="G938" s="242">
        <v>3.9</v>
      </c>
      <c r="H938" s="230">
        <f t="shared" si="25"/>
        <v>39</v>
      </c>
    </row>
    <row r="939" spans="1:8" ht="15.75" x14ac:dyDescent="0.25">
      <c r="A939" s="244">
        <v>2005</v>
      </c>
      <c r="B939" s="245" t="s">
        <v>19</v>
      </c>
      <c r="C939" s="249" t="s">
        <v>20</v>
      </c>
      <c r="D939" s="245" t="s">
        <v>21</v>
      </c>
      <c r="E939" s="250">
        <v>9</v>
      </c>
      <c r="F939" s="242" t="s">
        <v>507</v>
      </c>
      <c r="G939" s="242">
        <v>3.9</v>
      </c>
      <c r="H939" s="230">
        <f t="shared" si="25"/>
        <v>35.1</v>
      </c>
    </row>
    <row r="940" spans="1:8" ht="15.75" x14ac:dyDescent="0.25">
      <c r="A940" s="244">
        <v>2005</v>
      </c>
      <c r="B940" s="245" t="s">
        <v>19</v>
      </c>
      <c r="C940" s="249" t="s">
        <v>20</v>
      </c>
      <c r="D940" s="245" t="s">
        <v>21</v>
      </c>
      <c r="E940" s="250">
        <v>12.5</v>
      </c>
      <c r="F940" s="242" t="s">
        <v>507</v>
      </c>
      <c r="G940" s="242">
        <v>3.9</v>
      </c>
      <c r="H940" s="230">
        <f t="shared" si="25"/>
        <v>48.75</v>
      </c>
    </row>
    <row r="941" spans="1:8" ht="15.75" x14ac:dyDescent="0.25">
      <c r="A941" s="244">
        <v>2005</v>
      </c>
      <c r="B941" s="245" t="s">
        <v>19</v>
      </c>
      <c r="C941" s="249" t="s">
        <v>20</v>
      </c>
      <c r="D941" s="245" t="s">
        <v>21</v>
      </c>
      <c r="E941" s="250">
        <v>10.5</v>
      </c>
      <c r="F941" s="242" t="s">
        <v>507</v>
      </c>
      <c r="G941" s="242">
        <v>3.9</v>
      </c>
      <c r="H941" s="230">
        <f t="shared" si="25"/>
        <v>40.949999999999996</v>
      </c>
    </row>
    <row r="942" spans="1:8" ht="15.75" x14ac:dyDescent="0.25">
      <c r="A942" s="244">
        <v>2005</v>
      </c>
      <c r="B942" s="245" t="s">
        <v>19</v>
      </c>
      <c r="C942" s="249" t="s">
        <v>20</v>
      </c>
      <c r="D942" s="245" t="s">
        <v>21</v>
      </c>
      <c r="E942" s="250">
        <v>12.5</v>
      </c>
      <c r="F942" s="242" t="s">
        <v>507</v>
      </c>
      <c r="G942" s="242">
        <v>3.9</v>
      </c>
      <c r="H942" s="230">
        <f t="shared" si="25"/>
        <v>48.75</v>
      </c>
    </row>
    <row r="943" spans="1:8" ht="15.75" x14ac:dyDescent="0.25">
      <c r="A943" s="244">
        <v>2005</v>
      </c>
      <c r="B943" s="245" t="s">
        <v>19</v>
      </c>
      <c r="C943" s="249" t="s">
        <v>20</v>
      </c>
      <c r="D943" s="245" t="s">
        <v>21</v>
      </c>
      <c r="E943" s="250">
        <v>9.5</v>
      </c>
      <c r="F943" s="242" t="s">
        <v>507</v>
      </c>
      <c r="G943" s="242">
        <v>3.9</v>
      </c>
      <c r="H943" s="230">
        <f t="shared" si="25"/>
        <v>37.049999999999997</v>
      </c>
    </row>
    <row r="944" spans="1:8" ht="15.75" x14ac:dyDescent="0.25">
      <c r="A944" s="244">
        <v>2005</v>
      </c>
      <c r="B944" s="245" t="s">
        <v>19</v>
      </c>
      <c r="C944" s="249" t="s">
        <v>20</v>
      </c>
      <c r="D944" s="245" t="s">
        <v>21</v>
      </c>
      <c r="E944" s="250">
        <v>9</v>
      </c>
      <c r="F944" s="242" t="s">
        <v>507</v>
      </c>
      <c r="G944" s="242">
        <v>3.9</v>
      </c>
      <c r="H944" s="230">
        <f t="shared" si="25"/>
        <v>35.1</v>
      </c>
    </row>
    <row r="945" spans="1:8" ht="15.75" x14ac:dyDescent="0.25">
      <c r="A945" s="244">
        <v>2005</v>
      </c>
      <c r="B945" s="245" t="s">
        <v>19</v>
      </c>
      <c r="C945" s="249" t="s">
        <v>20</v>
      </c>
      <c r="D945" s="245" t="s">
        <v>21</v>
      </c>
      <c r="E945" s="250">
        <v>5</v>
      </c>
      <c r="F945" s="242" t="s">
        <v>507</v>
      </c>
      <c r="G945" s="242">
        <v>3.9</v>
      </c>
      <c r="H945" s="230">
        <f t="shared" si="25"/>
        <v>19.5</v>
      </c>
    </row>
    <row r="946" spans="1:8" ht="15.75" x14ac:dyDescent="0.25">
      <c r="A946" s="244">
        <v>2005</v>
      </c>
      <c r="B946" s="245" t="s">
        <v>19</v>
      </c>
      <c r="C946" s="249" t="s">
        <v>20</v>
      </c>
      <c r="D946" s="245" t="s">
        <v>21</v>
      </c>
      <c r="E946" s="250">
        <v>7.5</v>
      </c>
      <c r="F946" s="242" t="s">
        <v>507</v>
      </c>
      <c r="G946" s="242">
        <v>3.9</v>
      </c>
      <c r="H946" s="230">
        <f t="shared" si="25"/>
        <v>29.25</v>
      </c>
    </row>
    <row r="947" spans="1:8" ht="15.75" x14ac:dyDescent="0.25">
      <c r="A947" s="244">
        <v>2005</v>
      </c>
      <c r="B947" s="245" t="s">
        <v>19</v>
      </c>
      <c r="C947" s="249" t="s">
        <v>20</v>
      </c>
      <c r="D947" s="245" t="s">
        <v>21</v>
      </c>
      <c r="E947" s="250">
        <v>7</v>
      </c>
      <c r="F947" s="242" t="s">
        <v>507</v>
      </c>
      <c r="G947" s="242">
        <v>3.9</v>
      </c>
      <c r="H947" s="230">
        <f t="shared" si="25"/>
        <v>27.3</v>
      </c>
    </row>
    <row r="948" spans="1:8" ht="15.75" x14ac:dyDescent="0.25">
      <c r="A948" s="244">
        <v>2005</v>
      </c>
      <c r="B948" s="245" t="s">
        <v>19</v>
      </c>
      <c r="C948" s="249" t="s">
        <v>20</v>
      </c>
      <c r="D948" s="245" t="s">
        <v>21</v>
      </c>
      <c r="E948" s="250">
        <v>7.5</v>
      </c>
      <c r="F948" s="242" t="s">
        <v>507</v>
      </c>
      <c r="G948" s="242">
        <v>3.9</v>
      </c>
      <c r="H948" s="230">
        <f t="shared" si="25"/>
        <v>29.25</v>
      </c>
    </row>
    <row r="949" spans="1:8" ht="15.75" x14ac:dyDescent="0.25">
      <c r="A949" s="244">
        <v>2005</v>
      </c>
      <c r="B949" s="245" t="s">
        <v>19</v>
      </c>
      <c r="C949" s="249" t="s">
        <v>20</v>
      </c>
      <c r="D949" s="245" t="s">
        <v>21</v>
      </c>
      <c r="E949" s="250">
        <v>7.5</v>
      </c>
      <c r="F949" s="242" t="s">
        <v>507</v>
      </c>
      <c r="G949" s="242">
        <v>3.9</v>
      </c>
      <c r="H949" s="230">
        <f t="shared" si="25"/>
        <v>29.25</v>
      </c>
    </row>
    <row r="950" spans="1:8" ht="15.75" x14ac:dyDescent="0.25">
      <c r="A950" s="244">
        <v>2005</v>
      </c>
      <c r="B950" s="245" t="s">
        <v>19</v>
      </c>
      <c r="C950" s="249" t="s">
        <v>20</v>
      </c>
      <c r="D950" s="245" t="s">
        <v>21</v>
      </c>
      <c r="E950" s="250">
        <v>8.5</v>
      </c>
      <c r="F950" s="242" t="s">
        <v>507</v>
      </c>
      <c r="G950" s="242">
        <v>3.9</v>
      </c>
      <c r="H950" s="230">
        <f t="shared" si="25"/>
        <v>33.15</v>
      </c>
    </row>
    <row r="951" spans="1:8" ht="15.75" x14ac:dyDescent="0.25">
      <c r="A951" s="244">
        <v>2005</v>
      </c>
      <c r="B951" s="245" t="s">
        <v>19</v>
      </c>
      <c r="C951" s="249" t="s">
        <v>20</v>
      </c>
      <c r="D951" s="245" t="s">
        <v>21</v>
      </c>
      <c r="E951" s="250">
        <v>14</v>
      </c>
      <c r="F951" s="242" t="s">
        <v>507</v>
      </c>
      <c r="G951" s="242">
        <v>3.9</v>
      </c>
      <c r="H951" s="230">
        <f t="shared" si="25"/>
        <v>54.6</v>
      </c>
    </row>
    <row r="952" spans="1:8" ht="15.75" x14ac:dyDescent="0.25">
      <c r="A952" s="244">
        <v>2005</v>
      </c>
      <c r="B952" s="245" t="s">
        <v>19</v>
      </c>
      <c r="C952" s="249" t="s">
        <v>20</v>
      </c>
      <c r="D952" s="245" t="s">
        <v>21</v>
      </c>
      <c r="E952" s="250">
        <v>9.1999999999999993</v>
      </c>
      <c r="F952" s="242" t="s">
        <v>507</v>
      </c>
      <c r="G952" s="242">
        <v>3.9</v>
      </c>
      <c r="H952" s="230">
        <f t="shared" si="25"/>
        <v>35.879999999999995</v>
      </c>
    </row>
    <row r="953" spans="1:8" ht="15.75" x14ac:dyDescent="0.25">
      <c r="A953" s="244">
        <v>2005</v>
      </c>
      <c r="B953" s="245" t="s">
        <v>19</v>
      </c>
      <c r="C953" s="249" t="s">
        <v>20</v>
      </c>
      <c r="D953" s="245" t="s">
        <v>21</v>
      </c>
      <c r="E953" s="250">
        <v>6</v>
      </c>
      <c r="F953" s="242" t="s">
        <v>507</v>
      </c>
      <c r="G953" s="242">
        <v>3.9</v>
      </c>
      <c r="H953" s="230">
        <f t="shared" si="25"/>
        <v>23.4</v>
      </c>
    </row>
    <row r="954" spans="1:8" ht="15.75" x14ac:dyDescent="0.25">
      <c r="A954" s="244">
        <v>2005</v>
      </c>
      <c r="B954" s="245" t="s">
        <v>19</v>
      </c>
      <c r="C954" s="249" t="s">
        <v>20</v>
      </c>
      <c r="D954" s="245" t="s">
        <v>21</v>
      </c>
      <c r="E954" s="250">
        <v>5.5</v>
      </c>
      <c r="F954" s="242" t="s">
        <v>507</v>
      </c>
      <c r="G954" s="242">
        <v>3.9</v>
      </c>
      <c r="H954" s="230">
        <f t="shared" si="25"/>
        <v>21.45</v>
      </c>
    </row>
    <row r="955" spans="1:8" ht="15.75" x14ac:dyDescent="0.25">
      <c r="A955" s="244">
        <v>2005</v>
      </c>
      <c r="B955" s="245" t="s">
        <v>19</v>
      </c>
      <c r="C955" s="249" t="s">
        <v>20</v>
      </c>
      <c r="D955" s="245" t="s">
        <v>21</v>
      </c>
      <c r="E955" s="250">
        <v>13.5</v>
      </c>
      <c r="F955" s="242" t="s">
        <v>507</v>
      </c>
      <c r="G955" s="242">
        <v>3.9</v>
      </c>
      <c r="H955" s="230">
        <f t="shared" si="25"/>
        <v>52.65</v>
      </c>
    </row>
    <row r="956" spans="1:8" ht="15.75" x14ac:dyDescent="0.25">
      <c r="A956" s="244">
        <v>2005</v>
      </c>
      <c r="B956" s="245" t="s">
        <v>19</v>
      </c>
      <c r="C956" s="249" t="s">
        <v>20</v>
      </c>
      <c r="D956" s="245" t="s">
        <v>21</v>
      </c>
      <c r="E956" s="250">
        <v>6</v>
      </c>
      <c r="F956" s="242" t="s">
        <v>507</v>
      </c>
      <c r="G956" s="242">
        <v>3.9</v>
      </c>
      <c r="H956" s="230">
        <f t="shared" si="25"/>
        <v>23.4</v>
      </c>
    </row>
    <row r="957" spans="1:8" ht="15.75" x14ac:dyDescent="0.25">
      <c r="A957" s="244">
        <v>2005</v>
      </c>
      <c r="B957" s="245" t="s">
        <v>19</v>
      </c>
      <c r="C957" s="249" t="s">
        <v>20</v>
      </c>
      <c r="D957" s="245" t="s">
        <v>21</v>
      </c>
      <c r="E957" s="250">
        <v>9.5</v>
      </c>
      <c r="F957" s="242" t="s">
        <v>507</v>
      </c>
      <c r="G957" s="242">
        <v>3.9</v>
      </c>
      <c r="H957" s="230">
        <f t="shared" si="25"/>
        <v>37.049999999999997</v>
      </c>
    </row>
    <row r="958" spans="1:8" ht="15.75" x14ac:dyDescent="0.25">
      <c r="A958" s="244">
        <v>2005</v>
      </c>
      <c r="B958" s="245" t="s">
        <v>19</v>
      </c>
      <c r="C958" s="249" t="s">
        <v>20</v>
      </c>
      <c r="D958" s="245" t="s">
        <v>21</v>
      </c>
      <c r="E958" s="250">
        <v>8.5</v>
      </c>
      <c r="F958" s="242" t="s">
        <v>507</v>
      </c>
      <c r="G958" s="242">
        <v>3.9</v>
      </c>
      <c r="H958" s="230">
        <f t="shared" si="25"/>
        <v>33.15</v>
      </c>
    </row>
    <row r="959" spans="1:8" ht="15.75" x14ac:dyDescent="0.25">
      <c r="A959" s="244">
        <v>2005</v>
      </c>
      <c r="B959" s="245" t="s">
        <v>19</v>
      </c>
      <c r="C959" s="249" t="s">
        <v>20</v>
      </c>
      <c r="D959" s="245" t="s">
        <v>21</v>
      </c>
      <c r="E959" s="250">
        <v>9.5</v>
      </c>
      <c r="F959" s="242" t="s">
        <v>507</v>
      </c>
      <c r="G959" s="242">
        <v>3.9</v>
      </c>
      <c r="H959" s="230">
        <f t="shared" si="25"/>
        <v>37.049999999999997</v>
      </c>
    </row>
    <row r="960" spans="1:8" ht="15.75" x14ac:dyDescent="0.25">
      <c r="A960" s="244">
        <v>2005</v>
      </c>
      <c r="B960" s="245" t="s">
        <v>19</v>
      </c>
      <c r="C960" s="249" t="s">
        <v>20</v>
      </c>
      <c r="D960" s="245" t="s">
        <v>21</v>
      </c>
      <c r="E960" s="250">
        <v>8</v>
      </c>
      <c r="F960" s="242" t="s">
        <v>507</v>
      </c>
      <c r="G960" s="242">
        <v>3.9</v>
      </c>
      <c r="H960" s="230">
        <f t="shared" si="25"/>
        <v>31.2</v>
      </c>
    </row>
    <row r="961" spans="1:8" ht="15.75" x14ac:dyDescent="0.25">
      <c r="A961" s="244">
        <v>2005</v>
      </c>
      <c r="B961" s="245" t="s">
        <v>19</v>
      </c>
      <c r="C961" s="249" t="s">
        <v>20</v>
      </c>
      <c r="D961" s="245" t="s">
        <v>21</v>
      </c>
      <c r="E961" s="250">
        <v>11.8</v>
      </c>
      <c r="F961" s="242" t="s">
        <v>507</v>
      </c>
      <c r="G961" s="242">
        <v>3.9</v>
      </c>
      <c r="H961" s="230">
        <f t="shared" si="25"/>
        <v>46.02</v>
      </c>
    </row>
    <row r="962" spans="1:8" ht="15.75" x14ac:dyDescent="0.25">
      <c r="A962" s="244">
        <v>2005</v>
      </c>
      <c r="B962" s="245" t="s">
        <v>19</v>
      </c>
      <c r="C962" s="249" t="s">
        <v>20</v>
      </c>
      <c r="D962" s="245" t="s">
        <v>21</v>
      </c>
      <c r="E962" s="250">
        <v>13.5</v>
      </c>
      <c r="F962" s="242" t="s">
        <v>507</v>
      </c>
      <c r="G962" s="242">
        <v>3.9</v>
      </c>
      <c r="H962" s="230">
        <f t="shared" si="25"/>
        <v>52.65</v>
      </c>
    </row>
    <row r="963" spans="1:8" ht="15.75" x14ac:dyDescent="0.25">
      <c r="A963" s="244">
        <v>2005</v>
      </c>
      <c r="B963" s="245" t="s">
        <v>19</v>
      </c>
      <c r="C963" s="249" t="s">
        <v>20</v>
      </c>
      <c r="D963" s="245" t="s">
        <v>21</v>
      </c>
      <c r="E963" s="250">
        <v>14</v>
      </c>
      <c r="F963" s="242" t="s">
        <v>507</v>
      </c>
      <c r="G963" s="242">
        <v>3.9</v>
      </c>
      <c r="H963" s="230">
        <f t="shared" ref="H963:H1026" si="26">E963*G963</f>
        <v>54.6</v>
      </c>
    </row>
    <row r="964" spans="1:8" ht="15.75" x14ac:dyDescent="0.25">
      <c r="A964" s="244">
        <v>2005</v>
      </c>
      <c r="B964" s="245" t="s">
        <v>19</v>
      </c>
      <c r="C964" s="249" t="s">
        <v>20</v>
      </c>
      <c r="D964" s="245" t="s">
        <v>21</v>
      </c>
      <c r="E964" s="250">
        <v>10.5</v>
      </c>
      <c r="F964" s="242" t="s">
        <v>507</v>
      </c>
      <c r="G964" s="242">
        <v>3.9</v>
      </c>
      <c r="H964" s="230">
        <f t="shared" si="26"/>
        <v>40.949999999999996</v>
      </c>
    </row>
    <row r="965" spans="1:8" ht="15.75" x14ac:dyDescent="0.25">
      <c r="A965" s="244">
        <v>2005</v>
      </c>
      <c r="B965" s="245" t="s">
        <v>19</v>
      </c>
      <c r="C965" s="249" t="s">
        <v>20</v>
      </c>
      <c r="D965" s="245" t="s">
        <v>21</v>
      </c>
      <c r="E965" s="250">
        <v>8.5</v>
      </c>
      <c r="F965" s="242" t="s">
        <v>507</v>
      </c>
      <c r="G965" s="242">
        <v>3.9</v>
      </c>
      <c r="H965" s="230">
        <f t="shared" si="26"/>
        <v>33.15</v>
      </c>
    </row>
    <row r="966" spans="1:8" ht="15.75" x14ac:dyDescent="0.25">
      <c r="A966" s="244">
        <v>2005</v>
      </c>
      <c r="B966" s="245" t="s">
        <v>19</v>
      </c>
      <c r="C966" s="249" t="s">
        <v>20</v>
      </c>
      <c r="D966" s="245" t="s">
        <v>21</v>
      </c>
      <c r="E966" s="250">
        <v>7.5</v>
      </c>
      <c r="F966" s="242" t="s">
        <v>507</v>
      </c>
      <c r="G966" s="242">
        <v>3.9</v>
      </c>
      <c r="H966" s="230">
        <f t="shared" si="26"/>
        <v>29.25</v>
      </c>
    </row>
    <row r="967" spans="1:8" ht="15.75" x14ac:dyDescent="0.25">
      <c r="A967" s="244">
        <v>2005</v>
      </c>
      <c r="B967" s="245" t="s">
        <v>19</v>
      </c>
      <c r="C967" s="249" t="s">
        <v>20</v>
      </c>
      <c r="D967" s="245" t="s">
        <v>21</v>
      </c>
      <c r="E967" s="250">
        <v>8</v>
      </c>
      <c r="F967" s="242" t="s">
        <v>507</v>
      </c>
      <c r="G967" s="242">
        <v>3.9</v>
      </c>
      <c r="H967" s="230">
        <f t="shared" si="26"/>
        <v>31.2</v>
      </c>
    </row>
    <row r="968" spans="1:8" ht="15.75" x14ac:dyDescent="0.25">
      <c r="A968" s="244">
        <v>2005</v>
      </c>
      <c r="B968" s="245" t="s">
        <v>19</v>
      </c>
      <c r="C968" s="249" t="s">
        <v>20</v>
      </c>
      <c r="D968" s="245" t="s">
        <v>21</v>
      </c>
      <c r="E968" s="250">
        <v>7</v>
      </c>
      <c r="F968" s="242" t="s">
        <v>507</v>
      </c>
      <c r="G968" s="242">
        <v>3.9</v>
      </c>
      <c r="H968" s="230">
        <f t="shared" si="26"/>
        <v>27.3</v>
      </c>
    </row>
    <row r="969" spans="1:8" ht="15.75" x14ac:dyDescent="0.25">
      <c r="A969" s="244">
        <v>2005</v>
      </c>
      <c r="B969" s="245" t="s">
        <v>19</v>
      </c>
      <c r="C969" s="249" t="s">
        <v>20</v>
      </c>
      <c r="D969" s="245" t="s">
        <v>21</v>
      </c>
      <c r="E969" s="250">
        <v>13.5</v>
      </c>
      <c r="F969" s="242" t="s">
        <v>507</v>
      </c>
      <c r="G969" s="242">
        <v>3.9</v>
      </c>
      <c r="H969" s="230">
        <f t="shared" si="26"/>
        <v>52.65</v>
      </c>
    </row>
    <row r="970" spans="1:8" ht="15.75" x14ac:dyDescent="0.25">
      <c r="A970" s="244">
        <v>2005</v>
      </c>
      <c r="B970" s="245" t="s">
        <v>19</v>
      </c>
      <c r="C970" s="249" t="s">
        <v>20</v>
      </c>
      <c r="D970" s="245" t="s">
        <v>21</v>
      </c>
      <c r="E970" s="250">
        <v>10.6</v>
      </c>
      <c r="F970" s="242" t="s">
        <v>507</v>
      </c>
      <c r="G970" s="242">
        <v>3.9</v>
      </c>
      <c r="H970" s="230">
        <f t="shared" si="26"/>
        <v>41.339999999999996</v>
      </c>
    </row>
    <row r="971" spans="1:8" ht="15.75" x14ac:dyDescent="0.25">
      <c r="A971" s="244">
        <v>2005</v>
      </c>
      <c r="B971" s="245" t="s">
        <v>19</v>
      </c>
      <c r="C971" s="249" t="s">
        <v>20</v>
      </c>
      <c r="D971" s="245" t="s">
        <v>21</v>
      </c>
      <c r="E971" s="250">
        <v>12.5</v>
      </c>
      <c r="F971" s="242" t="s">
        <v>507</v>
      </c>
      <c r="G971" s="242">
        <v>3.9</v>
      </c>
      <c r="H971" s="230">
        <f t="shared" si="26"/>
        <v>48.75</v>
      </c>
    </row>
    <row r="972" spans="1:8" ht="15.75" x14ac:dyDescent="0.25">
      <c r="A972" s="244">
        <v>2005</v>
      </c>
      <c r="B972" s="245" t="s">
        <v>19</v>
      </c>
      <c r="C972" s="249" t="s">
        <v>20</v>
      </c>
      <c r="D972" s="245" t="s">
        <v>21</v>
      </c>
      <c r="E972" s="250">
        <v>9.5</v>
      </c>
      <c r="F972" s="242" t="s">
        <v>507</v>
      </c>
      <c r="G972" s="242">
        <v>3.9</v>
      </c>
      <c r="H972" s="230">
        <f t="shared" si="26"/>
        <v>37.049999999999997</v>
      </c>
    </row>
    <row r="973" spans="1:8" ht="15.75" x14ac:dyDescent="0.25">
      <c r="A973" s="244">
        <v>2005</v>
      </c>
      <c r="B973" s="245" t="s">
        <v>19</v>
      </c>
      <c r="C973" s="249" t="s">
        <v>20</v>
      </c>
      <c r="D973" s="245" t="s">
        <v>21</v>
      </c>
      <c r="E973" s="250">
        <v>12.5</v>
      </c>
      <c r="F973" s="242" t="s">
        <v>507</v>
      </c>
      <c r="G973" s="242">
        <v>3.9</v>
      </c>
      <c r="H973" s="230">
        <f t="shared" si="26"/>
        <v>48.75</v>
      </c>
    </row>
    <row r="974" spans="1:8" ht="15.75" x14ac:dyDescent="0.25">
      <c r="A974" s="244">
        <v>2005</v>
      </c>
      <c r="B974" s="245" t="s">
        <v>19</v>
      </c>
      <c r="C974" s="249" t="s">
        <v>20</v>
      </c>
      <c r="D974" s="245" t="s">
        <v>21</v>
      </c>
      <c r="E974" s="250">
        <v>15.3</v>
      </c>
      <c r="F974" s="242" t="s">
        <v>507</v>
      </c>
      <c r="G974" s="242">
        <v>3.9</v>
      </c>
      <c r="H974" s="230">
        <f t="shared" si="26"/>
        <v>59.67</v>
      </c>
    </row>
    <row r="975" spans="1:8" ht="15.75" x14ac:dyDescent="0.25">
      <c r="A975" s="244">
        <v>2005</v>
      </c>
      <c r="B975" s="245" t="s">
        <v>19</v>
      </c>
      <c r="C975" s="249" t="s">
        <v>20</v>
      </c>
      <c r="D975" s="245" t="s">
        <v>21</v>
      </c>
      <c r="E975" s="250">
        <v>12.5</v>
      </c>
      <c r="F975" s="242" t="s">
        <v>507</v>
      </c>
      <c r="G975" s="242">
        <v>3.9</v>
      </c>
      <c r="H975" s="230">
        <f t="shared" si="26"/>
        <v>48.75</v>
      </c>
    </row>
    <row r="976" spans="1:8" ht="15.75" x14ac:dyDescent="0.25">
      <c r="A976" s="244">
        <v>2005</v>
      </c>
      <c r="B976" s="245" t="s">
        <v>19</v>
      </c>
      <c r="C976" s="249" t="s">
        <v>20</v>
      </c>
      <c r="D976" s="245" t="s">
        <v>21</v>
      </c>
      <c r="E976" s="250">
        <v>9</v>
      </c>
      <c r="F976" s="242" t="s">
        <v>507</v>
      </c>
      <c r="G976" s="242">
        <v>3.9</v>
      </c>
      <c r="H976" s="230">
        <f t="shared" si="26"/>
        <v>35.1</v>
      </c>
    </row>
    <row r="977" spans="1:8" ht="15.75" x14ac:dyDescent="0.25">
      <c r="A977" s="244">
        <v>2005</v>
      </c>
      <c r="B977" s="245" t="s">
        <v>19</v>
      </c>
      <c r="C977" s="249" t="s">
        <v>20</v>
      </c>
      <c r="D977" s="245" t="s">
        <v>21</v>
      </c>
      <c r="E977" s="250">
        <v>10.5</v>
      </c>
      <c r="F977" s="242" t="s">
        <v>507</v>
      </c>
      <c r="G977" s="242">
        <v>3.9</v>
      </c>
      <c r="H977" s="230">
        <f t="shared" si="26"/>
        <v>40.949999999999996</v>
      </c>
    </row>
    <row r="978" spans="1:8" ht="15.75" x14ac:dyDescent="0.25">
      <c r="A978" s="244">
        <v>2005</v>
      </c>
      <c r="B978" s="245" t="s">
        <v>19</v>
      </c>
      <c r="C978" s="249" t="s">
        <v>20</v>
      </c>
      <c r="D978" s="245" t="s">
        <v>21</v>
      </c>
      <c r="E978" s="250">
        <v>10</v>
      </c>
      <c r="F978" s="242" t="s">
        <v>507</v>
      </c>
      <c r="G978" s="242">
        <v>3.9</v>
      </c>
      <c r="H978" s="230">
        <f t="shared" si="26"/>
        <v>39</v>
      </c>
    </row>
    <row r="979" spans="1:8" ht="15.75" x14ac:dyDescent="0.25">
      <c r="A979" s="244">
        <v>2005</v>
      </c>
      <c r="B979" s="245" t="s">
        <v>19</v>
      </c>
      <c r="C979" s="249" t="s">
        <v>20</v>
      </c>
      <c r="D979" s="245" t="s">
        <v>21</v>
      </c>
      <c r="E979" s="250">
        <v>13.5</v>
      </c>
      <c r="F979" s="242" t="s">
        <v>507</v>
      </c>
      <c r="G979" s="242">
        <v>3.9</v>
      </c>
      <c r="H979" s="230">
        <f t="shared" si="26"/>
        <v>52.65</v>
      </c>
    </row>
    <row r="980" spans="1:8" ht="15.75" x14ac:dyDescent="0.25">
      <c r="A980" s="244">
        <v>2005</v>
      </c>
      <c r="B980" s="245" t="s">
        <v>19</v>
      </c>
      <c r="C980" s="249" t="s">
        <v>20</v>
      </c>
      <c r="D980" s="245" t="s">
        <v>21</v>
      </c>
      <c r="E980" s="250">
        <v>12</v>
      </c>
      <c r="F980" s="242" t="s">
        <v>507</v>
      </c>
      <c r="G980" s="242">
        <v>3.9</v>
      </c>
      <c r="H980" s="230">
        <f t="shared" si="26"/>
        <v>46.8</v>
      </c>
    </row>
    <row r="981" spans="1:8" ht="15.75" x14ac:dyDescent="0.25">
      <c r="A981" s="244">
        <v>2005</v>
      </c>
      <c r="B981" s="245" t="s">
        <v>19</v>
      </c>
      <c r="C981" s="249" t="s">
        <v>20</v>
      </c>
      <c r="D981" s="245" t="s">
        <v>21</v>
      </c>
      <c r="E981" s="250">
        <v>11</v>
      </c>
      <c r="F981" s="242" t="s">
        <v>507</v>
      </c>
      <c r="G981" s="242">
        <v>3.9</v>
      </c>
      <c r="H981" s="230">
        <f t="shared" si="26"/>
        <v>42.9</v>
      </c>
    </row>
    <row r="982" spans="1:8" ht="15.75" x14ac:dyDescent="0.25">
      <c r="A982" s="244">
        <v>2005</v>
      </c>
      <c r="B982" s="245" t="s">
        <v>19</v>
      </c>
      <c r="C982" s="249" t="s">
        <v>20</v>
      </c>
      <c r="D982" s="245" t="s">
        <v>21</v>
      </c>
      <c r="E982" s="250">
        <v>13.2</v>
      </c>
      <c r="F982" s="242" t="s">
        <v>507</v>
      </c>
      <c r="G982" s="242">
        <v>3.9</v>
      </c>
      <c r="H982" s="230">
        <f t="shared" si="26"/>
        <v>51.48</v>
      </c>
    </row>
    <row r="983" spans="1:8" ht="15.75" x14ac:dyDescent="0.25">
      <c r="A983" s="244">
        <v>2005</v>
      </c>
      <c r="B983" s="245" t="s">
        <v>19</v>
      </c>
      <c r="C983" s="249" t="s">
        <v>20</v>
      </c>
      <c r="D983" s="245" t="s">
        <v>21</v>
      </c>
      <c r="E983" s="250">
        <v>16.100000000000001</v>
      </c>
      <c r="F983" s="242" t="s">
        <v>507</v>
      </c>
      <c r="G983" s="242">
        <v>3.9</v>
      </c>
      <c r="H983" s="230">
        <f t="shared" si="26"/>
        <v>62.790000000000006</v>
      </c>
    </row>
    <row r="984" spans="1:8" ht="15.75" x14ac:dyDescent="0.25">
      <c r="A984" s="244">
        <v>2005</v>
      </c>
      <c r="B984" s="245" t="s">
        <v>19</v>
      </c>
      <c r="C984" s="249" t="s">
        <v>34</v>
      </c>
      <c r="D984" s="245" t="s">
        <v>41</v>
      </c>
      <c r="E984" s="250">
        <v>19.5</v>
      </c>
      <c r="F984" s="242" t="s">
        <v>508</v>
      </c>
      <c r="G984" s="242">
        <v>3.8</v>
      </c>
      <c r="H984" s="230">
        <f t="shared" si="26"/>
        <v>74.099999999999994</v>
      </c>
    </row>
    <row r="985" spans="1:8" ht="15.75" x14ac:dyDescent="0.25">
      <c r="A985" s="244">
        <v>2005</v>
      </c>
      <c r="B985" s="245" t="s">
        <v>19</v>
      </c>
      <c r="C985" s="249" t="s">
        <v>34</v>
      </c>
      <c r="D985" s="245" t="s">
        <v>41</v>
      </c>
      <c r="E985" s="250">
        <v>8.4</v>
      </c>
      <c r="F985" s="242" t="s">
        <v>508</v>
      </c>
      <c r="G985" s="242">
        <v>3.8</v>
      </c>
      <c r="H985" s="230">
        <f t="shared" si="26"/>
        <v>31.919999999999998</v>
      </c>
    </row>
    <row r="986" spans="1:8" ht="15.75" x14ac:dyDescent="0.25">
      <c r="A986" s="244">
        <v>2004</v>
      </c>
      <c r="B986" s="245" t="s">
        <v>19</v>
      </c>
      <c r="C986" s="249" t="s">
        <v>20</v>
      </c>
      <c r="D986" s="250" t="s">
        <v>30</v>
      </c>
      <c r="E986" s="250">
        <v>10</v>
      </c>
      <c r="F986" s="242" t="s">
        <v>504</v>
      </c>
      <c r="G986" s="242">
        <v>4.5999999999999996</v>
      </c>
      <c r="H986" s="230">
        <f t="shared" si="26"/>
        <v>46</v>
      </c>
    </row>
    <row r="987" spans="1:8" ht="15.75" x14ac:dyDescent="0.25">
      <c r="A987" s="244">
        <v>2004</v>
      </c>
      <c r="B987" s="245" t="s">
        <v>19</v>
      </c>
      <c r="C987" s="249" t="s">
        <v>20</v>
      </c>
      <c r="D987" s="250" t="s">
        <v>30</v>
      </c>
      <c r="E987" s="250">
        <v>7</v>
      </c>
      <c r="F987" s="242" t="s">
        <v>504</v>
      </c>
      <c r="G987" s="242">
        <v>4.5999999999999996</v>
      </c>
      <c r="H987" s="230">
        <f t="shared" si="26"/>
        <v>32.199999999999996</v>
      </c>
    </row>
    <row r="988" spans="1:8" ht="15.75" x14ac:dyDescent="0.25">
      <c r="A988" s="244">
        <v>2004</v>
      </c>
      <c r="B988" s="245" t="s">
        <v>19</v>
      </c>
      <c r="C988" s="249" t="s">
        <v>20</v>
      </c>
      <c r="D988" s="250" t="s">
        <v>30</v>
      </c>
      <c r="E988" s="250">
        <v>10</v>
      </c>
      <c r="F988" s="242" t="s">
        <v>504</v>
      </c>
      <c r="G988" s="242">
        <v>4.5999999999999996</v>
      </c>
      <c r="H988" s="230">
        <f t="shared" si="26"/>
        <v>46</v>
      </c>
    </row>
    <row r="989" spans="1:8" ht="15.75" x14ac:dyDescent="0.25">
      <c r="A989" s="244">
        <v>2004</v>
      </c>
      <c r="B989" s="245" t="s">
        <v>19</v>
      </c>
      <c r="C989" s="249" t="s">
        <v>20</v>
      </c>
      <c r="D989" s="250" t="s">
        <v>30</v>
      </c>
      <c r="E989" s="250">
        <v>12.2</v>
      </c>
      <c r="F989" s="242" t="s">
        <v>504</v>
      </c>
      <c r="G989" s="242">
        <v>4.5999999999999996</v>
      </c>
      <c r="H989" s="230">
        <f t="shared" si="26"/>
        <v>56.11999999999999</v>
      </c>
    </row>
    <row r="990" spans="1:8" ht="15.75" x14ac:dyDescent="0.25">
      <c r="A990" s="244">
        <v>2004</v>
      </c>
      <c r="B990" s="245" t="s">
        <v>19</v>
      </c>
      <c r="C990" s="249" t="s">
        <v>20</v>
      </c>
      <c r="D990" s="250" t="s">
        <v>30</v>
      </c>
      <c r="E990" s="250">
        <v>7.5</v>
      </c>
      <c r="F990" s="242" t="s">
        <v>504</v>
      </c>
      <c r="G990" s="242">
        <v>4.5999999999999996</v>
      </c>
      <c r="H990" s="230">
        <f t="shared" si="26"/>
        <v>34.5</v>
      </c>
    </row>
    <row r="991" spans="1:8" ht="15.75" x14ac:dyDescent="0.25">
      <c r="A991" s="244">
        <v>2004</v>
      </c>
      <c r="B991" s="245" t="s">
        <v>19</v>
      </c>
      <c r="C991" s="249" t="s">
        <v>20</v>
      </c>
      <c r="D991" s="250" t="s">
        <v>30</v>
      </c>
      <c r="E991" s="250">
        <v>6.8</v>
      </c>
      <c r="F991" s="242" t="s">
        <v>504</v>
      </c>
      <c r="G991" s="242">
        <v>4.5999999999999996</v>
      </c>
      <c r="H991" s="230">
        <f t="shared" si="26"/>
        <v>31.279999999999998</v>
      </c>
    </row>
    <row r="992" spans="1:8" ht="15.75" x14ac:dyDescent="0.25">
      <c r="A992" s="244">
        <v>2004</v>
      </c>
      <c r="B992" s="245" t="s">
        <v>19</v>
      </c>
      <c r="C992" s="249" t="s">
        <v>20</v>
      </c>
      <c r="D992" s="250" t="s">
        <v>30</v>
      </c>
      <c r="E992" s="250">
        <v>13.5</v>
      </c>
      <c r="F992" s="242" t="s">
        <v>504</v>
      </c>
      <c r="G992" s="242">
        <v>4.5999999999999996</v>
      </c>
      <c r="H992" s="230">
        <f t="shared" si="26"/>
        <v>62.099999999999994</v>
      </c>
    </row>
    <row r="993" spans="1:8" ht="15.75" x14ac:dyDescent="0.25">
      <c r="A993" s="244">
        <v>2004</v>
      </c>
      <c r="B993" s="245" t="s">
        <v>19</v>
      </c>
      <c r="C993" s="249" t="s">
        <v>20</v>
      </c>
      <c r="D993" s="250" t="s">
        <v>30</v>
      </c>
      <c r="E993" s="250">
        <v>9</v>
      </c>
      <c r="F993" s="242" t="s">
        <v>504</v>
      </c>
      <c r="G993" s="242">
        <v>4.5999999999999996</v>
      </c>
      <c r="H993" s="230">
        <f t="shared" si="26"/>
        <v>41.4</v>
      </c>
    </row>
    <row r="994" spans="1:8" ht="15.75" x14ac:dyDescent="0.25">
      <c r="A994" s="244">
        <v>2004</v>
      </c>
      <c r="B994" s="245" t="s">
        <v>19</v>
      </c>
      <c r="C994" s="249" t="s">
        <v>20</v>
      </c>
      <c r="D994" s="250" t="s">
        <v>30</v>
      </c>
      <c r="E994" s="250">
        <v>10.8</v>
      </c>
      <c r="F994" s="242" t="s">
        <v>504</v>
      </c>
      <c r="G994" s="242">
        <v>4.5999999999999996</v>
      </c>
      <c r="H994" s="230">
        <f t="shared" si="26"/>
        <v>49.68</v>
      </c>
    </row>
    <row r="995" spans="1:8" ht="15.75" x14ac:dyDescent="0.25">
      <c r="A995" s="244">
        <v>2004</v>
      </c>
      <c r="B995" s="245" t="s">
        <v>19</v>
      </c>
      <c r="C995" s="249" t="s">
        <v>20</v>
      </c>
      <c r="D995" s="250" t="s">
        <v>30</v>
      </c>
      <c r="E995" s="250">
        <v>9.4</v>
      </c>
      <c r="F995" s="242" t="s">
        <v>504</v>
      </c>
      <c r="G995" s="242">
        <v>4.5999999999999996</v>
      </c>
      <c r="H995" s="230">
        <f t="shared" si="26"/>
        <v>43.239999999999995</v>
      </c>
    </row>
    <row r="996" spans="1:8" ht="15.75" x14ac:dyDescent="0.25">
      <c r="A996" s="244">
        <v>2004</v>
      </c>
      <c r="B996" s="245" t="s">
        <v>19</v>
      </c>
      <c r="C996" s="249" t="s">
        <v>20</v>
      </c>
      <c r="D996" s="250" t="s">
        <v>30</v>
      </c>
      <c r="E996" s="250">
        <v>6.5</v>
      </c>
      <c r="F996" s="242" t="s">
        <v>504</v>
      </c>
      <c r="G996" s="242">
        <v>4.5999999999999996</v>
      </c>
      <c r="H996" s="230">
        <f t="shared" si="26"/>
        <v>29.9</v>
      </c>
    </row>
    <row r="997" spans="1:8" ht="15.75" x14ac:dyDescent="0.25">
      <c r="A997" s="244">
        <v>2004</v>
      </c>
      <c r="B997" s="245" t="s">
        <v>19</v>
      </c>
      <c r="C997" s="249" t="s">
        <v>20</v>
      </c>
      <c r="D997" s="250" t="s">
        <v>30</v>
      </c>
      <c r="E997" s="250">
        <v>10</v>
      </c>
      <c r="F997" s="242" t="s">
        <v>504</v>
      </c>
      <c r="G997" s="242">
        <v>4.5999999999999996</v>
      </c>
      <c r="H997" s="230">
        <f t="shared" si="26"/>
        <v>46</v>
      </c>
    </row>
    <row r="998" spans="1:8" ht="15.75" x14ac:dyDescent="0.25">
      <c r="A998" s="244">
        <v>2004</v>
      </c>
      <c r="B998" s="245" t="s">
        <v>19</v>
      </c>
      <c r="C998" s="249" t="s">
        <v>20</v>
      </c>
      <c r="D998" s="250" t="s">
        <v>30</v>
      </c>
      <c r="E998" s="250">
        <v>14</v>
      </c>
      <c r="F998" s="242" t="s">
        <v>504</v>
      </c>
      <c r="G998" s="242">
        <v>4.5999999999999996</v>
      </c>
      <c r="H998" s="230">
        <f t="shared" si="26"/>
        <v>64.399999999999991</v>
      </c>
    </row>
    <row r="999" spans="1:8" ht="15.75" x14ac:dyDescent="0.25">
      <c r="A999" s="244">
        <v>2004</v>
      </c>
      <c r="B999" s="245" t="s">
        <v>19</v>
      </c>
      <c r="C999" s="249" t="s">
        <v>20</v>
      </c>
      <c r="D999" s="250" t="s">
        <v>30</v>
      </c>
      <c r="E999" s="250">
        <v>9</v>
      </c>
      <c r="F999" s="242" t="s">
        <v>504</v>
      </c>
      <c r="G999" s="242">
        <v>4.5999999999999996</v>
      </c>
      <c r="H999" s="230">
        <f t="shared" si="26"/>
        <v>41.4</v>
      </c>
    </row>
    <row r="1000" spans="1:8" ht="15.75" x14ac:dyDescent="0.25">
      <c r="A1000" s="244">
        <v>2004</v>
      </c>
      <c r="B1000" s="245" t="s">
        <v>19</v>
      </c>
      <c r="C1000" s="249" t="s">
        <v>20</v>
      </c>
      <c r="D1000" s="250" t="s">
        <v>30</v>
      </c>
      <c r="E1000" s="250">
        <v>11</v>
      </c>
      <c r="F1000" s="242" t="s">
        <v>504</v>
      </c>
      <c r="G1000" s="242">
        <v>4.5999999999999996</v>
      </c>
      <c r="H1000" s="230">
        <f t="shared" si="26"/>
        <v>50.599999999999994</v>
      </c>
    </row>
    <row r="1001" spans="1:8" ht="15.75" x14ac:dyDescent="0.25">
      <c r="A1001" s="244">
        <v>2004</v>
      </c>
      <c r="B1001" s="245" t="s">
        <v>19</v>
      </c>
      <c r="C1001" s="249" t="s">
        <v>20</v>
      </c>
      <c r="D1001" s="250" t="s">
        <v>30</v>
      </c>
      <c r="E1001" s="250">
        <v>7.5</v>
      </c>
      <c r="F1001" s="242" t="s">
        <v>504</v>
      </c>
      <c r="G1001" s="242">
        <v>4.5999999999999996</v>
      </c>
      <c r="H1001" s="230">
        <f t="shared" si="26"/>
        <v>34.5</v>
      </c>
    </row>
    <row r="1002" spans="1:8" ht="15.75" x14ac:dyDescent="0.25">
      <c r="A1002" s="244">
        <v>2004</v>
      </c>
      <c r="B1002" s="245" t="s">
        <v>19</v>
      </c>
      <c r="C1002" s="249" t="s">
        <v>20</v>
      </c>
      <c r="D1002" s="250" t="s">
        <v>30</v>
      </c>
      <c r="E1002" s="250">
        <v>10.4</v>
      </c>
      <c r="F1002" s="242" t="s">
        <v>504</v>
      </c>
      <c r="G1002" s="242">
        <v>4.5999999999999996</v>
      </c>
      <c r="H1002" s="230">
        <f t="shared" si="26"/>
        <v>47.839999999999996</v>
      </c>
    </row>
    <row r="1003" spans="1:8" ht="15.75" x14ac:dyDescent="0.25">
      <c r="A1003" s="244">
        <v>2004</v>
      </c>
      <c r="B1003" s="245" t="s">
        <v>19</v>
      </c>
      <c r="C1003" s="249" t="s">
        <v>20</v>
      </c>
      <c r="D1003" s="250" t="s">
        <v>30</v>
      </c>
      <c r="E1003" s="250">
        <v>9.1999999999999993</v>
      </c>
      <c r="F1003" s="242" t="s">
        <v>504</v>
      </c>
      <c r="G1003" s="242">
        <v>4.5999999999999996</v>
      </c>
      <c r="H1003" s="230">
        <f t="shared" si="26"/>
        <v>42.319999999999993</v>
      </c>
    </row>
    <row r="1004" spans="1:8" ht="15.75" x14ac:dyDescent="0.25">
      <c r="A1004" s="244">
        <v>2004</v>
      </c>
      <c r="B1004" s="245" t="s">
        <v>19</v>
      </c>
      <c r="C1004" s="249" t="s">
        <v>20</v>
      </c>
      <c r="D1004" s="250" t="s">
        <v>30</v>
      </c>
      <c r="E1004" s="250">
        <v>8.5</v>
      </c>
      <c r="F1004" s="242" t="s">
        <v>504</v>
      </c>
      <c r="G1004" s="242">
        <v>4.5999999999999996</v>
      </c>
      <c r="H1004" s="230">
        <f t="shared" si="26"/>
        <v>39.099999999999994</v>
      </c>
    </row>
    <row r="1005" spans="1:8" ht="15.75" x14ac:dyDescent="0.25">
      <c r="A1005" s="244">
        <v>2004</v>
      </c>
      <c r="B1005" s="245" t="s">
        <v>19</v>
      </c>
      <c r="C1005" s="249" t="s">
        <v>20</v>
      </c>
      <c r="D1005" s="250" t="s">
        <v>30</v>
      </c>
      <c r="E1005" s="250">
        <v>11.5</v>
      </c>
      <c r="F1005" s="242" t="s">
        <v>504</v>
      </c>
      <c r="G1005" s="242">
        <v>4.5999999999999996</v>
      </c>
      <c r="H1005" s="230">
        <f t="shared" si="26"/>
        <v>52.9</v>
      </c>
    </row>
    <row r="1006" spans="1:8" ht="15.75" x14ac:dyDescent="0.25">
      <c r="A1006" s="244">
        <v>2004</v>
      </c>
      <c r="B1006" s="245" t="s">
        <v>19</v>
      </c>
      <c r="C1006" s="249" t="s">
        <v>20</v>
      </c>
      <c r="D1006" s="250" t="s">
        <v>30</v>
      </c>
      <c r="E1006" s="250">
        <v>12.5</v>
      </c>
      <c r="F1006" s="242" t="s">
        <v>504</v>
      </c>
      <c r="G1006" s="242">
        <v>4.5999999999999996</v>
      </c>
      <c r="H1006" s="230">
        <f t="shared" si="26"/>
        <v>57.499999999999993</v>
      </c>
    </row>
    <row r="1007" spans="1:8" ht="15.75" x14ac:dyDescent="0.25">
      <c r="A1007" s="244">
        <v>2004</v>
      </c>
      <c r="B1007" s="245" t="s">
        <v>19</v>
      </c>
      <c r="C1007" s="249" t="s">
        <v>20</v>
      </c>
      <c r="D1007" s="250" t="s">
        <v>30</v>
      </c>
      <c r="E1007" s="250">
        <v>14</v>
      </c>
      <c r="F1007" s="242" t="s">
        <v>504</v>
      </c>
      <c r="G1007" s="242">
        <v>4.5999999999999996</v>
      </c>
      <c r="H1007" s="230">
        <f t="shared" si="26"/>
        <v>64.399999999999991</v>
      </c>
    </row>
    <row r="1008" spans="1:8" ht="15.75" x14ac:dyDescent="0.25">
      <c r="A1008" s="244">
        <v>2004</v>
      </c>
      <c r="B1008" s="245" t="s">
        <v>19</v>
      </c>
      <c r="C1008" s="249" t="s">
        <v>20</v>
      </c>
      <c r="D1008" s="250" t="s">
        <v>30</v>
      </c>
      <c r="E1008" s="250">
        <v>12</v>
      </c>
      <c r="F1008" s="242" t="s">
        <v>504</v>
      </c>
      <c r="G1008" s="242">
        <v>4.5999999999999996</v>
      </c>
      <c r="H1008" s="230">
        <f t="shared" si="26"/>
        <v>55.199999999999996</v>
      </c>
    </row>
    <row r="1009" spans="1:8" ht="15.75" x14ac:dyDescent="0.25">
      <c r="A1009" s="244">
        <v>2004</v>
      </c>
      <c r="B1009" s="245" t="s">
        <v>19</v>
      </c>
      <c r="C1009" s="249" t="s">
        <v>20</v>
      </c>
      <c r="D1009" s="250" t="s">
        <v>30</v>
      </c>
      <c r="E1009" s="250">
        <v>18.399999999999999</v>
      </c>
      <c r="F1009" s="242" t="s">
        <v>504</v>
      </c>
      <c r="G1009" s="242">
        <v>4.5999999999999996</v>
      </c>
      <c r="H1009" s="230">
        <f t="shared" si="26"/>
        <v>84.639999999999986</v>
      </c>
    </row>
    <row r="1010" spans="1:8" ht="15.75" x14ac:dyDescent="0.25">
      <c r="A1010" s="244">
        <v>2004</v>
      </c>
      <c r="B1010" s="245" t="s">
        <v>19</v>
      </c>
      <c r="C1010" s="249" t="s">
        <v>20</v>
      </c>
      <c r="D1010" s="250" t="s">
        <v>30</v>
      </c>
      <c r="E1010" s="250">
        <v>13</v>
      </c>
      <c r="F1010" s="242" t="s">
        <v>504</v>
      </c>
      <c r="G1010" s="242">
        <v>4.5999999999999996</v>
      </c>
      <c r="H1010" s="230">
        <f t="shared" si="26"/>
        <v>59.8</v>
      </c>
    </row>
    <row r="1011" spans="1:8" ht="15.75" x14ac:dyDescent="0.25">
      <c r="A1011" s="244">
        <v>2004</v>
      </c>
      <c r="B1011" s="245" t="s">
        <v>19</v>
      </c>
      <c r="C1011" s="249" t="s">
        <v>20</v>
      </c>
      <c r="D1011" s="250" t="s">
        <v>30</v>
      </c>
      <c r="E1011" s="250">
        <v>14.2</v>
      </c>
      <c r="F1011" s="242" t="s">
        <v>504</v>
      </c>
      <c r="G1011" s="242">
        <v>4.5999999999999996</v>
      </c>
      <c r="H1011" s="230">
        <f t="shared" si="26"/>
        <v>65.319999999999993</v>
      </c>
    </row>
    <row r="1012" spans="1:8" ht="15.75" x14ac:dyDescent="0.25">
      <c r="A1012" s="244">
        <v>2004</v>
      </c>
      <c r="B1012" s="245" t="s">
        <v>19</v>
      </c>
      <c r="C1012" s="249" t="s">
        <v>20</v>
      </c>
      <c r="D1012" s="250" t="s">
        <v>30</v>
      </c>
      <c r="E1012" s="250">
        <v>12</v>
      </c>
      <c r="F1012" s="242" t="s">
        <v>504</v>
      </c>
      <c r="G1012" s="242">
        <v>4.5999999999999996</v>
      </c>
      <c r="H1012" s="230">
        <f t="shared" si="26"/>
        <v>55.199999999999996</v>
      </c>
    </row>
    <row r="1013" spans="1:8" ht="15.75" x14ac:dyDescent="0.25">
      <c r="A1013" s="244">
        <v>2004</v>
      </c>
      <c r="B1013" s="245" t="s">
        <v>19</v>
      </c>
      <c r="C1013" s="249" t="s">
        <v>20</v>
      </c>
      <c r="D1013" s="250" t="s">
        <v>30</v>
      </c>
      <c r="E1013" s="250">
        <v>10.199999999999999</v>
      </c>
      <c r="F1013" s="242" t="s">
        <v>504</v>
      </c>
      <c r="G1013" s="242">
        <v>4.5999999999999996</v>
      </c>
      <c r="H1013" s="230">
        <f t="shared" si="26"/>
        <v>46.919999999999995</v>
      </c>
    </row>
    <row r="1014" spans="1:8" ht="15.75" x14ac:dyDescent="0.25">
      <c r="A1014" s="244">
        <v>2004</v>
      </c>
      <c r="B1014" s="245" t="s">
        <v>19</v>
      </c>
      <c r="C1014" s="249" t="s">
        <v>20</v>
      </c>
      <c r="D1014" s="250" t="s">
        <v>30</v>
      </c>
      <c r="E1014" s="250">
        <v>11</v>
      </c>
      <c r="F1014" s="242" t="s">
        <v>504</v>
      </c>
      <c r="G1014" s="242">
        <v>4.5999999999999996</v>
      </c>
      <c r="H1014" s="230">
        <f t="shared" si="26"/>
        <v>50.599999999999994</v>
      </c>
    </row>
    <row r="1015" spans="1:8" ht="15.75" x14ac:dyDescent="0.25">
      <c r="A1015" s="244">
        <v>2004</v>
      </c>
      <c r="B1015" s="245" t="s">
        <v>19</v>
      </c>
      <c r="C1015" s="249" t="s">
        <v>20</v>
      </c>
      <c r="D1015" s="250" t="s">
        <v>30</v>
      </c>
      <c r="E1015" s="250">
        <v>13.2</v>
      </c>
      <c r="F1015" s="242" t="s">
        <v>504</v>
      </c>
      <c r="G1015" s="242">
        <v>4.5999999999999996</v>
      </c>
      <c r="H1015" s="230">
        <f t="shared" si="26"/>
        <v>60.719999999999992</v>
      </c>
    </row>
    <row r="1016" spans="1:8" ht="15.75" x14ac:dyDescent="0.25">
      <c r="A1016" s="244">
        <v>2004</v>
      </c>
      <c r="B1016" s="245" t="s">
        <v>19</v>
      </c>
      <c r="C1016" s="249" t="s">
        <v>20</v>
      </c>
      <c r="D1016" s="250" t="s">
        <v>30</v>
      </c>
      <c r="E1016" s="250">
        <v>9.5</v>
      </c>
      <c r="F1016" s="242" t="s">
        <v>504</v>
      </c>
      <c r="G1016" s="242">
        <v>4.5999999999999996</v>
      </c>
      <c r="H1016" s="230">
        <f t="shared" si="26"/>
        <v>43.699999999999996</v>
      </c>
    </row>
    <row r="1017" spans="1:8" ht="15.75" x14ac:dyDescent="0.25">
      <c r="A1017" s="244">
        <v>2004</v>
      </c>
      <c r="B1017" s="245" t="s">
        <v>19</v>
      </c>
      <c r="C1017" s="249" t="s">
        <v>20</v>
      </c>
      <c r="D1017" s="250" t="s">
        <v>30</v>
      </c>
      <c r="E1017" s="250">
        <v>14</v>
      </c>
      <c r="F1017" s="242" t="s">
        <v>504</v>
      </c>
      <c r="G1017" s="242">
        <v>4.5999999999999996</v>
      </c>
      <c r="H1017" s="230">
        <f t="shared" si="26"/>
        <v>64.399999999999991</v>
      </c>
    </row>
    <row r="1018" spans="1:8" ht="15.75" x14ac:dyDescent="0.25">
      <c r="A1018" s="244">
        <v>2004</v>
      </c>
      <c r="B1018" s="245" t="s">
        <v>19</v>
      </c>
      <c r="C1018" s="249" t="s">
        <v>20</v>
      </c>
      <c r="D1018" s="250" t="s">
        <v>30</v>
      </c>
      <c r="E1018" s="250">
        <v>12</v>
      </c>
      <c r="F1018" s="242" t="s">
        <v>504</v>
      </c>
      <c r="G1018" s="242">
        <v>4.5999999999999996</v>
      </c>
      <c r="H1018" s="230">
        <f t="shared" si="26"/>
        <v>55.199999999999996</v>
      </c>
    </row>
    <row r="1019" spans="1:8" ht="15.75" x14ac:dyDescent="0.25">
      <c r="A1019" s="244">
        <v>2004</v>
      </c>
      <c r="B1019" s="245" t="s">
        <v>19</v>
      </c>
      <c r="C1019" s="249" t="s">
        <v>20</v>
      </c>
      <c r="D1019" s="250" t="s">
        <v>30</v>
      </c>
      <c r="E1019" s="250">
        <v>8.5</v>
      </c>
      <c r="F1019" s="242" t="s">
        <v>504</v>
      </c>
      <c r="G1019" s="242">
        <v>4.5999999999999996</v>
      </c>
      <c r="H1019" s="230">
        <f t="shared" si="26"/>
        <v>39.099999999999994</v>
      </c>
    </row>
    <row r="1020" spans="1:8" ht="15.75" x14ac:dyDescent="0.25">
      <c r="A1020" s="244">
        <v>2004</v>
      </c>
      <c r="B1020" s="245" t="s">
        <v>19</v>
      </c>
      <c r="C1020" s="249" t="s">
        <v>20</v>
      </c>
      <c r="D1020" s="250" t="s">
        <v>30</v>
      </c>
      <c r="E1020" s="250">
        <v>9</v>
      </c>
      <c r="F1020" s="242" t="s">
        <v>504</v>
      </c>
      <c r="G1020" s="242">
        <v>4.5999999999999996</v>
      </c>
      <c r="H1020" s="230">
        <f t="shared" si="26"/>
        <v>41.4</v>
      </c>
    </row>
    <row r="1021" spans="1:8" ht="15.75" x14ac:dyDescent="0.25">
      <c r="A1021" s="244">
        <v>2004</v>
      </c>
      <c r="B1021" s="245" t="s">
        <v>19</v>
      </c>
      <c r="C1021" s="249" t="s">
        <v>20</v>
      </c>
      <c r="D1021" s="250" t="s">
        <v>30</v>
      </c>
      <c r="E1021" s="250">
        <v>14</v>
      </c>
      <c r="F1021" s="242" t="s">
        <v>504</v>
      </c>
      <c r="G1021" s="242">
        <v>4.5999999999999996</v>
      </c>
      <c r="H1021" s="230">
        <f t="shared" si="26"/>
        <v>64.399999999999991</v>
      </c>
    </row>
    <row r="1022" spans="1:8" ht="15.75" x14ac:dyDescent="0.25">
      <c r="A1022" s="244">
        <v>2004</v>
      </c>
      <c r="B1022" s="245" t="s">
        <v>19</v>
      </c>
      <c r="C1022" s="249" t="s">
        <v>20</v>
      </c>
      <c r="D1022" s="250" t="s">
        <v>30</v>
      </c>
      <c r="E1022" s="250">
        <v>12.5</v>
      </c>
      <c r="F1022" s="242" t="s">
        <v>504</v>
      </c>
      <c r="G1022" s="242">
        <v>4.5999999999999996</v>
      </c>
      <c r="H1022" s="230">
        <f t="shared" si="26"/>
        <v>57.499999999999993</v>
      </c>
    </row>
    <row r="1023" spans="1:8" ht="15.75" x14ac:dyDescent="0.25">
      <c r="A1023" s="244">
        <v>2004</v>
      </c>
      <c r="B1023" s="245" t="s">
        <v>19</v>
      </c>
      <c r="C1023" s="249" t="s">
        <v>20</v>
      </c>
      <c r="D1023" s="250" t="s">
        <v>30</v>
      </c>
      <c r="E1023" s="250">
        <v>8.8000000000000007</v>
      </c>
      <c r="F1023" s="242" t="s">
        <v>504</v>
      </c>
      <c r="G1023" s="242">
        <v>4.5999999999999996</v>
      </c>
      <c r="H1023" s="230">
        <f t="shared" si="26"/>
        <v>40.479999999999997</v>
      </c>
    </row>
    <row r="1024" spans="1:8" ht="15.75" x14ac:dyDescent="0.25">
      <c r="A1024" s="244">
        <v>2004</v>
      </c>
      <c r="B1024" s="245" t="s">
        <v>19</v>
      </c>
      <c r="C1024" s="249" t="s">
        <v>20</v>
      </c>
      <c r="D1024" s="250" t="s">
        <v>30</v>
      </c>
      <c r="E1024" s="250">
        <v>11.2</v>
      </c>
      <c r="F1024" s="242" t="s">
        <v>504</v>
      </c>
      <c r="G1024" s="242">
        <v>4.5999999999999996</v>
      </c>
      <c r="H1024" s="230">
        <f t="shared" si="26"/>
        <v>51.519999999999996</v>
      </c>
    </row>
    <row r="1025" spans="1:8" ht="15.75" x14ac:dyDescent="0.25">
      <c r="A1025" s="244">
        <v>2004</v>
      </c>
      <c r="B1025" s="245" t="s">
        <v>19</v>
      </c>
      <c r="C1025" s="249" t="s">
        <v>20</v>
      </c>
      <c r="D1025" s="250" t="s">
        <v>30</v>
      </c>
      <c r="E1025" s="250">
        <v>15</v>
      </c>
      <c r="F1025" s="242" t="s">
        <v>504</v>
      </c>
      <c r="G1025" s="242">
        <v>4.5999999999999996</v>
      </c>
      <c r="H1025" s="230">
        <f t="shared" si="26"/>
        <v>69</v>
      </c>
    </row>
    <row r="1026" spans="1:8" ht="15.75" x14ac:dyDescent="0.25">
      <c r="A1026" s="244">
        <v>2004</v>
      </c>
      <c r="B1026" s="245" t="s">
        <v>19</v>
      </c>
      <c r="C1026" s="249" t="s">
        <v>20</v>
      </c>
      <c r="D1026" s="250" t="s">
        <v>30</v>
      </c>
      <c r="E1026" s="250">
        <v>11.5</v>
      </c>
      <c r="F1026" s="242" t="s">
        <v>504</v>
      </c>
      <c r="G1026" s="242">
        <v>4.5999999999999996</v>
      </c>
      <c r="H1026" s="230">
        <f t="shared" si="26"/>
        <v>52.9</v>
      </c>
    </row>
    <row r="1027" spans="1:8" ht="15.75" x14ac:dyDescent="0.25">
      <c r="A1027" s="244">
        <v>2004</v>
      </c>
      <c r="B1027" s="245" t="s">
        <v>19</v>
      </c>
      <c r="C1027" s="249" t="s">
        <v>20</v>
      </c>
      <c r="D1027" s="250" t="s">
        <v>30</v>
      </c>
      <c r="E1027" s="250">
        <v>13.5</v>
      </c>
      <c r="F1027" s="242" t="s">
        <v>504</v>
      </c>
      <c r="G1027" s="242">
        <v>4.5999999999999996</v>
      </c>
      <c r="H1027" s="230">
        <f t="shared" ref="H1027:H1090" si="27">E1027*G1027</f>
        <v>62.099999999999994</v>
      </c>
    </row>
    <row r="1028" spans="1:8" ht="15.75" x14ac:dyDescent="0.25">
      <c r="A1028" s="244">
        <v>2004</v>
      </c>
      <c r="B1028" s="245" t="s">
        <v>19</v>
      </c>
      <c r="C1028" s="249" t="s">
        <v>20</v>
      </c>
      <c r="D1028" s="250" t="s">
        <v>30</v>
      </c>
      <c r="E1028" s="250">
        <v>11.5</v>
      </c>
      <c r="F1028" s="242" t="s">
        <v>504</v>
      </c>
      <c r="G1028" s="242">
        <v>4.5999999999999996</v>
      </c>
      <c r="H1028" s="230">
        <f t="shared" si="27"/>
        <v>52.9</v>
      </c>
    </row>
    <row r="1029" spans="1:8" ht="15.75" x14ac:dyDescent="0.25">
      <c r="A1029" s="244">
        <v>2004</v>
      </c>
      <c r="B1029" s="245" t="s">
        <v>19</v>
      </c>
      <c r="C1029" s="249" t="s">
        <v>20</v>
      </c>
      <c r="D1029" s="250" t="s">
        <v>30</v>
      </c>
      <c r="E1029" s="250">
        <v>10</v>
      </c>
      <c r="F1029" s="242" t="s">
        <v>504</v>
      </c>
      <c r="G1029" s="242">
        <v>4.5999999999999996</v>
      </c>
      <c r="H1029" s="230">
        <f t="shared" si="27"/>
        <v>46</v>
      </c>
    </row>
    <row r="1030" spans="1:8" ht="15.75" x14ac:dyDescent="0.25">
      <c r="A1030" s="244">
        <v>2004</v>
      </c>
      <c r="B1030" s="245" t="s">
        <v>19</v>
      </c>
      <c r="C1030" s="249" t="s">
        <v>20</v>
      </c>
      <c r="D1030" s="250" t="s">
        <v>30</v>
      </c>
      <c r="E1030" s="250">
        <v>14</v>
      </c>
      <c r="F1030" s="242" t="s">
        <v>504</v>
      </c>
      <c r="G1030" s="242">
        <v>4.5999999999999996</v>
      </c>
      <c r="H1030" s="230">
        <f t="shared" si="27"/>
        <v>64.399999999999991</v>
      </c>
    </row>
    <row r="1031" spans="1:8" ht="15.75" x14ac:dyDescent="0.25">
      <c r="A1031" s="244">
        <v>2004</v>
      </c>
      <c r="B1031" s="245" t="s">
        <v>19</v>
      </c>
      <c r="C1031" s="249" t="s">
        <v>20</v>
      </c>
      <c r="D1031" s="250" t="s">
        <v>30</v>
      </c>
      <c r="E1031" s="250">
        <v>9.5</v>
      </c>
      <c r="F1031" s="242" t="s">
        <v>504</v>
      </c>
      <c r="G1031" s="242">
        <v>4.5999999999999996</v>
      </c>
      <c r="H1031" s="230">
        <f t="shared" si="27"/>
        <v>43.699999999999996</v>
      </c>
    </row>
    <row r="1032" spans="1:8" ht="15.75" x14ac:dyDescent="0.25">
      <c r="A1032" s="244">
        <v>2004</v>
      </c>
      <c r="B1032" s="245" t="s">
        <v>19</v>
      </c>
      <c r="C1032" s="249" t="s">
        <v>20</v>
      </c>
      <c r="D1032" s="250" t="s">
        <v>30</v>
      </c>
      <c r="E1032" s="250">
        <v>12</v>
      </c>
      <c r="F1032" s="242" t="s">
        <v>504</v>
      </c>
      <c r="G1032" s="242">
        <v>4.5999999999999996</v>
      </c>
      <c r="H1032" s="230">
        <f t="shared" si="27"/>
        <v>55.199999999999996</v>
      </c>
    </row>
    <row r="1033" spans="1:8" ht="15.75" x14ac:dyDescent="0.25">
      <c r="A1033" s="244">
        <v>2004</v>
      </c>
      <c r="B1033" s="245" t="s">
        <v>19</v>
      </c>
      <c r="C1033" s="249" t="s">
        <v>20</v>
      </c>
      <c r="D1033" s="250" t="s">
        <v>30</v>
      </c>
      <c r="E1033" s="250">
        <v>16</v>
      </c>
      <c r="F1033" s="242" t="s">
        <v>504</v>
      </c>
      <c r="G1033" s="242">
        <v>4.5999999999999996</v>
      </c>
      <c r="H1033" s="230">
        <f t="shared" si="27"/>
        <v>73.599999999999994</v>
      </c>
    </row>
    <row r="1034" spans="1:8" ht="15.75" x14ac:dyDescent="0.25">
      <c r="A1034" s="244">
        <v>2004</v>
      </c>
      <c r="B1034" s="245" t="s">
        <v>19</v>
      </c>
      <c r="C1034" s="249" t="s">
        <v>20</v>
      </c>
      <c r="D1034" s="250" t="s">
        <v>30</v>
      </c>
      <c r="E1034" s="250">
        <v>8</v>
      </c>
      <c r="F1034" s="242" t="s">
        <v>504</v>
      </c>
      <c r="G1034" s="242">
        <v>4.5999999999999996</v>
      </c>
      <c r="H1034" s="230">
        <f t="shared" si="27"/>
        <v>36.799999999999997</v>
      </c>
    </row>
    <row r="1035" spans="1:8" ht="15.75" x14ac:dyDescent="0.25">
      <c r="A1035" s="244">
        <v>2004</v>
      </c>
      <c r="B1035" s="245" t="s">
        <v>19</v>
      </c>
      <c r="C1035" s="249" t="s">
        <v>20</v>
      </c>
      <c r="D1035" s="250" t="s">
        <v>30</v>
      </c>
      <c r="E1035" s="250">
        <v>11.5</v>
      </c>
      <c r="F1035" s="242" t="s">
        <v>504</v>
      </c>
      <c r="G1035" s="242">
        <v>4.5999999999999996</v>
      </c>
      <c r="H1035" s="230">
        <f t="shared" si="27"/>
        <v>52.9</v>
      </c>
    </row>
    <row r="1036" spans="1:8" ht="15.75" x14ac:dyDescent="0.25">
      <c r="A1036" s="244">
        <v>2004</v>
      </c>
      <c r="B1036" s="245" t="s">
        <v>19</v>
      </c>
      <c r="C1036" s="249" t="s">
        <v>20</v>
      </c>
      <c r="D1036" s="250" t="s">
        <v>30</v>
      </c>
      <c r="E1036" s="250">
        <v>16.5</v>
      </c>
      <c r="F1036" s="242" t="s">
        <v>504</v>
      </c>
      <c r="G1036" s="242">
        <v>4.5999999999999996</v>
      </c>
      <c r="H1036" s="230">
        <f t="shared" si="27"/>
        <v>75.899999999999991</v>
      </c>
    </row>
    <row r="1037" spans="1:8" ht="15.75" x14ac:dyDescent="0.25">
      <c r="A1037" s="244">
        <v>2004</v>
      </c>
      <c r="B1037" s="245" t="s">
        <v>19</v>
      </c>
      <c r="C1037" s="249" t="s">
        <v>20</v>
      </c>
      <c r="D1037" s="250" t="s">
        <v>30</v>
      </c>
      <c r="E1037" s="250">
        <v>9</v>
      </c>
      <c r="F1037" s="242" t="s">
        <v>504</v>
      </c>
      <c r="G1037" s="242">
        <v>4.5999999999999996</v>
      </c>
      <c r="H1037" s="230">
        <f t="shared" si="27"/>
        <v>41.4</v>
      </c>
    </row>
    <row r="1038" spans="1:8" ht="15.75" x14ac:dyDescent="0.25">
      <c r="A1038" s="244">
        <v>2004</v>
      </c>
      <c r="B1038" s="245" t="s">
        <v>19</v>
      </c>
      <c r="C1038" s="249" t="s">
        <v>20</v>
      </c>
      <c r="D1038" s="250" t="s">
        <v>30</v>
      </c>
      <c r="E1038" s="250">
        <v>8.5</v>
      </c>
      <c r="F1038" s="242" t="s">
        <v>504</v>
      </c>
      <c r="G1038" s="242">
        <v>4.5999999999999996</v>
      </c>
      <c r="H1038" s="230">
        <f t="shared" si="27"/>
        <v>39.099999999999994</v>
      </c>
    </row>
    <row r="1039" spans="1:8" ht="15.75" x14ac:dyDescent="0.25">
      <c r="A1039" s="244">
        <v>2004</v>
      </c>
      <c r="B1039" s="245" t="s">
        <v>19</v>
      </c>
      <c r="C1039" s="249" t="s">
        <v>20</v>
      </c>
      <c r="D1039" s="250" t="s">
        <v>30</v>
      </c>
      <c r="E1039" s="250">
        <v>11.5</v>
      </c>
      <c r="F1039" s="242" t="s">
        <v>504</v>
      </c>
      <c r="G1039" s="242">
        <v>4.5999999999999996</v>
      </c>
      <c r="H1039" s="230">
        <f t="shared" si="27"/>
        <v>52.9</v>
      </c>
    </row>
    <row r="1040" spans="1:8" ht="15.75" x14ac:dyDescent="0.25">
      <c r="A1040" s="244">
        <v>2004</v>
      </c>
      <c r="B1040" s="245" t="s">
        <v>19</v>
      </c>
      <c r="C1040" s="249" t="s">
        <v>20</v>
      </c>
      <c r="D1040" s="250" t="s">
        <v>30</v>
      </c>
      <c r="E1040" s="250">
        <v>9.5</v>
      </c>
      <c r="F1040" s="242" t="s">
        <v>504</v>
      </c>
      <c r="G1040" s="242">
        <v>4.5999999999999996</v>
      </c>
      <c r="H1040" s="230">
        <f t="shared" si="27"/>
        <v>43.699999999999996</v>
      </c>
    </row>
    <row r="1041" spans="1:8" ht="15.75" x14ac:dyDescent="0.25">
      <c r="A1041" s="244">
        <v>2004</v>
      </c>
      <c r="B1041" s="245" t="s">
        <v>19</v>
      </c>
      <c r="C1041" s="249" t="s">
        <v>20</v>
      </c>
      <c r="D1041" s="250" t="s">
        <v>30</v>
      </c>
      <c r="E1041" s="250">
        <v>6.5</v>
      </c>
      <c r="F1041" s="242" t="s">
        <v>504</v>
      </c>
      <c r="G1041" s="242">
        <v>4.5999999999999996</v>
      </c>
      <c r="H1041" s="230">
        <f t="shared" si="27"/>
        <v>29.9</v>
      </c>
    </row>
    <row r="1042" spans="1:8" ht="15.75" x14ac:dyDescent="0.25">
      <c r="A1042" s="244">
        <v>2004</v>
      </c>
      <c r="B1042" s="245" t="s">
        <v>32</v>
      </c>
      <c r="C1042" s="249" t="s">
        <v>20</v>
      </c>
      <c r="D1042" s="250" t="s">
        <v>30</v>
      </c>
      <c r="E1042" s="250">
        <v>8</v>
      </c>
      <c r="F1042" s="242" t="s">
        <v>504</v>
      </c>
      <c r="G1042" s="242">
        <v>4.5999999999999996</v>
      </c>
      <c r="H1042" s="230">
        <f t="shared" si="27"/>
        <v>36.799999999999997</v>
      </c>
    </row>
    <row r="1043" spans="1:8" ht="15.75" x14ac:dyDescent="0.25">
      <c r="A1043" s="244">
        <v>2004</v>
      </c>
      <c r="B1043" s="245" t="s">
        <v>19</v>
      </c>
      <c r="C1043" s="249" t="s">
        <v>20</v>
      </c>
      <c r="D1043" s="250" t="s">
        <v>30</v>
      </c>
      <c r="E1043" s="250">
        <v>11</v>
      </c>
      <c r="F1043" s="242" t="s">
        <v>504</v>
      </c>
      <c r="G1043" s="242">
        <v>4.5999999999999996</v>
      </c>
      <c r="H1043" s="230">
        <f t="shared" si="27"/>
        <v>50.599999999999994</v>
      </c>
    </row>
    <row r="1044" spans="1:8" ht="15.75" x14ac:dyDescent="0.25">
      <c r="A1044" s="244">
        <v>2004</v>
      </c>
      <c r="B1044" s="245" t="s">
        <v>19</v>
      </c>
      <c r="C1044" s="249" t="s">
        <v>20</v>
      </c>
      <c r="D1044" s="250" t="s">
        <v>30</v>
      </c>
      <c r="E1044" s="250">
        <v>13.5</v>
      </c>
      <c r="F1044" s="242" t="s">
        <v>504</v>
      </c>
      <c r="G1044" s="242">
        <v>4.5999999999999996</v>
      </c>
      <c r="H1044" s="230">
        <f t="shared" si="27"/>
        <v>62.099999999999994</v>
      </c>
    </row>
    <row r="1045" spans="1:8" ht="15.75" x14ac:dyDescent="0.25">
      <c r="A1045" s="244">
        <v>2004</v>
      </c>
      <c r="B1045" s="245" t="s">
        <v>19</v>
      </c>
      <c r="C1045" s="249" t="s">
        <v>20</v>
      </c>
      <c r="D1045" s="250" t="s">
        <v>30</v>
      </c>
      <c r="E1045" s="250">
        <v>9.5</v>
      </c>
      <c r="F1045" s="242" t="s">
        <v>504</v>
      </c>
      <c r="G1045" s="242">
        <v>4.5999999999999996</v>
      </c>
      <c r="H1045" s="230">
        <f t="shared" si="27"/>
        <v>43.699999999999996</v>
      </c>
    </row>
    <row r="1046" spans="1:8" ht="15.75" x14ac:dyDescent="0.25">
      <c r="A1046" s="244">
        <v>2004</v>
      </c>
      <c r="B1046" s="245" t="s">
        <v>19</v>
      </c>
      <c r="C1046" s="249" t="s">
        <v>20</v>
      </c>
      <c r="D1046" s="250" t="s">
        <v>30</v>
      </c>
      <c r="E1046" s="250">
        <v>16.5</v>
      </c>
      <c r="F1046" s="242" t="s">
        <v>504</v>
      </c>
      <c r="G1046" s="242">
        <v>4.5999999999999996</v>
      </c>
      <c r="H1046" s="230">
        <f t="shared" si="27"/>
        <v>75.899999999999991</v>
      </c>
    </row>
    <row r="1047" spans="1:8" ht="15.75" x14ac:dyDescent="0.25">
      <c r="A1047" s="244">
        <v>2004</v>
      </c>
      <c r="B1047" s="245" t="s">
        <v>19</v>
      </c>
      <c r="C1047" s="249" t="s">
        <v>20</v>
      </c>
      <c r="D1047" s="250" t="s">
        <v>30</v>
      </c>
      <c r="E1047" s="250">
        <v>12</v>
      </c>
      <c r="F1047" s="242" t="s">
        <v>504</v>
      </c>
      <c r="G1047" s="242">
        <v>4.5999999999999996</v>
      </c>
      <c r="H1047" s="230">
        <f t="shared" si="27"/>
        <v>55.199999999999996</v>
      </c>
    </row>
    <row r="1048" spans="1:8" ht="15.75" x14ac:dyDescent="0.25">
      <c r="A1048" s="244">
        <v>2004</v>
      </c>
      <c r="B1048" s="245" t="s">
        <v>19</v>
      </c>
      <c r="C1048" s="249" t="s">
        <v>20</v>
      </c>
      <c r="D1048" s="250" t="s">
        <v>30</v>
      </c>
      <c r="E1048" s="250">
        <v>11.5</v>
      </c>
      <c r="F1048" s="242" t="s">
        <v>504</v>
      </c>
      <c r="G1048" s="242">
        <v>4.5999999999999996</v>
      </c>
      <c r="H1048" s="230">
        <f t="shared" si="27"/>
        <v>52.9</v>
      </c>
    </row>
    <row r="1049" spans="1:8" ht="15.75" x14ac:dyDescent="0.25">
      <c r="A1049" s="244">
        <v>2004</v>
      </c>
      <c r="B1049" s="245" t="s">
        <v>19</v>
      </c>
      <c r="C1049" s="249" t="s">
        <v>20</v>
      </c>
      <c r="D1049" s="250" t="s">
        <v>35</v>
      </c>
      <c r="E1049" s="250">
        <v>11</v>
      </c>
      <c r="F1049" s="242" t="s">
        <v>507</v>
      </c>
      <c r="G1049" s="242">
        <v>3.9</v>
      </c>
      <c r="H1049" s="230">
        <f t="shared" si="27"/>
        <v>42.9</v>
      </c>
    </row>
    <row r="1050" spans="1:8" ht="15.75" x14ac:dyDescent="0.25">
      <c r="A1050" s="244">
        <v>2004</v>
      </c>
      <c r="B1050" s="245" t="s">
        <v>19</v>
      </c>
      <c r="C1050" s="249" t="s">
        <v>20</v>
      </c>
      <c r="D1050" s="245" t="s">
        <v>21</v>
      </c>
      <c r="E1050" s="250">
        <v>7</v>
      </c>
      <c r="F1050" s="242" t="s">
        <v>507</v>
      </c>
      <c r="G1050" s="242">
        <v>3.9</v>
      </c>
      <c r="H1050" s="230">
        <f t="shared" si="27"/>
        <v>27.3</v>
      </c>
    </row>
    <row r="1051" spans="1:8" ht="15.75" x14ac:dyDescent="0.25">
      <c r="A1051" s="244">
        <v>2004</v>
      </c>
      <c r="B1051" s="245" t="s">
        <v>19</v>
      </c>
      <c r="C1051" s="249" t="s">
        <v>20</v>
      </c>
      <c r="D1051" s="245" t="s">
        <v>21</v>
      </c>
      <c r="E1051" s="250">
        <v>8</v>
      </c>
      <c r="F1051" s="242" t="s">
        <v>507</v>
      </c>
      <c r="G1051" s="242">
        <v>3.9</v>
      </c>
      <c r="H1051" s="230">
        <f t="shared" si="27"/>
        <v>31.2</v>
      </c>
    </row>
    <row r="1052" spans="1:8" ht="15.75" x14ac:dyDescent="0.25">
      <c r="A1052" s="244">
        <v>2004</v>
      </c>
      <c r="B1052" s="245" t="s">
        <v>19</v>
      </c>
      <c r="C1052" s="249" t="s">
        <v>20</v>
      </c>
      <c r="D1052" s="245" t="s">
        <v>21</v>
      </c>
      <c r="E1052" s="250">
        <v>7</v>
      </c>
      <c r="F1052" s="242" t="s">
        <v>507</v>
      </c>
      <c r="G1052" s="242">
        <v>3.9</v>
      </c>
      <c r="H1052" s="230">
        <f t="shared" si="27"/>
        <v>27.3</v>
      </c>
    </row>
    <row r="1053" spans="1:8" ht="15.75" x14ac:dyDescent="0.25">
      <c r="A1053" s="244">
        <v>2004</v>
      </c>
      <c r="B1053" s="245" t="s">
        <v>19</v>
      </c>
      <c r="C1053" s="249" t="s">
        <v>20</v>
      </c>
      <c r="D1053" s="245" t="s">
        <v>21</v>
      </c>
      <c r="E1053" s="250">
        <v>10.5</v>
      </c>
      <c r="F1053" s="242" t="s">
        <v>507</v>
      </c>
      <c r="G1053" s="242">
        <v>3.9</v>
      </c>
      <c r="H1053" s="230">
        <f t="shared" si="27"/>
        <v>40.949999999999996</v>
      </c>
    </row>
    <row r="1054" spans="1:8" ht="15.75" x14ac:dyDescent="0.25">
      <c r="A1054" s="244">
        <v>2004</v>
      </c>
      <c r="B1054" s="245" t="s">
        <v>19</v>
      </c>
      <c r="C1054" s="249" t="s">
        <v>20</v>
      </c>
      <c r="D1054" s="245" t="s">
        <v>21</v>
      </c>
      <c r="E1054" s="250">
        <v>9</v>
      </c>
      <c r="F1054" s="242" t="s">
        <v>507</v>
      </c>
      <c r="G1054" s="242">
        <v>3.9</v>
      </c>
      <c r="H1054" s="230">
        <f t="shared" si="27"/>
        <v>35.1</v>
      </c>
    </row>
    <row r="1055" spans="1:8" ht="15.75" x14ac:dyDescent="0.25">
      <c r="A1055" s="244">
        <v>2004</v>
      </c>
      <c r="B1055" s="245" t="s">
        <v>19</v>
      </c>
      <c r="C1055" s="249" t="s">
        <v>20</v>
      </c>
      <c r="D1055" s="245" t="s">
        <v>21</v>
      </c>
      <c r="E1055" s="250">
        <v>9</v>
      </c>
      <c r="F1055" s="242" t="s">
        <v>507</v>
      </c>
      <c r="G1055" s="242">
        <v>3.9</v>
      </c>
      <c r="H1055" s="230">
        <f t="shared" si="27"/>
        <v>35.1</v>
      </c>
    </row>
    <row r="1056" spans="1:8" ht="15.75" x14ac:dyDescent="0.25">
      <c r="A1056" s="244">
        <v>2004</v>
      </c>
      <c r="B1056" s="245" t="s">
        <v>19</v>
      </c>
      <c r="C1056" s="249" t="s">
        <v>20</v>
      </c>
      <c r="D1056" s="245" t="s">
        <v>21</v>
      </c>
      <c r="E1056" s="250">
        <v>11</v>
      </c>
      <c r="F1056" s="242" t="s">
        <v>507</v>
      </c>
      <c r="G1056" s="242">
        <v>3.9</v>
      </c>
      <c r="H1056" s="230">
        <f t="shared" si="27"/>
        <v>42.9</v>
      </c>
    </row>
    <row r="1057" spans="1:8" ht="15.75" x14ac:dyDescent="0.25">
      <c r="A1057" s="244">
        <v>2004</v>
      </c>
      <c r="B1057" s="245" t="s">
        <v>19</v>
      </c>
      <c r="C1057" s="249" t="s">
        <v>20</v>
      </c>
      <c r="D1057" s="245" t="s">
        <v>21</v>
      </c>
      <c r="E1057" s="250">
        <v>9</v>
      </c>
      <c r="F1057" s="242" t="s">
        <v>507</v>
      </c>
      <c r="G1057" s="242">
        <v>3.9</v>
      </c>
      <c r="H1057" s="230">
        <f t="shared" si="27"/>
        <v>35.1</v>
      </c>
    </row>
    <row r="1058" spans="1:8" ht="15.75" x14ac:dyDescent="0.25">
      <c r="A1058" s="244">
        <v>2004</v>
      </c>
      <c r="B1058" s="245" t="s">
        <v>19</v>
      </c>
      <c r="C1058" s="249" t="s">
        <v>20</v>
      </c>
      <c r="D1058" s="245" t="s">
        <v>21</v>
      </c>
      <c r="E1058" s="250">
        <v>8</v>
      </c>
      <c r="F1058" s="242" t="s">
        <v>507</v>
      </c>
      <c r="G1058" s="242">
        <v>3.9</v>
      </c>
      <c r="H1058" s="230">
        <f t="shared" si="27"/>
        <v>31.2</v>
      </c>
    </row>
    <row r="1059" spans="1:8" ht="15.75" x14ac:dyDescent="0.25">
      <c r="A1059" s="244">
        <v>2004</v>
      </c>
      <c r="B1059" s="245" t="s">
        <v>19</v>
      </c>
      <c r="C1059" s="249" t="s">
        <v>20</v>
      </c>
      <c r="D1059" s="245" t="s">
        <v>21</v>
      </c>
      <c r="E1059" s="250">
        <v>14.5</v>
      </c>
      <c r="F1059" s="242" t="s">
        <v>507</v>
      </c>
      <c r="G1059" s="242">
        <v>3.9</v>
      </c>
      <c r="H1059" s="230">
        <f t="shared" si="27"/>
        <v>56.55</v>
      </c>
    </row>
    <row r="1060" spans="1:8" ht="15.75" x14ac:dyDescent="0.25">
      <c r="A1060" s="244">
        <v>2004</v>
      </c>
      <c r="B1060" s="245" t="s">
        <v>19</v>
      </c>
      <c r="C1060" s="249" t="s">
        <v>20</v>
      </c>
      <c r="D1060" s="245" t="s">
        <v>21</v>
      </c>
      <c r="E1060" s="250">
        <v>8</v>
      </c>
      <c r="F1060" s="242" t="s">
        <v>507</v>
      </c>
      <c r="G1060" s="242">
        <v>3.9</v>
      </c>
      <c r="H1060" s="230">
        <f t="shared" si="27"/>
        <v>31.2</v>
      </c>
    </row>
    <row r="1061" spans="1:8" ht="15.75" x14ac:dyDescent="0.25">
      <c r="A1061" s="244">
        <v>2004</v>
      </c>
      <c r="B1061" s="245" t="s">
        <v>19</v>
      </c>
      <c r="C1061" s="249" t="s">
        <v>20</v>
      </c>
      <c r="D1061" s="245" t="s">
        <v>21</v>
      </c>
      <c r="E1061" s="250">
        <v>7.5</v>
      </c>
      <c r="F1061" s="242" t="s">
        <v>507</v>
      </c>
      <c r="G1061" s="242">
        <v>3.9</v>
      </c>
      <c r="H1061" s="230">
        <f t="shared" si="27"/>
        <v>29.25</v>
      </c>
    </row>
    <row r="1062" spans="1:8" ht="15.75" x14ac:dyDescent="0.25">
      <c r="A1062" s="244">
        <v>2004</v>
      </c>
      <c r="B1062" s="245" t="s">
        <v>19</v>
      </c>
      <c r="C1062" s="249" t="s">
        <v>20</v>
      </c>
      <c r="D1062" s="245" t="s">
        <v>21</v>
      </c>
      <c r="E1062" s="250">
        <v>19</v>
      </c>
      <c r="F1062" s="242" t="s">
        <v>507</v>
      </c>
      <c r="G1062" s="242">
        <v>3.9</v>
      </c>
      <c r="H1062" s="230">
        <f t="shared" si="27"/>
        <v>74.099999999999994</v>
      </c>
    </row>
    <row r="1063" spans="1:8" ht="15.75" x14ac:dyDescent="0.25">
      <c r="A1063" s="244">
        <v>2004</v>
      </c>
      <c r="B1063" s="245" t="s">
        <v>19</v>
      </c>
      <c r="C1063" s="249" t="s">
        <v>20</v>
      </c>
      <c r="D1063" s="245" t="s">
        <v>21</v>
      </c>
      <c r="E1063" s="250">
        <v>16.2</v>
      </c>
      <c r="F1063" s="242" t="s">
        <v>507</v>
      </c>
      <c r="G1063" s="242">
        <v>3.9</v>
      </c>
      <c r="H1063" s="230">
        <f t="shared" si="27"/>
        <v>63.179999999999993</v>
      </c>
    </row>
    <row r="1064" spans="1:8" ht="15.75" x14ac:dyDescent="0.25">
      <c r="A1064" s="244">
        <v>2004</v>
      </c>
      <c r="B1064" s="245" t="s">
        <v>19</v>
      </c>
      <c r="C1064" s="249" t="s">
        <v>20</v>
      </c>
      <c r="D1064" s="245" t="s">
        <v>21</v>
      </c>
      <c r="E1064" s="250">
        <v>10</v>
      </c>
      <c r="F1064" s="242" t="s">
        <v>507</v>
      </c>
      <c r="G1064" s="242">
        <v>3.9</v>
      </c>
      <c r="H1064" s="230">
        <f t="shared" si="27"/>
        <v>39</v>
      </c>
    </row>
    <row r="1065" spans="1:8" ht="15.75" x14ac:dyDescent="0.25">
      <c r="A1065" s="244">
        <v>2004</v>
      </c>
      <c r="B1065" s="245" t="s">
        <v>19</v>
      </c>
      <c r="C1065" s="249" t="s">
        <v>20</v>
      </c>
      <c r="D1065" s="245" t="s">
        <v>21</v>
      </c>
      <c r="E1065" s="250">
        <v>12</v>
      </c>
      <c r="F1065" s="242" t="s">
        <v>507</v>
      </c>
      <c r="G1065" s="242">
        <v>3.9</v>
      </c>
      <c r="H1065" s="230">
        <f t="shared" si="27"/>
        <v>46.8</v>
      </c>
    </row>
    <row r="1066" spans="1:8" ht="15.75" x14ac:dyDescent="0.25">
      <c r="A1066" s="244">
        <v>2004</v>
      </c>
      <c r="B1066" s="245" t="s">
        <v>19</v>
      </c>
      <c r="C1066" s="249" t="s">
        <v>20</v>
      </c>
      <c r="D1066" s="245" t="s">
        <v>21</v>
      </c>
      <c r="E1066" s="250">
        <v>13</v>
      </c>
      <c r="F1066" s="242" t="s">
        <v>507</v>
      </c>
      <c r="G1066" s="242">
        <v>3.9</v>
      </c>
      <c r="H1066" s="230">
        <f t="shared" si="27"/>
        <v>50.699999999999996</v>
      </c>
    </row>
    <row r="1067" spans="1:8" ht="15.75" x14ac:dyDescent="0.25">
      <c r="A1067" s="244">
        <v>2004</v>
      </c>
      <c r="B1067" s="245" t="s">
        <v>19</v>
      </c>
      <c r="C1067" s="249" t="s">
        <v>20</v>
      </c>
      <c r="D1067" s="245" t="s">
        <v>21</v>
      </c>
      <c r="E1067" s="250">
        <v>10.8</v>
      </c>
      <c r="F1067" s="242" t="s">
        <v>507</v>
      </c>
      <c r="G1067" s="242">
        <v>3.9</v>
      </c>
      <c r="H1067" s="230">
        <f t="shared" si="27"/>
        <v>42.120000000000005</v>
      </c>
    </row>
    <row r="1068" spans="1:8" ht="15.75" x14ac:dyDescent="0.25">
      <c r="A1068" s="244">
        <v>2004</v>
      </c>
      <c r="B1068" s="245" t="s">
        <v>19</v>
      </c>
      <c r="C1068" s="249" t="s">
        <v>20</v>
      </c>
      <c r="D1068" s="245" t="s">
        <v>21</v>
      </c>
      <c r="E1068" s="250">
        <v>14</v>
      </c>
      <c r="F1068" s="242" t="s">
        <v>507</v>
      </c>
      <c r="G1068" s="242">
        <v>3.9</v>
      </c>
      <c r="H1068" s="230">
        <f t="shared" si="27"/>
        <v>54.6</v>
      </c>
    </row>
    <row r="1069" spans="1:8" ht="15.75" x14ac:dyDescent="0.25">
      <c r="A1069" s="244">
        <v>2004</v>
      </c>
      <c r="B1069" s="245" t="s">
        <v>19</v>
      </c>
      <c r="C1069" s="249" t="s">
        <v>20</v>
      </c>
      <c r="D1069" s="245" t="s">
        <v>21</v>
      </c>
      <c r="E1069" s="250">
        <v>10.199999999999999</v>
      </c>
      <c r="F1069" s="242" t="s">
        <v>507</v>
      </c>
      <c r="G1069" s="242">
        <v>3.9</v>
      </c>
      <c r="H1069" s="230">
        <f t="shared" si="27"/>
        <v>39.779999999999994</v>
      </c>
    </row>
    <row r="1070" spans="1:8" ht="15.75" x14ac:dyDescent="0.25">
      <c r="A1070" s="244">
        <v>2004</v>
      </c>
      <c r="B1070" s="245" t="s">
        <v>19</v>
      </c>
      <c r="C1070" s="249" t="s">
        <v>20</v>
      </c>
      <c r="D1070" s="245" t="s">
        <v>21</v>
      </c>
      <c r="E1070" s="250">
        <v>10.5</v>
      </c>
      <c r="F1070" s="242" t="s">
        <v>507</v>
      </c>
      <c r="G1070" s="242">
        <v>3.9</v>
      </c>
      <c r="H1070" s="230">
        <f t="shared" si="27"/>
        <v>40.949999999999996</v>
      </c>
    </row>
    <row r="1071" spans="1:8" ht="15.75" x14ac:dyDescent="0.25">
      <c r="A1071" s="244">
        <v>2004</v>
      </c>
      <c r="B1071" s="245" t="s">
        <v>19</v>
      </c>
      <c r="C1071" s="249" t="s">
        <v>20</v>
      </c>
      <c r="D1071" s="245" t="s">
        <v>21</v>
      </c>
      <c r="E1071" s="250">
        <v>15</v>
      </c>
      <c r="F1071" s="242" t="s">
        <v>507</v>
      </c>
      <c r="G1071" s="242">
        <v>3.9</v>
      </c>
      <c r="H1071" s="230">
        <f t="shared" si="27"/>
        <v>58.5</v>
      </c>
    </row>
    <row r="1072" spans="1:8" ht="15.75" x14ac:dyDescent="0.25">
      <c r="A1072" s="244">
        <v>2004</v>
      </c>
      <c r="B1072" s="245" t="s">
        <v>19</v>
      </c>
      <c r="C1072" s="249" t="s">
        <v>20</v>
      </c>
      <c r="D1072" s="245" t="s">
        <v>21</v>
      </c>
      <c r="E1072" s="250">
        <v>14.5</v>
      </c>
      <c r="F1072" s="242" t="s">
        <v>507</v>
      </c>
      <c r="G1072" s="242">
        <v>3.9</v>
      </c>
      <c r="H1072" s="230">
        <f t="shared" si="27"/>
        <v>56.55</v>
      </c>
    </row>
    <row r="1073" spans="1:8" ht="15.75" x14ac:dyDescent="0.25">
      <c r="A1073" s="244">
        <v>2004</v>
      </c>
      <c r="B1073" s="245" t="s">
        <v>19</v>
      </c>
      <c r="C1073" s="249" t="s">
        <v>20</v>
      </c>
      <c r="D1073" s="245" t="s">
        <v>21</v>
      </c>
      <c r="E1073" s="250">
        <v>12</v>
      </c>
      <c r="F1073" s="242" t="s">
        <v>507</v>
      </c>
      <c r="G1073" s="242">
        <v>3.9</v>
      </c>
      <c r="H1073" s="230">
        <f t="shared" si="27"/>
        <v>46.8</v>
      </c>
    </row>
    <row r="1074" spans="1:8" ht="15.75" x14ac:dyDescent="0.25">
      <c r="A1074" s="244">
        <v>2004</v>
      </c>
      <c r="B1074" s="245" t="s">
        <v>19</v>
      </c>
      <c r="C1074" s="249" t="s">
        <v>20</v>
      </c>
      <c r="D1074" s="245" t="s">
        <v>21</v>
      </c>
      <c r="E1074" s="250">
        <v>11.5</v>
      </c>
      <c r="F1074" s="242" t="s">
        <v>507</v>
      </c>
      <c r="G1074" s="242">
        <v>3.9</v>
      </c>
      <c r="H1074" s="230">
        <f t="shared" si="27"/>
        <v>44.85</v>
      </c>
    </row>
    <row r="1075" spans="1:8" ht="15.75" x14ac:dyDescent="0.25">
      <c r="A1075" s="244">
        <v>2004</v>
      </c>
      <c r="B1075" s="245" t="s">
        <v>19</v>
      </c>
      <c r="C1075" s="249" t="s">
        <v>20</v>
      </c>
      <c r="D1075" s="245" t="s">
        <v>21</v>
      </c>
      <c r="E1075" s="250">
        <v>6.5</v>
      </c>
      <c r="F1075" s="242" t="s">
        <v>507</v>
      </c>
      <c r="G1075" s="242">
        <v>3.9</v>
      </c>
      <c r="H1075" s="230">
        <f t="shared" si="27"/>
        <v>25.349999999999998</v>
      </c>
    </row>
    <row r="1076" spans="1:8" ht="15.75" x14ac:dyDescent="0.25">
      <c r="A1076" s="244">
        <v>2004</v>
      </c>
      <c r="B1076" s="245" t="s">
        <v>19</v>
      </c>
      <c r="C1076" s="249" t="s">
        <v>20</v>
      </c>
      <c r="D1076" s="245" t="s">
        <v>21</v>
      </c>
      <c r="E1076" s="250">
        <v>12</v>
      </c>
      <c r="F1076" s="242" t="s">
        <v>507</v>
      </c>
      <c r="G1076" s="242">
        <v>3.9</v>
      </c>
      <c r="H1076" s="230">
        <f t="shared" si="27"/>
        <v>46.8</v>
      </c>
    </row>
    <row r="1077" spans="1:8" ht="15.75" x14ac:dyDescent="0.25">
      <c r="A1077" s="244">
        <v>2004</v>
      </c>
      <c r="B1077" s="245" t="s">
        <v>19</v>
      </c>
      <c r="C1077" s="249" t="s">
        <v>20</v>
      </c>
      <c r="D1077" s="245" t="s">
        <v>21</v>
      </c>
      <c r="E1077" s="250">
        <v>11</v>
      </c>
      <c r="F1077" s="242" t="s">
        <v>507</v>
      </c>
      <c r="G1077" s="242">
        <v>3.9</v>
      </c>
      <c r="H1077" s="230">
        <f t="shared" si="27"/>
        <v>42.9</v>
      </c>
    </row>
    <row r="1078" spans="1:8" ht="15.75" x14ac:dyDescent="0.25">
      <c r="A1078" s="244">
        <v>2004</v>
      </c>
      <c r="B1078" s="245" t="s">
        <v>19</v>
      </c>
      <c r="C1078" s="249" t="s">
        <v>20</v>
      </c>
      <c r="D1078" s="245" t="s">
        <v>21</v>
      </c>
      <c r="E1078" s="250">
        <v>9.8000000000000007</v>
      </c>
      <c r="F1078" s="242" t="s">
        <v>507</v>
      </c>
      <c r="G1078" s="242">
        <v>3.9</v>
      </c>
      <c r="H1078" s="230">
        <f t="shared" si="27"/>
        <v>38.22</v>
      </c>
    </row>
    <row r="1079" spans="1:8" ht="15.75" x14ac:dyDescent="0.25">
      <c r="A1079" s="244">
        <v>2004</v>
      </c>
      <c r="B1079" s="245" t="s">
        <v>19</v>
      </c>
      <c r="C1079" s="249" t="s">
        <v>20</v>
      </c>
      <c r="D1079" s="245" t="s">
        <v>21</v>
      </c>
      <c r="E1079" s="250">
        <v>11.5</v>
      </c>
      <c r="F1079" s="242" t="s">
        <v>507</v>
      </c>
      <c r="G1079" s="242">
        <v>3.9</v>
      </c>
      <c r="H1079" s="230">
        <f t="shared" si="27"/>
        <v>44.85</v>
      </c>
    </row>
    <row r="1080" spans="1:8" ht="15.75" x14ac:dyDescent="0.25">
      <c r="A1080" s="244">
        <v>2004</v>
      </c>
      <c r="B1080" s="245" t="s">
        <v>19</v>
      </c>
      <c r="C1080" s="249" t="s">
        <v>20</v>
      </c>
      <c r="D1080" s="245" t="s">
        <v>21</v>
      </c>
      <c r="E1080" s="250">
        <v>12.2</v>
      </c>
      <c r="F1080" s="242" t="s">
        <v>507</v>
      </c>
      <c r="G1080" s="242">
        <v>3.9</v>
      </c>
      <c r="H1080" s="230">
        <f t="shared" si="27"/>
        <v>47.58</v>
      </c>
    </row>
    <row r="1081" spans="1:8" ht="15.75" x14ac:dyDescent="0.25">
      <c r="A1081" s="244">
        <v>2004</v>
      </c>
      <c r="B1081" s="245" t="s">
        <v>19</v>
      </c>
      <c r="C1081" s="249" t="s">
        <v>20</v>
      </c>
      <c r="D1081" s="245" t="s">
        <v>21</v>
      </c>
      <c r="E1081" s="250">
        <v>11.8</v>
      </c>
      <c r="F1081" s="242" t="s">
        <v>507</v>
      </c>
      <c r="G1081" s="242">
        <v>3.9</v>
      </c>
      <c r="H1081" s="230">
        <f t="shared" si="27"/>
        <v>46.02</v>
      </c>
    </row>
    <row r="1082" spans="1:8" ht="15.75" x14ac:dyDescent="0.25">
      <c r="A1082" s="244">
        <v>2004</v>
      </c>
      <c r="B1082" s="245" t="s">
        <v>19</v>
      </c>
      <c r="C1082" s="249" t="s">
        <v>20</v>
      </c>
      <c r="D1082" s="245" t="s">
        <v>21</v>
      </c>
      <c r="E1082" s="250">
        <v>15</v>
      </c>
      <c r="F1082" s="242" t="s">
        <v>507</v>
      </c>
      <c r="G1082" s="242">
        <v>3.9</v>
      </c>
      <c r="H1082" s="230">
        <f t="shared" si="27"/>
        <v>58.5</v>
      </c>
    </row>
    <row r="1083" spans="1:8" ht="15.75" x14ac:dyDescent="0.25">
      <c r="A1083" s="244">
        <v>2004</v>
      </c>
      <c r="B1083" s="245" t="s">
        <v>19</v>
      </c>
      <c r="C1083" s="249" t="s">
        <v>20</v>
      </c>
      <c r="D1083" s="245" t="s">
        <v>21</v>
      </c>
      <c r="E1083" s="250">
        <v>11.5</v>
      </c>
      <c r="F1083" s="242" t="s">
        <v>507</v>
      </c>
      <c r="G1083" s="242">
        <v>3.9</v>
      </c>
      <c r="H1083" s="230">
        <f t="shared" si="27"/>
        <v>44.85</v>
      </c>
    </row>
    <row r="1084" spans="1:8" ht="15.75" x14ac:dyDescent="0.25">
      <c r="A1084" s="244">
        <v>2004</v>
      </c>
      <c r="B1084" s="245" t="s">
        <v>19</v>
      </c>
      <c r="C1084" s="249" t="s">
        <v>20</v>
      </c>
      <c r="D1084" s="245" t="s">
        <v>21</v>
      </c>
      <c r="E1084" s="250">
        <v>19.5</v>
      </c>
      <c r="F1084" s="242" t="s">
        <v>507</v>
      </c>
      <c r="G1084" s="242">
        <v>3.9</v>
      </c>
      <c r="H1084" s="230">
        <f t="shared" si="27"/>
        <v>76.05</v>
      </c>
    </row>
    <row r="1085" spans="1:8" ht="15.75" x14ac:dyDescent="0.25">
      <c r="A1085" s="244">
        <v>2004</v>
      </c>
      <c r="B1085" s="245" t="s">
        <v>19</v>
      </c>
      <c r="C1085" s="249" t="s">
        <v>20</v>
      </c>
      <c r="D1085" s="245" t="s">
        <v>21</v>
      </c>
      <c r="E1085" s="250">
        <v>8.5</v>
      </c>
      <c r="F1085" s="242" t="s">
        <v>507</v>
      </c>
      <c r="G1085" s="242">
        <v>3.9</v>
      </c>
      <c r="H1085" s="230">
        <f t="shared" si="27"/>
        <v>33.15</v>
      </c>
    </row>
    <row r="1086" spans="1:8" ht="15.75" x14ac:dyDescent="0.25">
      <c r="A1086" s="244">
        <v>2004</v>
      </c>
      <c r="B1086" s="245" t="s">
        <v>19</v>
      </c>
      <c r="C1086" s="249" t="s">
        <v>20</v>
      </c>
      <c r="D1086" s="245" t="s">
        <v>21</v>
      </c>
      <c r="E1086" s="250">
        <v>9.6</v>
      </c>
      <c r="F1086" s="242" t="s">
        <v>507</v>
      </c>
      <c r="G1086" s="242">
        <v>3.9</v>
      </c>
      <c r="H1086" s="230">
        <f t="shared" si="27"/>
        <v>37.44</v>
      </c>
    </row>
    <row r="1087" spans="1:8" ht="15.75" x14ac:dyDescent="0.25">
      <c r="A1087" s="244">
        <v>2004</v>
      </c>
      <c r="B1087" s="245" t="s">
        <v>19</v>
      </c>
      <c r="C1087" s="249" t="s">
        <v>20</v>
      </c>
      <c r="D1087" s="245" t="s">
        <v>21</v>
      </c>
      <c r="E1087" s="250">
        <v>15</v>
      </c>
      <c r="F1087" s="242" t="s">
        <v>507</v>
      </c>
      <c r="G1087" s="242">
        <v>3.9</v>
      </c>
      <c r="H1087" s="230">
        <f t="shared" si="27"/>
        <v>58.5</v>
      </c>
    </row>
    <row r="1088" spans="1:8" ht="15.75" x14ac:dyDescent="0.25">
      <c r="A1088" s="244">
        <v>2004</v>
      </c>
      <c r="B1088" s="245" t="s">
        <v>19</v>
      </c>
      <c r="C1088" s="249" t="s">
        <v>20</v>
      </c>
      <c r="D1088" s="245" t="s">
        <v>21</v>
      </c>
      <c r="E1088" s="250">
        <v>16</v>
      </c>
      <c r="F1088" s="242" t="s">
        <v>507</v>
      </c>
      <c r="G1088" s="242">
        <v>3.9</v>
      </c>
      <c r="H1088" s="230">
        <f t="shared" si="27"/>
        <v>62.4</v>
      </c>
    </row>
    <row r="1089" spans="1:8" ht="15.75" x14ac:dyDescent="0.25">
      <c r="A1089" s="244">
        <v>2004</v>
      </c>
      <c r="B1089" s="245" t="s">
        <v>19</v>
      </c>
      <c r="C1089" s="249" t="s">
        <v>20</v>
      </c>
      <c r="D1089" s="245" t="s">
        <v>21</v>
      </c>
      <c r="E1089" s="250">
        <v>17.5</v>
      </c>
      <c r="F1089" s="242" t="s">
        <v>507</v>
      </c>
      <c r="G1089" s="242">
        <v>3.9</v>
      </c>
      <c r="H1089" s="230">
        <f t="shared" si="27"/>
        <v>68.25</v>
      </c>
    </row>
    <row r="1090" spans="1:8" ht="15.75" x14ac:dyDescent="0.25">
      <c r="A1090" s="244">
        <v>2004</v>
      </c>
      <c r="B1090" s="245" t="s">
        <v>19</v>
      </c>
      <c r="C1090" s="249" t="s">
        <v>20</v>
      </c>
      <c r="D1090" s="245" t="s">
        <v>21</v>
      </c>
      <c r="E1090" s="250">
        <v>12.5</v>
      </c>
      <c r="F1090" s="242" t="s">
        <v>507</v>
      </c>
      <c r="G1090" s="242">
        <v>3.9</v>
      </c>
      <c r="H1090" s="230">
        <f t="shared" si="27"/>
        <v>48.75</v>
      </c>
    </row>
    <row r="1091" spans="1:8" ht="15.75" x14ac:dyDescent="0.25">
      <c r="A1091" s="244">
        <v>2004</v>
      </c>
      <c r="B1091" s="245" t="s">
        <v>19</v>
      </c>
      <c r="C1091" s="249" t="s">
        <v>20</v>
      </c>
      <c r="D1091" s="245" t="s">
        <v>21</v>
      </c>
      <c r="E1091" s="250">
        <v>11.6</v>
      </c>
      <c r="F1091" s="242" t="s">
        <v>507</v>
      </c>
      <c r="G1091" s="242">
        <v>3.9</v>
      </c>
      <c r="H1091" s="230">
        <f t="shared" ref="H1091:H1154" si="28">E1091*G1091</f>
        <v>45.239999999999995</v>
      </c>
    </row>
    <row r="1092" spans="1:8" ht="15.75" x14ac:dyDescent="0.25">
      <c r="A1092" s="244">
        <v>2004</v>
      </c>
      <c r="B1092" s="245" t="s">
        <v>19</v>
      </c>
      <c r="C1092" s="249" t="s">
        <v>20</v>
      </c>
      <c r="D1092" s="245" t="s">
        <v>21</v>
      </c>
      <c r="E1092" s="250">
        <v>10</v>
      </c>
      <c r="F1092" s="242" t="s">
        <v>507</v>
      </c>
      <c r="G1092" s="242">
        <v>3.9</v>
      </c>
      <c r="H1092" s="230">
        <f t="shared" si="28"/>
        <v>39</v>
      </c>
    </row>
    <row r="1093" spans="1:8" ht="15.75" x14ac:dyDescent="0.25">
      <c r="A1093" s="244">
        <v>2004</v>
      </c>
      <c r="B1093" s="245" t="s">
        <v>19</v>
      </c>
      <c r="C1093" s="249" t="s">
        <v>20</v>
      </c>
      <c r="D1093" s="245" t="s">
        <v>21</v>
      </c>
      <c r="E1093" s="250">
        <v>9.8000000000000007</v>
      </c>
      <c r="F1093" s="242" t="s">
        <v>507</v>
      </c>
      <c r="G1093" s="242">
        <v>3.9</v>
      </c>
      <c r="H1093" s="230">
        <f t="shared" si="28"/>
        <v>38.22</v>
      </c>
    </row>
    <row r="1094" spans="1:8" ht="15.75" x14ac:dyDescent="0.25">
      <c r="A1094" s="244">
        <v>2004</v>
      </c>
      <c r="B1094" s="245" t="s">
        <v>19</v>
      </c>
      <c r="C1094" s="249" t="s">
        <v>20</v>
      </c>
      <c r="D1094" s="245" t="s">
        <v>21</v>
      </c>
      <c r="E1094" s="250">
        <v>8.6</v>
      </c>
      <c r="F1094" s="242" t="s">
        <v>507</v>
      </c>
      <c r="G1094" s="242">
        <v>3.9</v>
      </c>
      <c r="H1094" s="230">
        <f t="shared" si="28"/>
        <v>33.54</v>
      </c>
    </row>
    <row r="1095" spans="1:8" ht="15.75" x14ac:dyDescent="0.25">
      <c r="A1095" s="244">
        <v>2004</v>
      </c>
      <c r="B1095" s="245" t="s">
        <v>19</v>
      </c>
      <c r="C1095" s="249" t="s">
        <v>20</v>
      </c>
      <c r="D1095" s="245" t="s">
        <v>21</v>
      </c>
      <c r="E1095" s="250">
        <v>12.5</v>
      </c>
      <c r="F1095" s="242" t="s">
        <v>507</v>
      </c>
      <c r="G1095" s="242">
        <v>3.9</v>
      </c>
      <c r="H1095" s="230">
        <f t="shared" si="28"/>
        <v>48.75</v>
      </c>
    </row>
    <row r="1096" spans="1:8" ht="15.75" x14ac:dyDescent="0.25">
      <c r="A1096" s="244">
        <v>2004</v>
      </c>
      <c r="B1096" s="245" t="s">
        <v>19</v>
      </c>
      <c r="C1096" s="249" t="s">
        <v>20</v>
      </c>
      <c r="D1096" s="245" t="s">
        <v>21</v>
      </c>
      <c r="E1096" s="250">
        <v>10</v>
      </c>
      <c r="F1096" s="242" t="s">
        <v>507</v>
      </c>
      <c r="G1096" s="242">
        <v>3.9</v>
      </c>
      <c r="H1096" s="230">
        <f t="shared" si="28"/>
        <v>39</v>
      </c>
    </row>
    <row r="1097" spans="1:8" ht="15.75" x14ac:dyDescent="0.25">
      <c r="A1097" s="244">
        <v>2004</v>
      </c>
      <c r="B1097" s="245" t="s">
        <v>19</v>
      </c>
      <c r="C1097" s="249" t="s">
        <v>20</v>
      </c>
      <c r="D1097" s="245" t="s">
        <v>21</v>
      </c>
      <c r="E1097" s="250">
        <v>11.2</v>
      </c>
      <c r="F1097" s="242" t="s">
        <v>507</v>
      </c>
      <c r="G1097" s="242">
        <v>3.9</v>
      </c>
      <c r="H1097" s="230">
        <f t="shared" si="28"/>
        <v>43.68</v>
      </c>
    </row>
    <row r="1098" spans="1:8" ht="15.75" x14ac:dyDescent="0.25">
      <c r="A1098" s="244">
        <v>2004</v>
      </c>
      <c r="B1098" s="245" t="s">
        <v>19</v>
      </c>
      <c r="C1098" s="249" t="s">
        <v>20</v>
      </c>
      <c r="D1098" s="245" t="s">
        <v>21</v>
      </c>
      <c r="E1098" s="250">
        <v>10</v>
      </c>
      <c r="F1098" s="242" t="s">
        <v>507</v>
      </c>
      <c r="G1098" s="242">
        <v>3.9</v>
      </c>
      <c r="H1098" s="230">
        <f t="shared" si="28"/>
        <v>39</v>
      </c>
    </row>
    <row r="1099" spans="1:8" ht="15.75" x14ac:dyDescent="0.25">
      <c r="A1099" s="244">
        <v>2004</v>
      </c>
      <c r="B1099" s="245" t="s">
        <v>19</v>
      </c>
      <c r="C1099" s="249" t="s">
        <v>20</v>
      </c>
      <c r="D1099" s="245" t="s">
        <v>21</v>
      </c>
      <c r="E1099" s="250">
        <v>11.8</v>
      </c>
      <c r="F1099" s="242" t="s">
        <v>507</v>
      </c>
      <c r="G1099" s="242">
        <v>3.9</v>
      </c>
      <c r="H1099" s="230">
        <f t="shared" si="28"/>
        <v>46.02</v>
      </c>
    </row>
    <row r="1100" spans="1:8" ht="15.75" x14ac:dyDescent="0.25">
      <c r="A1100" s="244">
        <v>2004</v>
      </c>
      <c r="B1100" s="245" t="s">
        <v>19</v>
      </c>
      <c r="C1100" s="249" t="s">
        <v>20</v>
      </c>
      <c r="D1100" s="245" t="s">
        <v>21</v>
      </c>
      <c r="E1100" s="250">
        <v>10.8</v>
      </c>
      <c r="F1100" s="242" t="s">
        <v>507</v>
      </c>
      <c r="G1100" s="242">
        <v>3.9</v>
      </c>
      <c r="H1100" s="230">
        <f t="shared" si="28"/>
        <v>42.120000000000005</v>
      </c>
    </row>
    <row r="1101" spans="1:8" ht="15.75" x14ac:dyDescent="0.25">
      <c r="A1101" s="244">
        <v>2004</v>
      </c>
      <c r="B1101" s="245" t="s">
        <v>19</v>
      </c>
      <c r="C1101" s="249" t="s">
        <v>20</v>
      </c>
      <c r="D1101" s="245" t="s">
        <v>21</v>
      </c>
      <c r="E1101" s="250">
        <v>8.5</v>
      </c>
      <c r="F1101" s="242" t="s">
        <v>507</v>
      </c>
      <c r="G1101" s="242">
        <v>3.9</v>
      </c>
      <c r="H1101" s="230">
        <f t="shared" si="28"/>
        <v>33.15</v>
      </c>
    </row>
    <row r="1102" spans="1:8" ht="15.75" x14ac:dyDescent="0.25">
      <c r="A1102" s="244">
        <v>2004</v>
      </c>
      <c r="B1102" s="245" t="s">
        <v>19</v>
      </c>
      <c r="C1102" s="249" t="s">
        <v>20</v>
      </c>
      <c r="D1102" s="245" t="s">
        <v>21</v>
      </c>
      <c r="E1102" s="250">
        <v>16.399999999999999</v>
      </c>
      <c r="F1102" s="242" t="s">
        <v>507</v>
      </c>
      <c r="G1102" s="242">
        <v>3.9</v>
      </c>
      <c r="H1102" s="230">
        <f t="shared" si="28"/>
        <v>63.959999999999994</v>
      </c>
    </row>
    <row r="1103" spans="1:8" ht="15.75" x14ac:dyDescent="0.25">
      <c r="A1103" s="244">
        <v>2004</v>
      </c>
      <c r="B1103" s="245" t="s">
        <v>19</v>
      </c>
      <c r="C1103" s="249" t="s">
        <v>20</v>
      </c>
      <c r="D1103" s="245" t="s">
        <v>21</v>
      </c>
      <c r="E1103" s="250">
        <v>11.5</v>
      </c>
      <c r="F1103" s="242" t="s">
        <v>507</v>
      </c>
      <c r="G1103" s="242">
        <v>3.9</v>
      </c>
      <c r="H1103" s="230">
        <f t="shared" si="28"/>
        <v>44.85</v>
      </c>
    </row>
    <row r="1104" spans="1:8" ht="15.75" x14ac:dyDescent="0.25">
      <c r="A1104" s="244">
        <v>2004</v>
      </c>
      <c r="B1104" s="245" t="s">
        <v>19</v>
      </c>
      <c r="C1104" s="249" t="s">
        <v>20</v>
      </c>
      <c r="D1104" s="245" t="s">
        <v>21</v>
      </c>
      <c r="E1104" s="250">
        <v>13.2</v>
      </c>
      <c r="F1104" s="242" t="s">
        <v>507</v>
      </c>
      <c r="G1104" s="242">
        <v>3.9</v>
      </c>
      <c r="H1104" s="230">
        <f t="shared" si="28"/>
        <v>51.48</v>
      </c>
    </row>
    <row r="1105" spans="1:8" ht="15.75" x14ac:dyDescent="0.25">
      <c r="A1105" s="244">
        <v>2004</v>
      </c>
      <c r="B1105" s="245" t="s">
        <v>19</v>
      </c>
      <c r="C1105" s="249" t="s">
        <v>20</v>
      </c>
      <c r="D1105" s="245" t="s">
        <v>21</v>
      </c>
      <c r="E1105" s="250">
        <v>19.399999999999999</v>
      </c>
      <c r="F1105" s="242" t="s">
        <v>507</v>
      </c>
      <c r="G1105" s="242">
        <v>3.9</v>
      </c>
      <c r="H1105" s="230">
        <f t="shared" si="28"/>
        <v>75.66</v>
      </c>
    </row>
    <row r="1106" spans="1:8" ht="15.75" x14ac:dyDescent="0.25">
      <c r="A1106" s="244">
        <v>2004</v>
      </c>
      <c r="B1106" s="245" t="s">
        <v>19</v>
      </c>
      <c r="C1106" s="249" t="s">
        <v>20</v>
      </c>
      <c r="D1106" s="245" t="s">
        <v>21</v>
      </c>
      <c r="E1106" s="250">
        <v>13.5</v>
      </c>
      <c r="F1106" s="242" t="s">
        <v>507</v>
      </c>
      <c r="G1106" s="242">
        <v>3.9</v>
      </c>
      <c r="H1106" s="230">
        <f t="shared" si="28"/>
        <v>52.65</v>
      </c>
    </row>
    <row r="1107" spans="1:8" ht="15.75" x14ac:dyDescent="0.25">
      <c r="A1107" s="244">
        <v>2004</v>
      </c>
      <c r="B1107" s="245" t="s">
        <v>19</v>
      </c>
      <c r="C1107" s="249" t="s">
        <v>20</v>
      </c>
      <c r="D1107" s="245" t="s">
        <v>21</v>
      </c>
      <c r="E1107" s="250">
        <v>11.2</v>
      </c>
      <c r="F1107" s="242" t="s">
        <v>507</v>
      </c>
      <c r="G1107" s="242">
        <v>3.9</v>
      </c>
      <c r="H1107" s="230">
        <f t="shared" si="28"/>
        <v>43.68</v>
      </c>
    </row>
    <row r="1108" spans="1:8" ht="15.75" x14ac:dyDescent="0.25">
      <c r="A1108" s="244">
        <v>2004</v>
      </c>
      <c r="B1108" s="245" t="s">
        <v>19</v>
      </c>
      <c r="C1108" s="249" t="s">
        <v>20</v>
      </c>
      <c r="D1108" s="245" t="s">
        <v>21</v>
      </c>
      <c r="E1108" s="250">
        <v>12.5</v>
      </c>
      <c r="F1108" s="242" t="s">
        <v>507</v>
      </c>
      <c r="G1108" s="242">
        <v>3.9</v>
      </c>
      <c r="H1108" s="230">
        <f t="shared" si="28"/>
        <v>48.75</v>
      </c>
    </row>
    <row r="1109" spans="1:8" ht="15.75" x14ac:dyDescent="0.25">
      <c r="A1109" s="244">
        <v>2004</v>
      </c>
      <c r="B1109" s="245" t="s">
        <v>19</v>
      </c>
      <c r="C1109" s="249" t="s">
        <v>20</v>
      </c>
      <c r="D1109" s="245" t="s">
        <v>21</v>
      </c>
      <c r="E1109" s="250">
        <v>12.8</v>
      </c>
      <c r="F1109" s="242" t="s">
        <v>507</v>
      </c>
      <c r="G1109" s="242">
        <v>3.9</v>
      </c>
      <c r="H1109" s="230">
        <f t="shared" si="28"/>
        <v>49.92</v>
      </c>
    </row>
    <row r="1110" spans="1:8" ht="15.75" x14ac:dyDescent="0.25">
      <c r="A1110" s="244">
        <v>2004</v>
      </c>
      <c r="B1110" s="245" t="s">
        <v>19</v>
      </c>
      <c r="C1110" s="249" t="s">
        <v>20</v>
      </c>
      <c r="D1110" s="245" t="s">
        <v>21</v>
      </c>
      <c r="E1110" s="250">
        <v>17</v>
      </c>
      <c r="F1110" s="242" t="s">
        <v>507</v>
      </c>
      <c r="G1110" s="242">
        <v>3.9</v>
      </c>
      <c r="H1110" s="230">
        <f t="shared" si="28"/>
        <v>66.3</v>
      </c>
    </row>
    <row r="1111" spans="1:8" ht="15.75" x14ac:dyDescent="0.25">
      <c r="A1111" s="244">
        <v>2004</v>
      </c>
      <c r="B1111" s="245" t="s">
        <v>19</v>
      </c>
      <c r="C1111" s="249" t="s">
        <v>20</v>
      </c>
      <c r="D1111" s="245" t="s">
        <v>21</v>
      </c>
      <c r="E1111" s="250">
        <v>12</v>
      </c>
      <c r="F1111" s="242" t="s">
        <v>507</v>
      </c>
      <c r="G1111" s="242">
        <v>3.9</v>
      </c>
      <c r="H1111" s="230">
        <f t="shared" si="28"/>
        <v>46.8</v>
      </c>
    </row>
    <row r="1112" spans="1:8" ht="15.75" x14ac:dyDescent="0.25">
      <c r="A1112" s="244">
        <v>2004</v>
      </c>
      <c r="B1112" s="245" t="s">
        <v>19</v>
      </c>
      <c r="C1112" s="249" t="s">
        <v>20</v>
      </c>
      <c r="D1112" s="245" t="s">
        <v>21</v>
      </c>
      <c r="E1112" s="250">
        <v>13.2</v>
      </c>
      <c r="F1112" s="242" t="s">
        <v>507</v>
      </c>
      <c r="G1112" s="242">
        <v>3.9</v>
      </c>
      <c r="H1112" s="230">
        <f t="shared" si="28"/>
        <v>51.48</v>
      </c>
    </row>
    <row r="1113" spans="1:8" ht="15.75" x14ac:dyDescent="0.25">
      <c r="A1113" s="244">
        <v>2004</v>
      </c>
      <c r="B1113" s="245" t="s">
        <v>19</v>
      </c>
      <c r="C1113" s="249" t="s">
        <v>20</v>
      </c>
      <c r="D1113" s="245" t="s">
        <v>21</v>
      </c>
      <c r="E1113" s="250">
        <v>11.1</v>
      </c>
      <c r="F1113" s="242" t="s">
        <v>507</v>
      </c>
      <c r="G1113" s="242">
        <v>3.9</v>
      </c>
      <c r="H1113" s="230">
        <f t="shared" si="28"/>
        <v>43.29</v>
      </c>
    </row>
    <row r="1114" spans="1:8" ht="15.75" x14ac:dyDescent="0.25">
      <c r="A1114" s="244">
        <v>2004</v>
      </c>
      <c r="B1114" s="245" t="s">
        <v>19</v>
      </c>
      <c r="C1114" s="249" t="s">
        <v>20</v>
      </c>
      <c r="D1114" s="245" t="s">
        <v>21</v>
      </c>
      <c r="E1114" s="250">
        <v>8.3000000000000007</v>
      </c>
      <c r="F1114" s="242" t="s">
        <v>507</v>
      </c>
      <c r="G1114" s="242">
        <v>3.9</v>
      </c>
      <c r="H1114" s="230">
        <f t="shared" si="28"/>
        <v>32.370000000000005</v>
      </c>
    </row>
    <row r="1115" spans="1:8" ht="15.75" x14ac:dyDescent="0.25">
      <c r="A1115" s="244">
        <v>2004</v>
      </c>
      <c r="B1115" s="245" t="s">
        <v>19</v>
      </c>
      <c r="C1115" s="249" t="s">
        <v>20</v>
      </c>
      <c r="D1115" s="245" t="s">
        <v>21</v>
      </c>
      <c r="E1115" s="250">
        <v>11</v>
      </c>
      <c r="F1115" s="242" t="s">
        <v>507</v>
      </c>
      <c r="G1115" s="242">
        <v>3.9</v>
      </c>
      <c r="H1115" s="230">
        <f t="shared" si="28"/>
        <v>42.9</v>
      </c>
    </row>
    <row r="1116" spans="1:8" ht="15.75" x14ac:dyDescent="0.25">
      <c r="A1116" s="244">
        <v>2004</v>
      </c>
      <c r="B1116" s="245" t="s">
        <v>19</v>
      </c>
      <c r="C1116" s="249" t="s">
        <v>20</v>
      </c>
      <c r="D1116" s="245" t="s">
        <v>21</v>
      </c>
      <c r="E1116" s="250">
        <v>10</v>
      </c>
      <c r="F1116" s="242" t="s">
        <v>507</v>
      </c>
      <c r="G1116" s="242">
        <v>3.9</v>
      </c>
      <c r="H1116" s="230">
        <f t="shared" si="28"/>
        <v>39</v>
      </c>
    </row>
    <row r="1117" spans="1:8" ht="15.75" x14ac:dyDescent="0.25">
      <c r="A1117" s="244">
        <v>2004</v>
      </c>
      <c r="B1117" s="245" t="s">
        <v>19</v>
      </c>
      <c r="C1117" s="249" t="s">
        <v>20</v>
      </c>
      <c r="D1117" s="245" t="s">
        <v>21</v>
      </c>
      <c r="E1117" s="250">
        <v>14</v>
      </c>
      <c r="F1117" s="242" t="s">
        <v>507</v>
      </c>
      <c r="G1117" s="242">
        <v>3.9</v>
      </c>
      <c r="H1117" s="230">
        <f t="shared" si="28"/>
        <v>54.6</v>
      </c>
    </row>
    <row r="1118" spans="1:8" ht="15.75" x14ac:dyDescent="0.25">
      <c r="A1118" s="244">
        <v>2004</v>
      </c>
      <c r="B1118" s="245" t="s">
        <v>19</v>
      </c>
      <c r="C1118" s="249" t="s">
        <v>20</v>
      </c>
      <c r="D1118" s="245" t="s">
        <v>21</v>
      </c>
      <c r="E1118" s="250">
        <v>11.8</v>
      </c>
      <c r="F1118" s="242" t="s">
        <v>507</v>
      </c>
      <c r="G1118" s="242">
        <v>3.9</v>
      </c>
      <c r="H1118" s="230">
        <f t="shared" si="28"/>
        <v>46.02</v>
      </c>
    </row>
    <row r="1119" spans="1:8" ht="15.75" x14ac:dyDescent="0.25">
      <c r="A1119" s="244">
        <v>2004</v>
      </c>
      <c r="B1119" s="245" t="s">
        <v>19</v>
      </c>
      <c r="C1119" s="249" t="s">
        <v>20</v>
      </c>
      <c r="D1119" s="245" t="s">
        <v>21</v>
      </c>
      <c r="E1119" s="250">
        <v>12.5</v>
      </c>
      <c r="F1119" s="242" t="s">
        <v>507</v>
      </c>
      <c r="G1119" s="242">
        <v>3.9</v>
      </c>
      <c r="H1119" s="230">
        <f t="shared" si="28"/>
        <v>48.75</v>
      </c>
    </row>
    <row r="1120" spans="1:8" ht="15.75" x14ac:dyDescent="0.25">
      <c r="A1120" s="244">
        <v>2004</v>
      </c>
      <c r="B1120" s="245" t="s">
        <v>19</v>
      </c>
      <c r="C1120" s="249" t="s">
        <v>20</v>
      </c>
      <c r="D1120" s="245" t="s">
        <v>21</v>
      </c>
      <c r="E1120" s="250">
        <v>13</v>
      </c>
      <c r="F1120" s="242" t="s">
        <v>507</v>
      </c>
      <c r="G1120" s="242">
        <v>3.9</v>
      </c>
      <c r="H1120" s="230">
        <f t="shared" si="28"/>
        <v>50.699999999999996</v>
      </c>
    </row>
    <row r="1121" spans="1:8" ht="15.75" x14ac:dyDescent="0.25">
      <c r="A1121" s="244">
        <v>2004</v>
      </c>
      <c r="B1121" s="245" t="s">
        <v>19</v>
      </c>
      <c r="C1121" s="249" t="s">
        <v>20</v>
      </c>
      <c r="D1121" s="245" t="s">
        <v>21</v>
      </c>
      <c r="E1121" s="250">
        <v>12</v>
      </c>
      <c r="F1121" s="242" t="s">
        <v>507</v>
      </c>
      <c r="G1121" s="242">
        <v>3.9</v>
      </c>
      <c r="H1121" s="230">
        <f t="shared" si="28"/>
        <v>46.8</v>
      </c>
    </row>
    <row r="1122" spans="1:8" ht="15.75" x14ac:dyDescent="0.25">
      <c r="A1122" s="244">
        <v>2004</v>
      </c>
      <c r="B1122" s="245" t="s">
        <v>19</v>
      </c>
      <c r="C1122" s="249" t="s">
        <v>20</v>
      </c>
      <c r="D1122" s="245" t="s">
        <v>21</v>
      </c>
      <c r="E1122" s="250">
        <v>9.5</v>
      </c>
      <c r="F1122" s="242" t="s">
        <v>507</v>
      </c>
      <c r="G1122" s="242">
        <v>3.9</v>
      </c>
      <c r="H1122" s="230">
        <f t="shared" si="28"/>
        <v>37.049999999999997</v>
      </c>
    </row>
    <row r="1123" spans="1:8" ht="15.75" x14ac:dyDescent="0.25">
      <c r="A1123" s="244">
        <v>2004</v>
      </c>
      <c r="B1123" s="245" t="s">
        <v>19</v>
      </c>
      <c r="C1123" s="249" t="s">
        <v>20</v>
      </c>
      <c r="D1123" s="245" t="s">
        <v>21</v>
      </c>
      <c r="E1123" s="250">
        <v>10.5</v>
      </c>
      <c r="F1123" s="242" t="s">
        <v>507</v>
      </c>
      <c r="G1123" s="242">
        <v>3.9</v>
      </c>
      <c r="H1123" s="230">
        <f t="shared" si="28"/>
        <v>40.949999999999996</v>
      </c>
    </row>
    <row r="1124" spans="1:8" ht="15.75" x14ac:dyDescent="0.25">
      <c r="A1124" s="244">
        <v>2004</v>
      </c>
      <c r="B1124" s="245" t="s">
        <v>19</v>
      </c>
      <c r="C1124" s="249" t="s">
        <v>20</v>
      </c>
      <c r="D1124" s="245" t="s">
        <v>21</v>
      </c>
      <c r="E1124" s="250">
        <v>9.5</v>
      </c>
      <c r="F1124" s="242" t="s">
        <v>507</v>
      </c>
      <c r="G1124" s="242">
        <v>3.9</v>
      </c>
      <c r="H1124" s="230">
        <f t="shared" si="28"/>
        <v>37.049999999999997</v>
      </c>
    </row>
    <row r="1125" spans="1:8" ht="15.75" x14ac:dyDescent="0.25">
      <c r="A1125" s="244">
        <v>2004</v>
      </c>
      <c r="B1125" s="245" t="s">
        <v>19</v>
      </c>
      <c r="C1125" s="249" t="s">
        <v>20</v>
      </c>
      <c r="D1125" s="245" t="s">
        <v>21</v>
      </c>
      <c r="E1125" s="250">
        <v>14.5</v>
      </c>
      <c r="F1125" s="242" t="s">
        <v>507</v>
      </c>
      <c r="G1125" s="242">
        <v>3.9</v>
      </c>
      <c r="H1125" s="230">
        <f t="shared" si="28"/>
        <v>56.55</v>
      </c>
    </row>
    <row r="1126" spans="1:8" ht="15.75" x14ac:dyDescent="0.25">
      <c r="A1126" s="244">
        <v>2004</v>
      </c>
      <c r="B1126" s="245" t="s">
        <v>19</v>
      </c>
      <c r="C1126" s="249" t="s">
        <v>20</v>
      </c>
      <c r="D1126" s="245" t="s">
        <v>21</v>
      </c>
      <c r="E1126" s="250">
        <v>11.5</v>
      </c>
      <c r="F1126" s="242" t="s">
        <v>507</v>
      </c>
      <c r="G1126" s="242">
        <v>3.9</v>
      </c>
      <c r="H1126" s="230">
        <f t="shared" si="28"/>
        <v>44.85</v>
      </c>
    </row>
    <row r="1127" spans="1:8" ht="15.75" x14ac:dyDescent="0.25">
      <c r="A1127" s="244">
        <v>2004</v>
      </c>
      <c r="B1127" s="245" t="s">
        <v>19</v>
      </c>
      <c r="C1127" s="249" t="s">
        <v>20</v>
      </c>
      <c r="D1127" s="245" t="s">
        <v>21</v>
      </c>
      <c r="E1127" s="250">
        <v>16</v>
      </c>
      <c r="F1127" s="242" t="s">
        <v>507</v>
      </c>
      <c r="G1127" s="242">
        <v>3.9</v>
      </c>
      <c r="H1127" s="230">
        <f t="shared" si="28"/>
        <v>62.4</v>
      </c>
    </row>
    <row r="1128" spans="1:8" ht="15.75" x14ac:dyDescent="0.25">
      <c r="A1128" s="244">
        <v>2004</v>
      </c>
      <c r="B1128" s="245" t="s">
        <v>19</v>
      </c>
      <c r="C1128" s="249" t="s">
        <v>20</v>
      </c>
      <c r="D1128" s="245" t="s">
        <v>21</v>
      </c>
      <c r="E1128" s="250">
        <v>9.5</v>
      </c>
      <c r="F1128" s="242" t="s">
        <v>507</v>
      </c>
      <c r="G1128" s="242">
        <v>3.9</v>
      </c>
      <c r="H1128" s="230">
        <f t="shared" si="28"/>
        <v>37.049999999999997</v>
      </c>
    </row>
    <row r="1129" spans="1:8" ht="15.75" x14ac:dyDescent="0.25">
      <c r="A1129" s="244">
        <v>2004</v>
      </c>
      <c r="B1129" s="245" t="s">
        <v>19</v>
      </c>
      <c r="C1129" s="249" t="s">
        <v>20</v>
      </c>
      <c r="D1129" s="245" t="s">
        <v>21</v>
      </c>
      <c r="E1129" s="250">
        <v>17.5</v>
      </c>
      <c r="F1129" s="242" t="s">
        <v>507</v>
      </c>
      <c r="G1129" s="242">
        <v>3.9</v>
      </c>
      <c r="H1129" s="230">
        <f t="shared" si="28"/>
        <v>68.25</v>
      </c>
    </row>
    <row r="1130" spans="1:8" ht="15.75" x14ac:dyDescent="0.25">
      <c r="A1130" s="244">
        <v>2004</v>
      </c>
      <c r="B1130" s="245" t="s">
        <v>19</v>
      </c>
      <c r="C1130" s="249" t="s">
        <v>34</v>
      </c>
      <c r="D1130" s="245" t="s">
        <v>41</v>
      </c>
      <c r="E1130" s="250">
        <v>24</v>
      </c>
      <c r="F1130" s="242" t="s">
        <v>508</v>
      </c>
      <c r="G1130" s="242">
        <v>3.8</v>
      </c>
      <c r="H1130" s="230">
        <f t="shared" si="28"/>
        <v>91.199999999999989</v>
      </c>
    </row>
    <row r="1131" spans="1:8" ht="15.75" x14ac:dyDescent="0.25">
      <c r="A1131" s="244">
        <v>2003</v>
      </c>
      <c r="B1131" s="245" t="s">
        <v>19</v>
      </c>
      <c r="C1131" s="249" t="s">
        <v>20</v>
      </c>
      <c r="D1131" s="250" t="s">
        <v>30</v>
      </c>
      <c r="E1131" s="251">
        <v>10</v>
      </c>
      <c r="F1131" s="242" t="s">
        <v>504</v>
      </c>
      <c r="G1131" s="242">
        <v>4.5999999999999996</v>
      </c>
      <c r="H1131" s="230">
        <f t="shared" si="28"/>
        <v>46</v>
      </c>
    </row>
    <row r="1132" spans="1:8" ht="15.75" x14ac:dyDescent="0.25">
      <c r="A1132" s="244">
        <v>2003</v>
      </c>
      <c r="B1132" s="245" t="s">
        <v>19</v>
      </c>
      <c r="C1132" s="249" t="s">
        <v>20</v>
      </c>
      <c r="D1132" s="250" t="s">
        <v>30</v>
      </c>
      <c r="E1132" s="251">
        <v>13</v>
      </c>
      <c r="F1132" s="242" t="s">
        <v>504</v>
      </c>
      <c r="G1132" s="242">
        <v>4.5999999999999996</v>
      </c>
      <c r="H1132" s="230">
        <f t="shared" si="28"/>
        <v>59.8</v>
      </c>
    </row>
    <row r="1133" spans="1:8" ht="15.75" x14ac:dyDescent="0.25">
      <c r="A1133" s="244">
        <v>2003</v>
      </c>
      <c r="B1133" s="245" t="s">
        <v>19</v>
      </c>
      <c r="C1133" s="249" t="s">
        <v>20</v>
      </c>
      <c r="D1133" s="250" t="s">
        <v>30</v>
      </c>
      <c r="E1133" s="251">
        <v>13.5</v>
      </c>
      <c r="F1133" s="242" t="s">
        <v>504</v>
      </c>
      <c r="G1133" s="242">
        <v>4.5999999999999996</v>
      </c>
      <c r="H1133" s="230">
        <f t="shared" si="28"/>
        <v>62.099999999999994</v>
      </c>
    </row>
    <row r="1134" spans="1:8" ht="15.75" x14ac:dyDescent="0.25">
      <c r="A1134" s="244">
        <v>2003</v>
      </c>
      <c r="B1134" s="245" t="s">
        <v>19</v>
      </c>
      <c r="C1134" s="249" t="s">
        <v>20</v>
      </c>
      <c r="D1134" s="250" t="s">
        <v>30</v>
      </c>
      <c r="E1134" s="251">
        <v>18.5</v>
      </c>
      <c r="F1134" s="242" t="s">
        <v>504</v>
      </c>
      <c r="G1134" s="242">
        <v>4.5999999999999996</v>
      </c>
      <c r="H1134" s="230">
        <f t="shared" si="28"/>
        <v>85.1</v>
      </c>
    </row>
    <row r="1135" spans="1:8" ht="15.75" x14ac:dyDescent="0.25">
      <c r="A1135" s="244">
        <v>2003</v>
      </c>
      <c r="B1135" s="245" t="s">
        <v>19</v>
      </c>
      <c r="C1135" s="249" t="s">
        <v>20</v>
      </c>
      <c r="D1135" s="250" t="s">
        <v>30</v>
      </c>
      <c r="E1135" s="251">
        <v>18.5</v>
      </c>
      <c r="F1135" s="242" t="s">
        <v>504</v>
      </c>
      <c r="G1135" s="242">
        <v>4.5999999999999996</v>
      </c>
      <c r="H1135" s="230">
        <f t="shared" si="28"/>
        <v>85.1</v>
      </c>
    </row>
    <row r="1136" spans="1:8" ht="15.75" x14ac:dyDescent="0.25">
      <c r="A1136" s="244">
        <v>2003</v>
      </c>
      <c r="B1136" s="245" t="s">
        <v>19</v>
      </c>
      <c r="C1136" s="249" t="s">
        <v>20</v>
      </c>
      <c r="D1136" s="250" t="s">
        <v>30</v>
      </c>
      <c r="E1136" s="251">
        <v>22</v>
      </c>
      <c r="F1136" s="242" t="s">
        <v>504</v>
      </c>
      <c r="G1136" s="242">
        <v>4.5999999999999996</v>
      </c>
      <c r="H1136" s="230">
        <f t="shared" si="28"/>
        <v>101.19999999999999</v>
      </c>
    </row>
    <row r="1137" spans="1:8" ht="15.75" x14ac:dyDescent="0.25">
      <c r="A1137" s="244">
        <v>2003</v>
      </c>
      <c r="B1137" s="245" t="s">
        <v>19</v>
      </c>
      <c r="C1137" s="249" t="s">
        <v>20</v>
      </c>
      <c r="D1137" s="250" t="s">
        <v>30</v>
      </c>
      <c r="E1137" s="251">
        <v>20</v>
      </c>
      <c r="F1137" s="242" t="s">
        <v>504</v>
      </c>
      <c r="G1137" s="242">
        <v>4.5999999999999996</v>
      </c>
      <c r="H1137" s="230">
        <f t="shared" si="28"/>
        <v>92</v>
      </c>
    </row>
    <row r="1138" spans="1:8" ht="15.75" x14ac:dyDescent="0.25">
      <c r="A1138" s="244">
        <v>2003</v>
      </c>
      <c r="B1138" s="245" t="s">
        <v>19</v>
      </c>
      <c r="C1138" s="249" t="s">
        <v>20</v>
      </c>
      <c r="D1138" s="250" t="s">
        <v>30</v>
      </c>
      <c r="E1138" s="251">
        <v>11.5</v>
      </c>
      <c r="F1138" s="242" t="s">
        <v>504</v>
      </c>
      <c r="G1138" s="242">
        <v>4.5999999999999996</v>
      </c>
      <c r="H1138" s="230">
        <f t="shared" si="28"/>
        <v>52.9</v>
      </c>
    </row>
    <row r="1139" spans="1:8" ht="15.75" x14ac:dyDescent="0.25">
      <c r="A1139" s="244">
        <v>2003</v>
      </c>
      <c r="B1139" s="245" t="s">
        <v>19</v>
      </c>
      <c r="C1139" s="249" t="s">
        <v>20</v>
      </c>
      <c r="D1139" s="250" t="s">
        <v>30</v>
      </c>
      <c r="E1139" s="251">
        <v>14</v>
      </c>
      <c r="F1139" s="242" t="s">
        <v>504</v>
      </c>
      <c r="G1139" s="242">
        <v>4.5999999999999996</v>
      </c>
      <c r="H1139" s="230">
        <f t="shared" si="28"/>
        <v>64.399999999999991</v>
      </c>
    </row>
    <row r="1140" spans="1:8" ht="15.75" x14ac:dyDescent="0.25">
      <c r="A1140" s="244">
        <v>2003</v>
      </c>
      <c r="B1140" s="245" t="s">
        <v>19</v>
      </c>
      <c r="C1140" s="249" t="s">
        <v>20</v>
      </c>
      <c r="D1140" s="250" t="s">
        <v>30</v>
      </c>
      <c r="E1140" s="251">
        <v>12.5</v>
      </c>
      <c r="F1140" s="242" t="s">
        <v>504</v>
      </c>
      <c r="G1140" s="242">
        <v>4.5999999999999996</v>
      </c>
      <c r="H1140" s="230">
        <f t="shared" si="28"/>
        <v>57.499999999999993</v>
      </c>
    </row>
    <row r="1141" spans="1:8" ht="15.75" x14ac:dyDescent="0.25">
      <c r="A1141" s="244">
        <v>2003</v>
      </c>
      <c r="B1141" s="245" t="s">
        <v>19</v>
      </c>
      <c r="C1141" s="249" t="s">
        <v>20</v>
      </c>
      <c r="D1141" s="250" t="s">
        <v>30</v>
      </c>
      <c r="E1141" s="251">
        <v>17.5</v>
      </c>
      <c r="F1141" s="242" t="s">
        <v>504</v>
      </c>
      <c r="G1141" s="242">
        <v>4.5999999999999996</v>
      </c>
      <c r="H1141" s="230">
        <f t="shared" si="28"/>
        <v>80.5</v>
      </c>
    </row>
    <row r="1142" spans="1:8" ht="15.75" x14ac:dyDescent="0.25">
      <c r="A1142" s="244">
        <v>2003</v>
      </c>
      <c r="B1142" s="245" t="s">
        <v>19</v>
      </c>
      <c r="C1142" s="249" t="s">
        <v>20</v>
      </c>
      <c r="D1142" s="250" t="s">
        <v>30</v>
      </c>
      <c r="E1142" s="251">
        <v>11.5</v>
      </c>
      <c r="F1142" s="242" t="s">
        <v>504</v>
      </c>
      <c r="G1142" s="242">
        <v>4.5999999999999996</v>
      </c>
      <c r="H1142" s="230">
        <f t="shared" si="28"/>
        <v>52.9</v>
      </c>
    </row>
    <row r="1143" spans="1:8" ht="15.75" x14ac:dyDescent="0.25">
      <c r="A1143" s="244">
        <v>2003</v>
      </c>
      <c r="B1143" s="245" t="s">
        <v>19</v>
      </c>
      <c r="C1143" s="249" t="s">
        <v>20</v>
      </c>
      <c r="D1143" s="250" t="s">
        <v>30</v>
      </c>
      <c r="E1143" s="251">
        <v>15</v>
      </c>
      <c r="F1143" s="242" t="s">
        <v>504</v>
      </c>
      <c r="G1143" s="242">
        <v>4.5999999999999996</v>
      </c>
      <c r="H1143" s="230">
        <f t="shared" si="28"/>
        <v>69</v>
      </c>
    </row>
    <row r="1144" spans="1:8" ht="15.75" x14ac:dyDescent="0.25">
      <c r="A1144" s="244">
        <v>2003</v>
      </c>
      <c r="B1144" s="245" t="s">
        <v>19</v>
      </c>
      <c r="C1144" s="249" t="s">
        <v>20</v>
      </c>
      <c r="D1144" s="250" t="s">
        <v>30</v>
      </c>
      <c r="E1144" s="251">
        <v>15.5</v>
      </c>
      <c r="F1144" s="242" t="s">
        <v>504</v>
      </c>
      <c r="G1144" s="242">
        <v>4.5999999999999996</v>
      </c>
      <c r="H1144" s="230">
        <f t="shared" si="28"/>
        <v>71.3</v>
      </c>
    </row>
    <row r="1145" spans="1:8" ht="15.75" x14ac:dyDescent="0.25">
      <c r="A1145" s="244">
        <v>2003</v>
      </c>
      <c r="B1145" s="245" t="s">
        <v>19</v>
      </c>
      <c r="C1145" s="249" t="s">
        <v>20</v>
      </c>
      <c r="D1145" s="250" t="s">
        <v>30</v>
      </c>
      <c r="E1145" s="251">
        <v>11.5</v>
      </c>
      <c r="F1145" s="242" t="s">
        <v>504</v>
      </c>
      <c r="G1145" s="242">
        <v>4.5999999999999996</v>
      </c>
      <c r="H1145" s="230">
        <f t="shared" si="28"/>
        <v>52.9</v>
      </c>
    </row>
    <row r="1146" spans="1:8" ht="15.75" x14ac:dyDescent="0.25">
      <c r="A1146" s="244">
        <v>2003</v>
      </c>
      <c r="B1146" s="245" t="s">
        <v>19</v>
      </c>
      <c r="C1146" s="249" t="s">
        <v>20</v>
      </c>
      <c r="D1146" s="250" t="s">
        <v>30</v>
      </c>
      <c r="E1146" s="251">
        <v>18.5</v>
      </c>
      <c r="F1146" s="242" t="s">
        <v>504</v>
      </c>
      <c r="G1146" s="242">
        <v>4.5999999999999996</v>
      </c>
      <c r="H1146" s="230">
        <f t="shared" si="28"/>
        <v>85.1</v>
      </c>
    </row>
    <row r="1147" spans="1:8" ht="15.75" x14ac:dyDescent="0.25">
      <c r="A1147" s="244">
        <v>2003</v>
      </c>
      <c r="B1147" s="245" t="s">
        <v>19</v>
      </c>
      <c r="C1147" s="249" t="s">
        <v>20</v>
      </c>
      <c r="D1147" s="250" t="s">
        <v>30</v>
      </c>
      <c r="E1147" s="251">
        <v>14.5</v>
      </c>
      <c r="F1147" s="242" t="s">
        <v>504</v>
      </c>
      <c r="G1147" s="242">
        <v>4.5999999999999996</v>
      </c>
      <c r="H1147" s="230">
        <f t="shared" si="28"/>
        <v>66.699999999999989</v>
      </c>
    </row>
    <row r="1148" spans="1:8" ht="15.75" x14ac:dyDescent="0.25">
      <c r="A1148" s="244">
        <v>2003</v>
      </c>
      <c r="B1148" s="245" t="s">
        <v>19</v>
      </c>
      <c r="C1148" s="249" t="s">
        <v>20</v>
      </c>
      <c r="D1148" s="250" t="s">
        <v>30</v>
      </c>
      <c r="E1148" s="251">
        <v>11</v>
      </c>
      <c r="F1148" s="242" t="s">
        <v>504</v>
      </c>
      <c r="G1148" s="242">
        <v>4.5999999999999996</v>
      </c>
      <c r="H1148" s="230">
        <f t="shared" si="28"/>
        <v>50.599999999999994</v>
      </c>
    </row>
    <row r="1149" spans="1:8" ht="15.75" x14ac:dyDescent="0.25">
      <c r="A1149" s="244">
        <v>2003</v>
      </c>
      <c r="B1149" s="245" t="s">
        <v>19</v>
      </c>
      <c r="C1149" s="249" t="s">
        <v>20</v>
      </c>
      <c r="D1149" s="250" t="s">
        <v>30</v>
      </c>
      <c r="E1149" s="251">
        <v>12.5</v>
      </c>
      <c r="F1149" s="242" t="s">
        <v>504</v>
      </c>
      <c r="G1149" s="242">
        <v>4.5999999999999996</v>
      </c>
      <c r="H1149" s="230">
        <f t="shared" si="28"/>
        <v>57.499999999999993</v>
      </c>
    </row>
    <row r="1150" spans="1:8" ht="15.75" x14ac:dyDescent="0.25">
      <c r="A1150" s="244">
        <v>2003</v>
      </c>
      <c r="B1150" s="245" t="s">
        <v>19</v>
      </c>
      <c r="C1150" s="249" t="s">
        <v>20</v>
      </c>
      <c r="D1150" s="250" t="s">
        <v>30</v>
      </c>
      <c r="E1150" s="251">
        <v>10</v>
      </c>
      <c r="F1150" s="242" t="s">
        <v>504</v>
      </c>
      <c r="G1150" s="242">
        <v>4.5999999999999996</v>
      </c>
      <c r="H1150" s="230">
        <f t="shared" si="28"/>
        <v>46</v>
      </c>
    </row>
    <row r="1151" spans="1:8" ht="15.75" x14ac:dyDescent="0.25">
      <c r="A1151" s="244">
        <v>2003</v>
      </c>
      <c r="B1151" s="245" t="s">
        <v>19</v>
      </c>
      <c r="C1151" s="249" t="s">
        <v>20</v>
      </c>
      <c r="D1151" s="250" t="s">
        <v>30</v>
      </c>
      <c r="E1151" s="251">
        <v>14</v>
      </c>
      <c r="F1151" s="242" t="s">
        <v>504</v>
      </c>
      <c r="G1151" s="242">
        <v>4.5999999999999996</v>
      </c>
      <c r="H1151" s="230">
        <f t="shared" si="28"/>
        <v>64.399999999999991</v>
      </c>
    </row>
    <row r="1152" spans="1:8" ht="15.75" x14ac:dyDescent="0.25">
      <c r="A1152" s="244">
        <v>2003</v>
      </c>
      <c r="B1152" s="245" t="s">
        <v>19</v>
      </c>
      <c r="C1152" s="249" t="s">
        <v>20</v>
      </c>
      <c r="D1152" s="250" t="s">
        <v>30</v>
      </c>
      <c r="E1152" s="251">
        <v>17</v>
      </c>
      <c r="F1152" s="242" t="s">
        <v>504</v>
      </c>
      <c r="G1152" s="242">
        <v>4.5999999999999996</v>
      </c>
      <c r="H1152" s="230">
        <f t="shared" si="28"/>
        <v>78.199999999999989</v>
      </c>
    </row>
    <row r="1153" spans="1:8" ht="15.75" x14ac:dyDescent="0.25">
      <c r="A1153" s="244">
        <v>2003</v>
      </c>
      <c r="B1153" s="245" t="s">
        <v>19</v>
      </c>
      <c r="C1153" s="249" t="s">
        <v>20</v>
      </c>
      <c r="D1153" s="250" t="s">
        <v>30</v>
      </c>
      <c r="E1153" s="251">
        <v>15</v>
      </c>
      <c r="F1153" s="242" t="s">
        <v>504</v>
      </c>
      <c r="G1153" s="242">
        <v>4.5999999999999996</v>
      </c>
      <c r="H1153" s="230">
        <f t="shared" si="28"/>
        <v>69</v>
      </c>
    </row>
    <row r="1154" spans="1:8" ht="15.75" x14ac:dyDescent="0.25">
      <c r="A1154" s="244">
        <v>2003</v>
      </c>
      <c r="B1154" s="245" t="s">
        <v>19</v>
      </c>
      <c r="C1154" s="249" t="s">
        <v>20</v>
      </c>
      <c r="D1154" s="250" t="s">
        <v>30</v>
      </c>
      <c r="E1154" s="251">
        <v>20.5</v>
      </c>
      <c r="F1154" s="242" t="s">
        <v>504</v>
      </c>
      <c r="G1154" s="242">
        <v>4.5999999999999996</v>
      </c>
      <c r="H1154" s="230">
        <f t="shared" si="28"/>
        <v>94.3</v>
      </c>
    </row>
    <row r="1155" spans="1:8" ht="15.75" x14ac:dyDescent="0.25">
      <c r="A1155" s="244">
        <v>2003</v>
      </c>
      <c r="B1155" s="245" t="s">
        <v>19</v>
      </c>
      <c r="C1155" s="249" t="s">
        <v>20</v>
      </c>
      <c r="D1155" s="250" t="s">
        <v>30</v>
      </c>
      <c r="E1155" s="251">
        <v>11.5</v>
      </c>
      <c r="F1155" s="242" t="s">
        <v>504</v>
      </c>
      <c r="G1155" s="242">
        <v>4.5999999999999996</v>
      </c>
      <c r="H1155" s="230">
        <f t="shared" ref="H1155:H1218" si="29">E1155*G1155</f>
        <v>52.9</v>
      </c>
    </row>
    <row r="1156" spans="1:8" ht="15.75" x14ac:dyDescent="0.25">
      <c r="A1156" s="244">
        <v>2003</v>
      </c>
      <c r="B1156" s="245" t="s">
        <v>19</v>
      </c>
      <c r="C1156" s="249" t="s">
        <v>20</v>
      </c>
      <c r="D1156" s="250" t="s">
        <v>30</v>
      </c>
      <c r="E1156" s="251">
        <v>7</v>
      </c>
      <c r="F1156" s="242" t="s">
        <v>504</v>
      </c>
      <c r="G1156" s="242">
        <v>4.5999999999999996</v>
      </c>
      <c r="H1156" s="230">
        <f t="shared" si="29"/>
        <v>32.199999999999996</v>
      </c>
    </row>
    <row r="1157" spans="1:8" ht="15.75" x14ac:dyDescent="0.25">
      <c r="A1157" s="244">
        <v>2003</v>
      </c>
      <c r="B1157" s="245" t="s">
        <v>19</v>
      </c>
      <c r="C1157" s="249" t="s">
        <v>20</v>
      </c>
      <c r="D1157" s="250" t="s">
        <v>30</v>
      </c>
      <c r="E1157" s="251">
        <v>13.5</v>
      </c>
      <c r="F1157" s="242" t="s">
        <v>504</v>
      </c>
      <c r="G1157" s="242">
        <v>4.5999999999999996</v>
      </c>
      <c r="H1157" s="230">
        <f t="shared" si="29"/>
        <v>62.099999999999994</v>
      </c>
    </row>
    <row r="1158" spans="1:8" ht="15.75" x14ac:dyDescent="0.25">
      <c r="A1158" s="244">
        <v>2003</v>
      </c>
      <c r="B1158" s="245" t="s">
        <v>19</v>
      </c>
      <c r="C1158" s="249" t="s">
        <v>20</v>
      </c>
      <c r="D1158" s="250" t="s">
        <v>30</v>
      </c>
      <c r="E1158" s="251">
        <v>10.5</v>
      </c>
      <c r="F1158" s="242" t="s">
        <v>504</v>
      </c>
      <c r="G1158" s="242">
        <v>4.5999999999999996</v>
      </c>
      <c r="H1158" s="230">
        <f t="shared" si="29"/>
        <v>48.3</v>
      </c>
    </row>
    <row r="1159" spans="1:8" ht="15.75" x14ac:dyDescent="0.25">
      <c r="A1159" s="244">
        <v>2003</v>
      </c>
      <c r="B1159" s="245" t="s">
        <v>19</v>
      </c>
      <c r="C1159" s="249" t="s">
        <v>20</v>
      </c>
      <c r="D1159" s="250" t="s">
        <v>30</v>
      </c>
      <c r="E1159" s="251">
        <v>12</v>
      </c>
      <c r="F1159" s="242" t="s">
        <v>504</v>
      </c>
      <c r="G1159" s="242">
        <v>4.5999999999999996</v>
      </c>
      <c r="H1159" s="230">
        <f t="shared" si="29"/>
        <v>55.199999999999996</v>
      </c>
    </row>
    <row r="1160" spans="1:8" ht="15.75" x14ac:dyDescent="0.25">
      <c r="A1160" s="244">
        <v>2003</v>
      </c>
      <c r="B1160" s="245" t="s">
        <v>19</v>
      </c>
      <c r="C1160" s="249" t="s">
        <v>20</v>
      </c>
      <c r="D1160" s="250" t="s">
        <v>30</v>
      </c>
      <c r="E1160" s="251">
        <v>11</v>
      </c>
      <c r="F1160" s="242" t="s">
        <v>504</v>
      </c>
      <c r="G1160" s="242">
        <v>4.5999999999999996</v>
      </c>
      <c r="H1160" s="230">
        <f t="shared" si="29"/>
        <v>50.599999999999994</v>
      </c>
    </row>
    <row r="1161" spans="1:8" ht="15.75" x14ac:dyDescent="0.25">
      <c r="A1161" s="244">
        <v>2003</v>
      </c>
      <c r="B1161" s="245" t="s">
        <v>19</v>
      </c>
      <c r="C1161" s="249" t="s">
        <v>20</v>
      </c>
      <c r="D1161" s="250" t="s">
        <v>30</v>
      </c>
      <c r="E1161" s="251">
        <v>13</v>
      </c>
      <c r="F1161" s="242" t="s">
        <v>504</v>
      </c>
      <c r="G1161" s="242">
        <v>4.5999999999999996</v>
      </c>
      <c r="H1161" s="230">
        <f t="shared" si="29"/>
        <v>59.8</v>
      </c>
    </row>
    <row r="1162" spans="1:8" ht="15.75" x14ac:dyDescent="0.25">
      <c r="A1162" s="244">
        <v>2003</v>
      </c>
      <c r="B1162" s="245" t="s">
        <v>19</v>
      </c>
      <c r="C1162" s="249" t="s">
        <v>20</v>
      </c>
      <c r="D1162" s="250" t="s">
        <v>30</v>
      </c>
      <c r="E1162" s="251">
        <v>13</v>
      </c>
      <c r="F1162" s="242" t="s">
        <v>504</v>
      </c>
      <c r="G1162" s="242">
        <v>4.5999999999999996</v>
      </c>
      <c r="H1162" s="230">
        <f t="shared" si="29"/>
        <v>59.8</v>
      </c>
    </row>
    <row r="1163" spans="1:8" ht="15.75" x14ac:dyDescent="0.25">
      <c r="A1163" s="244">
        <v>2003</v>
      </c>
      <c r="B1163" s="245" t="s">
        <v>19</v>
      </c>
      <c r="C1163" s="249" t="s">
        <v>20</v>
      </c>
      <c r="D1163" s="250" t="s">
        <v>30</v>
      </c>
      <c r="E1163" s="251">
        <v>9</v>
      </c>
      <c r="F1163" s="242" t="s">
        <v>504</v>
      </c>
      <c r="G1163" s="242">
        <v>4.5999999999999996</v>
      </c>
      <c r="H1163" s="230">
        <f t="shared" si="29"/>
        <v>41.4</v>
      </c>
    </row>
    <row r="1164" spans="1:8" ht="15.75" x14ac:dyDescent="0.25">
      <c r="A1164" s="244">
        <v>2003</v>
      </c>
      <c r="B1164" s="245" t="s">
        <v>19</v>
      </c>
      <c r="C1164" s="249" t="s">
        <v>20</v>
      </c>
      <c r="D1164" s="250" t="s">
        <v>30</v>
      </c>
      <c r="E1164" s="251">
        <v>10.5</v>
      </c>
      <c r="F1164" s="242" t="s">
        <v>504</v>
      </c>
      <c r="G1164" s="242">
        <v>4.5999999999999996</v>
      </c>
      <c r="H1164" s="230">
        <f t="shared" si="29"/>
        <v>48.3</v>
      </c>
    </row>
    <row r="1165" spans="1:8" ht="12" customHeight="1" x14ac:dyDescent="0.25">
      <c r="A1165" s="244">
        <v>2003</v>
      </c>
      <c r="B1165" s="245" t="s">
        <v>19</v>
      </c>
      <c r="C1165" s="249" t="s">
        <v>20</v>
      </c>
      <c r="D1165" s="250" t="s">
        <v>30</v>
      </c>
      <c r="E1165" s="251">
        <v>10</v>
      </c>
      <c r="F1165" s="242" t="s">
        <v>504</v>
      </c>
      <c r="G1165" s="242">
        <v>4.5999999999999996</v>
      </c>
      <c r="H1165" s="230">
        <f t="shared" si="29"/>
        <v>46</v>
      </c>
    </row>
    <row r="1166" spans="1:8" ht="12" customHeight="1" x14ac:dyDescent="0.25">
      <c r="A1166" s="244">
        <v>2003</v>
      </c>
      <c r="B1166" s="245" t="s">
        <v>19</v>
      </c>
      <c r="C1166" s="249" t="s">
        <v>20</v>
      </c>
      <c r="D1166" s="250" t="s">
        <v>30</v>
      </c>
      <c r="E1166" s="251">
        <v>12</v>
      </c>
      <c r="F1166" s="242" t="s">
        <v>504</v>
      </c>
      <c r="G1166" s="242">
        <v>4.5999999999999996</v>
      </c>
      <c r="H1166" s="230">
        <f t="shared" si="29"/>
        <v>55.199999999999996</v>
      </c>
    </row>
    <row r="1167" spans="1:8" ht="15" customHeight="1" x14ac:dyDescent="0.25">
      <c r="A1167" s="244">
        <v>2003</v>
      </c>
      <c r="B1167" s="245" t="s">
        <v>19</v>
      </c>
      <c r="C1167" s="249" t="s">
        <v>20</v>
      </c>
      <c r="D1167" s="250" t="s">
        <v>30</v>
      </c>
      <c r="E1167" s="251">
        <v>15</v>
      </c>
      <c r="F1167" s="242" t="s">
        <v>504</v>
      </c>
      <c r="G1167" s="242">
        <v>4.5999999999999996</v>
      </c>
      <c r="H1167" s="230">
        <f t="shared" si="29"/>
        <v>69</v>
      </c>
    </row>
    <row r="1168" spans="1:8" ht="15" customHeight="1" x14ac:dyDescent="0.25">
      <c r="A1168" s="244">
        <v>2003</v>
      </c>
      <c r="B1168" s="245" t="s">
        <v>19</v>
      </c>
      <c r="C1168" s="249" t="s">
        <v>20</v>
      </c>
      <c r="D1168" s="250" t="s">
        <v>30</v>
      </c>
      <c r="E1168" s="251">
        <v>14</v>
      </c>
      <c r="F1168" s="242" t="s">
        <v>504</v>
      </c>
      <c r="G1168" s="242">
        <v>4.5999999999999996</v>
      </c>
      <c r="H1168" s="230">
        <f t="shared" si="29"/>
        <v>64.399999999999991</v>
      </c>
    </row>
    <row r="1169" spans="1:8" ht="15" customHeight="1" x14ac:dyDescent="0.25">
      <c r="A1169" s="244">
        <v>2003</v>
      </c>
      <c r="B1169" s="245" t="s">
        <v>19</v>
      </c>
      <c r="C1169" s="249" t="s">
        <v>20</v>
      </c>
      <c r="D1169" s="250" t="s">
        <v>30</v>
      </c>
      <c r="E1169" s="251">
        <v>17.5</v>
      </c>
      <c r="F1169" s="242" t="s">
        <v>504</v>
      </c>
      <c r="G1169" s="242">
        <v>4.5999999999999996</v>
      </c>
      <c r="H1169" s="230">
        <f t="shared" si="29"/>
        <v>80.5</v>
      </c>
    </row>
    <row r="1170" spans="1:8" ht="15.75" x14ac:dyDescent="0.25">
      <c r="A1170" s="244">
        <v>2003</v>
      </c>
      <c r="B1170" s="245" t="s">
        <v>19</v>
      </c>
      <c r="C1170" s="249" t="s">
        <v>20</v>
      </c>
      <c r="D1170" s="250" t="s">
        <v>30</v>
      </c>
      <c r="E1170" s="251">
        <v>12.5</v>
      </c>
      <c r="F1170" s="242" t="s">
        <v>504</v>
      </c>
      <c r="G1170" s="242">
        <v>4.5999999999999996</v>
      </c>
      <c r="H1170" s="230">
        <f t="shared" si="29"/>
        <v>57.499999999999993</v>
      </c>
    </row>
    <row r="1171" spans="1:8" ht="15.75" x14ac:dyDescent="0.25">
      <c r="A1171" s="244">
        <v>2003</v>
      </c>
      <c r="B1171" s="245" t="s">
        <v>19</v>
      </c>
      <c r="C1171" s="249" t="s">
        <v>20</v>
      </c>
      <c r="D1171" s="250" t="s">
        <v>30</v>
      </c>
      <c r="E1171" s="251">
        <v>13</v>
      </c>
      <c r="F1171" s="242" t="s">
        <v>504</v>
      </c>
      <c r="G1171" s="242">
        <v>4.5999999999999996</v>
      </c>
      <c r="H1171" s="230">
        <f t="shared" si="29"/>
        <v>59.8</v>
      </c>
    </row>
    <row r="1172" spans="1:8" ht="15.75" x14ac:dyDescent="0.25">
      <c r="A1172" s="244">
        <v>2003</v>
      </c>
      <c r="B1172" s="245" t="s">
        <v>19</v>
      </c>
      <c r="C1172" s="249" t="s">
        <v>20</v>
      </c>
      <c r="D1172" s="250" t="s">
        <v>30</v>
      </c>
      <c r="E1172" s="251">
        <v>11</v>
      </c>
      <c r="F1172" s="242" t="s">
        <v>504</v>
      </c>
      <c r="G1172" s="242">
        <v>4.5999999999999996</v>
      </c>
      <c r="H1172" s="230">
        <f t="shared" si="29"/>
        <v>50.599999999999994</v>
      </c>
    </row>
    <row r="1173" spans="1:8" ht="15.75" x14ac:dyDescent="0.25">
      <c r="A1173" s="244">
        <v>2003</v>
      </c>
      <c r="B1173" s="245" t="s">
        <v>19</v>
      </c>
      <c r="C1173" s="249" t="s">
        <v>20</v>
      </c>
      <c r="D1173" s="250" t="s">
        <v>30</v>
      </c>
      <c r="E1173" s="251">
        <v>11.5</v>
      </c>
      <c r="F1173" s="242" t="s">
        <v>504</v>
      </c>
      <c r="G1173" s="242">
        <v>4.5999999999999996</v>
      </c>
      <c r="H1173" s="230">
        <f t="shared" si="29"/>
        <v>52.9</v>
      </c>
    </row>
    <row r="1174" spans="1:8" ht="15.75" x14ac:dyDescent="0.25">
      <c r="A1174" s="244">
        <v>2003</v>
      </c>
      <c r="B1174" s="245" t="s">
        <v>19</v>
      </c>
      <c r="C1174" s="249" t="s">
        <v>20</v>
      </c>
      <c r="D1174" s="250" t="s">
        <v>30</v>
      </c>
      <c r="E1174" s="251">
        <v>12</v>
      </c>
      <c r="F1174" s="242" t="s">
        <v>504</v>
      </c>
      <c r="G1174" s="242">
        <v>4.5999999999999996</v>
      </c>
      <c r="H1174" s="230">
        <f t="shared" si="29"/>
        <v>55.199999999999996</v>
      </c>
    </row>
    <row r="1175" spans="1:8" ht="15" customHeight="1" x14ac:dyDescent="0.25">
      <c r="A1175" s="244">
        <v>2003</v>
      </c>
      <c r="B1175" s="245" t="s">
        <v>19</v>
      </c>
      <c r="C1175" s="249" t="s">
        <v>20</v>
      </c>
      <c r="D1175" s="250" t="s">
        <v>30</v>
      </c>
      <c r="E1175" s="251">
        <v>7.5</v>
      </c>
      <c r="F1175" s="242" t="s">
        <v>504</v>
      </c>
      <c r="G1175" s="242">
        <v>4.5999999999999996</v>
      </c>
      <c r="H1175" s="230">
        <f t="shared" si="29"/>
        <v>34.5</v>
      </c>
    </row>
    <row r="1176" spans="1:8" ht="15" customHeight="1" x14ac:dyDescent="0.25">
      <c r="A1176" s="244">
        <v>2003</v>
      </c>
      <c r="B1176" s="245" t="s">
        <v>19</v>
      </c>
      <c r="C1176" s="249" t="s">
        <v>20</v>
      </c>
      <c r="D1176" s="250" t="s">
        <v>30</v>
      </c>
      <c r="E1176" s="251">
        <v>14.5</v>
      </c>
      <c r="F1176" s="242" t="s">
        <v>504</v>
      </c>
      <c r="G1176" s="242">
        <v>4.5999999999999996</v>
      </c>
      <c r="H1176" s="230">
        <f t="shared" si="29"/>
        <v>66.699999999999989</v>
      </c>
    </row>
    <row r="1177" spans="1:8" ht="15" customHeight="1" x14ac:dyDescent="0.25">
      <c r="A1177" s="244">
        <v>2003</v>
      </c>
      <c r="B1177" s="245" t="s">
        <v>19</v>
      </c>
      <c r="C1177" s="249" t="s">
        <v>20</v>
      </c>
      <c r="D1177" s="250" t="s">
        <v>30</v>
      </c>
      <c r="E1177" s="251">
        <v>12.9</v>
      </c>
      <c r="F1177" s="242" t="s">
        <v>504</v>
      </c>
      <c r="G1177" s="242">
        <v>4.5999999999999996</v>
      </c>
      <c r="H1177" s="230">
        <f t="shared" si="29"/>
        <v>59.339999999999996</v>
      </c>
    </row>
    <row r="1178" spans="1:8" ht="15" customHeight="1" x14ac:dyDescent="0.25">
      <c r="A1178" s="244">
        <v>2003</v>
      </c>
      <c r="B1178" s="245" t="s">
        <v>19</v>
      </c>
      <c r="C1178" s="249" t="s">
        <v>20</v>
      </c>
      <c r="D1178" s="250" t="s">
        <v>30</v>
      </c>
      <c r="E1178" s="251">
        <v>13</v>
      </c>
      <c r="F1178" s="242" t="s">
        <v>504</v>
      </c>
      <c r="G1178" s="242">
        <v>4.5999999999999996</v>
      </c>
      <c r="H1178" s="230">
        <f t="shared" si="29"/>
        <v>59.8</v>
      </c>
    </row>
    <row r="1179" spans="1:8" ht="15" customHeight="1" x14ac:dyDescent="0.25">
      <c r="A1179" s="244">
        <v>2003</v>
      </c>
      <c r="B1179" s="245" t="s">
        <v>19</v>
      </c>
      <c r="C1179" s="249" t="s">
        <v>20</v>
      </c>
      <c r="D1179" s="250" t="s">
        <v>30</v>
      </c>
      <c r="E1179" s="251">
        <v>15.5</v>
      </c>
      <c r="F1179" s="242" t="s">
        <v>504</v>
      </c>
      <c r="G1179" s="242">
        <v>4.5999999999999996</v>
      </c>
      <c r="H1179" s="230">
        <f t="shared" si="29"/>
        <v>71.3</v>
      </c>
    </row>
    <row r="1180" spans="1:8" ht="15" customHeight="1" x14ac:dyDescent="0.25">
      <c r="A1180" s="244">
        <v>2003</v>
      </c>
      <c r="B1180" s="245" t="s">
        <v>19</v>
      </c>
      <c r="C1180" s="249" t="s">
        <v>20</v>
      </c>
      <c r="D1180" s="250" t="s">
        <v>30</v>
      </c>
      <c r="E1180" s="251">
        <v>9.5</v>
      </c>
      <c r="F1180" s="242" t="s">
        <v>504</v>
      </c>
      <c r="G1180" s="242">
        <v>4.5999999999999996</v>
      </c>
      <c r="H1180" s="230">
        <f t="shared" si="29"/>
        <v>43.699999999999996</v>
      </c>
    </row>
    <row r="1181" spans="1:8" ht="15" customHeight="1" x14ac:dyDescent="0.25">
      <c r="A1181" s="244">
        <v>2003</v>
      </c>
      <c r="B1181" s="245" t="s">
        <v>19</v>
      </c>
      <c r="C1181" s="249" t="s">
        <v>20</v>
      </c>
      <c r="D1181" s="250" t="s">
        <v>30</v>
      </c>
      <c r="E1181" s="251">
        <v>14</v>
      </c>
      <c r="F1181" s="242" t="s">
        <v>504</v>
      </c>
      <c r="G1181" s="242">
        <v>4.5999999999999996</v>
      </c>
      <c r="H1181" s="230">
        <f t="shared" si="29"/>
        <v>64.399999999999991</v>
      </c>
    </row>
    <row r="1182" spans="1:8" ht="15" customHeight="1" x14ac:dyDescent="0.25">
      <c r="A1182" s="244">
        <v>2003</v>
      </c>
      <c r="B1182" s="245" t="s">
        <v>19</v>
      </c>
      <c r="C1182" s="249" t="s">
        <v>20</v>
      </c>
      <c r="D1182" s="250" t="s">
        <v>30</v>
      </c>
      <c r="E1182" s="251">
        <v>11.5</v>
      </c>
      <c r="F1182" s="242" t="s">
        <v>504</v>
      </c>
      <c r="G1182" s="242">
        <v>4.5999999999999996</v>
      </c>
      <c r="H1182" s="230">
        <f t="shared" si="29"/>
        <v>52.9</v>
      </c>
    </row>
    <row r="1183" spans="1:8" ht="15" customHeight="1" x14ac:dyDescent="0.25">
      <c r="A1183" s="244">
        <v>2003</v>
      </c>
      <c r="B1183" s="245" t="s">
        <v>19</v>
      </c>
      <c r="C1183" s="249" t="s">
        <v>20</v>
      </c>
      <c r="D1183" s="250" t="s">
        <v>30</v>
      </c>
      <c r="E1183" s="251">
        <v>19</v>
      </c>
      <c r="F1183" s="242" t="s">
        <v>504</v>
      </c>
      <c r="G1183" s="242">
        <v>4.5999999999999996</v>
      </c>
      <c r="H1183" s="230">
        <f t="shared" si="29"/>
        <v>87.399999999999991</v>
      </c>
    </row>
    <row r="1184" spans="1:8" ht="15" customHeight="1" x14ac:dyDescent="0.25">
      <c r="A1184" s="244">
        <v>2003</v>
      </c>
      <c r="B1184" s="245" t="s">
        <v>19</v>
      </c>
      <c r="C1184" s="249" t="s">
        <v>20</v>
      </c>
      <c r="D1184" s="250" t="s">
        <v>30</v>
      </c>
      <c r="E1184" s="251">
        <v>11.5</v>
      </c>
      <c r="F1184" s="242" t="s">
        <v>504</v>
      </c>
      <c r="G1184" s="242">
        <v>4.5999999999999996</v>
      </c>
      <c r="H1184" s="230">
        <f t="shared" si="29"/>
        <v>52.9</v>
      </c>
    </row>
    <row r="1185" spans="1:8" ht="15" customHeight="1" x14ac:dyDescent="0.25">
      <c r="A1185" s="244">
        <v>2003</v>
      </c>
      <c r="B1185" s="245" t="s">
        <v>19</v>
      </c>
      <c r="C1185" s="249" t="s">
        <v>20</v>
      </c>
      <c r="D1185" s="250" t="s">
        <v>30</v>
      </c>
      <c r="E1185" s="251">
        <v>17</v>
      </c>
      <c r="F1185" s="242" t="s">
        <v>504</v>
      </c>
      <c r="G1185" s="242">
        <v>4.5999999999999996</v>
      </c>
      <c r="H1185" s="230">
        <f t="shared" si="29"/>
        <v>78.199999999999989</v>
      </c>
    </row>
    <row r="1186" spans="1:8" ht="15.75" x14ac:dyDescent="0.25">
      <c r="A1186" s="244">
        <v>2003</v>
      </c>
      <c r="B1186" s="245" t="s">
        <v>19</v>
      </c>
      <c r="C1186" s="249" t="s">
        <v>20</v>
      </c>
      <c r="D1186" s="250" t="s">
        <v>30</v>
      </c>
      <c r="E1186" s="251">
        <v>15.5</v>
      </c>
      <c r="F1186" s="242" t="s">
        <v>504</v>
      </c>
      <c r="G1186" s="242">
        <v>4.5999999999999996</v>
      </c>
      <c r="H1186" s="230">
        <f t="shared" si="29"/>
        <v>71.3</v>
      </c>
    </row>
    <row r="1187" spans="1:8" ht="15.75" x14ac:dyDescent="0.25">
      <c r="A1187" s="244">
        <v>2003</v>
      </c>
      <c r="B1187" s="245" t="s">
        <v>19</v>
      </c>
      <c r="C1187" s="249" t="s">
        <v>20</v>
      </c>
      <c r="D1187" s="245" t="s">
        <v>21</v>
      </c>
      <c r="E1187" s="251">
        <v>11</v>
      </c>
      <c r="F1187" s="242" t="s">
        <v>507</v>
      </c>
      <c r="G1187" s="242">
        <v>3.9</v>
      </c>
      <c r="H1187" s="230">
        <f t="shared" si="29"/>
        <v>42.9</v>
      </c>
    </row>
    <row r="1188" spans="1:8" ht="15.75" x14ac:dyDescent="0.25">
      <c r="A1188" s="244">
        <v>2003</v>
      </c>
      <c r="B1188" s="245" t="s">
        <v>19</v>
      </c>
      <c r="C1188" s="249" t="s">
        <v>20</v>
      </c>
      <c r="D1188" s="245" t="s">
        <v>21</v>
      </c>
      <c r="E1188" s="251">
        <v>11</v>
      </c>
      <c r="F1188" s="242" t="s">
        <v>507</v>
      </c>
      <c r="G1188" s="242">
        <v>3.9</v>
      </c>
      <c r="H1188" s="230">
        <f t="shared" si="29"/>
        <v>42.9</v>
      </c>
    </row>
    <row r="1189" spans="1:8" ht="15.75" x14ac:dyDescent="0.25">
      <c r="A1189" s="244">
        <v>2003</v>
      </c>
      <c r="B1189" s="245" t="s">
        <v>19</v>
      </c>
      <c r="C1189" s="249" t="s">
        <v>20</v>
      </c>
      <c r="D1189" s="245" t="s">
        <v>21</v>
      </c>
      <c r="E1189" s="251">
        <v>11</v>
      </c>
      <c r="F1189" s="242" t="s">
        <v>507</v>
      </c>
      <c r="G1189" s="242">
        <v>3.9</v>
      </c>
      <c r="H1189" s="230">
        <f t="shared" si="29"/>
        <v>42.9</v>
      </c>
    </row>
    <row r="1190" spans="1:8" ht="15" customHeight="1" x14ac:dyDescent="0.25">
      <c r="A1190" s="244">
        <v>2003</v>
      </c>
      <c r="B1190" s="245" t="s">
        <v>19</v>
      </c>
      <c r="C1190" s="249" t="s">
        <v>20</v>
      </c>
      <c r="D1190" s="245" t="s">
        <v>21</v>
      </c>
      <c r="E1190" s="251">
        <v>12</v>
      </c>
      <c r="F1190" s="242" t="s">
        <v>507</v>
      </c>
      <c r="G1190" s="242">
        <v>3.9</v>
      </c>
      <c r="H1190" s="230">
        <f t="shared" si="29"/>
        <v>46.8</v>
      </c>
    </row>
    <row r="1191" spans="1:8" ht="15.75" x14ac:dyDescent="0.25">
      <c r="A1191" s="244">
        <v>2003</v>
      </c>
      <c r="B1191" s="245" t="s">
        <v>19</v>
      </c>
      <c r="C1191" s="249" t="s">
        <v>20</v>
      </c>
      <c r="D1191" s="245" t="s">
        <v>21</v>
      </c>
      <c r="E1191" s="251">
        <v>10.5</v>
      </c>
      <c r="F1191" s="242" t="s">
        <v>507</v>
      </c>
      <c r="G1191" s="242">
        <v>3.9</v>
      </c>
      <c r="H1191" s="230">
        <f t="shared" si="29"/>
        <v>40.949999999999996</v>
      </c>
    </row>
    <row r="1192" spans="1:8" ht="15.75" x14ac:dyDescent="0.25">
      <c r="A1192" s="244">
        <v>2003</v>
      </c>
      <c r="B1192" s="245" t="s">
        <v>19</v>
      </c>
      <c r="C1192" s="249" t="s">
        <v>20</v>
      </c>
      <c r="D1192" s="245" t="s">
        <v>21</v>
      </c>
      <c r="E1192" s="251">
        <v>11.5</v>
      </c>
      <c r="F1192" s="242" t="s">
        <v>507</v>
      </c>
      <c r="G1192" s="242">
        <v>3.9</v>
      </c>
      <c r="H1192" s="230">
        <f t="shared" si="29"/>
        <v>44.85</v>
      </c>
    </row>
    <row r="1193" spans="1:8" ht="15.75" x14ac:dyDescent="0.25">
      <c r="A1193" s="244">
        <v>2003</v>
      </c>
      <c r="B1193" s="245" t="s">
        <v>19</v>
      </c>
      <c r="C1193" s="249" t="s">
        <v>20</v>
      </c>
      <c r="D1193" s="245" t="s">
        <v>21</v>
      </c>
      <c r="E1193" s="251">
        <v>9.5</v>
      </c>
      <c r="F1193" s="242" t="s">
        <v>507</v>
      </c>
      <c r="G1193" s="242">
        <v>3.9</v>
      </c>
      <c r="H1193" s="230">
        <f t="shared" si="29"/>
        <v>37.049999999999997</v>
      </c>
    </row>
    <row r="1194" spans="1:8" ht="15.75" x14ac:dyDescent="0.25">
      <c r="A1194" s="244">
        <v>2003</v>
      </c>
      <c r="B1194" s="245" t="s">
        <v>19</v>
      </c>
      <c r="C1194" s="249" t="s">
        <v>20</v>
      </c>
      <c r="D1194" s="245" t="s">
        <v>21</v>
      </c>
      <c r="E1194" s="251">
        <v>14</v>
      </c>
      <c r="F1194" s="242" t="s">
        <v>507</v>
      </c>
      <c r="G1194" s="242">
        <v>3.9</v>
      </c>
      <c r="H1194" s="230">
        <f t="shared" si="29"/>
        <v>54.6</v>
      </c>
    </row>
    <row r="1195" spans="1:8" ht="15.75" x14ac:dyDescent="0.25">
      <c r="A1195" s="244">
        <v>2003</v>
      </c>
      <c r="B1195" s="245" t="s">
        <v>19</v>
      </c>
      <c r="C1195" s="249" t="s">
        <v>20</v>
      </c>
      <c r="D1195" s="245" t="s">
        <v>21</v>
      </c>
      <c r="E1195" s="251">
        <v>13.5</v>
      </c>
      <c r="F1195" s="242" t="s">
        <v>507</v>
      </c>
      <c r="G1195" s="242">
        <v>3.9</v>
      </c>
      <c r="H1195" s="230">
        <f t="shared" si="29"/>
        <v>52.65</v>
      </c>
    </row>
    <row r="1196" spans="1:8" ht="15.75" x14ac:dyDescent="0.25">
      <c r="A1196" s="244">
        <v>2003</v>
      </c>
      <c r="B1196" s="245" t="s">
        <v>19</v>
      </c>
      <c r="C1196" s="249" t="s">
        <v>20</v>
      </c>
      <c r="D1196" s="245" t="s">
        <v>21</v>
      </c>
      <c r="E1196" s="251">
        <v>8.5</v>
      </c>
      <c r="F1196" s="242" t="s">
        <v>507</v>
      </c>
      <c r="G1196" s="242">
        <v>3.9</v>
      </c>
      <c r="H1196" s="230">
        <f t="shared" si="29"/>
        <v>33.15</v>
      </c>
    </row>
    <row r="1197" spans="1:8" ht="15.75" x14ac:dyDescent="0.25">
      <c r="A1197" s="244">
        <v>2003</v>
      </c>
      <c r="B1197" s="245" t="s">
        <v>19</v>
      </c>
      <c r="C1197" s="249" t="s">
        <v>20</v>
      </c>
      <c r="D1197" s="245" t="s">
        <v>21</v>
      </c>
      <c r="E1197" s="251">
        <v>8.5</v>
      </c>
      <c r="F1197" s="242" t="s">
        <v>507</v>
      </c>
      <c r="G1197" s="242">
        <v>3.9</v>
      </c>
      <c r="H1197" s="230">
        <f t="shared" si="29"/>
        <v>33.15</v>
      </c>
    </row>
    <row r="1198" spans="1:8" ht="15.75" x14ac:dyDescent="0.25">
      <c r="A1198" s="244">
        <v>2003</v>
      </c>
      <c r="B1198" s="245" t="s">
        <v>19</v>
      </c>
      <c r="C1198" s="249" t="s">
        <v>20</v>
      </c>
      <c r="D1198" s="245" t="s">
        <v>21</v>
      </c>
      <c r="E1198" s="251">
        <v>11.5</v>
      </c>
      <c r="F1198" s="242" t="s">
        <v>507</v>
      </c>
      <c r="G1198" s="242">
        <v>3.9</v>
      </c>
      <c r="H1198" s="230">
        <f t="shared" si="29"/>
        <v>44.85</v>
      </c>
    </row>
    <row r="1199" spans="1:8" ht="15" customHeight="1" x14ac:dyDescent="0.25">
      <c r="A1199" s="244">
        <v>2003</v>
      </c>
      <c r="B1199" s="245" t="s">
        <v>19</v>
      </c>
      <c r="C1199" s="249" t="s">
        <v>20</v>
      </c>
      <c r="D1199" s="245" t="s">
        <v>21</v>
      </c>
      <c r="E1199" s="251">
        <v>6</v>
      </c>
      <c r="F1199" s="242" t="s">
        <v>507</v>
      </c>
      <c r="G1199" s="242">
        <v>3.9</v>
      </c>
      <c r="H1199" s="230">
        <f t="shared" si="29"/>
        <v>23.4</v>
      </c>
    </row>
    <row r="1200" spans="1:8" ht="15.75" x14ac:dyDescent="0.25">
      <c r="A1200" s="244">
        <v>2003</v>
      </c>
      <c r="B1200" s="245" t="s">
        <v>19</v>
      </c>
      <c r="C1200" s="249" t="s">
        <v>34</v>
      </c>
      <c r="D1200" s="245" t="s">
        <v>41</v>
      </c>
      <c r="E1200" s="251">
        <v>24.5</v>
      </c>
      <c r="F1200" s="242" t="s">
        <v>508</v>
      </c>
      <c r="G1200" s="242">
        <v>3.8</v>
      </c>
      <c r="H1200" s="230">
        <f t="shared" si="29"/>
        <v>93.1</v>
      </c>
    </row>
    <row r="1201" spans="1:8" ht="15" customHeight="1" x14ac:dyDescent="0.25">
      <c r="A1201" s="244">
        <v>2003</v>
      </c>
      <c r="B1201" s="245" t="s">
        <v>19</v>
      </c>
      <c r="C1201" s="249" t="s">
        <v>34</v>
      </c>
      <c r="D1201" s="245" t="s">
        <v>41</v>
      </c>
      <c r="E1201" s="251">
        <v>15</v>
      </c>
      <c r="F1201" s="242" t="s">
        <v>508</v>
      </c>
      <c r="G1201" s="242">
        <v>3.8</v>
      </c>
      <c r="H1201" s="230">
        <f t="shared" si="29"/>
        <v>57</v>
      </c>
    </row>
    <row r="1202" spans="1:8" ht="15" customHeight="1" x14ac:dyDescent="0.25">
      <c r="A1202" s="244">
        <v>2003</v>
      </c>
      <c r="B1202" s="245" t="s">
        <v>19</v>
      </c>
      <c r="C1202" s="249" t="s">
        <v>34</v>
      </c>
      <c r="D1202" s="245" t="s">
        <v>41</v>
      </c>
      <c r="E1202" s="251">
        <v>17</v>
      </c>
      <c r="F1202" s="242" t="s">
        <v>508</v>
      </c>
      <c r="G1202" s="242">
        <v>3.8</v>
      </c>
      <c r="H1202" s="230">
        <f t="shared" si="29"/>
        <v>64.599999999999994</v>
      </c>
    </row>
    <row r="1203" spans="1:8" ht="15.75" x14ac:dyDescent="0.25">
      <c r="A1203" s="244">
        <v>2003</v>
      </c>
      <c r="B1203" s="245" t="s">
        <v>19</v>
      </c>
      <c r="C1203" s="249" t="s">
        <v>34</v>
      </c>
      <c r="D1203" s="245" t="s">
        <v>41</v>
      </c>
      <c r="E1203" s="251">
        <v>21</v>
      </c>
      <c r="F1203" s="242" t="s">
        <v>508</v>
      </c>
      <c r="G1203" s="242">
        <v>3.8</v>
      </c>
      <c r="H1203" s="230">
        <f t="shared" si="29"/>
        <v>79.8</v>
      </c>
    </row>
    <row r="1204" spans="1:8" ht="15.75" x14ac:dyDescent="0.25">
      <c r="A1204" s="244">
        <v>2003</v>
      </c>
      <c r="B1204" s="245" t="s">
        <v>19</v>
      </c>
      <c r="C1204" s="249" t="s">
        <v>34</v>
      </c>
      <c r="D1204" s="245" t="s">
        <v>41</v>
      </c>
      <c r="E1204" s="251">
        <v>19</v>
      </c>
      <c r="F1204" s="242" t="s">
        <v>508</v>
      </c>
      <c r="G1204" s="242">
        <v>3.8</v>
      </c>
      <c r="H1204" s="230">
        <f t="shared" si="29"/>
        <v>72.2</v>
      </c>
    </row>
    <row r="1205" spans="1:8" ht="15" customHeight="1" x14ac:dyDescent="0.25">
      <c r="A1205" s="244">
        <v>2003</v>
      </c>
      <c r="B1205" s="245" t="s">
        <v>19</v>
      </c>
      <c r="C1205" s="249" t="s">
        <v>34</v>
      </c>
      <c r="D1205" s="245" t="s">
        <v>41</v>
      </c>
      <c r="E1205" s="251">
        <v>15.3</v>
      </c>
      <c r="F1205" s="242" t="s">
        <v>508</v>
      </c>
      <c r="G1205" s="242">
        <v>3.8</v>
      </c>
      <c r="H1205" s="230">
        <f t="shared" si="29"/>
        <v>58.14</v>
      </c>
    </row>
    <row r="1206" spans="1:8" ht="15" customHeight="1" x14ac:dyDescent="0.25">
      <c r="A1206" s="244">
        <v>2002</v>
      </c>
      <c r="B1206" s="245" t="s">
        <v>19</v>
      </c>
      <c r="C1206" s="249" t="s">
        <v>20</v>
      </c>
      <c r="D1206" s="250" t="s">
        <v>30</v>
      </c>
      <c r="E1206" s="251">
        <v>10.5</v>
      </c>
      <c r="F1206" s="242" t="s">
        <v>504</v>
      </c>
      <c r="G1206" s="242">
        <v>4.5999999999999996</v>
      </c>
      <c r="H1206" s="230">
        <f t="shared" si="29"/>
        <v>48.3</v>
      </c>
    </row>
    <row r="1207" spans="1:8" ht="15" customHeight="1" x14ac:dyDescent="0.25">
      <c r="A1207" s="244">
        <v>2002</v>
      </c>
      <c r="B1207" s="245" t="s">
        <v>19</v>
      </c>
      <c r="C1207" s="249" t="s">
        <v>20</v>
      </c>
      <c r="D1207" s="250" t="s">
        <v>30</v>
      </c>
      <c r="E1207" s="251">
        <v>11</v>
      </c>
      <c r="F1207" s="242" t="s">
        <v>504</v>
      </c>
      <c r="G1207" s="242">
        <v>4.5999999999999996</v>
      </c>
      <c r="H1207" s="230">
        <f t="shared" si="29"/>
        <v>50.599999999999994</v>
      </c>
    </row>
    <row r="1208" spans="1:8" ht="15" customHeight="1" x14ac:dyDescent="0.25">
      <c r="A1208" s="244">
        <v>2002</v>
      </c>
      <c r="B1208" s="245" t="s">
        <v>19</v>
      </c>
      <c r="C1208" s="249" t="s">
        <v>20</v>
      </c>
      <c r="D1208" s="250" t="s">
        <v>30</v>
      </c>
      <c r="E1208" s="251">
        <v>14</v>
      </c>
      <c r="F1208" s="242" t="s">
        <v>504</v>
      </c>
      <c r="G1208" s="242">
        <v>4.5999999999999996</v>
      </c>
      <c r="H1208" s="230">
        <f t="shared" si="29"/>
        <v>64.399999999999991</v>
      </c>
    </row>
    <row r="1209" spans="1:8" ht="15" customHeight="1" x14ac:dyDescent="0.25">
      <c r="A1209" s="244">
        <v>2002</v>
      </c>
      <c r="B1209" s="245" t="s">
        <v>19</v>
      </c>
      <c r="C1209" s="249" t="s">
        <v>20</v>
      </c>
      <c r="D1209" s="250" t="s">
        <v>30</v>
      </c>
      <c r="E1209" s="251">
        <v>14.5</v>
      </c>
      <c r="F1209" s="242" t="s">
        <v>504</v>
      </c>
      <c r="G1209" s="242">
        <v>4.5999999999999996</v>
      </c>
      <c r="H1209" s="230">
        <f t="shared" si="29"/>
        <v>66.699999999999989</v>
      </c>
    </row>
    <row r="1210" spans="1:8" ht="15" customHeight="1" x14ac:dyDescent="0.25">
      <c r="A1210" s="244">
        <v>2002</v>
      </c>
      <c r="B1210" s="245" t="s">
        <v>19</v>
      </c>
      <c r="C1210" s="249" t="s">
        <v>20</v>
      </c>
      <c r="D1210" s="250" t="s">
        <v>30</v>
      </c>
      <c r="E1210" s="251">
        <v>17.5</v>
      </c>
      <c r="F1210" s="242" t="s">
        <v>504</v>
      </c>
      <c r="G1210" s="242">
        <v>4.5999999999999996</v>
      </c>
      <c r="H1210" s="230">
        <f t="shared" si="29"/>
        <v>80.5</v>
      </c>
    </row>
    <row r="1211" spans="1:8" ht="15" customHeight="1" x14ac:dyDescent="0.25">
      <c r="A1211" s="244">
        <v>2002</v>
      </c>
      <c r="B1211" s="245" t="s">
        <v>19</v>
      </c>
      <c r="C1211" s="249" t="s">
        <v>20</v>
      </c>
      <c r="D1211" s="250" t="s">
        <v>30</v>
      </c>
      <c r="E1211" s="251">
        <v>20</v>
      </c>
      <c r="F1211" s="242" t="s">
        <v>504</v>
      </c>
      <c r="G1211" s="242">
        <v>4.5999999999999996</v>
      </c>
      <c r="H1211" s="230">
        <f t="shared" si="29"/>
        <v>92</v>
      </c>
    </row>
    <row r="1212" spans="1:8" ht="12" customHeight="1" x14ac:dyDescent="0.25">
      <c r="A1212" s="244">
        <v>2002</v>
      </c>
      <c r="B1212" s="245" t="s">
        <v>19</v>
      </c>
      <c r="C1212" s="249" t="s">
        <v>20</v>
      </c>
      <c r="D1212" s="250" t="s">
        <v>30</v>
      </c>
      <c r="E1212" s="251">
        <v>13</v>
      </c>
      <c r="F1212" s="242" t="s">
        <v>504</v>
      </c>
      <c r="G1212" s="242">
        <v>4.5999999999999996</v>
      </c>
      <c r="H1212" s="230">
        <f t="shared" si="29"/>
        <v>59.8</v>
      </c>
    </row>
    <row r="1213" spans="1:8" ht="12" customHeight="1" x14ac:dyDescent="0.25">
      <c r="A1213" s="244">
        <v>2002</v>
      </c>
      <c r="B1213" s="245" t="s">
        <v>19</v>
      </c>
      <c r="C1213" s="249" t="s">
        <v>20</v>
      </c>
      <c r="D1213" s="250" t="s">
        <v>30</v>
      </c>
      <c r="E1213" s="251">
        <v>10</v>
      </c>
      <c r="F1213" s="242" t="s">
        <v>504</v>
      </c>
      <c r="G1213" s="242">
        <v>4.5999999999999996</v>
      </c>
      <c r="H1213" s="230">
        <f t="shared" si="29"/>
        <v>46</v>
      </c>
    </row>
    <row r="1214" spans="1:8" ht="12" customHeight="1" x14ac:dyDescent="0.25">
      <c r="A1214" s="244">
        <v>2002</v>
      </c>
      <c r="B1214" s="245" t="s">
        <v>19</v>
      </c>
      <c r="C1214" s="249" t="s">
        <v>20</v>
      </c>
      <c r="D1214" s="250" t="s">
        <v>30</v>
      </c>
      <c r="E1214" s="251">
        <v>16</v>
      </c>
      <c r="F1214" s="242" t="s">
        <v>504</v>
      </c>
      <c r="G1214" s="242">
        <v>4.5999999999999996</v>
      </c>
      <c r="H1214" s="230">
        <f t="shared" si="29"/>
        <v>73.599999999999994</v>
      </c>
    </row>
    <row r="1215" spans="1:8" ht="12" customHeight="1" x14ac:dyDescent="0.25">
      <c r="A1215" s="244">
        <v>2002</v>
      </c>
      <c r="B1215" s="245" t="s">
        <v>19</v>
      </c>
      <c r="C1215" s="249" t="s">
        <v>20</v>
      </c>
      <c r="D1215" s="250" t="s">
        <v>30</v>
      </c>
      <c r="E1215" s="251">
        <v>10.5</v>
      </c>
      <c r="F1215" s="242" t="s">
        <v>504</v>
      </c>
      <c r="G1215" s="242">
        <v>4.5999999999999996</v>
      </c>
      <c r="H1215" s="230">
        <f t="shared" si="29"/>
        <v>48.3</v>
      </c>
    </row>
    <row r="1216" spans="1:8" ht="12" customHeight="1" x14ac:dyDescent="0.25">
      <c r="A1216" s="244">
        <v>2002</v>
      </c>
      <c r="B1216" s="245" t="s">
        <v>19</v>
      </c>
      <c r="C1216" s="249" t="s">
        <v>20</v>
      </c>
      <c r="D1216" s="250" t="s">
        <v>30</v>
      </c>
      <c r="E1216" s="251">
        <v>11.5</v>
      </c>
      <c r="F1216" s="242" t="s">
        <v>504</v>
      </c>
      <c r="G1216" s="242">
        <v>4.5999999999999996</v>
      </c>
      <c r="H1216" s="230">
        <f t="shared" si="29"/>
        <v>52.9</v>
      </c>
    </row>
    <row r="1217" spans="1:8" ht="12" customHeight="1" x14ac:dyDescent="0.25">
      <c r="A1217" s="244">
        <v>2002</v>
      </c>
      <c r="B1217" s="245" t="s">
        <v>19</v>
      </c>
      <c r="C1217" s="249" t="s">
        <v>20</v>
      </c>
      <c r="D1217" s="250" t="s">
        <v>30</v>
      </c>
      <c r="E1217" s="251">
        <v>11.5</v>
      </c>
      <c r="F1217" s="242" t="s">
        <v>504</v>
      </c>
      <c r="G1217" s="242">
        <v>4.5999999999999996</v>
      </c>
      <c r="H1217" s="230">
        <f t="shared" si="29"/>
        <v>52.9</v>
      </c>
    </row>
    <row r="1218" spans="1:8" ht="12" customHeight="1" x14ac:dyDescent="0.25">
      <c r="A1218" s="244">
        <v>2002</v>
      </c>
      <c r="B1218" s="245" t="s">
        <v>19</v>
      </c>
      <c r="C1218" s="249" t="s">
        <v>20</v>
      </c>
      <c r="D1218" s="250" t="s">
        <v>30</v>
      </c>
      <c r="E1218" s="251">
        <v>11</v>
      </c>
      <c r="F1218" s="242" t="s">
        <v>504</v>
      </c>
      <c r="G1218" s="242">
        <v>4.5999999999999996</v>
      </c>
      <c r="H1218" s="230">
        <f t="shared" si="29"/>
        <v>50.599999999999994</v>
      </c>
    </row>
    <row r="1219" spans="1:8" ht="12" customHeight="1" x14ac:dyDescent="0.25">
      <c r="A1219" s="244">
        <v>2002</v>
      </c>
      <c r="B1219" s="245" t="s">
        <v>19</v>
      </c>
      <c r="C1219" s="249" t="s">
        <v>20</v>
      </c>
      <c r="D1219" s="250" t="s">
        <v>30</v>
      </c>
      <c r="E1219" s="251">
        <v>8.5</v>
      </c>
      <c r="F1219" s="242" t="s">
        <v>504</v>
      </c>
      <c r="G1219" s="242">
        <v>4.5999999999999996</v>
      </c>
      <c r="H1219" s="230">
        <f t="shared" ref="H1219:H1282" si="30">E1219*G1219</f>
        <v>39.099999999999994</v>
      </c>
    </row>
    <row r="1220" spans="1:8" ht="12" customHeight="1" x14ac:dyDescent="0.25">
      <c r="A1220" s="244">
        <v>2002</v>
      </c>
      <c r="B1220" s="245" t="s">
        <v>19</v>
      </c>
      <c r="C1220" s="249" t="s">
        <v>20</v>
      </c>
      <c r="D1220" s="250" t="s">
        <v>30</v>
      </c>
      <c r="E1220" s="251">
        <v>16</v>
      </c>
      <c r="F1220" s="242" t="s">
        <v>504</v>
      </c>
      <c r="G1220" s="242">
        <v>4.5999999999999996</v>
      </c>
      <c r="H1220" s="230">
        <f t="shared" si="30"/>
        <v>73.599999999999994</v>
      </c>
    </row>
    <row r="1221" spans="1:8" ht="12" customHeight="1" x14ac:dyDescent="0.25">
      <c r="A1221" s="244">
        <v>2002</v>
      </c>
      <c r="B1221" s="245" t="s">
        <v>19</v>
      </c>
      <c r="C1221" s="249" t="s">
        <v>20</v>
      </c>
      <c r="D1221" s="250" t="s">
        <v>30</v>
      </c>
      <c r="E1221" s="251">
        <v>8.5</v>
      </c>
      <c r="F1221" s="242" t="s">
        <v>504</v>
      </c>
      <c r="G1221" s="242">
        <v>4.5999999999999996</v>
      </c>
      <c r="H1221" s="230">
        <f t="shared" si="30"/>
        <v>39.099999999999994</v>
      </c>
    </row>
    <row r="1222" spans="1:8" ht="12" customHeight="1" x14ac:dyDescent="0.25">
      <c r="A1222" s="244">
        <v>2002</v>
      </c>
      <c r="B1222" s="245" t="s">
        <v>19</v>
      </c>
      <c r="C1222" s="249" t="s">
        <v>20</v>
      </c>
      <c r="D1222" s="250" t="s">
        <v>30</v>
      </c>
      <c r="E1222" s="251">
        <v>17</v>
      </c>
      <c r="F1222" s="242" t="s">
        <v>504</v>
      </c>
      <c r="G1222" s="242">
        <v>4.5999999999999996</v>
      </c>
      <c r="H1222" s="230">
        <f t="shared" si="30"/>
        <v>78.199999999999989</v>
      </c>
    </row>
    <row r="1223" spans="1:8" ht="12" customHeight="1" x14ac:dyDescent="0.25">
      <c r="A1223" s="244">
        <v>2002</v>
      </c>
      <c r="B1223" s="245" t="s">
        <v>19</v>
      </c>
      <c r="C1223" s="249" t="s">
        <v>20</v>
      </c>
      <c r="D1223" s="250" t="s">
        <v>30</v>
      </c>
      <c r="E1223" s="251">
        <v>13.5</v>
      </c>
      <c r="F1223" s="242" t="s">
        <v>504</v>
      </c>
      <c r="G1223" s="242">
        <v>4.5999999999999996</v>
      </c>
      <c r="H1223" s="230">
        <f t="shared" si="30"/>
        <v>62.099999999999994</v>
      </c>
    </row>
    <row r="1224" spans="1:8" ht="12" customHeight="1" x14ac:dyDescent="0.25">
      <c r="A1224" s="244">
        <v>2002</v>
      </c>
      <c r="B1224" s="245" t="s">
        <v>19</v>
      </c>
      <c r="C1224" s="249" t="s">
        <v>20</v>
      </c>
      <c r="D1224" s="250" t="s">
        <v>30</v>
      </c>
      <c r="E1224" s="251">
        <v>10.5</v>
      </c>
      <c r="F1224" s="242" t="s">
        <v>504</v>
      </c>
      <c r="G1224" s="242">
        <v>4.5999999999999996</v>
      </c>
      <c r="H1224" s="230">
        <f t="shared" si="30"/>
        <v>48.3</v>
      </c>
    </row>
    <row r="1225" spans="1:8" ht="12" customHeight="1" x14ac:dyDescent="0.25">
      <c r="A1225" s="244">
        <v>2002</v>
      </c>
      <c r="B1225" s="245" t="s">
        <v>19</v>
      </c>
      <c r="C1225" s="249" t="s">
        <v>20</v>
      </c>
      <c r="D1225" s="250" t="s">
        <v>30</v>
      </c>
      <c r="E1225" s="251">
        <v>14</v>
      </c>
      <c r="F1225" s="242" t="s">
        <v>504</v>
      </c>
      <c r="G1225" s="242">
        <v>4.5999999999999996</v>
      </c>
      <c r="H1225" s="230">
        <f t="shared" si="30"/>
        <v>64.399999999999991</v>
      </c>
    </row>
    <row r="1226" spans="1:8" ht="12" customHeight="1" x14ac:dyDescent="0.25">
      <c r="A1226" s="244">
        <v>2002</v>
      </c>
      <c r="B1226" s="245" t="s">
        <v>19</v>
      </c>
      <c r="C1226" s="249" t="s">
        <v>20</v>
      </c>
      <c r="D1226" s="250" t="s">
        <v>30</v>
      </c>
      <c r="E1226" s="251">
        <v>6.5</v>
      </c>
      <c r="F1226" s="242" t="s">
        <v>504</v>
      </c>
      <c r="G1226" s="242">
        <v>4.5999999999999996</v>
      </c>
      <c r="H1226" s="230">
        <f t="shared" si="30"/>
        <v>29.9</v>
      </c>
    </row>
    <row r="1227" spans="1:8" ht="12" customHeight="1" x14ac:dyDescent="0.25">
      <c r="A1227" s="244">
        <v>2002</v>
      </c>
      <c r="B1227" s="245" t="s">
        <v>19</v>
      </c>
      <c r="C1227" s="249" t="s">
        <v>20</v>
      </c>
      <c r="D1227" s="250" t="s">
        <v>30</v>
      </c>
      <c r="E1227" s="251">
        <v>11</v>
      </c>
      <c r="F1227" s="242" t="s">
        <v>504</v>
      </c>
      <c r="G1227" s="242">
        <v>4.5999999999999996</v>
      </c>
      <c r="H1227" s="230">
        <f t="shared" si="30"/>
        <v>50.599999999999994</v>
      </c>
    </row>
    <row r="1228" spans="1:8" ht="12" customHeight="1" x14ac:dyDescent="0.25">
      <c r="A1228" s="244">
        <v>2002</v>
      </c>
      <c r="B1228" s="245" t="s">
        <v>19</v>
      </c>
      <c r="C1228" s="249" t="s">
        <v>20</v>
      </c>
      <c r="D1228" s="250" t="s">
        <v>30</v>
      </c>
      <c r="E1228" s="251">
        <v>14</v>
      </c>
      <c r="F1228" s="242" t="s">
        <v>504</v>
      </c>
      <c r="G1228" s="242">
        <v>4.5999999999999996</v>
      </c>
      <c r="H1228" s="230">
        <f t="shared" si="30"/>
        <v>64.399999999999991</v>
      </c>
    </row>
    <row r="1229" spans="1:8" ht="12" customHeight="1" x14ac:dyDescent="0.25">
      <c r="A1229" s="244">
        <v>2002</v>
      </c>
      <c r="B1229" s="245" t="s">
        <v>19</v>
      </c>
      <c r="C1229" s="249" t="s">
        <v>20</v>
      </c>
      <c r="D1229" s="250" t="s">
        <v>30</v>
      </c>
      <c r="E1229" s="251">
        <v>14.5</v>
      </c>
      <c r="F1229" s="242" t="s">
        <v>504</v>
      </c>
      <c r="G1229" s="242">
        <v>4.5999999999999996</v>
      </c>
      <c r="H1229" s="230">
        <f t="shared" si="30"/>
        <v>66.699999999999989</v>
      </c>
    </row>
    <row r="1230" spans="1:8" ht="12" customHeight="1" x14ac:dyDescent="0.25">
      <c r="A1230" s="244">
        <v>2002</v>
      </c>
      <c r="B1230" s="245" t="s">
        <v>19</v>
      </c>
      <c r="C1230" s="249" t="s">
        <v>20</v>
      </c>
      <c r="D1230" s="250" t="s">
        <v>30</v>
      </c>
      <c r="E1230" s="251">
        <v>10</v>
      </c>
      <c r="F1230" s="242" t="s">
        <v>504</v>
      </c>
      <c r="G1230" s="242">
        <v>4.5999999999999996</v>
      </c>
      <c r="H1230" s="230">
        <f t="shared" si="30"/>
        <v>46</v>
      </c>
    </row>
    <row r="1231" spans="1:8" ht="12" customHeight="1" x14ac:dyDescent="0.25">
      <c r="A1231" s="244">
        <v>2002</v>
      </c>
      <c r="B1231" s="245" t="s">
        <v>19</v>
      </c>
      <c r="C1231" s="249" t="s">
        <v>20</v>
      </c>
      <c r="D1231" s="250" t="s">
        <v>30</v>
      </c>
      <c r="E1231" s="251">
        <v>10.5</v>
      </c>
      <c r="F1231" s="242" t="s">
        <v>504</v>
      </c>
      <c r="G1231" s="242">
        <v>4.5999999999999996</v>
      </c>
      <c r="H1231" s="230">
        <f t="shared" si="30"/>
        <v>48.3</v>
      </c>
    </row>
    <row r="1232" spans="1:8" ht="12" customHeight="1" x14ac:dyDescent="0.25">
      <c r="A1232" s="244">
        <v>2002</v>
      </c>
      <c r="B1232" s="245" t="s">
        <v>19</v>
      </c>
      <c r="C1232" s="249" t="s">
        <v>20</v>
      </c>
      <c r="D1232" s="250" t="s">
        <v>30</v>
      </c>
      <c r="E1232" s="251">
        <v>12.5</v>
      </c>
      <c r="F1232" s="242" t="s">
        <v>504</v>
      </c>
      <c r="G1232" s="242">
        <v>4.5999999999999996</v>
      </c>
      <c r="H1232" s="230">
        <f t="shared" si="30"/>
        <v>57.499999999999993</v>
      </c>
    </row>
    <row r="1233" spans="1:8" ht="12" customHeight="1" x14ac:dyDescent="0.25">
      <c r="A1233" s="244">
        <v>2002</v>
      </c>
      <c r="B1233" s="245" t="s">
        <v>19</v>
      </c>
      <c r="C1233" s="249" t="s">
        <v>20</v>
      </c>
      <c r="D1233" s="250" t="s">
        <v>30</v>
      </c>
      <c r="E1233" s="251">
        <v>13</v>
      </c>
      <c r="F1233" s="242" t="s">
        <v>504</v>
      </c>
      <c r="G1233" s="242">
        <v>4.5999999999999996</v>
      </c>
      <c r="H1233" s="230">
        <f t="shared" si="30"/>
        <v>59.8</v>
      </c>
    </row>
    <row r="1234" spans="1:8" ht="12" customHeight="1" x14ac:dyDescent="0.25">
      <c r="A1234" s="244">
        <v>2002</v>
      </c>
      <c r="B1234" s="245" t="s">
        <v>19</v>
      </c>
      <c r="C1234" s="249" t="s">
        <v>20</v>
      </c>
      <c r="D1234" s="250" t="s">
        <v>30</v>
      </c>
      <c r="E1234" s="251">
        <v>10.5</v>
      </c>
      <c r="F1234" s="242" t="s">
        <v>504</v>
      </c>
      <c r="G1234" s="242">
        <v>4.5999999999999996</v>
      </c>
      <c r="H1234" s="230">
        <f t="shared" si="30"/>
        <v>48.3</v>
      </c>
    </row>
    <row r="1235" spans="1:8" ht="12" customHeight="1" x14ac:dyDescent="0.25">
      <c r="A1235" s="244">
        <v>2002</v>
      </c>
      <c r="B1235" s="245" t="s">
        <v>19</v>
      </c>
      <c r="C1235" s="249" t="s">
        <v>20</v>
      </c>
      <c r="D1235" s="250" t="s">
        <v>30</v>
      </c>
      <c r="E1235" s="251">
        <v>9</v>
      </c>
      <c r="F1235" s="242" t="s">
        <v>504</v>
      </c>
      <c r="G1235" s="242">
        <v>4.5999999999999996</v>
      </c>
      <c r="H1235" s="230">
        <f t="shared" si="30"/>
        <v>41.4</v>
      </c>
    </row>
    <row r="1236" spans="1:8" ht="12" customHeight="1" x14ac:dyDescent="0.25">
      <c r="A1236" s="244">
        <v>2002</v>
      </c>
      <c r="B1236" s="245" t="s">
        <v>19</v>
      </c>
      <c r="C1236" s="249" t="s">
        <v>20</v>
      </c>
      <c r="D1236" s="250" t="s">
        <v>30</v>
      </c>
      <c r="E1236" s="251">
        <v>13</v>
      </c>
      <c r="F1236" s="242" t="s">
        <v>504</v>
      </c>
      <c r="G1236" s="242">
        <v>4.5999999999999996</v>
      </c>
      <c r="H1236" s="230">
        <f t="shared" si="30"/>
        <v>59.8</v>
      </c>
    </row>
    <row r="1237" spans="1:8" ht="12" customHeight="1" x14ac:dyDescent="0.25">
      <c r="A1237" s="244">
        <v>2002</v>
      </c>
      <c r="B1237" s="245" t="s">
        <v>19</v>
      </c>
      <c r="C1237" s="249" t="s">
        <v>20</v>
      </c>
      <c r="D1237" s="250" t="s">
        <v>30</v>
      </c>
      <c r="E1237" s="251">
        <v>13.5</v>
      </c>
      <c r="F1237" s="242" t="s">
        <v>504</v>
      </c>
      <c r="G1237" s="242">
        <v>4.5999999999999996</v>
      </c>
      <c r="H1237" s="230">
        <f t="shared" si="30"/>
        <v>62.099999999999994</v>
      </c>
    </row>
    <row r="1238" spans="1:8" ht="12" customHeight="1" x14ac:dyDescent="0.25">
      <c r="A1238" s="244">
        <v>2002</v>
      </c>
      <c r="B1238" s="245" t="s">
        <v>19</v>
      </c>
      <c r="C1238" s="249" t="s">
        <v>20</v>
      </c>
      <c r="D1238" s="250" t="s">
        <v>30</v>
      </c>
      <c r="E1238" s="251">
        <v>9.5</v>
      </c>
      <c r="F1238" s="242" t="s">
        <v>504</v>
      </c>
      <c r="G1238" s="242">
        <v>4.5999999999999996</v>
      </c>
      <c r="H1238" s="230">
        <f t="shared" si="30"/>
        <v>43.699999999999996</v>
      </c>
    </row>
    <row r="1239" spans="1:8" ht="12" customHeight="1" x14ac:dyDescent="0.25">
      <c r="A1239" s="244">
        <v>2002</v>
      </c>
      <c r="B1239" s="245" t="s">
        <v>19</v>
      </c>
      <c r="C1239" s="249" t="s">
        <v>20</v>
      </c>
      <c r="D1239" s="250" t="s">
        <v>30</v>
      </c>
      <c r="E1239" s="251">
        <v>12.5</v>
      </c>
      <c r="F1239" s="242" t="s">
        <v>504</v>
      </c>
      <c r="G1239" s="242">
        <v>4.5999999999999996</v>
      </c>
      <c r="H1239" s="230">
        <f t="shared" si="30"/>
        <v>57.499999999999993</v>
      </c>
    </row>
    <row r="1240" spans="1:8" ht="12" customHeight="1" x14ac:dyDescent="0.25">
      <c r="A1240" s="244">
        <v>2002</v>
      </c>
      <c r="B1240" s="245" t="s">
        <v>19</v>
      </c>
      <c r="C1240" s="249" t="s">
        <v>20</v>
      </c>
      <c r="D1240" s="250" t="s">
        <v>30</v>
      </c>
      <c r="E1240" s="251">
        <v>13</v>
      </c>
      <c r="F1240" s="242" t="s">
        <v>504</v>
      </c>
      <c r="G1240" s="242">
        <v>4.5999999999999996</v>
      </c>
      <c r="H1240" s="230">
        <f t="shared" si="30"/>
        <v>59.8</v>
      </c>
    </row>
    <row r="1241" spans="1:8" ht="12" customHeight="1" x14ac:dyDescent="0.25">
      <c r="A1241" s="244">
        <v>2002</v>
      </c>
      <c r="B1241" s="245" t="s">
        <v>19</v>
      </c>
      <c r="C1241" s="249" t="s">
        <v>20</v>
      </c>
      <c r="D1241" s="250" t="s">
        <v>30</v>
      </c>
      <c r="E1241" s="251">
        <v>13</v>
      </c>
      <c r="F1241" s="242" t="s">
        <v>504</v>
      </c>
      <c r="G1241" s="242">
        <v>4.5999999999999996</v>
      </c>
      <c r="H1241" s="230">
        <f t="shared" si="30"/>
        <v>59.8</v>
      </c>
    </row>
    <row r="1242" spans="1:8" ht="12" customHeight="1" x14ac:dyDescent="0.25">
      <c r="A1242" s="244">
        <v>2002</v>
      </c>
      <c r="B1242" s="245" t="s">
        <v>19</v>
      </c>
      <c r="C1242" s="249" t="s">
        <v>20</v>
      </c>
      <c r="D1242" s="250" t="s">
        <v>30</v>
      </c>
      <c r="E1242" s="251">
        <v>16.5</v>
      </c>
      <c r="F1242" s="242" t="s">
        <v>504</v>
      </c>
      <c r="G1242" s="242">
        <v>4.5999999999999996</v>
      </c>
      <c r="H1242" s="230">
        <f t="shared" si="30"/>
        <v>75.899999999999991</v>
      </c>
    </row>
    <row r="1243" spans="1:8" ht="12" customHeight="1" x14ac:dyDescent="0.25">
      <c r="A1243" s="244">
        <v>2002</v>
      </c>
      <c r="B1243" s="245" t="s">
        <v>19</v>
      </c>
      <c r="C1243" s="249" t="s">
        <v>20</v>
      </c>
      <c r="D1243" s="250" t="s">
        <v>30</v>
      </c>
      <c r="E1243" s="251">
        <v>9.5</v>
      </c>
      <c r="F1243" s="242" t="s">
        <v>504</v>
      </c>
      <c r="G1243" s="242">
        <v>4.5999999999999996</v>
      </c>
      <c r="H1243" s="230">
        <f t="shared" si="30"/>
        <v>43.699999999999996</v>
      </c>
    </row>
    <row r="1244" spans="1:8" ht="12" customHeight="1" x14ac:dyDescent="0.25">
      <c r="A1244" s="244">
        <v>2002</v>
      </c>
      <c r="B1244" s="245" t="s">
        <v>19</v>
      </c>
      <c r="C1244" s="249" t="s">
        <v>20</v>
      </c>
      <c r="D1244" s="250" t="s">
        <v>30</v>
      </c>
      <c r="E1244" s="251">
        <v>14</v>
      </c>
      <c r="F1244" s="242" t="s">
        <v>504</v>
      </c>
      <c r="G1244" s="242">
        <v>4.5999999999999996</v>
      </c>
      <c r="H1244" s="230">
        <f t="shared" si="30"/>
        <v>64.399999999999991</v>
      </c>
    </row>
    <row r="1245" spans="1:8" ht="12" customHeight="1" x14ac:dyDescent="0.25">
      <c r="A1245" s="244">
        <v>2002</v>
      </c>
      <c r="B1245" s="245" t="s">
        <v>19</v>
      </c>
      <c r="C1245" s="249" t="s">
        <v>20</v>
      </c>
      <c r="D1245" s="250" t="s">
        <v>30</v>
      </c>
      <c r="E1245" s="251">
        <v>10.5</v>
      </c>
      <c r="F1245" s="242" t="s">
        <v>504</v>
      </c>
      <c r="G1245" s="242">
        <v>4.5999999999999996</v>
      </c>
      <c r="H1245" s="230">
        <f t="shared" si="30"/>
        <v>48.3</v>
      </c>
    </row>
    <row r="1246" spans="1:8" ht="12" customHeight="1" x14ac:dyDescent="0.25">
      <c r="A1246" s="244">
        <v>2002</v>
      </c>
      <c r="B1246" s="245" t="s">
        <v>19</v>
      </c>
      <c r="C1246" s="249" t="s">
        <v>20</v>
      </c>
      <c r="D1246" s="250" t="s">
        <v>30</v>
      </c>
      <c r="E1246" s="251">
        <v>12</v>
      </c>
      <c r="F1246" s="242" t="s">
        <v>504</v>
      </c>
      <c r="G1246" s="242">
        <v>4.5999999999999996</v>
      </c>
      <c r="H1246" s="230">
        <f t="shared" si="30"/>
        <v>55.199999999999996</v>
      </c>
    </row>
    <row r="1247" spans="1:8" ht="12" customHeight="1" x14ac:dyDescent="0.25">
      <c r="A1247" s="244">
        <v>2002</v>
      </c>
      <c r="B1247" s="245" t="s">
        <v>19</v>
      </c>
      <c r="C1247" s="249" t="s">
        <v>20</v>
      </c>
      <c r="D1247" s="250" t="s">
        <v>30</v>
      </c>
      <c r="E1247" s="251">
        <v>13.5</v>
      </c>
      <c r="F1247" s="242" t="s">
        <v>504</v>
      </c>
      <c r="G1247" s="242">
        <v>4.5999999999999996</v>
      </c>
      <c r="H1247" s="230">
        <f t="shared" si="30"/>
        <v>62.099999999999994</v>
      </c>
    </row>
    <row r="1248" spans="1:8" ht="12" customHeight="1" x14ac:dyDescent="0.25">
      <c r="A1248" s="244">
        <v>2002</v>
      </c>
      <c r="B1248" s="245" t="s">
        <v>19</v>
      </c>
      <c r="C1248" s="249" t="s">
        <v>20</v>
      </c>
      <c r="D1248" s="250" t="s">
        <v>30</v>
      </c>
      <c r="E1248" s="251">
        <v>15.5</v>
      </c>
      <c r="F1248" s="242" t="s">
        <v>504</v>
      </c>
      <c r="G1248" s="242">
        <v>4.5999999999999996</v>
      </c>
      <c r="H1248" s="230">
        <f t="shared" si="30"/>
        <v>71.3</v>
      </c>
    </row>
    <row r="1249" spans="1:8" ht="12" customHeight="1" x14ac:dyDescent="0.25">
      <c r="A1249" s="244">
        <v>2002</v>
      </c>
      <c r="B1249" s="245" t="s">
        <v>19</v>
      </c>
      <c r="C1249" s="249" t="s">
        <v>20</v>
      </c>
      <c r="D1249" s="250" t="s">
        <v>30</v>
      </c>
      <c r="E1249" s="251">
        <v>12.5</v>
      </c>
      <c r="F1249" s="242" t="s">
        <v>504</v>
      </c>
      <c r="G1249" s="242">
        <v>4.5999999999999996</v>
      </c>
      <c r="H1249" s="230">
        <f t="shared" si="30"/>
        <v>57.499999999999993</v>
      </c>
    </row>
    <row r="1250" spans="1:8" ht="12" customHeight="1" x14ac:dyDescent="0.25">
      <c r="A1250" s="244">
        <v>2002</v>
      </c>
      <c r="B1250" s="245" t="s">
        <v>19</v>
      </c>
      <c r="C1250" s="249" t="s">
        <v>20</v>
      </c>
      <c r="D1250" s="250" t="s">
        <v>30</v>
      </c>
      <c r="E1250" s="251">
        <v>16</v>
      </c>
      <c r="F1250" s="242" t="s">
        <v>504</v>
      </c>
      <c r="G1250" s="242">
        <v>4.5999999999999996</v>
      </c>
      <c r="H1250" s="230">
        <f t="shared" si="30"/>
        <v>73.599999999999994</v>
      </c>
    </row>
    <row r="1251" spans="1:8" ht="12" customHeight="1" x14ac:dyDescent="0.25">
      <c r="A1251" s="244">
        <v>2002</v>
      </c>
      <c r="B1251" s="245" t="s">
        <v>19</v>
      </c>
      <c r="C1251" s="249" t="s">
        <v>20</v>
      </c>
      <c r="D1251" s="250" t="s">
        <v>30</v>
      </c>
      <c r="E1251" s="251">
        <v>13</v>
      </c>
      <c r="F1251" s="242" t="s">
        <v>504</v>
      </c>
      <c r="G1251" s="242">
        <v>4.5999999999999996</v>
      </c>
      <c r="H1251" s="230">
        <f t="shared" si="30"/>
        <v>59.8</v>
      </c>
    </row>
    <row r="1252" spans="1:8" ht="12" customHeight="1" x14ac:dyDescent="0.25">
      <c r="A1252" s="244">
        <v>2002</v>
      </c>
      <c r="B1252" s="245" t="s">
        <v>19</v>
      </c>
      <c r="C1252" s="249" t="s">
        <v>20</v>
      </c>
      <c r="D1252" s="250" t="s">
        <v>30</v>
      </c>
      <c r="E1252" s="251">
        <v>13</v>
      </c>
      <c r="F1252" s="242" t="s">
        <v>504</v>
      </c>
      <c r="G1252" s="242">
        <v>4.5999999999999996</v>
      </c>
      <c r="H1252" s="230">
        <f t="shared" si="30"/>
        <v>59.8</v>
      </c>
    </row>
    <row r="1253" spans="1:8" ht="12" customHeight="1" x14ac:dyDescent="0.25">
      <c r="A1253" s="244">
        <v>2002</v>
      </c>
      <c r="B1253" s="245" t="s">
        <v>19</v>
      </c>
      <c r="C1253" s="249" t="s">
        <v>20</v>
      </c>
      <c r="D1253" s="250" t="s">
        <v>30</v>
      </c>
      <c r="E1253" s="251">
        <v>18</v>
      </c>
      <c r="F1253" s="242" t="s">
        <v>504</v>
      </c>
      <c r="G1253" s="242">
        <v>4.5999999999999996</v>
      </c>
      <c r="H1253" s="230">
        <f t="shared" si="30"/>
        <v>82.8</v>
      </c>
    </row>
    <row r="1254" spans="1:8" ht="12" customHeight="1" x14ac:dyDescent="0.25">
      <c r="A1254" s="244">
        <v>2002</v>
      </c>
      <c r="B1254" s="245" t="s">
        <v>19</v>
      </c>
      <c r="C1254" s="249" t="s">
        <v>20</v>
      </c>
      <c r="D1254" s="250" t="s">
        <v>30</v>
      </c>
      <c r="E1254" s="251">
        <v>13</v>
      </c>
      <c r="F1254" s="242" t="s">
        <v>504</v>
      </c>
      <c r="G1254" s="242">
        <v>4.5999999999999996</v>
      </c>
      <c r="H1254" s="230">
        <f t="shared" si="30"/>
        <v>59.8</v>
      </c>
    </row>
    <row r="1255" spans="1:8" ht="12" customHeight="1" x14ac:dyDescent="0.25">
      <c r="A1255" s="244">
        <v>2002</v>
      </c>
      <c r="B1255" s="245" t="s">
        <v>19</v>
      </c>
      <c r="C1255" s="249" t="s">
        <v>20</v>
      </c>
      <c r="D1255" s="250" t="s">
        <v>30</v>
      </c>
      <c r="E1255" s="251">
        <v>11</v>
      </c>
      <c r="F1255" s="242" t="s">
        <v>504</v>
      </c>
      <c r="G1255" s="242">
        <v>4.5999999999999996</v>
      </c>
      <c r="H1255" s="230">
        <f t="shared" si="30"/>
        <v>50.599999999999994</v>
      </c>
    </row>
    <row r="1256" spans="1:8" ht="12" customHeight="1" x14ac:dyDescent="0.25">
      <c r="A1256" s="244">
        <v>2002</v>
      </c>
      <c r="B1256" s="245" t="s">
        <v>19</v>
      </c>
      <c r="C1256" s="249" t="s">
        <v>20</v>
      </c>
      <c r="D1256" s="250" t="s">
        <v>30</v>
      </c>
      <c r="E1256" s="251">
        <v>10</v>
      </c>
      <c r="F1256" s="242" t="s">
        <v>504</v>
      </c>
      <c r="G1256" s="242">
        <v>4.5999999999999996</v>
      </c>
      <c r="H1256" s="230">
        <f t="shared" si="30"/>
        <v>46</v>
      </c>
    </row>
    <row r="1257" spans="1:8" ht="12" customHeight="1" x14ac:dyDescent="0.25">
      <c r="A1257" s="244">
        <v>2002</v>
      </c>
      <c r="B1257" s="245" t="s">
        <v>19</v>
      </c>
      <c r="C1257" s="249" t="s">
        <v>20</v>
      </c>
      <c r="D1257" s="250" t="s">
        <v>30</v>
      </c>
      <c r="E1257" s="251">
        <v>12.5</v>
      </c>
      <c r="F1257" s="242" t="s">
        <v>504</v>
      </c>
      <c r="G1257" s="242">
        <v>4.5999999999999996</v>
      </c>
      <c r="H1257" s="230">
        <f t="shared" si="30"/>
        <v>57.499999999999993</v>
      </c>
    </row>
    <row r="1258" spans="1:8" ht="12" customHeight="1" x14ac:dyDescent="0.25">
      <c r="A1258" s="244">
        <v>2002</v>
      </c>
      <c r="B1258" s="245" t="s">
        <v>19</v>
      </c>
      <c r="C1258" s="249" t="s">
        <v>20</v>
      </c>
      <c r="D1258" s="250" t="s">
        <v>30</v>
      </c>
      <c r="E1258" s="251">
        <v>12</v>
      </c>
      <c r="F1258" s="242" t="s">
        <v>504</v>
      </c>
      <c r="G1258" s="242">
        <v>4.5999999999999996</v>
      </c>
      <c r="H1258" s="230">
        <f t="shared" si="30"/>
        <v>55.199999999999996</v>
      </c>
    </row>
    <row r="1259" spans="1:8" ht="12" customHeight="1" x14ac:dyDescent="0.25">
      <c r="A1259" s="244">
        <v>2002</v>
      </c>
      <c r="B1259" s="245" t="s">
        <v>19</v>
      </c>
      <c r="C1259" s="249" t="s">
        <v>20</v>
      </c>
      <c r="D1259" s="250" t="s">
        <v>30</v>
      </c>
      <c r="E1259" s="251">
        <v>11.5</v>
      </c>
      <c r="F1259" s="242" t="s">
        <v>504</v>
      </c>
      <c r="G1259" s="242">
        <v>4.5999999999999996</v>
      </c>
      <c r="H1259" s="230">
        <f t="shared" si="30"/>
        <v>52.9</v>
      </c>
    </row>
    <row r="1260" spans="1:8" ht="12" customHeight="1" x14ac:dyDescent="0.25">
      <c r="A1260" s="244">
        <v>2002</v>
      </c>
      <c r="B1260" s="245" t="s">
        <v>19</v>
      </c>
      <c r="C1260" s="249" t="s">
        <v>20</v>
      </c>
      <c r="D1260" s="250" t="s">
        <v>30</v>
      </c>
      <c r="E1260" s="251">
        <v>9.5</v>
      </c>
      <c r="F1260" s="242" t="s">
        <v>504</v>
      </c>
      <c r="G1260" s="242">
        <v>4.5999999999999996</v>
      </c>
      <c r="H1260" s="230">
        <f t="shared" si="30"/>
        <v>43.699999999999996</v>
      </c>
    </row>
    <row r="1261" spans="1:8" ht="12" customHeight="1" x14ac:dyDescent="0.25">
      <c r="A1261" s="244">
        <v>2002</v>
      </c>
      <c r="B1261" s="245" t="s">
        <v>19</v>
      </c>
      <c r="C1261" s="249" t="s">
        <v>20</v>
      </c>
      <c r="D1261" s="250" t="s">
        <v>30</v>
      </c>
      <c r="E1261" s="251">
        <v>10.5</v>
      </c>
      <c r="F1261" s="242" t="s">
        <v>504</v>
      </c>
      <c r="G1261" s="242">
        <v>4.5999999999999996</v>
      </c>
      <c r="H1261" s="230">
        <f t="shared" si="30"/>
        <v>48.3</v>
      </c>
    </row>
    <row r="1262" spans="1:8" ht="12" customHeight="1" x14ac:dyDescent="0.25">
      <c r="A1262" s="244">
        <v>2002</v>
      </c>
      <c r="B1262" s="245" t="s">
        <v>19</v>
      </c>
      <c r="C1262" s="249" t="s">
        <v>20</v>
      </c>
      <c r="D1262" s="250" t="s">
        <v>30</v>
      </c>
      <c r="E1262" s="251">
        <v>8</v>
      </c>
      <c r="F1262" s="242" t="s">
        <v>504</v>
      </c>
      <c r="G1262" s="242">
        <v>4.5999999999999996</v>
      </c>
      <c r="H1262" s="230">
        <f t="shared" si="30"/>
        <v>36.799999999999997</v>
      </c>
    </row>
    <row r="1263" spans="1:8" ht="12" customHeight="1" x14ac:dyDescent="0.25">
      <c r="A1263" s="244">
        <v>2002</v>
      </c>
      <c r="B1263" s="245" t="s">
        <v>19</v>
      </c>
      <c r="C1263" s="249" t="s">
        <v>20</v>
      </c>
      <c r="D1263" s="250" t="s">
        <v>30</v>
      </c>
      <c r="E1263" s="251">
        <v>15</v>
      </c>
      <c r="F1263" s="242" t="s">
        <v>504</v>
      </c>
      <c r="G1263" s="242">
        <v>4.5999999999999996</v>
      </c>
      <c r="H1263" s="230">
        <f t="shared" si="30"/>
        <v>69</v>
      </c>
    </row>
    <row r="1264" spans="1:8" ht="12" customHeight="1" x14ac:dyDescent="0.25">
      <c r="A1264" s="244">
        <v>2002</v>
      </c>
      <c r="B1264" s="245" t="s">
        <v>19</v>
      </c>
      <c r="C1264" s="249" t="s">
        <v>20</v>
      </c>
      <c r="D1264" s="250" t="s">
        <v>30</v>
      </c>
      <c r="E1264" s="251">
        <v>13.5</v>
      </c>
      <c r="F1264" s="242" t="s">
        <v>504</v>
      </c>
      <c r="G1264" s="242">
        <v>4.5999999999999996</v>
      </c>
      <c r="H1264" s="230">
        <f t="shared" si="30"/>
        <v>62.099999999999994</v>
      </c>
    </row>
    <row r="1265" spans="1:8" ht="12" customHeight="1" x14ac:dyDescent="0.25">
      <c r="A1265" s="244">
        <v>2002</v>
      </c>
      <c r="B1265" s="245" t="s">
        <v>19</v>
      </c>
      <c r="C1265" s="249" t="s">
        <v>20</v>
      </c>
      <c r="D1265" s="250" t="s">
        <v>30</v>
      </c>
      <c r="E1265" s="251">
        <v>13.5</v>
      </c>
      <c r="F1265" s="242" t="s">
        <v>504</v>
      </c>
      <c r="G1265" s="242">
        <v>4.5999999999999996</v>
      </c>
      <c r="H1265" s="230">
        <f t="shared" si="30"/>
        <v>62.099999999999994</v>
      </c>
    </row>
    <row r="1266" spans="1:8" ht="12" customHeight="1" x14ac:dyDescent="0.25">
      <c r="A1266" s="244">
        <v>2002</v>
      </c>
      <c r="B1266" s="245" t="s">
        <v>19</v>
      </c>
      <c r="C1266" s="249" t="s">
        <v>20</v>
      </c>
      <c r="D1266" s="250" t="s">
        <v>30</v>
      </c>
      <c r="E1266" s="251">
        <v>8.5</v>
      </c>
      <c r="F1266" s="242" t="s">
        <v>504</v>
      </c>
      <c r="G1266" s="242">
        <v>4.5999999999999996</v>
      </c>
      <c r="H1266" s="230">
        <f t="shared" si="30"/>
        <v>39.099999999999994</v>
      </c>
    </row>
    <row r="1267" spans="1:8" ht="12" customHeight="1" x14ac:dyDescent="0.25">
      <c r="A1267" s="244">
        <v>2002</v>
      </c>
      <c r="B1267" s="245" t="s">
        <v>19</v>
      </c>
      <c r="C1267" s="249" t="s">
        <v>20</v>
      </c>
      <c r="D1267" s="250" t="s">
        <v>30</v>
      </c>
      <c r="E1267" s="251">
        <v>11</v>
      </c>
      <c r="F1267" s="242" t="s">
        <v>504</v>
      </c>
      <c r="G1267" s="242">
        <v>4.5999999999999996</v>
      </c>
      <c r="H1267" s="230">
        <f t="shared" si="30"/>
        <v>50.599999999999994</v>
      </c>
    </row>
    <row r="1268" spans="1:8" ht="12" customHeight="1" x14ac:dyDescent="0.25">
      <c r="A1268" s="244">
        <v>2002</v>
      </c>
      <c r="B1268" s="245" t="s">
        <v>19</v>
      </c>
      <c r="C1268" s="249" t="s">
        <v>20</v>
      </c>
      <c r="D1268" s="250" t="s">
        <v>30</v>
      </c>
      <c r="E1268" s="251">
        <v>17</v>
      </c>
      <c r="F1268" s="242" t="s">
        <v>504</v>
      </c>
      <c r="G1268" s="242">
        <v>4.5999999999999996</v>
      </c>
      <c r="H1268" s="230">
        <f t="shared" si="30"/>
        <v>78.199999999999989</v>
      </c>
    </row>
    <row r="1269" spans="1:8" ht="12" customHeight="1" x14ac:dyDescent="0.25">
      <c r="A1269" s="244">
        <v>2002</v>
      </c>
      <c r="B1269" s="245" t="s">
        <v>19</v>
      </c>
      <c r="C1269" s="249" t="s">
        <v>20</v>
      </c>
      <c r="D1269" s="250" t="s">
        <v>30</v>
      </c>
      <c r="E1269" s="251">
        <v>12</v>
      </c>
      <c r="F1269" s="242" t="s">
        <v>504</v>
      </c>
      <c r="G1269" s="242">
        <v>4.5999999999999996</v>
      </c>
      <c r="H1269" s="230">
        <f t="shared" si="30"/>
        <v>55.199999999999996</v>
      </c>
    </row>
    <row r="1270" spans="1:8" ht="12" customHeight="1" x14ac:dyDescent="0.25">
      <c r="A1270" s="244">
        <v>2002</v>
      </c>
      <c r="B1270" s="245" t="s">
        <v>19</v>
      </c>
      <c r="C1270" s="249" t="s">
        <v>20</v>
      </c>
      <c r="D1270" s="250" t="s">
        <v>30</v>
      </c>
      <c r="E1270" s="251">
        <v>11.5</v>
      </c>
      <c r="F1270" s="242" t="s">
        <v>504</v>
      </c>
      <c r="G1270" s="242">
        <v>4.5999999999999996</v>
      </c>
      <c r="H1270" s="230">
        <f t="shared" si="30"/>
        <v>52.9</v>
      </c>
    </row>
    <row r="1271" spans="1:8" ht="12" customHeight="1" x14ac:dyDescent="0.25">
      <c r="A1271" s="244">
        <v>2002</v>
      </c>
      <c r="B1271" s="245" t="s">
        <v>19</v>
      </c>
      <c r="C1271" s="249" t="s">
        <v>20</v>
      </c>
      <c r="D1271" s="250" t="s">
        <v>30</v>
      </c>
      <c r="E1271" s="251">
        <v>10</v>
      </c>
      <c r="F1271" s="242" t="s">
        <v>504</v>
      </c>
      <c r="G1271" s="242">
        <v>4.5999999999999996</v>
      </c>
      <c r="H1271" s="230">
        <f t="shared" si="30"/>
        <v>46</v>
      </c>
    </row>
    <row r="1272" spans="1:8" ht="12" customHeight="1" x14ac:dyDescent="0.25">
      <c r="A1272" s="244">
        <v>2002</v>
      </c>
      <c r="B1272" s="245" t="s">
        <v>19</v>
      </c>
      <c r="C1272" s="249" t="s">
        <v>20</v>
      </c>
      <c r="D1272" s="250" t="s">
        <v>30</v>
      </c>
      <c r="E1272" s="251">
        <v>10</v>
      </c>
      <c r="F1272" s="242" t="s">
        <v>504</v>
      </c>
      <c r="G1272" s="242">
        <v>4.5999999999999996</v>
      </c>
      <c r="H1272" s="230">
        <f t="shared" si="30"/>
        <v>46</v>
      </c>
    </row>
    <row r="1273" spans="1:8" ht="12" customHeight="1" x14ac:dyDescent="0.25">
      <c r="A1273" s="244">
        <v>2002</v>
      </c>
      <c r="B1273" s="245" t="s">
        <v>19</v>
      </c>
      <c r="C1273" s="249" t="s">
        <v>20</v>
      </c>
      <c r="D1273" s="250" t="s">
        <v>30</v>
      </c>
      <c r="E1273" s="251">
        <v>9</v>
      </c>
      <c r="F1273" s="242" t="s">
        <v>504</v>
      </c>
      <c r="G1273" s="242">
        <v>4.5999999999999996</v>
      </c>
      <c r="H1273" s="230">
        <f t="shared" si="30"/>
        <v>41.4</v>
      </c>
    </row>
    <row r="1274" spans="1:8" ht="12" customHeight="1" x14ac:dyDescent="0.25">
      <c r="A1274" s="244">
        <v>2002</v>
      </c>
      <c r="B1274" s="245" t="s">
        <v>19</v>
      </c>
      <c r="C1274" s="249" t="s">
        <v>20</v>
      </c>
      <c r="D1274" s="250" t="s">
        <v>30</v>
      </c>
      <c r="E1274" s="251">
        <v>5.5</v>
      </c>
      <c r="F1274" s="242" t="s">
        <v>504</v>
      </c>
      <c r="G1274" s="242">
        <v>4.5999999999999996</v>
      </c>
      <c r="H1274" s="230">
        <f t="shared" si="30"/>
        <v>25.299999999999997</v>
      </c>
    </row>
    <row r="1275" spans="1:8" ht="12" customHeight="1" x14ac:dyDescent="0.25">
      <c r="A1275" s="244">
        <v>2002</v>
      </c>
      <c r="B1275" s="245" t="s">
        <v>19</v>
      </c>
      <c r="C1275" s="249" t="s">
        <v>20</v>
      </c>
      <c r="D1275" s="250" t="s">
        <v>30</v>
      </c>
      <c r="E1275" s="251">
        <v>12.5</v>
      </c>
      <c r="F1275" s="242" t="s">
        <v>504</v>
      </c>
      <c r="G1275" s="242">
        <v>4.5999999999999996</v>
      </c>
      <c r="H1275" s="230">
        <f t="shared" si="30"/>
        <v>57.499999999999993</v>
      </c>
    </row>
    <row r="1276" spans="1:8" ht="12" customHeight="1" x14ac:dyDescent="0.25">
      <c r="A1276" s="244">
        <v>2002</v>
      </c>
      <c r="B1276" s="245" t="s">
        <v>19</v>
      </c>
      <c r="C1276" s="249" t="s">
        <v>20</v>
      </c>
      <c r="D1276" s="250" t="s">
        <v>30</v>
      </c>
      <c r="E1276" s="251">
        <v>21</v>
      </c>
      <c r="F1276" s="242" t="s">
        <v>504</v>
      </c>
      <c r="G1276" s="242">
        <v>4.5999999999999996</v>
      </c>
      <c r="H1276" s="230">
        <f t="shared" si="30"/>
        <v>96.6</v>
      </c>
    </row>
    <row r="1277" spans="1:8" ht="12" customHeight="1" x14ac:dyDescent="0.25">
      <c r="A1277" s="244">
        <v>2002</v>
      </c>
      <c r="B1277" s="245" t="s">
        <v>19</v>
      </c>
      <c r="C1277" s="249" t="s">
        <v>20</v>
      </c>
      <c r="D1277" s="250" t="s">
        <v>30</v>
      </c>
      <c r="E1277" s="251">
        <v>17.5</v>
      </c>
      <c r="F1277" s="242" t="s">
        <v>504</v>
      </c>
      <c r="G1277" s="242">
        <v>4.5999999999999996</v>
      </c>
      <c r="H1277" s="230">
        <f t="shared" si="30"/>
        <v>80.5</v>
      </c>
    </row>
    <row r="1278" spans="1:8" ht="12" customHeight="1" x14ac:dyDescent="0.25">
      <c r="A1278" s="244">
        <v>2002</v>
      </c>
      <c r="B1278" s="245" t="s">
        <v>19</v>
      </c>
      <c r="C1278" s="249" t="s">
        <v>20</v>
      </c>
      <c r="D1278" s="250" t="s">
        <v>30</v>
      </c>
      <c r="E1278" s="251">
        <v>14</v>
      </c>
      <c r="F1278" s="242" t="s">
        <v>504</v>
      </c>
      <c r="G1278" s="242">
        <v>4.5999999999999996</v>
      </c>
      <c r="H1278" s="230">
        <f t="shared" si="30"/>
        <v>64.399999999999991</v>
      </c>
    </row>
    <row r="1279" spans="1:8" ht="12" customHeight="1" x14ac:dyDescent="0.25">
      <c r="A1279" s="244">
        <v>2002</v>
      </c>
      <c r="B1279" s="245" t="s">
        <v>19</v>
      </c>
      <c r="C1279" s="249" t="s">
        <v>20</v>
      </c>
      <c r="D1279" s="250" t="s">
        <v>30</v>
      </c>
      <c r="E1279" s="251">
        <v>20</v>
      </c>
      <c r="F1279" s="242" t="s">
        <v>504</v>
      </c>
      <c r="G1279" s="242">
        <v>4.5999999999999996</v>
      </c>
      <c r="H1279" s="230">
        <f t="shared" si="30"/>
        <v>92</v>
      </c>
    </row>
    <row r="1280" spans="1:8" ht="12" customHeight="1" x14ac:dyDescent="0.25">
      <c r="A1280" s="244">
        <v>2002</v>
      </c>
      <c r="B1280" s="245" t="s">
        <v>19</v>
      </c>
      <c r="C1280" s="249" t="s">
        <v>20</v>
      </c>
      <c r="D1280" s="250" t="s">
        <v>30</v>
      </c>
      <c r="E1280" s="251">
        <v>15.5</v>
      </c>
      <c r="F1280" s="242" t="s">
        <v>504</v>
      </c>
      <c r="G1280" s="242">
        <v>4.5999999999999996</v>
      </c>
      <c r="H1280" s="230">
        <f t="shared" si="30"/>
        <v>71.3</v>
      </c>
    </row>
    <row r="1281" spans="1:8" ht="15.75" x14ac:dyDescent="0.25">
      <c r="A1281" s="244">
        <v>2002</v>
      </c>
      <c r="B1281" s="245" t="s">
        <v>19</v>
      </c>
      <c r="C1281" s="249" t="s">
        <v>20</v>
      </c>
      <c r="D1281" s="250" t="s">
        <v>30</v>
      </c>
      <c r="E1281" s="251">
        <v>20.5</v>
      </c>
      <c r="F1281" s="242" t="s">
        <v>504</v>
      </c>
      <c r="G1281" s="242">
        <v>4.5999999999999996</v>
      </c>
      <c r="H1281" s="230">
        <f t="shared" si="30"/>
        <v>94.3</v>
      </c>
    </row>
    <row r="1282" spans="1:8" ht="15.75" x14ac:dyDescent="0.25">
      <c r="A1282" s="244">
        <v>2002</v>
      </c>
      <c r="B1282" s="245" t="s">
        <v>19</v>
      </c>
      <c r="C1282" s="249" t="s">
        <v>20</v>
      </c>
      <c r="D1282" s="250" t="s">
        <v>30</v>
      </c>
      <c r="E1282" s="251">
        <v>12.5</v>
      </c>
      <c r="F1282" s="242" t="s">
        <v>504</v>
      </c>
      <c r="G1282" s="242">
        <v>4.5999999999999996</v>
      </c>
      <c r="H1282" s="230">
        <f t="shared" si="30"/>
        <v>57.499999999999993</v>
      </c>
    </row>
    <row r="1283" spans="1:8" ht="15.75" x14ac:dyDescent="0.25">
      <c r="A1283" s="244">
        <v>2002</v>
      </c>
      <c r="B1283" s="245" t="s">
        <v>19</v>
      </c>
      <c r="C1283" s="249" t="s">
        <v>20</v>
      </c>
      <c r="D1283" s="250" t="s">
        <v>30</v>
      </c>
      <c r="E1283" s="251">
        <v>13</v>
      </c>
      <c r="F1283" s="242" t="s">
        <v>504</v>
      </c>
      <c r="G1283" s="242">
        <v>4.5999999999999996</v>
      </c>
      <c r="H1283" s="230">
        <f t="shared" ref="H1283:H1346" si="31">E1283*G1283</f>
        <v>59.8</v>
      </c>
    </row>
    <row r="1284" spans="1:8" ht="15.75" x14ac:dyDescent="0.25">
      <c r="A1284" s="244">
        <v>2002</v>
      </c>
      <c r="B1284" s="245" t="s">
        <v>19</v>
      </c>
      <c r="C1284" s="249" t="s">
        <v>20</v>
      </c>
      <c r="D1284" s="250" t="s">
        <v>30</v>
      </c>
      <c r="E1284" s="251">
        <v>8</v>
      </c>
      <c r="F1284" s="242" t="s">
        <v>504</v>
      </c>
      <c r="G1284" s="242">
        <v>4.5999999999999996</v>
      </c>
      <c r="H1284" s="230">
        <f t="shared" si="31"/>
        <v>36.799999999999997</v>
      </c>
    </row>
    <row r="1285" spans="1:8" ht="15.75" x14ac:dyDescent="0.25">
      <c r="A1285" s="244">
        <v>2002</v>
      </c>
      <c r="B1285" s="245" t="s">
        <v>19</v>
      </c>
      <c r="C1285" s="249" t="s">
        <v>20</v>
      </c>
      <c r="D1285" s="250" t="s">
        <v>30</v>
      </c>
      <c r="E1285" s="251">
        <v>7</v>
      </c>
      <c r="F1285" s="242" t="s">
        <v>504</v>
      </c>
      <c r="G1285" s="242">
        <v>4.5999999999999996</v>
      </c>
      <c r="H1285" s="230">
        <f t="shared" si="31"/>
        <v>32.199999999999996</v>
      </c>
    </row>
    <row r="1286" spans="1:8" ht="15.75" x14ac:dyDescent="0.25">
      <c r="A1286" s="244">
        <v>2002</v>
      </c>
      <c r="B1286" s="245" t="s">
        <v>19</v>
      </c>
      <c r="C1286" s="249" t="s">
        <v>20</v>
      </c>
      <c r="D1286" s="250" t="s">
        <v>30</v>
      </c>
      <c r="E1286" s="251">
        <v>13.5</v>
      </c>
      <c r="F1286" s="242" t="s">
        <v>504</v>
      </c>
      <c r="G1286" s="242">
        <v>4.5999999999999996</v>
      </c>
      <c r="H1286" s="230">
        <f t="shared" si="31"/>
        <v>62.099999999999994</v>
      </c>
    </row>
    <row r="1287" spans="1:8" ht="15.75" x14ac:dyDescent="0.25">
      <c r="A1287" s="244">
        <v>2002</v>
      </c>
      <c r="B1287" s="245" t="s">
        <v>19</v>
      </c>
      <c r="C1287" s="249" t="s">
        <v>20</v>
      </c>
      <c r="D1287" s="250" t="s">
        <v>30</v>
      </c>
      <c r="E1287" s="251">
        <v>10.5</v>
      </c>
      <c r="F1287" s="242" t="s">
        <v>504</v>
      </c>
      <c r="G1287" s="242">
        <v>4.5999999999999996</v>
      </c>
      <c r="H1287" s="230">
        <f t="shared" si="31"/>
        <v>48.3</v>
      </c>
    </row>
    <row r="1288" spans="1:8" ht="15.75" x14ac:dyDescent="0.25">
      <c r="A1288" s="244">
        <v>2002</v>
      </c>
      <c r="B1288" s="245" t="s">
        <v>19</v>
      </c>
      <c r="C1288" s="249" t="s">
        <v>20</v>
      </c>
      <c r="D1288" s="250" t="s">
        <v>30</v>
      </c>
      <c r="E1288" s="251">
        <v>15.5</v>
      </c>
      <c r="F1288" s="242" t="s">
        <v>504</v>
      </c>
      <c r="G1288" s="242">
        <v>4.5999999999999996</v>
      </c>
      <c r="H1288" s="230">
        <f t="shared" si="31"/>
        <v>71.3</v>
      </c>
    </row>
    <row r="1289" spans="1:8" ht="15.75" x14ac:dyDescent="0.25">
      <c r="A1289" s="244">
        <v>2002</v>
      </c>
      <c r="B1289" s="245" t="s">
        <v>19</v>
      </c>
      <c r="C1289" s="249" t="s">
        <v>20</v>
      </c>
      <c r="D1289" s="250" t="s">
        <v>30</v>
      </c>
      <c r="E1289" s="251">
        <v>9</v>
      </c>
      <c r="F1289" s="242" t="s">
        <v>504</v>
      </c>
      <c r="G1289" s="242">
        <v>4.5999999999999996</v>
      </c>
      <c r="H1289" s="230">
        <f t="shared" si="31"/>
        <v>41.4</v>
      </c>
    </row>
    <row r="1290" spans="1:8" ht="15.75" x14ac:dyDescent="0.25">
      <c r="A1290" s="244">
        <v>2002</v>
      </c>
      <c r="B1290" s="245" t="s">
        <v>19</v>
      </c>
      <c r="C1290" s="249" t="s">
        <v>20</v>
      </c>
      <c r="D1290" s="250" t="s">
        <v>30</v>
      </c>
      <c r="E1290" s="251">
        <v>13.5</v>
      </c>
      <c r="F1290" s="242" t="s">
        <v>504</v>
      </c>
      <c r="G1290" s="242">
        <v>4.5999999999999996</v>
      </c>
      <c r="H1290" s="230">
        <f t="shared" si="31"/>
        <v>62.099999999999994</v>
      </c>
    </row>
    <row r="1291" spans="1:8" ht="15.75" x14ac:dyDescent="0.25">
      <c r="A1291" s="244">
        <v>2002</v>
      </c>
      <c r="B1291" s="245" t="s">
        <v>19</v>
      </c>
      <c r="C1291" s="249" t="s">
        <v>20</v>
      </c>
      <c r="D1291" s="250" t="s">
        <v>30</v>
      </c>
      <c r="E1291" s="251">
        <v>13.5</v>
      </c>
      <c r="F1291" s="242" t="s">
        <v>504</v>
      </c>
      <c r="G1291" s="242">
        <v>4.5999999999999996</v>
      </c>
      <c r="H1291" s="230">
        <f t="shared" si="31"/>
        <v>62.099999999999994</v>
      </c>
    </row>
    <row r="1292" spans="1:8" ht="15.75" x14ac:dyDescent="0.25">
      <c r="A1292" s="244">
        <v>2002</v>
      </c>
      <c r="B1292" s="245" t="s">
        <v>19</v>
      </c>
      <c r="C1292" s="249" t="s">
        <v>20</v>
      </c>
      <c r="D1292" s="250" t="s">
        <v>30</v>
      </c>
      <c r="E1292" s="251">
        <v>11.5</v>
      </c>
      <c r="F1292" s="242" t="s">
        <v>504</v>
      </c>
      <c r="G1292" s="242">
        <v>4.5999999999999996</v>
      </c>
      <c r="H1292" s="230">
        <f t="shared" si="31"/>
        <v>52.9</v>
      </c>
    </row>
    <row r="1293" spans="1:8" ht="15.75" x14ac:dyDescent="0.25">
      <c r="A1293" s="244">
        <v>2002</v>
      </c>
      <c r="B1293" s="245" t="s">
        <v>19</v>
      </c>
      <c r="C1293" s="249" t="s">
        <v>20</v>
      </c>
      <c r="D1293" s="250" t="s">
        <v>30</v>
      </c>
      <c r="E1293" s="251">
        <v>12.5</v>
      </c>
      <c r="F1293" s="242" t="s">
        <v>504</v>
      </c>
      <c r="G1293" s="242">
        <v>4.5999999999999996</v>
      </c>
      <c r="H1293" s="230">
        <f t="shared" si="31"/>
        <v>57.499999999999993</v>
      </c>
    </row>
    <row r="1294" spans="1:8" ht="15.75" x14ac:dyDescent="0.25">
      <c r="A1294" s="244">
        <v>2002</v>
      </c>
      <c r="B1294" s="245" t="s">
        <v>19</v>
      </c>
      <c r="C1294" s="249" t="s">
        <v>20</v>
      </c>
      <c r="D1294" s="250" t="s">
        <v>30</v>
      </c>
      <c r="E1294" s="251">
        <v>11.5</v>
      </c>
      <c r="F1294" s="242" t="s">
        <v>504</v>
      </c>
      <c r="G1294" s="242">
        <v>4.5999999999999996</v>
      </c>
      <c r="H1294" s="230">
        <f t="shared" si="31"/>
        <v>52.9</v>
      </c>
    </row>
    <row r="1295" spans="1:8" ht="15.75" x14ac:dyDescent="0.25">
      <c r="A1295" s="244">
        <v>2002</v>
      </c>
      <c r="B1295" s="245" t="s">
        <v>19</v>
      </c>
      <c r="C1295" s="249" t="s">
        <v>20</v>
      </c>
      <c r="D1295" s="250" t="s">
        <v>30</v>
      </c>
      <c r="E1295" s="251">
        <v>11</v>
      </c>
      <c r="F1295" s="242" t="s">
        <v>504</v>
      </c>
      <c r="G1295" s="242">
        <v>4.5999999999999996</v>
      </c>
      <c r="H1295" s="230">
        <f t="shared" si="31"/>
        <v>50.599999999999994</v>
      </c>
    </row>
    <row r="1296" spans="1:8" ht="15.75" x14ac:dyDescent="0.25">
      <c r="A1296" s="244">
        <v>2002</v>
      </c>
      <c r="B1296" s="245" t="s">
        <v>19</v>
      </c>
      <c r="C1296" s="249" t="s">
        <v>20</v>
      </c>
      <c r="D1296" s="250" t="s">
        <v>30</v>
      </c>
      <c r="E1296" s="251">
        <v>11.5</v>
      </c>
      <c r="F1296" s="242" t="s">
        <v>504</v>
      </c>
      <c r="G1296" s="242">
        <v>4.5999999999999996</v>
      </c>
      <c r="H1296" s="230">
        <f t="shared" si="31"/>
        <v>52.9</v>
      </c>
    </row>
    <row r="1297" spans="1:8" ht="15.75" x14ac:dyDescent="0.25">
      <c r="A1297" s="244">
        <v>2002</v>
      </c>
      <c r="B1297" s="245" t="s">
        <v>19</v>
      </c>
      <c r="C1297" s="249" t="s">
        <v>20</v>
      </c>
      <c r="D1297" s="250" t="s">
        <v>30</v>
      </c>
      <c r="E1297" s="251">
        <v>14</v>
      </c>
      <c r="F1297" s="242" t="s">
        <v>504</v>
      </c>
      <c r="G1297" s="242">
        <v>4.5999999999999996</v>
      </c>
      <c r="H1297" s="230">
        <f t="shared" si="31"/>
        <v>64.399999999999991</v>
      </c>
    </row>
    <row r="1298" spans="1:8" ht="15.75" x14ac:dyDescent="0.25">
      <c r="A1298" s="244">
        <v>2002</v>
      </c>
      <c r="B1298" s="245" t="s">
        <v>19</v>
      </c>
      <c r="C1298" s="249" t="s">
        <v>20</v>
      </c>
      <c r="D1298" s="250" t="s">
        <v>30</v>
      </c>
      <c r="E1298" s="251">
        <v>9</v>
      </c>
      <c r="F1298" s="242" t="s">
        <v>504</v>
      </c>
      <c r="G1298" s="242">
        <v>4.5999999999999996</v>
      </c>
      <c r="H1298" s="230">
        <f t="shared" si="31"/>
        <v>41.4</v>
      </c>
    </row>
    <row r="1299" spans="1:8" ht="15.75" x14ac:dyDescent="0.25">
      <c r="A1299" s="244">
        <v>2002</v>
      </c>
      <c r="B1299" s="245" t="s">
        <v>19</v>
      </c>
      <c r="C1299" s="249" t="s">
        <v>20</v>
      </c>
      <c r="D1299" s="250" t="s">
        <v>30</v>
      </c>
      <c r="E1299" s="251">
        <v>13</v>
      </c>
      <c r="F1299" s="242" t="s">
        <v>504</v>
      </c>
      <c r="G1299" s="242">
        <v>4.5999999999999996</v>
      </c>
      <c r="H1299" s="230">
        <f t="shared" si="31"/>
        <v>59.8</v>
      </c>
    </row>
    <row r="1300" spans="1:8" ht="15.75" x14ac:dyDescent="0.25">
      <c r="A1300" s="244">
        <v>2002</v>
      </c>
      <c r="B1300" s="245" t="s">
        <v>19</v>
      </c>
      <c r="C1300" s="249" t="s">
        <v>20</v>
      </c>
      <c r="D1300" s="250" t="s">
        <v>30</v>
      </c>
      <c r="E1300" s="251">
        <v>16</v>
      </c>
      <c r="F1300" s="242" t="s">
        <v>504</v>
      </c>
      <c r="G1300" s="242">
        <v>4.5999999999999996</v>
      </c>
      <c r="H1300" s="230">
        <f t="shared" si="31"/>
        <v>73.599999999999994</v>
      </c>
    </row>
    <row r="1301" spans="1:8" ht="15.75" x14ac:dyDescent="0.25">
      <c r="A1301" s="244">
        <v>2002</v>
      </c>
      <c r="B1301" s="245" t="s">
        <v>19</v>
      </c>
      <c r="C1301" s="249" t="s">
        <v>20</v>
      </c>
      <c r="D1301" s="250" t="s">
        <v>30</v>
      </c>
      <c r="E1301" s="251">
        <v>8</v>
      </c>
      <c r="F1301" s="242" t="s">
        <v>504</v>
      </c>
      <c r="G1301" s="242">
        <v>4.5999999999999996</v>
      </c>
      <c r="H1301" s="230">
        <f t="shared" si="31"/>
        <v>36.799999999999997</v>
      </c>
    </row>
    <row r="1302" spans="1:8" ht="15.75" x14ac:dyDescent="0.25">
      <c r="A1302" s="244">
        <v>2002</v>
      </c>
      <c r="B1302" s="245" t="s">
        <v>19</v>
      </c>
      <c r="C1302" s="249" t="s">
        <v>20</v>
      </c>
      <c r="D1302" s="250" t="s">
        <v>30</v>
      </c>
      <c r="E1302" s="251">
        <v>14</v>
      </c>
      <c r="F1302" s="242" t="s">
        <v>504</v>
      </c>
      <c r="G1302" s="242">
        <v>4.5999999999999996</v>
      </c>
      <c r="H1302" s="230">
        <f t="shared" si="31"/>
        <v>64.399999999999991</v>
      </c>
    </row>
    <row r="1303" spans="1:8" ht="15.75" x14ac:dyDescent="0.25">
      <c r="A1303" s="244">
        <v>2002</v>
      </c>
      <c r="B1303" s="245" t="s">
        <v>19</v>
      </c>
      <c r="C1303" s="249" t="s">
        <v>20</v>
      </c>
      <c r="D1303" s="250" t="s">
        <v>30</v>
      </c>
      <c r="E1303" s="251">
        <v>17.5</v>
      </c>
      <c r="F1303" s="242" t="s">
        <v>504</v>
      </c>
      <c r="G1303" s="242">
        <v>4.5999999999999996</v>
      </c>
      <c r="H1303" s="230">
        <f t="shared" si="31"/>
        <v>80.5</v>
      </c>
    </row>
    <row r="1304" spans="1:8" ht="15.75" x14ac:dyDescent="0.25">
      <c r="A1304" s="244">
        <v>2002</v>
      </c>
      <c r="B1304" s="245" t="s">
        <v>19</v>
      </c>
      <c r="C1304" s="249" t="s">
        <v>20</v>
      </c>
      <c r="D1304" s="250" t="s">
        <v>30</v>
      </c>
      <c r="E1304" s="251">
        <v>15</v>
      </c>
      <c r="F1304" s="242" t="s">
        <v>504</v>
      </c>
      <c r="G1304" s="242">
        <v>4.5999999999999996</v>
      </c>
      <c r="H1304" s="230">
        <f t="shared" si="31"/>
        <v>69</v>
      </c>
    </row>
    <row r="1305" spans="1:8" ht="12" customHeight="1" x14ac:dyDescent="0.25">
      <c r="A1305" s="244">
        <v>2002</v>
      </c>
      <c r="B1305" s="245" t="s">
        <v>19</v>
      </c>
      <c r="C1305" s="249" t="s">
        <v>20</v>
      </c>
      <c r="D1305" s="250" t="s">
        <v>30</v>
      </c>
      <c r="E1305" s="251">
        <v>21.5</v>
      </c>
      <c r="F1305" s="242" t="s">
        <v>504</v>
      </c>
      <c r="G1305" s="242">
        <v>4.5999999999999996</v>
      </c>
      <c r="H1305" s="230">
        <f t="shared" si="31"/>
        <v>98.899999999999991</v>
      </c>
    </row>
    <row r="1306" spans="1:8" ht="12" customHeight="1" x14ac:dyDescent="0.25">
      <c r="A1306" s="244">
        <v>2002</v>
      </c>
      <c r="B1306" s="245" t="s">
        <v>19</v>
      </c>
      <c r="C1306" s="249" t="s">
        <v>20</v>
      </c>
      <c r="D1306" s="250" t="s">
        <v>30</v>
      </c>
      <c r="E1306" s="251">
        <v>15</v>
      </c>
      <c r="F1306" s="242" t="s">
        <v>504</v>
      </c>
      <c r="G1306" s="242">
        <v>4.5999999999999996</v>
      </c>
      <c r="H1306" s="230">
        <f t="shared" si="31"/>
        <v>69</v>
      </c>
    </row>
    <row r="1307" spans="1:8" ht="12" customHeight="1" x14ac:dyDescent="0.25">
      <c r="A1307" s="244">
        <v>2002</v>
      </c>
      <c r="B1307" s="245" t="s">
        <v>19</v>
      </c>
      <c r="C1307" s="249" t="s">
        <v>20</v>
      </c>
      <c r="D1307" s="250" t="s">
        <v>30</v>
      </c>
      <c r="E1307" s="251">
        <v>15.5</v>
      </c>
      <c r="F1307" s="242" t="s">
        <v>504</v>
      </c>
      <c r="G1307" s="242">
        <v>4.5999999999999996</v>
      </c>
      <c r="H1307" s="230">
        <f t="shared" si="31"/>
        <v>71.3</v>
      </c>
    </row>
    <row r="1308" spans="1:8" ht="12" customHeight="1" x14ac:dyDescent="0.25">
      <c r="A1308" s="244">
        <v>2002</v>
      </c>
      <c r="B1308" s="245" t="s">
        <v>19</v>
      </c>
      <c r="C1308" s="249" t="s">
        <v>20</v>
      </c>
      <c r="D1308" s="250" t="s">
        <v>30</v>
      </c>
      <c r="E1308" s="251">
        <v>15.5</v>
      </c>
      <c r="F1308" s="242" t="s">
        <v>504</v>
      </c>
      <c r="G1308" s="242">
        <v>4.5999999999999996</v>
      </c>
      <c r="H1308" s="230">
        <f t="shared" si="31"/>
        <v>71.3</v>
      </c>
    </row>
    <row r="1309" spans="1:8" ht="12" customHeight="1" x14ac:dyDescent="0.25">
      <c r="A1309" s="244">
        <v>2002</v>
      </c>
      <c r="B1309" s="245" t="s">
        <v>19</v>
      </c>
      <c r="C1309" s="249" t="s">
        <v>20</v>
      </c>
      <c r="D1309" s="250" t="s">
        <v>30</v>
      </c>
      <c r="E1309" s="251">
        <v>14</v>
      </c>
      <c r="F1309" s="242" t="s">
        <v>504</v>
      </c>
      <c r="G1309" s="242">
        <v>4.5999999999999996</v>
      </c>
      <c r="H1309" s="230">
        <f t="shared" si="31"/>
        <v>64.399999999999991</v>
      </c>
    </row>
    <row r="1310" spans="1:8" ht="12" customHeight="1" x14ac:dyDescent="0.25">
      <c r="A1310" s="244">
        <v>2002</v>
      </c>
      <c r="B1310" s="245" t="s">
        <v>19</v>
      </c>
      <c r="C1310" s="249" t="s">
        <v>20</v>
      </c>
      <c r="D1310" s="250" t="s">
        <v>30</v>
      </c>
      <c r="E1310" s="251">
        <v>9</v>
      </c>
      <c r="F1310" s="242" t="s">
        <v>504</v>
      </c>
      <c r="G1310" s="242">
        <v>4.5999999999999996</v>
      </c>
      <c r="H1310" s="230">
        <f t="shared" si="31"/>
        <v>41.4</v>
      </c>
    </row>
    <row r="1311" spans="1:8" ht="12" customHeight="1" x14ac:dyDescent="0.25">
      <c r="A1311" s="244">
        <v>2002</v>
      </c>
      <c r="B1311" s="245" t="s">
        <v>19</v>
      </c>
      <c r="C1311" s="249" t="s">
        <v>20</v>
      </c>
      <c r="D1311" s="250" t="s">
        <v>30</v>
      </c>
      <c r="E1311" s="251">
        <v>8</v>
      </c>
      <c r="F1311" s="242" t="s">
        <v>504</v>
      </c>
      <c r="G1311" s="242">
        <v>4.5999999999999996</v>
      </c>
      <c r="H1311" s="230">
        <f t="shared" si="31"/>
        <v>36.799999999999997</v>
      </c>
    </row>
    <row r="1312" spans="1:8" ht="12" customHeight="1" x14ac:dyDescent="0.25">
      <c r="A1312" s="244">
        <v>2002</v>
      </c>
      <c r="B1312" s="245" t="s">
        <v>19</v>
      </c>
      <c r="C1312" s="249" t="s">
        <v>20</v>
      </c>
      <c r="D1312" s="250" t="s">
        <v>30</v>
      </c>
      <c r="E1312" s="251">
        <v>7.5</v>
      </c>
      <c r="F1312" s="242" t="s">
        <v>504</v>
      </c>
      <c r="G1312" s="242">
        <v>4.5999999999999996</v>
      </c>
      <c r="H1312" s="230">
        <f t="shared" si="31"/>
        <v>34.5</v>
      </c>
    </row>
    <row r="1313" spans="1:8" ht="12" customHeight="1" x14ac:dyDescent="0.25">
      <c r="A1313" s="244">
        <v>2002</v>
      </c>
      <c r="B1313" s="245" t="s">
        <v>19</v>
      </c>
      <c r="C1313" s="249" t="s">
        <v>20</v>
      </c>
      <c r="D1313" s="250" t="s">
        <v>30</v>
      </c>
      <c r="E1313" s="251">
        <v>12.5</v>
      </c>
      <c r="F1313" s="242" t="s">
        <v>504</v>
      </c>
      <c r="G1313" s="242">
        <v>4.5999999999999996</v>
      </c>
      <c r="H1313" s="230">
        <f t="shared" si="31"/>
        <v>57.499999999999993</v>
      </c>
    </row>
    <row r="1314" spans="1:8" ht="12" customHeight="1" x14ac:dyDescent="0.25">
      <c r="A1314" s="244">
        <v>2002</v>
      </c>
      <c r="B1314" s="245" t="s">
        <v>19</v>
      </c>
      <c r="C1314" s="249" t="s">
        <v>20</v>
      </c>
      <c r="D1314" s="250" t="s">
        <v>30</v>
      </c>
      <c r="E1314" s="251">
        <v>13.5</v>
      </c>
      <c r="F1314" s="242" t="s">
        <v>504</v>
      </c>
      <c r="G1314" s="242">
        <v>4.5999999999999996</v>
      </c>
      <c r="H1314" s="230">
        <f t="shared" si="31"/>
        <v>62.099999999999994</v>
      </c>
    </row>
    <row r="1315" spans="1:8" ht="12" customHeight="1" x14ac:dyDescent="0.25">
      <c r="A1315" s="244">
        <v>2002</v>
      </c>
      <c r="B1315" s="245" t="s">
        <v>19</v>
      </c>
      <c r="C1315" s="249" t="s">
        <v>20</v>
      </c>
      <c r="D1315" s="250" t="s">
        <v>30</v>
      </c>
      <c r="E1315" s="251">
        <v>13</v>
      </c>
      <c r="F1315" s="242" t="s">
        <v>504</v>
      </c>
      <c r="G1315" s="242">
        <v>4.5999999999999996</v>
      </c>
      <c r="H1315" s="230">
        <f t="shared" si="31"/>
        <v>59.8</v>
      </c>
    </row>
    <row r="1316" spans="1:8" ht="12" customHeight="1" x14ac:dyDescent="0.25">
      <c r="A1316" s="244">
        <v>2002</v>
      </c>
      <c r="B1316" s="245" t="s">
        <v>19</v>
      </c>
      <c r="C1316" s="249" t="s">
        <v>20</v>
      </c>
      <c r="D1316" s="250" t="s">
        <v>30</v>
      </c>
      <c r="E1316" s="251">
        <v>13</v>
      </c>
      <c r="F1316" s="242" t="s">
        <v>504</v>
      </c>
      <c r="G1316" s="242">
        <v>4.5999999999999996</v>
      </c>
      <c r="H1316" s="230">
        <f t="shared" si="31"/>
        <v>59.8</v>
      </c>
    </row>
    <row r="1317" spans="1:8" ht="12" customHeight="1" x14ac:dyDescent="0.25">
      <c r="A1317" s="244">
        <v>2002</v>
      </c>
      <c r="B1317" s="245" t="s">
        <v>19</v>
      </c>
      <c r="C1317" s="249" t="s">
        <v>20</v>
      </c>
      <c r="D1317" s="250" t="s">
        <v>30</v>
      </c>
      <c r="E1317" s="251">
        <v>9</v>
      </c>
      <c r="F1317" s="242" t="s">
        <v>504</v>
      </c>
      <c r="G1317" s="242">
        <v>4.5999999999999996</v>
      </c>
      <c r="H1317" s="230">
        <f t="shared" si="31"/>
        <v>41.4</v>
      </c>
    </row>
    <row r="1318" spans="1:8" ht="12" customHeight="1" x14ac:dyDescent="0.25">
      <c r="A1318" s="244">
        <v>2002</v>
      </c>
      <c r="B1318" s="245" t="s">
        <v>19</v>
      </c>
      <c r="C1318" s="249" t="s">
        <v>20</v>
      </c>
      <c r="D1318" s="250" t="s">
        <v>30</v>
      </c>
      <c r="E1318" s="251">
        <v>18</v>
      </c>
      <c r="F1318" s="242" t="s">
        <v>504</v>
      </c>
      <c r="G1318" s="242">
        <v>4.5999999999999996</v>
      </c>
      <c r="H1318" s="230">
        <f t="shared" si="31"/>
        <v>82.8</v>
      </c>
    </row>
    <row r="1319" spans="1:8" ht="12" customHeight="1" x14ac:dyDescent="0.25">
      <c r="A1319" s="244">
        <v>2002</v>
      </c>
      <c r="B1319" s="245" t="s">
        <v>19</v>
      </c>
      <c r="C1319" s="249" t="s">
        <v>20</v>
      </c>
      <c r="D1319" s="250" t="s">
        <v>30</v>
      </c>
      <c r="E1319" s="251">
        <v>9</v>
      </c>
      <c r="F1319" s="242" t="s">
        <v>504</v>
      </c>
      <c r="G1319" s="242">
        <v>4.5999999999999996</v>
      </c>
      <c r="H1319" s="230">
        <f t="shared" si="31"/>
        <v>41.4</v>
      </c>
    </row>
    <row r="1320" spans="1:8" ht="12" customHeight="1" x14ac:dyDescent="0.25">
      <c r="A1320" s="244">
        <v>2002</v>
      </c>
      <c r="B1320" s="245" t="s">
        <v>19</v>
      </c>
      <c r="C1320" s="249" t="s">
        <v>20</v>
      </c>
      <c r="D1320" s="250" t="s">
        <v>30</v>
      </c>
      <c r="E1320" s="251">
        <v>5</v>
      </c>
      <c r="F1320" s="242" t="s">
        <v>504</v>
      </c>
      <c r="G1320" s="242">
        <v>4.5999999999999996</v>
      </c>
      <c r="H1320" s="230">
        <f t="shared" si="31"/>
        <v>23</v>
      </c>
    </row>
    <row r="1321" spans="1:8" ht="12" customHeight="1" x14ac:dyDescent="0.25">
      <c r="A1321" s="244">
        <v>2002</v>
      </c>
      <c r="B1321" s="245" t="s">
        <v>19</v>
      </c>
      <c r="C1321" s="249" t="s">
        <v>20</v>
      </c>
      <c r="D1321" s="250" t="s">
        <v>30</v>
      </c>
      <c r="E1321" s="251">
        <v>9</v>
      </c>
      <c r="F1321" s="242" t="s">
        <v>504</v>
      </c>
      <c r="G1321" s="242">
        <v>4.5999999999999996</v>
      </c>
      <c r="H1321" s="230">
        <f t="shared" si="31"/>
        <v>41.4</v>
      </c>
    </row>
    <row r="1322" spans="1:8" ht="12" customHeight="1" x14ac:dyDescent="0.25">
      <c r="A1322" s="244">
        <v>2002</v>
      </c>
      <c r="B1322" s="245" t="s">
        <v>19</v>
      </c>
      <c r="C1322" s="249" t="s">
        <v>20</v>
      </c>
      <c r="D1322" s="250" t="s">
        <v>30</v>
      </c>
      <c r="E1322" s="251">
        <v>11</v>
      </c>
      <c r="F1322" s="242" t="s">
        <v>504</v>
      </c>
      <c r="G1322" s="242">
        <v>4.5999999999999996</v>
      </c>
      <c r="H1322" s="230">
        <f t="shared" si="31"/>
        <v>50.599999999999994</v>
      </c>
    </row>
    <row r="1323" spans="1:8" ht="12" customHeight="1" x14ac:dyDescent="0.25">
      <c r="A1323" s="244">
        <v>2002</v>
      </c>
      <c r="B1323" s="245" t="s">
        <v>19</v>
      </c>
      <c r="C1323" s="249" t="s">
        <v>20</v>
      </c>
      <c r="D1323" s="250" t="s">
        <v>30</v>
      </c>
      <c r="E1323" s="251">
        <v>10</v>
      </c>
      <c r="F1323" s="242" t="s">
        <v>504</v>
      </c>
      <c r="G1323" s="242">
        <v>4.5999999999999996</v>
      </c>
      <c r="H1323" s="230">
        <f t="shared" si="31"/>
        <v>46</v>
      </c>
    </row>
    <row r="1324" spans="1:8" ht="12" customHeight="1" x14ac:dyDescent="0.25">
      <c r="A1324" s="244">
        <v>2002</v>
      </c>
      <c r="B1324" s="245" t="s">
        <v>19</v>
      </c>
      <c r="C1324" s="249" t="s">
        <v>20</v>
      </c>
      <c r="D1324" s="250" t="s">
        <v>30</v>
      </c>
      <c r="E1324" s="251">
        <v>10</v>
      </c>
      <c r="F1324" s="242" t="s">
        <v>504</v>
      </c>
      <c r="G1324" s="242">
        <v>4.5999999999999996</v>
      </c>
      <c r="H1324" s="230">
        <f t="shared" si="31"/>
        <v>46</v>
      </c>
    </row>
    <row r="1325" spans="1:8" ht="12" customHeight="1" x14ac:dyDescent="0.25">
      <c r="A1325" s="244">
        <v>2002</v>
      </c>
      <c r="B1325" s="245" t="s">
        <v>19</v>
      </c>
      <c r="C1325" s="249" t="s">
        <v>20</v>
      </c>
      <c r="D1325" s="250" t="s">
        <v>30</v>
      </c>
      <c r="E1325" s="251">
        <v>10</v>
      </c>
      <c r="F1325" s="242" t="s">
        <v>504</v>
      </c>
      <c r="G1325" s="242">
        <v>4.5999999999999996</v>
      </c>
      <c r="H1325" s="230">
        <f t="shared" si="31"/>
        <v>46</v>
      </c>
    </row>
    <row r="1326" spans="1:8" ht="12" customHeight="1" x14ac:dyDescent="0.25">
      <c r="A1326" s="244">
        <v>2002</v>
      </c>
      <c r="B1326" s="245" t="s">
        <v>19</v>
      </c>
      <c r="C1326" s="249" t="s">
        <v>20</v>
      </c>
      <c r="D1326" s="250" t="s">
        <v>30</v>
      </c>
      <c r="E1326" s="251">
        <v>11</v>
      </c>
      <c r="F1326" s="242" t="s">
        <v>504</v>
      </c>
      <c r="G1326" s="242">
        <v>4.5999999999999996</v>
      </c>
      <c r="H1326" s="230">
        <f t="shared" si="31"/>
        <v>50.599999999999994</v>
      </c>
    </row>
    <row r="1327" spans="1:8" ht="12" customHeight="1" x14ac:dyDescent="0.25">
      <c r="A1327" s="244">
        <v>2002</v>
      </c>
      <c r="B1327" s="245" t="s">
        <v>19</v>
      </c>
      <c r="C1327" s="249" t="s">
        <v>20</v>
      </c>
      <c r="D1327" s="250" t="s">
        <v>30</v>
      </c>
      <c r="E1327" s="251">
        <v>10</v>
      </c>
      <c r="F1327" s="242" t="s">
        <v>504</v>
      </c>
      <c r="G1327" s="242">
        <v>4.5999999999999996</v>
      </c>
      <c r="H1327" s="230">
        <f t="shared" si="31"/>
        <v>46</v>
      </c>
    </row>
    <row r="1328" spans="1:8" ht="12" customHeight="1" x14ac:dyDescent="0.25">
      <c r="A1328" s="244">
        <v>2002</v>
      </c>
      <c r="B1328" s="245" t="s">
        <v>19</v>
      </c>
      <c r="C1328" s="249" t="s">
        <v>20</v>
      </c>
      <c r="D1328" s="250" t="s">
        <v>30</v>
      </c>
      <c r="E1328" s="251">
        <v>9.5</v>
      </c>
      <c r="F1328" s="242" t="s">
        <v>504</v>
      </c>
      <c r="G1328" s="242">
        <v>4.5999999999999996</v>
      </c>
      <c r="H1328" s="230">
        <f t="shared" si="31"/>
        <v>43.699999999999996</v>
      </c>
    </row>
    <row r="1329" spans="1:8" ht="12" customHeight="1" x14ac:dyDescent="0.25">
      <c r="A1329" s="244">
        <v>2002</v>
      </c>
      <c r="B1329" s="245" t="s">
        <v>19</v>
      </c>
      <c r="C1329" s="249" t="s">
        <v>20</v>
      </c>
      <c r="D1329" s="250" t="s">
        <v>30</v>
      </c>
      <c r="E1329" s="251">
        <v>10.5</v>
      </c>
      <c r="F1329" s="242" t="s">
        <v>504</v>
      </c>
      <c r="G1329" s="242">
        <v>4.5999999999999996</v>
      </c>
      <c r="H1329" s="230">
        <f t="shared" si="31"/>
        <v>48.3</v>
      </c>
    </row>
    <row r="1330" spans="1:8" ht="12" customHeight="1" x14ac:dyDescent="0.25">
      <c r="A1330" s="244">
        <v>2002</v>
      </c>
      <c r="B1330" s="245" t="s">
        <v>19</v>
      </c>
      <c r="C1330" s="249" t="s">
        <v>20</v>
      </c>
      <c r="D1330" s="250" t="s">
        <v>30</v>
      </c>
      <c r="E1330" s="251">
        <v>9.5</v>
      </c>
      <c r="F1330" s="242" t="s">
        <v>504</v>
      </c>
      <c r="G1330" s="242">
        <v>4.5999999999999996</v>
      </c>
      <c r="H1330" s="230">
        <f t="shared" si="31"/>
        <v>43.699999999999996</v>
      </c>
    </row>
    <row r="1331" spans="1:8" ht="12" customHeight="1" x14ac:dyDescent="0.25">
      <c r="A1331" s="244">
        <v>2002</v>
      </c>
      <c r="B1331" s="245" t="s">
        <v>19</v>
      </c>
      <c r="C1331" s="249" t="s">
        <v>20</v>
      </c>
      <c r="D1331" s="250" t="s">
        <v>30</v>
      </c>
      <c r="E1331" s="251">
        <v>9.5</v>
      </c>
      <c r="F1331" s="242" t="s">
        <v>504</v>
      </c>
      <c r="G1331" s="242">
        <v>4.5999999999999996</v>
      </c>
      <c r="H1331" s="230">
        <f t="shared" si="31"/>
        <v>43.699999999999996</v>
      </c>
    </row>
    <row r="1332" spans="1:8" ht="12" customHeight="1" x14ac:dyDescent="0.25">
      <c r="A1332" s="244">
        <v>2002</v>
      </c>
      <c r="B1332" s="245" t="s">
        <v>19</v>
      </c>
      <c r="C1332" s="249" t="s">
        <v>20</v>
      </c>
      <c r="D1332" s="250" t="s">
        <v>30</v>
      </c>
      <c r="E1332" s="251">
        <v>15.5</v>
      </c>
      <c r="F1332" s="242" t="s">
        <v>504</v>
      </c>
      <c r="G1332" s="242">
        <v>4.5999999999999996</v>
      </c>
      <c r="H1332" s="230">
        <f t="shared" si="31"/>
        <v>71.3</v>
      </c>
    </row>
    <row r="1333" spans="1:8" ht="12" customHeight="1" x14ac:dyDescent="0.25">
      <c r="A1333" s="244">
        <v>2002</v>
      </c>
      <c r="B1333" s="245" t="s">
        <v>19</v>
      </c>
      <c r="C1333" s="249" t="s">
        <v>20</v>
      </c>
      <c r="D1333" s="250" t="s">
        <v>30</v>
      </c>
      <c r="E1333" s="251">
        <v>16</v>
      </c>
      <c r="F1333" s="242" t="s">
        <v>504</v>
      </c>
      <c r="G1333" s="242">
        <v>4.5999999999999996</v>
      </c>
      <c r="H1333" s="230">
        <f t="shared" si="31"/>
        <v>73.599999999999994</v>
      </c>
    </row>
    <row r="1334" spans="1:8" ht="12" customHeight="1" x14ac:dyDescent="0.25">
      <c r="A1334" s="244">
        <v>2002</v>
      </c>
      <c r="B1334" s="245" t="s">
        <v>19</v>
      </c>
      <c r="C1334" s="249" t="s">
        <v>20</v>
      </c>
      <c r="D1334" s="250" t="s">
        <v>30</v>
      </c>
      <c r="E1334" s="251">
        <v>15.5</v>
      </c>
      <c r="F1334" s="242" t="s">
        <v>504</v>
      </c>
      <c r="G1334" s="242">
        <v>4.5999999999999996</v>
      </c>
      <c r="H1334" s="230">
        <f t="shared" si="31"/>
        <v>71.3</v>
      </c>
    </row>
    <row r="1335" spans="1:8" ht="12" customHeight="1" x14ac:dyDescent="0.25">
      <c r="A1335" s="244">
        <v>2002</v>
      </c>
      <c r="B1335" s="245" t="s">
        <v>19</v>
      </c>
      <c r="C1335" s="249" t="s">
        <v>20</v>
      </c>
      <c r="D1335" s="250" t="s">
        <v>30</v>
      </c>
      <c r="E1335" s="251">
        <v>12.5</v>
      </c>
      <c r="F1335" s="242" t="s">
        <v>504</v>
      </c>
      <c r="G1335" s="242">
        <v>4.5999999999999996</v>
      </c>
      <c r="H1335" s="230">
        <f t="shared" si="31"/>
        <v>57.499999999999993</v>
      </c>
    </row>
    <row r="1336" spans="1:8" ht="12" customHeight="1" x14ac:dyDescent="0.25">
      <c r="A1336" s="244">
        <v>2002</v>
      </c>
      <c r="B1336" s="245" t="s">
        <v>19</v>
      </c>
      <c r="C1336" s="249" t="s">
        <v>20</v>
      </c>
      <c r="D1336" s="250" t="s">
        <v>30</v>
      </c>
      <c r="E1336" s="251">
        <v>12</v>
      </c>
      <c r="F1336" s="242" t="s">
        <v>504</v>
      </c>
      <c r="G1336" s="242">
        <v>4.5999999999999996</v>
      </c>
      <c r="H1336" s="230">
        <f t="shared" si="31"/>
        <v>55.199999999999996</v>
      </c>
    </row>
    <row r="1337" spans="1:8" ht="12" customHeight="1" x14ac:dyDescent="0.25">
      <c r="A1337" s="244">
        <v>2002</v>
      </c>
      <c r="B1337" s="245" t="s">
        <v>19</v>
      </c>
      <c r="C1337" s="249" t="s">
        <v>20</v>
      </c>
      <c r="D1337" s="250" t="s">
        <v>30</v>
      </c>
      <c r="E1337" s="251">
        <v>12.5</v>
      </c>
      <c r="F1337" s="242" t="s">
        <v>504</v>
      </c>
      <c r="G1337" s="242">
        <v>4.5999999999999996</v>
      </c>
      <c r="H1337" s="230">
        <f t="shared" si="31"/>
        <v>57.499999999999993</v>
      </c>
    </row>
    <row r="1338" spans="1:8" ht="12" customHeight="1" x14ac:dyDescent="0.25">
      <c r="A1338" s="244">
        <v>2002</v>
      </c>
      <c r="B1338" s="245" t="s">
        <v>19</v>
      </c>
      <c r="C1338" s="249" t="s">
        <v>20</v>
      </c>
      <c r="D1338" s="250" t="s">
        <v>30</v>
      </c>
      <c r="E1338" s="251">
        <v>10.5</v>
      </c>
      <c r="F1338" s="242" t="s">
        <v>504</v>
      </c>
      <c r="G1338" s="242">
        <v>4.5999999999999996</v>
      </c>
      <c r="H1338" s="230">
        <f t="shared" si="31"/>
        <v>48.3</v>
      </c>
    </row>
    <row r="1339" spans="1:8" ht="12" customHeight="1" x14ac:dyDescent="0.25">
      <c r="A1339" s="244">
        <v>2002</v>
      </c>
      <c r="B1339" s="245" t="s">
        <v>19</v>
      </c>
      <c r="C1339" s="249" t="s">
        <v>20</v>
      </c>
      <c r="D1339" s="250" t="s">
        <v>30</v>
      </c>
      <c r="E1339" s="251">
        <v>18.5</v>
      </c>
      <c r="F1339" s="242" t="s">
        <v>504</v>
      </c>
      <c r="G1339" s="242">
        <v>4.5999999999999996</v>
      </c>
      <c r="H1339" s="230">
        <f t="shared" si="31"/>
        <v>85.1</v>
      </c>
    </row>
    <row r="1340" spans="1:8" ht="12" customHeight="1" x14ac:dyDescent="0.25">
      <c r="A1340" s="244">
        <v>2002</v>
      </c>
      <c r="B1340" s="245" t="s">
        <v>19</v>
      </c>
      <c r="C1340" s="249" t="s">
        <v>20</v>
      </c>
      <c r="D1340" s="250" t="s">
        <v>30</v>
      </c>
      <c r="E1340" s="251">
        <v>13</v>
      </c>
      <c r="F1340" s="242" t="s">
        <v>504</v>
      </c>
      <c r="G1340" s="242">
        <v>4.5999999999999996</v>
      </c>
      <c r="H1340" s="230">
        <f t="shared" si="31"/>
        <v>59.8</v>
      </c>
    </row>
    <row r="1341" spans="1:8" ht="12" customHeight="1" x14ac:dyDescent="0.25">
      <c r="A1341" s="244">
        <v>2002</v>
      </c>
      <c r="B1341" s="245" t="s">
        <v>19</v>
      </c>
      <c r="C1341" s="249" t="s">
        <v>20</v>
      </c>
      <c r="D1341" s="250" t="s">
        <v>30</v>
      </c>
      <c r="E1341" s="251">
        <v>13</v>
      </c>
      <c r="F1341" s="242" t="s">
        <v>504</v>
      </c>
      <c r="G1341" s="242">
        <v>4.5999999999999996</v>
      </c>
      <c r="H1341" s="230">
        <f t="shared" si="31"/>
        <v>59.8</v>
      </c>
    </row>
    <row r="1342" spans="1:8" ht="12" customHeight="1" x14ac:dyDescent="0.25">
      <c r="A1342" s="244">
        <v>2002</v>
      </c>
      <c r="B1342" s="245" t="s">
        <v>19</v>
      </c>
      <c r="C1342" s="249" t="s">
        <v>20</v>
      </c>
      <c r="D1342" s="250" t="s">
        <v>30</v>
      </c>
      <c r="E1342" s="251">
        <v>10</v>
      </c>
      <c r="F1342" s="242" t="s">
        <v>504</v>
      </c>
      <c r="G1342" s="242">
        <v>4.5999999999999996</v>
      </c>
      <c r="H1342" s="230">
        <f t="shared" si="31"/>
        <v>46</v>
      </c>
    </row>
    <row r="1343" spans="1:8" ht="12" customHeight="1" x14ac:dyDescent="0.25">
      <c r="A1343" s="244">
        <v>2002</v>
      </c>
      <c r="B1343" s="245" t="s">
        <v>19</v>
      </c>
      <c r="C1343" s="249" t="s">
        <v>20</v>
      </c>
      <c r="D1343" s="250" t="s">
        <v>30</v>
      </c>
      <c r="E1343" s="251">
        <v>10</v>
      </c>
      <c r="F1343" s="242" t="s">
        <v>504</v>
      </c>
      <c r="G1343" s="242">
        <v>4.5999999999999996</v>
      </c>
      <c r="H1343" s="230">
        <f t="shared" si="31"/>
        <v>46</v>
      </c>
    </row>
    <row r="1344" spans="1:8" ht="12" customHeight="1" x14ac:dyDescent="0.25">
      <c r="A1344" s="244">
        <v>2002</v>
      </c>
      <c r="B1344" s="245" t="s">
        <v>19</v>
      </c>
      <c r="C1344" s="249" t="s">
        <v>20</v>
      </c>
      <c r="D1344" s="250" t="s">
        <v>30</v>
      </c>
      <c r="E1344" s="251">
        <v>8</v>
      </c>
      <c r="F1344" s="242" t="s">
        <v>504</v>
      </c>
      <c r="G1344" s="242">
        <v>4.5999999999999996</v>
      </c>
      <c r="H1344" s="230">
        <f t="shared" si="31"/>
        <v>36.799999999999997</v>
      </c>
    </row>
    <row r="1345" spans="1:8" ht="12" customHeight="1" x14ac:dyDescent="0.25">
      <c r="A1345" s="244">
        <v>2002</v>
      </c>
      <c r="B1345" s="245" t="s">
        <v>19</v>
      </c>
      <c r="C1345" s="249" t="s">
        <v>20</v>
      </c>
      <c r="D1345" s="250" t="s">
        <v>30</v>
      </c>
      <c r="E1345" s="251">
        <v>10.5</v>
      </c>
      <c r="F1345" s="242" t="s">
        <v>504</v>
      </c>
      <c r="G1345" s="242">
        <v>4.5999999999999996</v>
      </c>
      <c r="H1345" s="230">
        <f t="shared" si="31"/>
        <v>48.3</v>
      </c>
    </row>
    <row r="1346" spans="1:8" ht="12" customHeight="1" x14ac:dyDescent="0.25">
      <c r="A1346" s="244">
        <v>2002</v>
      </c>
      <c r="B1346" s="245" t="s">
        <v>19</v>
      </c>
      <c r="C1346" s="249" t="s">
        <v>20</v>
      </c>
      <c r="D1346" s="250" t="s">
        <v>30</v>
      </c>
      <c r="E1346" s="251">
        <v>10.5</v>
      </c>
      <c r="F1346" s="242" t="s">
        <v>504</v>
      </c>
      <c r="G1346" s="242">
        <v>4.5999999999999996</v>
      </c>
      <c r="H1346" s="230">
        <f t="shared" si="31"/>
        <v>48.3</v>
      </c>
    </row>
    <row r="1347" spans="1:8" ht="12" customHeight="1" x14ac:dyDescent="0.25">
      <c r="A1347" s="244">
        <v>2002</v>
      </c>
      <c r="B1347" s="245" t="s">
        <v>19</v>
      </c>
      <c r="C1347" s="249" t="s">
        <v>20</v>
      </c>
      <c r="D1347" s="250" t="s">
        <v>30</v>
      </c>
      <c r="E1347" s="251">
        <v>13.5</v>
      </c>
      <c r="F1347" s="242" t="s">
        <v>504</v>
      </c>
      <c r="G1347" s="242">
        <v>4.5999999999999996</v>
      </c>
      <c r="H1347" s="230">
        <f t="shared" ref="H1347:H1410" si="32">E1347*G1347</f>
        <v>62.099999999999994</v>
      </c>
    </row>
    <row r="1348" spans="1:8" ht="12" customHeight="1" x14ac:dyDescent="0.25">
      <c r="A1348" s="244">
        <v>2002</v>
      </c>
      <c r="B1348" s="245" t="s">
        <v>19</v>
      </c>
      <c r="C1348" s="249" t="s">
        <v>20</v>
      </c>
      <c r="D1348" s="250" t="s">
        <v>30</v>
      </c>
      <c r="E1348" s="251">
        <v>13</v>
      </c>
      <c r="F1348" s="242" t="s">
        <v>504</v>
      </c>
      <c r="G1348" s="242">
        <v>4.5999999999999996</v>
      </c>
      <c r="H1348" s="230">
        <f t="shared" si="32"/>
        <v>59.8</v>
      </c>
    </row>
    <row r="1349" spans="1:8" ht="12" customHeight="1" x14ac:dyDescent="0.25">
      <c r="A1349" s="244">
        <v>2002</v>
      </c>
      <c r="B1349" s="245" t="s">
        <v>19</v>
      </c>
      <c r="C1349" s="249" t="s">
        <v>20</v>
      </c>
      <c r="D1349" s="250" t="s">
        <v>30</v>
      </c>
      <c r="E1349" s="251">
        <v>13.5</v>
      </c>
      <c r="F1349" s="242" t="s">
        <v>504</v>
      </c>
      <c r="G1349" s="242">
        <v>4.5999999999999996</v>
      </c>
      <c r="H1349" s="230">
        <f t="shared" si="32"/>
        <v>62.099999999999994</v>
      </c>
    </row>
    <row r="1350" spans="1:8" ht="12" customHeight="1" x14ac:dyDescent="0.25">
      <c r="A1350" s="244">
        <v>2002</v>
      </c>
      <c r="B1350" s="245" t="s">
        <v>19</v>
      </c>
      <c r="C1350" s="249" t="s">
        <v>20</v>
      </c>
      <c r="D1350" s="250" t="s">
        <v>30</v>
      </c>
      <c r="E1350" s="251">
        <v>16.5</v>
      </c>
      <c r="F1350" s="242" t="s">
        <v>504</v>
      </c>
      <c r="G1350" s="242">
        <v>4.5999999999999996</v>
      </c>
      <c r="H1350" s="230">
        <f t="shared" si="32"/>
        <v>75.899999999999991</v>
      </c>
    </row>
    <row r="1351" spans="1:8" ht="12" customHeight="1" x14ac:dyDescent="0.25">
      <c r="A1351" s="244">
        <v>2002</v>
      </c>
      <c r="B1351" s="245" t="s">
        <v>19</v>
      </c>
      <c r="C1351" s="249" t="s">
        <v>20</v>
      </c>
      <c r="D1351" s="250" t="s">
        <v>30</v>
      </c>
      <c r="E1351" s="251">
        <v>24.5</v>
      </c>
      <c r="F1351" s="242" t="s">
        <v>504</v>
      </c>
      <c r="G1351" s="242">
        <v>4.5999999999999996</v>
      </c>
      <c r="H1351" s="230">
        <f t="shared" si="32"/>
        <v>112.69999999999999</v>
      </c>
    </row>
    <row r="1352" spans="1:8" ht="12" customHeight="1" x14ac:dyDescent="0.25">
      <c r="A1352" s="244">
        <v>2002</v>
      </c>
      <c r="B1352" s="245" t="s">
        <v>19</v>
      </c>
      <c r="C1352" s="249" t="s">
        <v>20</v>
      </c>
      <c r="D1352" s="250" t="s">
        <v>30</v>
      </c>
      <c r="E1352" s="251">
        <v>13</v>
      </c>
      <c r="F1352" s="242" t="s">
        <v>504</v>
      </c>
      <c r="G1352" s="242">
        <v>4.5999999999999996</v>
      </c>
      <c r="H1352" s="230">
        <f t="shared" si="32"/>
        <v>59.8</v>
      </c>
    </row>
    <row r="1353" spans="1:8" ht="12" customHeight="1" x14ac:dyDescent="0.25">
      <c r="A1353" s="244">
        <v>2002</v>
      </c>
      <c r="B1353" s="245" t="s">
        <v>19</v>
      </c>
      <c r="C1353" s="249" t="s">
        <v>20</v>
      </c>
      <c r="D1353" s="250" t="s">
        <v>30</v>
      </c>
      <c r="E1353" s="251">
        <v>12.5</v>
      </c>
      <c r="F1353" s="242" t="s">
        <v>504</v>
      </c>
      <c r="G1353" s="242">
        <v>4.5999999999999996</v>
      </c>
      <c r="H1353" s="230">
        <f t="shared" si="32"/>
        <v>57.499999999999993</v>
      </c>
    </row>
    <row r="1354" spans="1:8" ht="12" customHeight="1" x14ac:dyDescent="0.25">
      <c r="A1354" s="244">
        <v>2002</v>
      </c>
      <c r="B1354" s="245" t="s">
        <v>19</v>
      </c>
      <c r="C1354" s="249" t="s">
        <v>20</v>
      </c>
      <c r="D1354" s="250" t="s">
        <v>35</v>
      </c>
      <c r="E1354" s="251">
        <v>6.5</v>
      </c>
      <c r="F1354" s="242" t="s">
        <v>507</v>
      </c>
      <c r="G1354" s="242">
        <v>3.9</v>
      </c>
      <c r="H1354" s="230">
        <f t="shared" si="32"/>
        <v>25.349999999999998</v>
      </c>
    </row>
    <row r="1355" spans="1:8" ht="12" customHeight="1" x14ac:dyDescent="0.25">
      <c r="A1355" s="244">
        <v>2002</v>
      </c>
      <c r="B1355" s="245" t="s">
        <v>19</v>
      </c>
      <c r="C1355" s="249" t="s">
        <v>20</v>
      </c>
      <c r="D1355" s="250" t="s">
        <v>35</v>
      </c>
      <c r="E1355" s="251">
        <v>5</v>
      </c>
      <c r="F1355" s="242" t="s">
        <v>507</v>
      </c>
      <c r="G1355" s="242">
        <v>3.9</v>
      </c>
      <c r="H1355" s="230">
        <f t="shared" si="32"/>
        <v>19.5</v>
      </c>
    </row>
    <row r="1356" spans="1:8" ht="12" customHeight="1" x14ac:dyDescent="0.25">
      <c r="A1356" s="244">
        <v>2002</v>
      </c>
      <c r="B1356" s="245" t="s">
        <v>19</v>
      </c>
      <c r="C1356" s="249" t="s">
        <v>20</v>
      </c>
      <c r="D1356" s="245" t="s">
        <v>21</v>
      </c>
      <c r="E1356" s="251">
        <v>10</v>
      </c>
      <c r="F1356" s="242" t="s">
        <v>507</v>
      </c>
      <c r="G1356" s="242">
        <v>3.9</v>
      </c>
      <c r="H1356" s="230">
        <f t="shared" si="32"/>
        <v>39</v>
      </c>
    </row>
    <row r="1357" spans="1:8" ht="12" customHeight="1" x14ac:dyDescent="0.25">
      <c r="A1357" s="244">
        <v>2002</v>
      </c>
      <c r="B1357" s="245" t="s">
        <v>19</v>
      </c>
      <c r="C1357" s="249" t="s">
        <v>20</v>
      </c>
      <c r="D1357" s="245" t="s">
        <v>21</v>
      </c>
      <c r="E1357" s="251">
        <v>0</v>
      </c>
      <c r="F1357" s="242" t="s">
        <v>507</v>
      </c>
      <c r="G1357" s="242">
        <v>3.9</v>
      </c>
      <c r="H1357" s="230">
        <f t="shared" si="32"/>
        <v>0</v>
      </c>
    </row>
    <row r="1358" spans="1:8" ht="12" customHeight="1" x14ac:dyDescent="0.25">
      <c r="A1358" s="244">
        <v>2002</v>
      </c>
      <c r="B1358" s="245" t="s">
        <v>19</v>
      </c>
      <c r="C1358" s="249" t="s">
        <v>20</v>
      </c>
      <c r="D1358" s="245" t="s">
        <v>21</v>
      </c>
      <c r="E1358" s="251">
        <v>14.5</v>
      </c>
      <c r="F1358" s="242" t="s">
        <v>507</v>
      </c>
      <c r="G1358" s="242">
        <v>3.9</v>
      </c>
      <c r="H1358" s="230">
        <f t="shared" si="32"/>
        <v>56.55</v>
      </c>
    </row>
    <row r="1359" spans="1:8" ht="12" customHeight="1" x14ac:dyDescent="0.25">
      <c r="A1359" s="244">
        <v>2002</v>
      </c>
      <c r="B1359" s="245" t="s">
        <v>19</v>
      </c>
      <c r="C1359" s="249" t="s">
        <v>20</v>
      </c>
      <c r="D1359" s="245" t="s">
        <v>21</v>
      </c>
      <c r="E1359" s="251">
        <v>7.5</v>
      </c>
      <c r="F1359" s="242" t="s">
        <v>507</v>
      </c>
      <c r="G1359" s="242">
        <v>3.9</v>
      </c>
      <c r="H1359" s="230">
        <f t="shared" si="32"/>
        <v>29.25</v>
      </c>
    </row>
    <row r="1360" spans="1:8" ht="12" customHeight="1" x14ac:dyDescent="0.25">
      <c r="A1360" s="244">
        <v>2002</v>
      </c>
      <c r="B1360" s="245" t="s">
        <v>19</v>
      </c>
      <c r="C1360" s="249" t="s">
        <v>20</v>
      </c>
      <c r="D1360" s="245" t="s">
        <v>21</v>
      </c>
      <c r="E1360" s="251">
        <v>11.5</v>
      </c>
      <c r="F1360" s="242" t="s">
        <v>507</v>
      </c>
      <c r="G1360" s="242">
        <v>3.9</v>
      </c>
      <c r="H1360" s="230">
        <f t="shared" si="32"/>
        <v>44.85</v>
      </c>
    </row>
    <row r="1361" spans="1:8" ht="12" customHeight="1" x14ac:dyDescent="0.25">
      <c r="A1361" s="244">
        <v>2002</v>
      </c>
      <c r="B1361" s="245" t="s">
        <v>19</v>
      </c>
      <c r="C1361" s="249" t="s">
        <v>20</v>
      </c>
      <c r="D1361" s="245" t="s">
        <v>21</v>
      </c>
      <c r="E1361" s="251">
        <v>9</v>
      </c>
      <c r="F1361" s="242" t="s">
        <v>507</v>
      </c>
      <c r="G1361" s="242">
        <v>3.9</v>
      </c>
      <c r="H1361" s="230">
        <f t="shared" si="32"/>
        <v>35.1</v>
      </c>
    </row>
    <row r="1362" spans="1:8" ht="12" customHeight="1" x14ac:dyDescent="0.25">
      <c r="A1362" s="244">
        <v>2002</v>
      </c>
      <c r="B1362" s="245" t="s">
        <v>19</v>
      </c>
      <c r="C1362" s="249" t="s">
        <v>20</v>
      </c>
      <c r="D1362" s="245" t="s">
        <v>21</v>
      </c>
      <c r="E1362" s="251">
        <v>12</v>
      </c>
      <c r="F1362" s="242" t="s">
        <v>507</v>
      </c>
      <c r="G1362" s="242">
        <v>3.9</v>
      </c>
      <c r="H1362" s="230">
        <f t="shared" si="32"/>
        <v>46.8</v>
      </c>
    </row>
    <row r="1363" spans="1:8" ht="12" customHeight="1" x14ac:dyDescent="0.25">
      <c r="A1363" s="244">
        <v>2002</v>
      </c>
      <c r="B1363" s="245" t="s">
        <v>19</v>
      </c>
      <c r="C1363" s="249" t="s">
        <v>20</v>
      </c>
      <c r="D1363" s="245" t="s">
        <v>21</v>
      </c>
      <c r="E1363" s="251">
        <v>20.5</v>
      </c>
      <c r="F1363" s="242" t="s">
        <v>507</v>
      </c>
      <c r="G1363" s="242">
        <v>3.9</v>
      </c>
      <c r="H1363" s="230">
        <f t="shared" si="32"/>
        <v>79.95</v>
      </c>
    </row>
    <row r="1364" spans="1:8" ht="12" customHeight="1" x14ac:dyDescent="0.25">
      <c r="A1364" s="244">
        <v>2002</v>
      </c>
      <c r="B1364" s="245" t="s">
        <v>19</v>
      </c>
      <c r="C1364" s="249" t="s">
        <v>20</v>
      </c>
      <c r="D1364" s="245" t="s">
        <v>21</v>
      </c>
      <c r="E1364" s="251">
        <v>11.5</v>
      </c>
      <c r="F1364" s="242" t="s">
        <v>507</v>
      </c>
      <c r="G1364" s="242">
        <v>3.9</v>
      </c>
      <c r="H1364" s="230">
        <f t="shared" si="32"/>
        <v>44.85</v>
      </c>
    </row>
    <row r="1365" spans="1:8" ht="12" customHeight="1" x14ac:dyDescent="0.25">
      <c r="A1365" s="244">
        <v>2002</v>
      </c>
      <c r="B1365" s="245" t="s">
        <v>19</v>
      </c>
      <c r="C1365" s="249" t="s">
        <v>20</v>
      </c>
      <c r="D1365" s="245" t="s">
        <v>21</v>
      </c>
      <c r="E1365" s="251">
        <v>12.5</v>
      </c>
      <c r="F1365" s="242" t="s">
        <v>507</v>
      </c>
      <c r="G1365" s="242">
        <v>3.9</v>
      </c>
      <c r="H1365" s="230">
        <f t="shared" si="32"/>
        <v>48.75</v>
      </c>
    </row>
    <row r="1366" spans="1:8" ht="12" customHeight="1" x14ac:dyDescent="0.25">
      <c r="A1366" s="244">
        <v>2002</v>
      </c>
      <c r="B1366" s="245" t="s">
        <v>19</v>
      </c>
      <c r="C1366" s="249" t="s">
        <v>20</v>
      </c>
      <c r="D1366" s="245" t="s">
        <v>21</v>
      </c>
      <c r="E1366" s="251">
        <v>7.5</v>
      </c>
      <c r="F1366" s="242" t="s">
        <v>507</v>
      </c>
      <c r="G1366" s="242">
        <v>3.9</v>
      </c>
      <c r="H1366" s="230">
        <f t="shared" si="32"/>
        <v>29.25</v>
      </c>
    </row>
    <row r="1367" spans="1:8" ht="12" customHeight="1" x14ac:dyDescent="0.25">
      <c r="A1367" s="244">
        <v>2002</v>
      </c>
      <c r="B1367" s="245" t="s">
        <v>19</v>
      </c>
      <c r="C1367" s="249" t="s">
        <v>20</v>
      </c>
      <c r="D1367" s="245" t="s">
        <v>21</v>
      </c>
      <c r="E1367" s="251">
        <v>17</v>
      </c>
      <c r="F1367" s="242" t="s">
        <v>507</v>
      </c>
      <c r="G1367" s="242">
        <v>3.9</v>
      </c>
      <c r="H1367" s="230">
        <f t="shared" si="32"/>
        <v>66.3</v>
      </c>
    </row>
    <row r="1368" spans="1:8" ht="12" customHeight="1" x14ac:dyDescent="0.25">
      <c r="A1368" s="244">
        <v>2002</v>
      </c>
      <c r="B1368" s="245" t="s">
        <v>19</v>
      </c>
      <c r="C1368" s="249" t="s">
        <v>20</v>
      </c>
      <c r="D1368" s="245" t="s">
        <v>21</v>
      </c>
      <c r="E1368" s="251">
        <v>9</v>
      </c>
      <c r="F1368" s="242" t="s">
        <v>507</v>
      </c>
      <c r="G1368" s="242">
        <v>3.9</v>
      </c>
      <c r="H1368" s="230">
        <f t="shared" si="32"/>
        <v>35.1</v>
      </c>
    </row>
    <row r="1369" spans="1:8" ht="12" customHeight="1" x14ac:dyDescent="0.25">
      <c r="A1369" s="244">
        <v>2002</v>
      </c>
      <c r="B1369" s="245" t="s">
        <v>19</v>
      </c>
      <c r="C1369" s="249" t="s">
        <v>20</v>
      </c>
      <c r="D1369" s="245" t="s">
        <v>21</v>
      </c>
      <c r="E1369" s="251">
        <v>7</v>
      </c>
      <c r="F1369" s="242" t="s">
        <v>507</v>
      </c>
      <c r="G1369" s="242">
        <v>3.9</v>
      </c>
      <c r="H1369" s="230">
        <f t="shared" si="32"/>
        <v>27.3</v>
      </c>
    </row>
    <row r="1370" spans="1:8" ht="12" customHeight="1" x14ac:dyDescent="0.25">
      <c r="A1370" s="244">
        <v>2002</v>
      </c>
      <c r="B1370" s="245" t="s">
        <v>19</v>
      </c>
      <c r="C1370" s="249" t="s">
        <v>20</v>
      </c>
      <c r="D1370" s="245" t="s">
        <v>21</v>
      </c>
      <c r="E1370" s="251">
        <v>12.5</v>
      </c>
      <c r="F1370" s="242" t="s">
        <v>507</v>
      </c>
      <c r="G1370" s="242">
        <v>3.9</v>
      </c>
      <c r="H1370" s="230">
        <f t="shared" si="32"/>
        <v>48.75</v>
      </c>
    </row>
    <row r="1371" spans="1:8" ht="12" customHeight="1" x14ac:dyDescent="0.25">
      <c r="A1371" s="244">
        <v>2002</v>
      </c>
      <c r="B1371" s="245" t="s">
        <v>19</v>
      </c>
      <c r="C1371" s="249" t="s">
        <v>20</v>
      </c>
      <c r="D1371" s="245" t="s">
        <v>21</v>
      </c>
      <c r="E1371" s="251">
        <v>11.5</v>
      </c>
      <c r="F1371" s="242" t="s">
        <v>507</v>
      </c>
      <c r="G1371" s="242">
        <v>3.9</v>
      </c>
      <c r="H1371" s="230">
        <f t="shared" si="32"/>
        <v>44.85</v>
      </c>
    </row>
    <row r="1372" spans="1:8" ht="12" customHeight="1" x14ac:dyDescent="0.25">
      <c r="A1372" s="244">
        <v>2002</v>
      </c>
      <c r="B1372" s="245" t="s">
        <v>19</v>
      </c>
      <c r="C1372" s="249" t="s">
        <v>20</v>
      </c>
      <c r="D1372" s="245" t="s">
        <v>21</v>
      </c>
      <c r="E1372" s="251">
        <v>7</v>
      </c>
      <c r="F1372" s="242" t="s">
        <v>507</v>
      </c>
      <c r="G1372" s="242">
        <v>3.9</v>
      </c>
      <c r="H1372" s="230">
        <f t="shared" si="32"/>
        <v>27.3</v>
      </c>
    </row>
    <row r="1373" spans="1:8" ht="12" customHeight="1" x14ac:dyDescent="0.25">
      <c r="A1373" s="244">
        <v>2002</v>
      </c>
      <c r="B1373" s="245" t="s">
        <v>19</v>
      </c>
      <c r="C1373" s="249" t="s">
        <v>20</v>
      </c>
      <c r="D1373" s="245" t="s">
        <v>21</v>
      </c>
      <c r="E1373" s="251">
        <v>13.5</v>
      </c>
      <c r="F1373" s="242" t="s">
        <v>507</v>
      </c>
      <c r="G1373" s="242">
        <v>3.9</v>
      </c>
      <c r="H1373" s="230">
        <f t="shared" si="32"/>
        <v>52.65</v>
      </c>
    </row>
    <row r="1374" spans="1:8" ht="12" customHeight="1" x14ac:dyDescent="0.25">
      <c r="A1374" s="244">
        <v>2002</v>
      </c>
      <c r="B1374" s="245" t="s">
        <v>19</v>
      </c>
      <c r="C1374" s="249" t="s">
        <v>20</v>
      </c>
      <c r="D1374" s="245" t="s">
        <v>21</v>
      </c>
      <c r="E1374" s="251">
        <v>16.5</v>
      </c>
      <c r="F1374" s="242" t="s">
        <v>507</v>
      </c>
      <c r="G1374" s="242">
        <v>3.9</v>
      </c>
      <c r="H1374" s="230">
        <f t="shared" si="32"/>
        <v>64.349999999999994</v>
      </c>
    </row>
    <row r="1375" spans="1:8" ht="12" customHeight="1" x14ac:dyDescent="0.25">
      <c r="A1375" s="244">
        <v>2002</v>
      </c>
      <c r="B1375" s="245" t="s">
        <v>19</v>
      </c>
      <c r="C1375" s="249" t="s">
        <v>20</v>
      </c>
      <c r="D1375" s="245" t="s">
        <v>21</v>
      </c>
      <c r="E1375" s="251">
        <v>9</v>
      </c>
      <c r="F1375" s="242" t="s">
        <v>507</v>
      </c>
      <c r="G1375" s="242">
        <v>3.9</v>
      </c>
      <c r="H1375" s="230">
        <f t="shared" si="32"/>
        <v>35.1</v>
      </c>
    </row>
    <row r="1376" spans="1:8" ht="12" customHeight="1" x14ac:dyDescent="0.25">
      <c r="A1376" s="244">
        <v>2002</v>
      </c>
      <c r="B1376" s="245" t="s">
        <v>19</v>
      </c>
      <c r="C1376" s="249" t="s">
        <v>20</v>
      </c>
      <c r="D1376" s="245" t="s">
        <v>21</v>
      </c>
      <c r="E1376" s="251">
        <v>16</v>
      </c>
      <c r="F1376" s="242" t="s">
        <v>507</v>
      </c>
      <c r="G1376" s="242">
        <v>3.9</v>
      </c>
      <c r="H1376" s="230">
        <f t="shared" si="32"/>
        <v>62.4</v>
      </c>
    </row>
    <row r="1377" spans="1:8" ht="12" customHeight="1" x14ac:dyDescent="0.25">
      <c r="A1377" s="244">
        <v>2002</v>
      </c>
      <c r="B1377" s="245" t="s">
        <v>19</v>
      </c>
      <c r="C1377" s="249" t="s">
        <v>20</v>
      </c>
      <c r="D1377" s="245" t="s">
        <v>21</v>
      </c>
      <c r="E1377" s="251">
        <v>10</v>
      </c>
      <c r="F1377" s="242" t="s">
        <v>507</v>
      </c>
      <c r="G1377" s="242">
        <v>3.9</v>
      </c>
      <c r="H1377" s="230">
        <f t="shared" si="32"/>
        <v>39</v>
      </c>
    </row>
    <row r="1378" spans="1:8" ht="12" customHeight="1" x14ac:dyDescent="0.25">
      <c r="A1378" s="244">
        <v>2002</v>
      </c>
      <c r="B1378" s="245" t="s">
        <v>19</v>
      </c>
      <c r="C1378" s="249" t="s">
        <v>20</v>
      </c>
      <c r="D1378" s="245" t="s">
        <v>21</v>
      </c>
      <c r="E1378" s="251">
        <v>7.5</v>
      </c>
      <c r="F1378" s="242" t="s">
        <v>507</v>
      </c>
      <c r="G1378" s="242">
        <v>3.9</v>
      </c>
      <c r="H1378" s="230">
        <f t="shared" si="32"/>
        <v>29.25</v>
      </c>
    </row>
    <row r="1379" spans="1:8" ht="12" customHeight="1" x14ac:dyDescent="0.25">
      <c r="A1379" s="244">
        <v>2002</v>
      </c>
      <c r="B1379" s="245" t="s">
        <v>19</v>
      </c>
      <c r="C1379" s="249" t="s">
        <v>20</v>
      </c>
      <c r="D1379" s="245" t="s">
        <v>21</v>
      </c>
      <c r="E1379" s="251">
        <v>12</v>
      </c>
      <c r="F1379" s="242" t="s">
        <v>507</v>
      </c>
      <c r="G1379" s="242">
        <v>3.9</v>
      </c>
      <c r="H1379" s="230">
        <f t="shared" si="32"/>
        <v>46.8</v>
      </c>
    </row>
    <row r="1380" spans="1:8" ht="12" customHeight="1" x14ac:dyDescent="0.25">
      <c r="A1380" s="244">
        <v>2002</v>
      </c>
      <c r="B1380" s="245" t="s">
        <v>19</v>
      </c>
      <c r="C1380" s="249" t="s">
        <v>20</v>
      </c>
      <c r="D1380" s="245" t="s">
        <v>21</v>
      </c>
      <c r="E1380" s="251">
        <v>18</v>
      </c>
      <c r="F1380" s="242" t="s">
        <v>507</v>
      </c>
      <c r="G1380" s="242">
        <v>3.9</v>
      </c>
      <c r="H1380" s="230">
        <f t="shared" si="32"/>
        <v>70.2</v>
      </c>
    </row>
    <row r="1381" spans="1:8" ht="12" customHeight="1" x14ac:dyDescent="0.25">
      <c r="A1381" s="244">
        <v>2002</v>
      </c>
      <c r="B1381" s="245" t="s">
        <v>19</v>
      </c>
      <c r="C1381" s="249" t="s">
        <v>20</v>
      </c>
      <c r="D1381" s="245" t="s">
        <v>21</v>
      </c>
      <c r="E1381" s="251">
        <v>8.5</v>
      </c>
      <c r="F1381" s="242" t="s">
        <v>507</v>
      </c>
      <c r="G1381" s="242">
        <v>3.9</v>
      </c>
      <c r="H1381" s="230">
        <f t="shared" si="32"/>
        <v>33.15</v>
      </c>
    </row>
    <row r="1382" spans="1:8" ht="12" customHeight="1" x14ac:dyDescent="0.25">
      <c r="A1382" s="244">
        <v>2002</v>
      </c>
      <c r="B1382" s="245" t="s">
        <v>19</v>
      </c>
      <c r="C1382" s="249" t="s">
        <v>20</v>
      </c>
      <c r="D1382" s="245" t="s">
        <v>21</v>
      </c>
      <c r="E1382" s="251">
        <v>7.5</v>
      </c>
      <c r="F1382" s="242" t="s">
        <v>507</v>
      </c>
      <c r="G1382" s="242">
        <v>3.9</v>
      </c>
      <c r="H1382" s="230">
        <f t="shared" si="32"/>
        <v>29.25</v>
      </c>
    </row>
    <row r="1383" spans="1:8" ht="12" customHeight="1" x14ac:dyDescent="0.25">
      <c r="A1383" s="244">
        <v>2002</v>
      </c>
      <c r="B1383" s="245" t="s">
        <v>19</v>
      </c>
      <c r="C1383" s="249" t="s">
        <v>20</v>
      </c>
      <c r="D1383" s="245" t="s">
        <v>21</v>
      </c>
      <c r="E1383" s="251">
        <v>14</v>
      </c>
      <c r="F1383" s="242" t="s">
        <v>507</v>
      </c>
      <c r="G1383" s="242">
        <v>3.9</v>
      </c>
      <c r="H1383" s="230">
        <f t="shared" si="32"/>
        <v>54.6</v>
      </c>
    </row>
    <row r="1384" spans="1:8" ht="12" customHeight="1" x14ac:dyDescent="0.25">
      <c r="A1384" s="244">
        <v>2002</v>
      </c>
      <c r="B1384" s="245" t="s">
        <v>19</v>
      </c>
      <c r="C1384" s="249" t="s">
        <v>20</v>
      </c>
      <c r="D1384" s="245" t="s">
        <v>21</v>
      </c>
      <c r="E1384" s="251">
        <v>12.5</v>
      </c>
      <c r="F1384" s="242" t="s">
        <v>507</v>
      </c>
      <c r="G1384" s="242">
        <v>3.9</v>
      </c>
      <c r="H1384" s="230">
        <f t="shared" si="32"/>
        <v>48.75</v>
      </c>
    </row>
    <row r="1385" spans="1:8" ht="12" customHeight="1" x14ac:dyDescent="0.25">
      <c r="A1385" s="244">
        <v>2002</v>
      </c>
      <c r="B1385" s="245" t="s">
        <v>19</v>
      </c>
      <c r="C1385" s="249" t="s">
        <v>20</v>
      </c>
      <c r="D1385" s="245" t="s">
        <v>21</v>
      </c>
      <c r="E1385" s="251">
        <v>10.5</v>
      </c>
      <c r="F1385" s="242" t="s">
        <v>507</v>
      </c>
      <c r="G1385" s="242">
        <v>3.9</v>
      </c>
      <c r="H1385" s="230">
        <f t="shared" si="32"/>
        <v>40.949999999999996</v>
      </c>
    </row>
    <row r="1386" spans="1:8" ht="12" customHeight="1" x14ac:dyDescent="0.25">
      <c r="A1386" s="244">
        <v>2002</v>
      </c>
      <c r="B1386" s="245" t="s">
        <v>19</v>
      </c>
      <c r="C1386" s="249" t="s">
        <v>20</v>
      </c>
      <c r="D1386" s="245" t="s">
        <v>21</v>
      </c>
      <c r="E1386" s="251">
        <v>11.5</v>
      </c>
      <c r="F1386" s="242" t="s">
        <v>507</v>
      </c>
      <c r="G1386" s="242">
        <v>3.9</v>
      </c>
      <c r="H1386" s="230">
        <f t="shared" si="32"/>
        <v>44.85</v>
      </c>
    </row>
    <row r="1387" spans="1:8" ht="12" customHeight="1" x14ac:dyDescent="0.25">
      <c r="A1387" s="244">
        <v>2002</v>
      </c>
      <c r="B1387" s="245" t="s">
        <v>19</v>
      </c>
      <c r="C1387" s="249" t="s">
        <v>20</v>
      </c>
      <c r="D1387" s="245" t="s">
        <v>21</v>
      </c>
      <c r="E1387" s="251">
        <v>10</v>
      </c>
      <c r="F1387" s="242" t="s">
        <v>507</v>
      </c>
      <c r="G1387" s="242">
        <v>3.9</v>
      </c>
      <c r="H1387" s="230">
        <f t="shared" si="32"/>
        <v>39</v>
      </c>
    </row>
    <row r="1388" spans="1:8" ht="12" customHeight="1" x14ac:dyDescent="0.25">
      <c r="A1388" s="244">
        <v>2002</v>
      </c>
      <c r="B1388" s="245" t="s">
        <v>19</v>
      </c>
      <c r="C1388" s="249" t="s">
        <v>20</v>
      </c>
      <c r="D1388" s="245" t="s">
        <v>21</v>
      </c>
      <c r="E1388" s="251">
        <v>10</v>
      </c>
      <c r="F1388" s="242" t="s">
        <v>507</v>
      </c>
      <c r="G1388" s="242">
        <v>3.9</v>
      </c>
      <c r="H1388" s="230">
        <f t="shared" si="32"/>
        <v>39</v>
      </c>
    </row>
    <row r="1389" spans="1:8" ht="12" customHeight="1" x14ac:dyDescent="0.25">
      <c r="A1389" s="244">
        <v>2002</v>
      </c>
      <c r="B1389" s="245" t="s">
        <v>19</v>
      </c>
      <c r="C1389" s="249" t="s">
        <v>20</v>
      </c>
      <c r="D1389" s="245" t="s">
        <v>21</v>
      </c>
      <c r="E1389" s="251">
        <v>9.5</v>
      </c>
      <c r="F1389" s="242" t="s">
        <v>507</v>
      </c>
      <c r="G1389" s="242">
        <v>3.9</v>
      </c>
      <c r="H1389" s="230">
        <f t="shared" si="32"/>
        <v>37.049999999999997</v>
      </c>
    </row>
    <row r="1390" spans="1:8" ht="12" customHeight="1" x14ac:dyDescent="0.25">
      <c r="A1390" s="244">
        <v>2002</v>
      </c>
      <c r="B1390" s="245" t="s">
        <v>19</v>
      </c>
      <c r="C1390" s="249" t="s">
        <v>20</v>
      </c>
      <c r="D1390" s="245" t="s">
        <v>21</v>
      </c>
      <c r="E1390" s="251">
        <v>10</v>
      </c>
      <c r="F1390" s="242" t="s">
        <v>507</v>
      </c>
      <c r="G1390" s="242">
        <v>3.9</v>
      </c>
      <c r="H1390" s="230">
        <f t="shared" si="32"/>
        <v>39</v>
      </c>
    </row>
    <row r="1391" spans="1:8" ht="12" customHeight="1" x14ac:dyDescent="0.25">
      <c r="A1391" s="244">
        <v>2002</v>
      </c>
      <c r="B1391" s="245" t="s">
        <v>19</v>
      </c>
      <c r="C1391" s="249" t="s">
        <v>20</v>
      </c>
      <c r="D1391" s="245" t="s">
        <v>21</v>
      </c>
      <c r="E1391" s="251">
        <v>10</v>
      </c>
      <c r="F1391" s="242" t="s">
        <v>507</v>
      </c>
      <c r="G1391" s="242">
        <v>3.9</v>
      </c>
      <c r="H1391" s="230">
        <f t="shared" si="32"/>
        <v>39</v>
      </c>
    </row>
    <row r="1392" spans="1:8" ht="12" customHeight="1" x14ac:dyDescent="0.25">
      <c r="A1392" s="244">
        <v>2002</v>
      </c>
      <c r="B1392" s="245" t="s">
        <v>19</v>
      </c>
      <c r="C1392" s="249" t="s">
        <v>20</v>
      </c>
      <c r="D1392" s="245" t="s">
        <v>21</v>
      </c>
      <c r="E1392" s="251">
        <v>6.5</v>
      </c>
      <c r="F1392" s="242" t="s">
        <v>507</v>
      </c>
      <c r="G1392" s="242">
        <v>3.9</v>
      </c>
      <c r="H1392" s="230">
        <f t="shared" si="32"/>
        <v>25.349999999999998</v>
      </c>
    </row>
    <row r="1393" spans="1:8" ht="12" customHeight="1" x14ac:dyDescent="0.25">
      <c r="A1393" s="244">
        <v>2002</v>
      </c>
      <c r="B1393" s="245" t="s">
        <v>19</v>
      </c>
      <c r="C1393" s="249" t="s">
        <v>20</v>
      </c>
      <c r="D1393" s="245" t="s">
        <v>21</v>
      </c>
      <c r="E1393" s="251">
        <v>7</v>
      </c>
      <c r="F1393" s="242" t="s">
        <v>507</v>
      </c>
      <c r="G1393" s="242">
        <v>3.9</v>
      </c>
      <c r="H1393" s="230">
        <f t="shared" si="32"/>
        <v>27.3</v>
      </c>
    </row>
    <row r="1394" spans="1:8" ht="12" customHeight="1" x14ac:dyDescent="0.25">
      <c r="A1394" s="244">
        <v>2002</v>
      </c>
      <c r="B1394" s="245" t="s">
        <v>19</v>
      </c>
      <c r="C1394" s="249" t="s">
        <v>20</v>
      </c>
      <c r="D1394" s="245" t="s">
        <v>21</v>
      </c>
      <c r="E1394" s="251">
        <v>8.5</v>
      </c>
      <c r="F1394" s="242" t="s">
        <v>507</v>
      </c>
      <c r="G1394" s="242">
        <v>3.9</v>
      </c>
      <c r="H1394" s="230">
        <f t="shared" si="32"/>
        <v>33.15</v>
      </c>
    </row>
    <row r="1395" spans="1:8" ht="12" customHeight="1" x14ac:dyDescent="0.25">
      <c r="A1395" s="244">
        <v>2002</v>
      </c>
      <c r="B1395" s="245" t="s">
        <v>19</v>
      </c>
      <c r="C1395" s="249" t="s">
        <v>20</v>
      </c>
      <c r="D1395" s="245" t="s">
        <v>21</v>
      </c>
      <c r="E1395" s="251">
        <v>13</v>
      </c>
      <c r="F1395" s="242" t="s">
        <v>507</v>
      </c>
      <c r="G1395" s="242">
        <v>3.9</v>
      </c>
      <c r="H1395" s="230">
        <f t="shared" si="32"/>
        <v>50.699999999999996</v>
      </c>
    </row>
    <row r="1396" spans="1:8" ht="12" customHeight="1" x14ac:dyDescent="0.25">
      <c r="A1396" s="244">
        <v>2002</v>
      </c>
      <c r="B1396" s="245" t="s">
        <v>19</v>
      </c>
      <c r="C1396" s="249" t="s">
        <v>20</v>
      </c>
      <c r="D1396" s="245" t="s">
        <v>21</v>
      </c>
      <c r="E1396" s="251">
        <v>9.5</v>
      </c>
      <c r="F1396" s="242" t="s">
        <v>507</v>
      </c>
      <c r="G1396" s="242">
        <v>3.9</v>
      </c>
      <c r="H1396" s="230">
        <f t="shared" si="32"/>
        <v>37.049999999999997</v>
      </c>
    </row>
    <row r="1397" spans="1:8" ht="12" customHeight="1" x14ac:dyDescent="0.25">
      <c r="A1397" s="244">
        <v>2002</v>
      </c>
      <c r="B1397" s="245" t="s">
        <v>19</v>
      </c>
      <c r="C1397" s="249" t="s">
        <v>20</v>
      </c>
      <c r="D1397" s="245" t="s">
        <v>21</v>
      </c>
      <c r="E1397" s="251">
        <v>16</v>
      </c>
      <c r="F1397" s="242" t="s">
        <v>507</v>
      </c>
      <c r="G1397" s="242">
        <v>3.9</v>
      </c>
      <c r="H1397" s="230">
        <f t="shared" si="32"/>
        <v>62.4</v>
      </c>
    </row>
    <row r="1398" spans="1:8" ht="12" customHeight="1" x14ac:dyDescent="0.25">
      <c r="A1398" s="244">
        <v>2002</v>
      </c>
      <c r="B1398" s="245" t="s">
        <v>19</v>
      </c>
      <c r="C1398" s="249" t="s">
        <v>20</v>
      </c>
      <c r="D1398" s="245" t="s">
        <v>21</v>
      </c>
      <c r="E1398" s="251">
        <v>11</v>
      </c>
      <c r="F1398" s="242" t="s">
        <v>507</v>
      </c>
      <c r="G1398" s="242">
        <v>3.9</v>
      </c>
      <c r="H1398" s="230">
        <f t="shared" si="32"/>
        <v>42.9</v>
      </c>
    </row>
    <row r="1399" spans="1:8" ht="12" customHeight="1" x14ac:dyDescent="0.25">
      <c r="A1399" s="244">
        <v>2002</v>
      </c>
      <c r="B1399" s="245" t="s">
        <v>19</v>
      </c>
      <c r="C1399" s="249" t="s">
        <v>20</v>
      </c>
      <c r="D1399" s="245" t="s">
        <v>21</v>
      </c>
      <c r="E1399" s="251">
        <v>6.5</v>
      </c>
      <c r="F1399" s="242" t="s">
        <v>507</v>
      </c>
      <c r="G1399" s="242">
        <v>3.9</v>
      </c>
      <c r="H1399" s="230">
        <f t="shared" si="32"/>
        <v>25.349999999999998</v>
      </c>
    </row>
    <row r="1400" spans="1:8" ht="12" customHeight="1" x14ac:dyDescent="0.25">
      <c r="A1400" s="244">
        <v>2002</v>
      </c>
      <c r="B1400" s="245" t="s">
        <v>19</v>
      </c>
      <c r="C1400" s="249" t="s">
        <v>20</v>
      </c>
      <c r="D1400" s="245" t="s">
        <v>21</v>
      </c>
      <c r="E1400" s="251">
        <v>10</v>
      </c>
      <c r="F1400" s="242" t="s">
        <v>507</v>
      </c>
      <c r="G1400" s="242">
        <v>3.9</v>
      </c>
      <c r="H1400" s="230">
        <f t="shared" si="32"/>
        <v>39</v>
      </c>
    </row>
    <row r="1401" spans="1:8" ht="12" customHeight="1" x14ac:dyDescent="0.25">
      <c r="A1401" s="244">
        <v>2002</v>
      </c>
      <c r="B1401" s="245" t="s">
        <v>19</v>
      </c>
      <c r="C1401" s="249" t="s">
        <v>20</v>
      </c>
      <c r="D1401" s="245" t="s">
        <v>21</v>
      </c>
      <c r="E1401" s="251">
        <v>17</v>
      </c>
      <c r="F1401" s="242" t="s">
        <v>507</v>
      </c>
      <c r="G1401" s="242">
        <v>3.9</v>
      </c>
      <c r="H1401" s="230">
        <f t="shared" si="32"/>
        <v>66.3</v>
      </c>
    </row>
    <row r="1402" spans="1:8" ht="12" customHeight="1" x14ac:dyDescent="0.25">
      <c r="A1402" s="244">
        <v>2002</v>
      </c>
      <c r="B1402" s="245" t="s">
        <v>19</v>
      </c>
      <c r="C1402" s="249" t="s">
        <v>20</v>
      </c>
      <c r="D1402" s="245" t="s">
        <v>21</v>
      </c>
      <c r="E1402" s="251">
        <v>9.5</v>
      </c>
      <c r="F1402" s="242" t="s">
        <v>507</v>
      </c>
      <c r="G1402" s="242">
        <v>3.9</v>
      </c>
      <c r="H1402" s="230">
        <f t="shared" si="32"/>
        <v>37.049999999999997</v>
      </c>
    </row>
    <row r="1403" spans="1:8" ht="15.75" x14ac:dyDescent="0.25">
      <c r="A1403" s="244">
        <v>2002</v>
      </c>
      <c r="B1403" s="245" t="s">
        <v>19</v>
      </c>
      <c r="C1403" s="249" t="s">
        <v>20</v>
      </c>
      <c r="D1403" s="245" t="s">
        <v>21</v>
      </c>
      <c r="E1403" s="251">
        <v>13</v>
      </c>
      <c r="F1403" s="242" t="s">
        <v>507</v>
      </c>
      <c r="G1403" s="242">
        <v>3.9</v>
      </c>
      <c r="H1403" s="230">
        <f t="shared" si="32"/>
        <v>50.699999999999996</v>
      </c>
    </row>
    <row r="1404" spans="1:8" ht="15.75" x14ac:dyDescent="0.25">
      <c r="A1404" s="244">
        <v>2002</v>
      </c>
      <c r="B1404" s="245" t="s">
        <v>19</v>
      </c>
      <c r="C1404" s="249" t="s">
        <v>20</v>
      </c>
      <c r="D1404" s="245" t="s">
        <v>21</v>
      </c>
      <c r="E1404" s="251">
        <v>16.5</v>
      </c>
      <c r="F1404" s="242" t="s">
        <v>507</v>
      </c>
      <c r="G1404" s="242">
        <v>3.9</v>
      </c>
      <c r="H1404" s="230">
        <f t="shared" si="32"/>
        <v>64.349999999999994</v>
      </c>
    </row>
    <row r="1405" spans="1:8" ht="15.75" x14ac:dyDescent="0.25">
      <c r="A1405" s="244">
        <v>2002</v>
      </c>
      <c r="B1405" s="245" t="s">
        <v>19</v>
      </c>
      <c r="C1405" s="249" t="s">
        <v>20</v>
      </c>
      <c r="D1405" s="245" t="s">
        <v>21</v>
      </c>
      <c r="E1405" s="251">
        <v>19</v>
      </c>
      <c r="F1405" s="242" t="s">
        <v>507</v>
      </c>
      <c r="G1405" s="242">
        <v>3.9</v>
      </c>
      <c r="H1405" s="230">
        <f t="shared" si="32"/>
        <v>74.099999999999994</v>
      </c>
    </row>
    <row r="1406" spans="1:8" ht="15.75" x14ac:dyDescent="0.25">
      <c r="A1406" s="244">
        <v>2002</v>
      </c>
      <c r="B1406" s="245" t="s">
        <v>19</v>
      </c>
      <c r="C1406" s="249" t="s">
        <v>20</v>
      </c>
      <c r="D1406" s="245" t="s">
        <v>21</v>
      </c>
      <c r="E1406" s="251">
        <v>17</v>
      </c>
      <c r="F1406" s="242" t="s">
        <v>507</v>
      </c>
      <c r="G1406" s="242">
        <v>3.9</v>
      </c>
      <c r="H1406" s="230">
        <f t="shared" si="32"/>
        <v>66.3</v>
      </c>
    </row>
    <row r="1407" spans="1:8" ht="15.75" x14ac:dyDescent="0.25">
      <c r="A1407" s="244">
        <v>2002</v>
      </c>
      <c r="B1407" s="245" t="s">
        <v>19</v>
      </c>
      <c r="C1407" s="249" t="s">
        <v>20</v>
      </c>
      <c r="D1407" s="245" t="s">
        <v>21</v>
      </c>
      <c r="E1407" s="251">
        <v>16.5</v>
      </c>
      <c r="F1407" s="242" t="s">
        <v>507</v>
      </c>
      <c r="G1407" s="242">
        <v>3.9</v>
      </c>
      <c r="H1407" s="230">
        <f t="shared" si="32"/>
        <v>64.349999999999994</v>
      </c>
    </row>
    <row r="1408" spans="1:8" ht="15.75" x14ac:dyDescent="0.25">
      <c r="A1408" s="244">
        <v>2002</v>
      </c>
      <c r="B1408" s="245" t="s">
        <v>19</v>
      </c>
      <c r="C1408" s="249" t="s">
        <v>20</v>
      </c>
      <c r="D1408" s="245" t="s">
        <v>21</v>
      </c>
      <c r="E1408" s="251">
        <v>12</v>
      </c>
      <c r="F1408" s="242" t="s">
        <v>507</v>
      </c>
      <c r="G1408" s="242">
        <v>3.9</v>
      </c>
      <c r="H1408" s="230">
        <f t="shared" si="32"/>
        <v>46.8</v>
      </c>
    </row>
    <row r="1409" spans="1:8" ht="15.75" x14ac:dyDescent="0.25">
      <c r="A1409" s="244">
        <v>2002</v>
      </c>
      <c r="B1409" s="245" t="s">
        <v>19</v>
      </c>
      <c r="C1409" s="249" t="s">
        <v>20</v>
      </c>
      <c r="D1409" s="245" t="s">
        <v>21</v>
      </c>
      <c r="E1409" s="251">
        <v>19.5</v>
      </c>
      <c r="F1409" s="242" t="s">
        <v>507</v>
      </c>
      <c r="G1409" s="242">
        <v>3.9</v>
      </c>
      <c r="H1409" s="230">
        <f t="shared" si="32"/>
        <v>76.05</v>
      </c>
    </row>
    <row r="1410" spans="1:8" ht="15.75" x14ac:dyDescent="0.25">
      <c r="A1410" s="244">
        <v>2002</v>
      </c>
      <c r="B1410" s="245" t="s">
        <v>19</v>
      </c>
      <c r="C1410" s="249" t="s">
        <v>20</v>
      </c>
      <c r="D1410" s="245" t="s">
        <v>21</v>
      </c>
      <c r="E1410" s="251">
        <v>13.5</v>
      </c>
      <c r="F1410" s="242" t="s">
        <v>507</v>
      </c>
      <c r="G1410" s="242">
        <v>3.9</v>
      </c>
      <c r="H1410" s="230">
        <f t="shared" si="32"/>
        <v>52.65</v>
      </c>
    </row>
    <row r="1411" spans="1:8" ht="15.75" x14ac:dyDescent="0.25">
      <c r="A1411" s="244">
        <v>2002</v>
      </c>
      <c r="B1411" s="245" t="s">
        <v>19</v>
      </c>
      <c r="C1411" s="249" t="s">
        <v>20</v>
      </c>
      <c r="D1411" s="245" t="s">
        <v>21</v>
      </c>
      <c r="E1411" s="251">
        <v>9</v>
      </c>
      <c r="F1411" s="242" t="s">
        <v>507</v>
      </c>
      <c r="G1411" s="242">
        <v>3.9</v>
      </c>
      <c r="H1411" s="230">
        <f t="shared" ref="H1411:H1474" si="33">E1411*G1411</f>
        <v>35.1</v>
      </c>
    </row>
    <row r="1412" spans="1:8" ht="15.75" x14ac:dyDescent="0.25">
      <c r="A1412" s="244">
        <v>2002</v>
      </c>
      <c r="B1412" s="245" t="s">
        <v>19</v>
      </c>
      <c r="C1412" s="249" t="s">
        <v>20</v>
      </c>
      <c r="D1412" s="245" t="s">
        <v>21</v>
      </c>
      <c r="E1412" s="251">
        <v>16</v>
      </c>
      <c r="F1412" s="242" t="s">
        <v>507</v>
      </c>
      <c r="G1412" s="242">
        <v>3.9</v>
      </c>
      <c r="H1412" s="230">
        <f t="shared" si="33"/>
        <v>62.4</v>
      </c>
    </row>
    <row r="1413" spans="1:8" ht="15.75" x14ac:dyDescent="0.25">
      <c r="A1413" s="244">
        <v>2002</v>
      </c>
      <c r="B1413" s="245" t="s">
        <v>19</v>
      </c>
      <c r="C1413" s="249" t="s">
        <v>20</v>
      </c>
      <c r="D1413" s="245" t="s">
        <v>21</v>
      </c>
      <c r="E1413" s="251">
        <v>11</v>
      </c>
      <c r="F1413" s="242" t="s">
        <v>507</v>
      </c>
      <c r="G1413" s="242">
        <v>3.9</v>
      </c>
      <c r="H1413" s="230">
        <f t="shared" si="33"/>
        <v>42.9</v>
      </c>
    </row>
    <row r="1414" spans="1:8" ht="15.75" x14ac:dyDescent="0.25">
      <c r="A1414" s="244">
        <v>2002</v>
      </c>
      <c r="B1414" s="245" t="s">
        <v>19</v>
      </c>
      <c r="C1414" s="249" t="s">
        <v>20</v>
      </c>
      <c r="D1414" s="245" t="s">
        <v>21</v>
      </c>
      <c r="E1414" s="251">
        <v>9</v>
      </c>
      <c r="F1414" s="242" t="s">
        <v>507</v>
      </c>
      <c r="G1414" s="242">
        <v>3.9</v>
      </c>
      <c r="H1414" s="230">
        <f t="shared" si="33"/>
        <v>35.1</v>
      </c>
    </row>
    <row r="1415" spans="1:8" ht="15.75" x14ac:dyDescent="0.25">
      <c r="A1415" s="244">
        <v>2002</v>
      </c>
      <c r="B1415" s="245" t="s">
        <v>19</v>
      </c>
      <c r="C1415" s="249" t="s">
        <v>20</v>
      </c>
      <c r="D1415" s="245" t="s">
        <v>21</v>
      </c>
      <c r="E1415" s="251">
        <v>9.5</v>
      </c>
      <c r="F1415" s="242" t="s">
        <v>507</v>
      </c>
      <c r="G1415" s="242">
        <v>3.9</v>
      </c>
      <c r="H1415" s="230">
        <f t="shared" si="33"/>
        <v>37.049999999999997</v>
      </c>
    </row>
    <row r="1416" spans="1:8" ht="15.75" x14ac:dyDescent="0.25">
      <c r="A1416" s="244">
        <v>2002</v>
      </c>
      <c r="B1416" s="245" t="s">
        <v>19</v>
      </c>
      <c r="C1416" s="249" t="s">
        <v>20</v>
      </c>
      <c r="D1416" s="245" t="s">
        <v>21</v>
      </c>
      <c r="E1416" s="251">
        <v>7.5</v>
      </c>
      <c r="F1416" s="242" t="s">
        <v>507</v>
      </c>
      <c r="G1416" s="242">
        <v>3.9</v>
      </c>
      <c r="H1416" s="230">
        <f t="shared" si="33"/>
        <v>29.25</v>
      </c>
    </row>
    <row r="1417" spans="1:8" ht="15.75" x14ac:dyDescent="0.25">
      <c r="A1417" s="244">
        <v>2002</v>
      </c>
      <c r="B1417" s="245" t="s">
        <v>19</v>
      </c>
      <c r="C1417" s="249" t="s">
        <v>20</v>
      </c>
      <c r="D1417" s="245" t="s">
        <v>21</v>
      </c>
      <c r="E1417" s="251">
        <v>10.5</v>
      </c>
      <c r="F1417" s="242" t="s">
        <v>507</v>
      </c>
      <c r="G1417" s="242">
        <v>3.9</v>
      </c>
      <c r="H1417" s="230">
        <f t="shared" si="33"/>
        <v>40.949999999999996</v>
      </c>
    </row>
    <row r="1418" spans="1:8" ht="15.75" x14ac:dyDescent="0.25">
      <c r="A1418" s="244">
        <v>2002</v>
      </c>
      <c r="B1418" s="245" t="s">
        <v>19</v>
      </c>
      <c r="C1418" s="249" t="s">
        <v>20</v>
      </c>
      <c r="D1418" s="245" t="s">
        <v>21</v>
      </c>
      <c r="E1418" s="251">
        <v>10</v>
      </c>
      <c r="F1418" s="242" t="s">
        <v>507</v>
      </c>
      <c r="G1418" s="242">
        <v>3.9</v>
      </c>
      <c r="H1418" s="230">
        <f t="shared" si="33"/>
        <v>39</v>
      </c>
    </row>
    <row r="1419" spans="1:8" ht="15.75" x14ac:dyDescent="0.25">
      <c r="A1419" s="244">
        <v>2002</v>
      </c>
      <c r="B1419" s="245" t="s">
        <v>19</v>
      </c>
      <c r="C1419" s="249" t="s">
        <v>20</v>
      </c>
      <c r="D1419" s="245" t="s">
        <v>21</v>
      </c>
      <c r="E1419" s="251">
        <v>10</v>
      </c>
      <c r="F1419" s="242" t="s">
        <v>507</v>
      </c>
      <c r="G1419" s="242">
        <v>3.9</v>
      </c>
      <c r="H1419" s="230">
        <f t="shared" si="33"/>
        <v>39</v>
      </c>
    </row>
    <row r="1420" spans="1:8" ht="15.75" x14ac:dyDescent="0.25">
      <c r="A1420" s="244">
        <v>2002</v>
      </c>
      <c r="B1420" s="245" t="s">
        <v>19</v>
      </c>
      <c r="C1420" s="249" t="s">
        <v>20</v>
      </c>
      <c r="D1420" s="245" t="s">
        <v>21</v>
      </c>
      <c r="E1420" s="251">
        <v>16</v>
      </c>
      <c r="F1420" s="242" t="s">
        <v>507</v>
      </c>
      <c r="G1420" s="242">
        <v>3.9</v>
      </c>
      <c r="H1420" s="230">
        <f t="shared" si="33"/>
        <v>62.4</v>
      </c>
    </row>
    <row r="1421" spans="1:8" ht="15.75" x14ac:dyDescent="0.25">
      <c r="A1421" s="244">
        <v>2002</v>
      </c>
      <c r="B1421" s="245" t="s">
        <v>19</v>
      </c>
      <c r="C1421" s="249" t="s">
        <v>20</v>
      </c>
      <c r="D1421" s="245" t="s">
        <v>21</v>
      </c>
      <c r="E1421" s="251">
        <v>9.5</v>
      </c>
      <c r="F1421" s="242" t="s">
        <v>507</v>
      </c>
      <c r="G1421" s="242">
        <v>3.9</v>
      </c>
      <c r="H1421" s="230">
        <f t="shared" si="33"/>
        <v>37.049999999999997</v>
      </c>
    </row>
    <row r="1422" spans="1:8" ht="15.75" x14ac:dyDescent="0.25">
      <c r="A1422" s="244">
        <v>2002</v>
      </c>
      <c r="B1422" s="245" t="s">
        <v>19</v>
      </c>
      <c r="C1422" s="249" t="s">
        <v>20</v>
      </c>
      <c r="D1422" s="245" t="s">
        <v>21</v>
      </c>
      <c r="E1422" s="251">
        <v>14</v>
      </c>
      <c r="F1422" s="242" t="s">
        <v>507</v>
      </c>
      <c r="G1422" s="242">
        <v>3.9</v>
      </c>
      <c r="H1422" s="230">
        <f t="shared" si="33"/>
        <v>54.6</v>
      </c>
    </row>
    <row r="1423" spans="1:8" ht="15.75" x14ac:dyDescent="0.25">
      <c r="A1423" s="244">
        <v>2002</v>
      </c>
      <c r="B1423" s="245" t="s">
        <v>19</v>
      </c>
      <c r="C1423" s="249" t="s">
        <v>20</v>
      </c>
      <c r="D1423" s="245" t="s">
        <v>21</v>
      </c>
      <c r="E1423" s="251">
        <v>11.5</v>
      </c>
      <c r="F1423" s="242" t="s">
        <v>507</v>
      </c>
      <c r="G1423" s="242">
        <v>3.9</v>
      </c>
      <c r="H1423" s="230">
        <f t="shared" si="33"/>
        <v>44.85</v>
      </c>
    </row>
    <row r="1424" spans="1:8" ht="15.75" x14ac:dyDescent="0.25">
      <c r="A1424" s="244">
        <v>2002</v>
      </c>
      <c r="B1424" s="245" t="s">
        <v>19</v>
      </c>
      <c r="C1424" s="249" t="s">
        <v>20</v>
      </c>
      <c r="D1424" s="245" t="s">
        <v>21</v>
      </c>
      <c r="E1424" s="251">
        <v>13.5</v>
      </c>
      <c r="F1424" s="242" t="s">
        <v>507</v>
      </c>
      <c r="G1424" s="242">
        <v>3.9</v>
      </c>
      <c r="H1424" s="230">
        <f t="shared" si="33"/>
        <v>52.65</v>
      </c>
    </row>
    <row r="1425" spans="1:8" ht="15.75" x14ac:dyDescent="0.25">
      <c r="A1425" s="244">
        <v>2002</v>
      </c>
      <c r="B1425" s="245" t="s">
        <v>19</v>
      </c>
      <c r="C1425" s="249" t="s">
        <v>20</v>
      </c>
      <c r="D1425" s="245" t="s">
        <v>21</v>
      </c>
      <c r="E1425" s="251">
        <v>14</v>
      </c>
      <c r="F1425" s="242" t="s">
        <v>507</v>
      </c>
      <c r="G1425" s="242">
        <v>3.9</v>
      </c>
      <c r="H1425" s="230">
        <f t="shared" si="33"/>
        <v>54.6</v>
      </c>
    </row>
    <row r="1426" spans="1:8" ht="15.75" x14ac:dyDescent="0.25">
      <c r="A1426" s="244">
        <v>2002</v>
      </c>
      <c r="B1426" s="245" t="s">
        <v>19</v>
      </c>
      <c r="C1426" s="249" t="s">
        <v>20</v>
      </c>
      <c r="D1426" s="245" t="s">
        <v>21</v>
      </c>
      <c r="E1426" s="251">
        <v>13</v>
      </c>
      <c r="F1426" s="242" t="s">
        <v>507</v>
      </c>
      <c r="G1426" s="242">
        <v>3.9</v>
      </c>
      <c r="H1426" s="230">
        <f t="shared" si="33"/>
        <v>50.699999999999996</v>
      </c>
    </row>
    <row r="1427" spans="1:8" ht="15.75" x14ac:dyDescent="0.25">
      <c r="A1427" s="244">
        <v>2002</v>
      </c>
      <c r="B1427" s="245" t="s">
        <v>19</v>
      </c>
      <c r="C1427" s="249" t="s">
        <v>20</v>
      </c>
      <c r="D1427" s="245" t="s">
        <v>21</v>
      </c>
      <c r="E1427" s="251">
        <v>9.5</v>
      </c>
      <c r="F1427" s="242" t="s">
        <v>507</v>
      </c>
      <c r="G1427" s="242">
        <v>3.9</v>
      </c>
      <c r="H1427" s="230">
        <f t="shared" si="33"/>
        <v>37.049999999999997</v>
      </c>
    </row>
    <row r="1428" spans="1:8" ht="15.75" x14ac:dyDescent="0.25">
      <c r="A1428" s="244">
        <v>2002</v>
      </c>
      <c r="B1428" s="245" t="s">
        <v>19</v>
      </c>
      <c r="C1428" s="249" t="s">
        <v>20</v>
      </c>
      <c r="D1428" s="245" t="s">
        <v>21</v>
      </c>
      <c r="E1428" s="251">
        <v>15</v>
      </c>
      <c r="F1428" s="242" t="s">
        <v>507</v>
      </c>
      <c r="G1428" s="242">
        <v>3.9</v>
      </c>
      <c r="H1428" s="230">
        <f t="shared" si="33"/>
        <v>58.5</v>
      </c>
    </row>
    <row r="1429" spans="1:8" ht="15.75" x14ac:dyDescent="0.25">
      <c r="A1429" s="244">
        <v>2002</v>
      </c>
      <c r="B1429" s="245" t="s">
        <v>19</v>
      </c>
      <c r="C1429" s="249" t="s">
        <v>20</v>
      </c>
      <c r="D1429" s="245" t="s">
        <v>21</v>
      </c>
      <c r="E1429" s="251">
        <v>12</v>
      </c>
      <c r="F1429" s="242" t="s">
        <v>507</v>
      </c>
      <c r="G1429" s="242">
        <v>3.9</v>
      </c>
      <c r="H1429" s="230">
        <f t="shared" si="33"/>
        <v>46.8</v>
      </c>
    </row>
    <row r="1430" spans="1:8" ht="15.75" x14ac:dyDescent="0.25">
      <c r="A1430" s="244">
        <v>2002</v>
      </c>
      <c r="B1430" s="245" t="s">
        <v>19</v>
      </c>
      <c r="C1430" s="249" t="s">
        <v>20</v>
      </c>
      <c r="D1430" s="245" t="s">
        <v>21</v>
      </c>
      <c r="E1430" s="251">
        <v>13.5</v>
      </c>
      <c r="F1430" s="242" t="s">
        <v>507</v>
      </c>
      <c r="G1430" s="242">
        <v>3.9</v>
      </c>
      <c r="H1430" s="230">
        <f t="shared" si="33"/>
        <v>52.65</v>
      </c>
    </row>
    <row r="1431" spans="1:8" ht="15.75" x14ac:dyDescent="0.25">
      <c r="A1431" s="244">
        <v>2002</v>
      </c>
      <c r="B1431" s="245" t="s">
        <v>19</v>
      </c>
      <c r="C1431" s="249" t="s">
        <v>20</v>
      </c>
      <c r="D1431" s="245" t="s">
        <v>21</v>
      </c>
      <c r="E1431" s="251">
        <v>6.5</v>
      </c>
      <c r="F1431" s="242" t="s">
        <v>507</v>
      </c>
      <c r="G1431" s="242">
        <v>3.9</v>
      </c>
      <c r="H1431" s="230">
        <f t="shared" si="33"/>
        <v>25.349999999999998</v>
      </c>
    </row>
    <row r="1432" spans="1:8" ht="15.75" x14ac:dyDescent="0.25">
      <c r="A1432" s="244">
        <v>2002</v>
      </c>
      <c r="B1432" s="245" t="s">
        <v>19</v>
      </c>
      <c r="C1432" s="249" t="s">
        <v>20</v>
      </c>
      <c r="D1432" s="245" t="s">
        <v>21</v>
      </c>
      <c r="E1432" s="251">
        <v>11.5</v>
      </c>
      <c r="F1432" s="242" t="s">
        <v>507</v>
      </c>
      <c r="G1432" s="242">
        <v>3.9</v>
      </c>
      <c r="H1432" s="230">
        <f t="shared" si="33"/>
        <v>44.85</v>
      </c>
    </row>
    <row r="1433" spans="1:8" ht="15.75" x14ac:dyDescent="0.25">
      <c r="A1433" s="244">
        <v>2002</v>
      </c>
      <c r="B1433" s="245" t="s">
        <v>19</v>
      </c>
      <c r="C1433" s="249" t="s">
        <v>20</v>
      </c>
      <c r="D1433" s="245" t="s">
        <v>21</v>
      </c>
      <c r="E1433" s="251">
        <v>13.5</v>
      </c>
      <c r="F1433" s="242" t="s">
        <v>507</v>
      </c>
      <c r="G1433" s="242">
        <v>3.9</v>
      </c>
      <c r="H1433" s="230">
        <f t="shared" si="33"/>
        <v>52.65</v>
      </c>
    </row>
    <row r="1434" spans="1:8" ht="15.75" x14ac:dyDescent="0.25">
      <c r="A1434" s="244">
        <v>2002</v>
      </c>
      <c r="B1434" s="245" t="s">
        <v>19</v>
      </c>
      <c r="C1434" s="249" t="s">
        <v>20</v>
      </c>
      <c r="D1434" s="245" t="s">
        <v>21</v>
      </c>
      <c r="E1434" s="251">
        <v>9.5</v>
      </c>
      <c r="F1434" s="242" t="s">
        <v>507</v>
      </c>
      <c r="G1434" s="242">
        <v>3.9</v>
      </c>
      <c r="H1434" s="230">
        <f t="shared" si="33"/>
        <v>37.049999999999997</v>
      </c>
    </row>
    <row r="1435" spans="1:8" ht="15.75" x14ac:dyDescent="0.25">
      <c r="A1435" s="244">
        <v>2002</v>
      </c>
      <c r="B1435" s="245" t="s">
        <v>19</v>
      </c>
      <c r="C1435" s="249" t="s">
        <v>20</v>
      </c>
      <c r="D1435" s="245" t="s">
        <v>21</v>
      </c>
      <c r="E1435" s="251">
        <v>9</v>
      </c>
      <c r="F1435" s="242" t="s">
        <v>507</v>
      </c>
      <c r="G1435" s="242">
        <v>3.9</v>
      </c>
      <c r="H1435" s="230">
        <f t="shared" si="33"/>
        <v>35.1</v>
      </c>
    </row>
    <row r="1436" spans="1:8" ht="15.75" x14ac:dyDescent="0.25">
      <c r="A1436" s="244">
        <v>2002</v>
      </c>
      <c r="B1436" s="245" t="s">
        <v>19</v>
      </c>
      <c r="C1436" s="249" t="s">
        <v>20</v>
      </c>
      <c r="D1436" s="245" t="s">
        <v>21</v>
      </c>
      <c r="E1436" s="251">
        <v>14.5</v>
      </c>
      <c r="F1436" s="242" t="s">
        <v>507</v>
      </c>
      <c r="G1436" s="242">
        <v>3.9</v>
      </c>
      <c r="H1436" s="230">
        <f t="shared" si="33"/>
        <v>56.55</v>
      </c>
    </row>
    <row r="1437" spans="1:8" ht="15.75" x14ac:dyDescent="0.25">
      <c r="A1437" s="244">
        <v>2002</v>
      </c>
      <c r="B1437" s="245" t="s">
        <v>19</v>
      </c>
      <c r="C1437" s="249" t="s">
        <v>20</v>
      </c>
      <c r="D1437" s="245" t="s">
        <v>21</v>
      </c>
      <c r="E1437" s="251">
        <v>9.5</v>
      </c>
      <c r="F1437" s="242" t="s">
        <v>507</v>
      </c>
      <c r="G1437" s="242">
        <v>3.9</v>
      </c>
      <c r="H1437" s="230">
        <f t="shared" si="33"/>
        <v>37.049999999999997</v>
      </c>
    </row>
    <row r="1438" spans="1:8" ht="15.75" x14ac:dyDescent="0.25">
      <c r="A1438" s="244">
        <v>2002</v>
      </c>
      <c r="B1438" s="245" t="s">
        <v>19</v>
      </c>
      <c r="C1438" s="249" t="s">
        <v>20</v>
      </c>
      <c r="D1438" s="245" t="s">
        <v>21</v>
      </c>
      <c r="E1438" s="251">
        <v>14</v>
      </c>
      <c r="F1438" s="242" t="s">
        <v>507</v>
      </c>
      <c r="G1438" s="242">
        <v>3.9</v>
      </c>
      <c r="H1438" s="230">
        <f t="shared" si="33"/>
        <v>54.6</v>
      </c>
    </row>
    <row r="1439" spans="1:8" ht="15.75" x14ac:dyDescent="0.25">
      <c r="A1439" s="244">
        <v>2002</v>
      </c>
      <c r="B1439" s="245" t="s">
        <v>19</v>
      </c>
      <c r="C1439" s="249" t="s">
        <v>20</v>
      </c>
      <c r="D1439" s="245" t="s">
        <v>21</v>
      </c>
      <c r="E1439" s="251">
        <v>15.5</v>
      </c>
      <c r="F1439" s="242" t="s">
        <v>507</v>
      </c>
      <c r="G1439" s="242">
        <v>3.9</v>
      </c>
      <c r="H1439" s="230">
        <f t="shared" si="33"/>
        <v>60.449999999999996</v>
      </c>
    </row>
    <row r="1440" spans="1:8" ht="15.75" x14ac:dyDescent="0.25">
      <c r="A1440" s="244">
        <v>2002</v>
      </c>
      <c r="B1440" s="245" t="s">
        <v>19</v>
      </c>
      <c r="C1440" s="249" t="s">
        <v>20</v>
      </c>
      <c r="D1440" s="245" t="s">
        <v>21</v>
      </c>
      <c r="E1440" s="251">
        <v>8.5</v>
      </c>
      <c r="F1440" s="242" t="s">
        <v>507</v>
      </c>
      <c r="G1440" s="242">
        <v>3.9</v>
      </c>
      <c r="H1440" s="230">
        <f t="shared" si="33"/>
        <v>33.15</v>
      </c>
    </row>
    <row r="1441" spans="1:8" ht="15.75" x14ac:dyDescent="0.25">
      <c r="A1441" s="244">
        <v>2002</v>
      </c>
      <c r="B1441" s="245" t="s">
        <v>19</v>
      </c>
      <c r="C1441" s="249" t="s">
        <v>20</v>
      </c>
      <c r="D1441" s="245" t="s">
        <v>21</v>
      </c>
      <c r="E1441" s="251">
        <v>15.5</v>
      </c>
      <c r="F1441" s="242" t="s">
        <v>507</v>
      </c>
      <c r="G1441" s="242">
        <v>3.9</v>
      </c>
      <c r="H1441" s="230">
        <f t="shared" si="33"/>
        <v>60.449999999999996</v>
      </c>
    </row>
    <row r="1442" spans="1:8" ht="15.75" x14ac:dyDescent="0.25">
      <c r="A1442" s="244">
        <v>2002</v>
      </c>
      <c r="B1442" s="245" t="s">
        <v>19</v>
      </c>
      <c r="C1442" s="249" t="s">
        <v>20</v>
      </c>
      <c r="D1442" s="245" t="s">
        <v>21</v>
      </c>
      <c r="E1442" s="251">
        <v>7</v>
      </c>
      <c r="F1442" s="242" t="s">
        <v>507</v>
      </c>
      <c r="G1442" s="242">
        <v>3.9</v>
      </c>
      <c r="H1442" s="230">
        <f t="shared" si="33"/>
        <v>27.3</v>
      </c>
    </row>
    <row r="1443" spans="1:8" ht="15.75" x14ac:dyDescent="0.25">
      <c r="A1443" s="244">
        <v>2002</v>
      </c>
      <c r="B1443" s="245" t="s">
        <v>19</v>
      </c>
      <c r="C1443" s="249" t="s">
        <v>20</v>
      </c>
      <c r="D1443" s="245" t="s">
        <v>21</v>
      </c>
      <c r="E1443" s="251">
        <v>10.5</v>
      </c>
      <c r="F1443" s="242" t="s">
        <v>507</v>
      </c>
      <c r="G1443" s="242">
        <v>3.9</v>
      </c>
      <c r="H1443" s="230">
        <f t="shared" si="33"/>
        <v>40.949999999999996</v>
      </c>
    </row>
    <row r="1444" spans="1:8" ht="15.75" x14ac:dyDescent="0.25">
      <c r="A1444" s="244">
        <v>2002</v>
      </c>
      <c r="B1444" s="245" t="s">
        <v>19</v>
      </c>
      <c r="C1444" s="249" t="s">
        <v>20</v>
      </c>
      <c r="D1444" s="245" t="s">
        <v>21</v>
      </c>
      <c r="E1444" s="251">
        <v>10</v>
      </c>
      <c r="F1444" s="242" t="s">
        <v>507</v>
      </c>
      <c r="G1444" s="242">
        <v>3.9</v>
      </c>
      <c r="H1444" s="230">
        <f t="shared" si="33"/>
        <v>39</v>
      </c>
    </row>
    <row r="1445" spans="1:8" ht="15.75" x14ac:dyDescent="0.25">
      <c r="A1445" s="244">
        <v>2002</v>
      </c>
      <c r="B1445" s="245" t="s">
        <v>19</v>
      </c>
      <c r="C1445" s="249" t="s">
        <v>20</v>
      </c>
      <c r="D1445" s="245" t="s">
        <v>21</v>
      </c>
      <c r="E1445" s="251">
        <v>15.5</v>
      </c>
      <c r="F1445" s="242" t="s">
        <v>507</v>
      </c>
      <c r="G1445" s="242">
        <v>3.9</v>
      </c>
      <c r="H1445" s="230">
        <f t="shared" si="33"/>
        <v>60.449999999999996</v>
      </c>
    </row>
    <row r="1446" spans="1:8" ht="15.75" x14ac:dyDescent="0.25">
      <c r="A1446" s="244">
        <v>2002</v>
      </c>
      <c r="B1446" s="245" t="s">
        <v>19</v>
      </c>
      <c r="C1446" s="249" t="s">
        <v>20</v>
      </c>
      <c r="D1446" s="245" t="s">
        <v>21</v>
      </c>
      <c r="E1446" s="251">
        <v>8</v>
      </c>
      <c r="F1446" s="242" t="s">
        <v>507</v>
      </c>
      <c r="G1446" s="242">
        <v>3.9</v>
      </c>
      <c r="H1446" s="230">
        <f t="shared" si="33"/>
        <v>31.2</v>
      </c>
    </row>
    <row r="1447" spans="1:8" ht="15.75" x14ac:dyDescent="0.25">
      <c r="A1447" s="244">
        <v>2002</v>
      </c>
      <c r="B1447" s="245" t="s">
        <v>19</v>
      </c>
      <c r="C1447" s="249" t="s">
        <v>20</v>
      </c>
      <c r="D1447" s="245" t="s">
        <v>21</v>
      </c>
      <c r="E1447" s="251">
        <v>12</v>
      </c>
      <c r="F1447" s="242" t="s">
        <v>507</v>
      </c>
      <c r="G1447" s="242">
        <v>3.9</v>
      </c>
      <c r="H1447" s="230">
        <f t="shared" si="33"/>
        <v>46.8</v>
      </c>
    </row>
    <row r="1448" spans="1:8" ht="15.75" x14ac:dyDescent="0.25">
      <c r="A1448" s="244">
        <v>2002</v>
      </c>
      <c r="B1448" s="245" t="s">
        <v>19</v>
      </c>
      <c r="C1448" s="249" t="s">
        <v>20</v>
      </c>
      <c r="D1448" s="245" t="s">
        <v>21</v>
      </c>
      <c r="E1448" s="251">
        <v>10.5</v>
      </c>
      <c r="F1448" s="242" t="s">
        <v>507</v>
      </c>
      <c r="G1448" s="242">
        <v>3.9</v>
      </c>
      <c r="H1448" s="230">
        <f t="shared" si="33"/>
        <v>40.949999999999996</v>
      </c>
    </row>
    <row r="1449" spans="1:8" ht="15.75" x14ac:dyDescent="0.25">
      <c r="A1449" s="244">
        <v>2002</v>
      </c>
      <c r="B1449" s="245" t="s">
        <v>19</v>
      </c>
      <c r="C1449" s="249" t="s">
        <v>20</v>
      </c>
      <c r="D1449" s="245" t="s">
        <v>21</v>
      </c>
      <c r="E1449" s="251">
        <v>14.5</v>
      </c>
      <c r="F1449" s="242" t="s">
        <v>507</v>
      </c>
      <c r="G1449" s="242">
        <v>3.9</v>
      </c>
      <c r="H1449" s="230">
        <f t="shared" si="33"/>
        <v>56.55</v>
      </c>
    </row>
    <row r="1450" spans="1:8" ht="15.75" x14ac:dyDescent="0.25">
      <c r="A1450" s="244">
        <v>2002</v>
      </c>
      <c r="B1450" s="245" t="s">
        <v>19</v>
      </c>
      <c r="C1450" s="249" t="s">
        <v>20</v>
      </c>
      <c r="D1450" s="245" t="s">
        <v>21</v>
      </c>
      <c r="E1450" s="251">
        <v>10</v>
      </c>
      <c r="F1450" s="242" t="s">
        <v>507</v>
      </c>
      <c r="G1450" s="242">
        <v>3.9</v>
      </c>
      <c r="H1450" s="230">
        <f t="shared" si="33"/>
        <v>39</v>
      </c>
    </row>
    <row r="1451" spans="1:8" ht="15.75" x14ac:dyDescent="0.25">
      <c r="A1451" s="244">
        <v>2002</v>
      </c>
      <c r="B1451" s="245" t="s">
        <v>19</v>
      </c>
      <c r="C1451" s="249" t="s">
        <v>20</v>
      </c>
      <c r="D1451" s="245" t="s">
        <v>21</v>
      </c>
      <c r="E1451" s="251">
        <v>12.5</v>
      </c>
      <c r="F1451" s="242" t="s">
        <v>507</v>
      </c>
      <c r="G1451" s="242">
        <v>3.9</v>
      </c>
      <c r="H1451" s="230">
        <f t="shared" si="33"/>
        <v>48.75</v>
      </c>
    </row>
    <row r="1452" spans="1:8" ht="15.75" x14ac:dyDescent="0.25">
      <c r="A1452" s="244">
        <v>2002</v>
      </c>
      <c r="B1452" s="245" t="s">
        <v>19</v>
      </c>
      <c r="C1452" s="249" t="s">
        <v>20</v>
      </c>
      <c r="D1452" s="245" t="s">
        <v>21</v>
      </c>
      <c r="E1452" s="251">
        <v>14.5</v>
      </c>
      <c r="F1452" s="242" t="s">
        <v>507</v>
      </c>
      <c r="G1452" s="242">
        <v>3.9</v>
      </c>
      <c r="H1452" s="230">
        <f t="shared" si="33"/>
        <v>56.55</v>
      </c>
    </row>
    <row r="1453" spans="1:8" ht="15.75" x14ac:dyDescent="0.25">
      <c r="A1453" s="244">
        <v>2002</v>
      </c>
      <c r="B1453" s="245" t="s">
        <v>19</v>
      </c>
      <c r="C1453" s="249" t="s">
        <v>20</v>
      </c>
      <c r="D1453" s="245" t="s">
        <v>21</v>
      </c>
      <c r="E1453" s="251">
        <v>18</v>
      </c>
      <c r="F1453" s="242" t="s">
        <v>507</v>
      </c>
      <c r="G1453" s="242">
        <v>3.9</v>
      </c>
      <c r="H1453" s="230">
        <f t="shared" si="33"/>
        <v>70.2</v>
      </c>
    </row>
    <row r="1454" spans="1:8" ht="15.75" x14ac:dyDescent="0.25">
      <c r="A1454" s="244">
        <v>2002</v>
      </c>
      <c r="B1454" s="245" t="s">
        <v>19</v>
      </c>
      <c r="C1454" s="249" t="s">
        <v>20</v>
      </c>
      <c r="D1454" s="245" t="s">
        <v>21</v>
      </c>
      <c r="E1454" s="251">
        <v>12.5</v>
      </c>
      <c r="F1454" s="242" t="s">
        <v>507</v>
      </c>
      <c r="G1454" s="242">
        <v>3.9</v>
      </c>
      <c r="H1454" s="230">
        <f t="shared" si="33"/>
        <v>48.75</v>
      </c>
    </row>
    <row r="1455" spans="1:8" ht="15.75" x14ac:dyDescent="0.25">
      <c r="A1455" s="244">
        <v>2002</v>
      </c>
      <c r="B1455" s="245" t="s">
        <v>19</v>
      </c>
      <c r="C1455" s="249" t="s">
        <v>20</v>
      </c>
      <c r="D1455" s="245" t="s">
        <v>21</v>
      </c>
      <c r="E1455" s="251">
        <v>12.5</v>
      </c>
      <c r="F1455" s="242" t="s">
        <v>507</v>
      </c>
      <c r="G1455" s="242">
        <v>3.9</v>
      </c>
      <c r="H1455" s="230">
        <f t="shared" si="33"/>
        <v>48.75</v>
      </c>
    </row>
    <row r="1456" spans="1:8" ht="15.75" x14ac:dyDescent="0.25">
      <c r="A1456" s="244">
        <v>2002</v>
      </c>
      <c r="B1456" s="245" t="s">
        <v>19</v>
      </c>
      <c r="C1456" s="249" t="s">
        <v>20</v>
      </c>
      <c r="D1456" s="245" t="s">
        <v>21</v>
      </c>
      <c r="E1456" s="251">
        <v>14.5</v>
      </c>
      <c r="F1456" s="242" t="s">
        <v>507</v>
      </c>
      <c r="G1456" s="242">
        <v>3.9</v>
      </c>
      <c r="H1456" s="230">
        <f t="shared" si="33"/>
        <v>56.55</v>
      </c>
    </row>
    <row r="1457" spans="1:8" ht="15.75" x14ac:dyDescent="0.25">
      <c r="A1457" s="244">
        <v>2002</v>
      </c>
      <c r="B1457" s="245" t="s">
        <v>19</v>
      </c>
      <c r="C1457" s="249" t="s">
        <v>20</v>
      </c>
      <c r="D1457" s="245" t="s">
        <v>21</v>
      </c>
      <c r="E1457" s="251">
        <v>7</v>
      </c>
      <c r="F1457" s="242" t="s">
        <v>507</v>
      </c>
      <c r="G1457" s="242">
        <v>3.9</v>
      </c>
      <c r="H1457" s="230">
        <f t="shared" si="33"/>
        <v>27.3</v>
      </c>
    </row>
    <row r="1458" spans="1:8" ht="15.75" x14ac:dyDescent="0.25">
      <c r="A1458" s="244">
        <v>2002</v>
      </c>
      <c r="B1458" s="245" t="s">
        <v>19</v>
      </c>
      <c r="C1458" s="249" t="s">
        <v>34</v>
      </c>
      <c r="D1458" s="245" t="s">
        <v>41</v>
      </c>
      <c r="E1458" s="251">
        <v>15</v>
      </c>
      <c r="F1458" s="242" t="s">
        <v>508</v>
      </c>
      <c r="G1458" s="242">
        <v>3.8</v>
      </c>
      <c r="H1458" s="230">
        <f t="shared" si="33"/>
        <v>57</v>
      </c>
    </row>
    <row r="1459" spans="1:8" ht="15.75" x14ac:dyDescent="0.25">
      <c r="A1459" s="244">
        <v>2002</v>
      </c>
      <c r="B1459" s="245" t="s">
        <v>19</v>
      </c>
      <c r="C1459" s="249" t="s">
        <v>34</v>
      </c>
      <c r="D1459" s="245" t="s">
        <v>41</v>
      </c>
      <c r="E1459" s="251">
        <v>17</v>
      </c>
      <c r="F1459" s="242" t="s">
        <v>508</v>
      </c>
      <c r="G1459" s="242">
        <v>3.8</v>
      </c>
      <c r="H1459" s="230">
        <f t="shared" si="33"/>
        <v>64.599999999999994</v>
      </c>
    </row>
    <row r="1460" spans="1:8" ht="15.75" x14ac:dyDescent="0.25">
      <c r="A1460" s="244">
        <v>2002</v>
      </c>
      <c r="B1460" s="245" t="s">
        <v>19</v>
      </c>
      <c r="C1460" s="249" t="s">
        <v>34</v>
      </c>
      <c r="D1460" s="245" t="s">
        <v>41</v>
      </c>
      <c r="E1460" s="251">
        <v>21</v>
      </c>
      <c r="F1460" s="242" t="s">
        <v>508</v>
      </c>
      <c r="G1460" s="242">
        <v>3.8</v>
      </c>
      <c r="H1460" s="230">
        <f t="shared" si="33"/>
        <v>79.8</v>
      </c>
    </row>
    <row r="1461" spans="1:8" ht="15.75" x14ac:dyDescent="0.25">
      <c r="A1461" s="244">
        <v>2002</v>
      </c>
      <c r="B1461" s="245" t="s">
        <v>19</v>
      </c>
      <c r="C1461" s="249" t="s">
        <v>34</v>
      </c>
      <c r="D1461" s="245" t="s">
        <v>41</v>
      </c>
      <c r="E1461" s="251">
        <v>24</v>
      </c>
      <c r="F1461" s="242" t="s">
        <v>508</v>
      </c>
      <c r="G1461" s="242">
        <v>3.8</v>
      </c>
      <c r="H1461" s="230">
        <f t="shared" si="33"/>
        <v>91.199999999999989</v>
      </c>
    </row>
    <row r="1462" spans="1:8" ht="15.75" x14ac:dyDescent="0.25">
      <c r="A1462" s="244">
        <v>2002</v>
      </c>
      <c r="B1462" s="245" t="s">
        <v>19</v>
      </c>
      <c r="C1462" s="249" t="s">
        <v>34</v>
      </c>
      <c r="D1462" s="245" t="s">
        <v>41</v>
      </c>
      <c r="E1462" s="251">
        <v>14</v>
      </c>
      <c r="F1462" s="242" t="s">
        <v>508</v>
      </c>
      <c r="G1462" s="242">
        <v>3.8</v>
      </c>
      <c r="H1462" s="230">
        <f t="shared" si="33"/>
        <v>53.199999999999996</v>
      </c>
    </row>
    <row r="1463" spans="1:8" ht="15.75" x14ac:dyDescent="0.25">
      <c r="A1463" s="244">
        <v>2002</v>
      </c>
      <c r="B1463" s="245" t="s">
        <v>19</v>
      </c>
      <c r="C1463" s="249" t="s">
        <v>34</v>
      </c>
      <c r="D1463" s="245" t="s">
        <v>41</v>
      </c>
      <c r="E1463" s="251">
        <v>16.5</v>
      </c>
      <c r="F1463" s="242" t="s">
        <v>508</v>
      </c>
      <c r="G1463" s="242">
        <v>3.8</v>
      </c>
      <c r="H1463" s="230">
        <f t="shared" si="33"/>
        <v>62.699999999999996</v>
      </c>
    </row>
    <row r="1464" spans="1:8" ht="15.75" x14ac:dyDescent="0.25">
      <c r="A1464" s="244">
        <v>2002</v>
      </c>
      <c r="B1464" s="245" t="s">
        <v>19</v>
      </c>
      <c r="C1464" s="249" t="s">
        <v>34</v>
      </c>
      <c r="D1464" s="245" t="s">
        <v>41</v>
      </c>
      <c r="E1464" s="251">
        <v>15.5</v>
      </c>
      <c r="F1464" s="242" t="s">
        <v>508</v>
      </c>
      <c r="G1464" s="242">
        <v>3.8</v>
      </c>
      <c r="H1464" s="230">
        <f t="shared" si="33"/>
        <v>58.9</v>
      </c>
    </row>
    <row r="1465" spans="1:8" ht="15.75" x14ac:dyDescent="0.25">
      <c r="A1465" s="244">
        <v>2002</v>
      </c>
      <c r="B1465" s="245" t="s">
        <v>19</v>
      </c>
      <c r="C1465" s="249" t="s">
        <v>34</v>
      </c>
      <c r="D1465" s="245" t="s">
        <v>41</v>
      </c>
      <c r="E1465" s="251">
        <v>14</v>
      </c>
      <c r="F1465" s="242" t="s">
        <v>508</v>
      </c>
      <c r="G1465" s="242">
        <v>3.8</v>
      </c>
      <c r="H1465" s="230">
        <f t="shared" si="33"/>
        <v>53.199999999999996</v>
      </c>
    </row>
    <row r="1466" spans="1:8" ht="15.75" x14ac:dyDescent="0.25">
      <c r="A1466" s="244">
        <v>2002</v>
      </c>
      <c r="B1466" s="245" t="s">
        <v>19</v>
      </c>
      <c r="C1466" s="249" t="s">
        <v>34</v>
      </c>
      <c r="D1466" s="245" t="s">
        <v>41</v>
      </c>
      <c r="E1466" s="251">
        <v>23</v>
      </c>
      <c r="F1466" s="242" t="s">
        <v>508</v>
      </c>
      <c r="G1466" s="242">
        <v>3.8</v>
      </c>
      <c r="H1466" s="230">
        <f t="shared" si="33"/>
        <v>87.399999999999991</v>
      </c>
    </row>
    <row r="1467" spans="1:8" ht="15.75" x14ac:dyDescent="0.25">
      <c r="A1467" s="244">
        <v>2001</v>
      </c>
      <c r="B1467" s="245" t="s">
        <v>19</v>
      </c>
      <c r="C1467" s="249" t="s">
        <v>20</v>
      </c>
      <c r="D1467" s="250" t="s">
        <v>30</v>
      </c>
      <c r="E1467" s="251">
        <v>16</v>
      </c>
      <c r="F1467" s="242" t="s">
        <v>504</v>
      </c>
      <c r="G1467" s="242">
        <v>4.5999999999999996</v>
      </c>
      <c r="H1467" s="230">
        <f t="shared" si="33"/>
        <v>73.599999999999994</v>
      </c>
    </row>
    <row r="1468" spans="1:8" ht="15.75" x14ac:dyDescent="0.25">
      <c r="A1468" s="244">
        <v>2001</v>
      </c>
      <c r="B1468" s="245" t="s">
        <v>19</v>
      </c>
      <c r="C1468" s="249" t="s">
        <v>20</v>
      </c>
      <c r="D1468" s="250" t="s">
        <v>30</v>
      </c>
      <c r="E1468" s="251">
        <v>11</v>
      </c>
      <c r="F1468" s="242" t="s">
        <v>504</v>
      </c>
      <c r="G1468" s="242">
        <v>4.5999999999999996</v>
      </c>
      <c r="H1468" s="230">
        <f t="shared" si="33"/>
        <v>50.599999999999994</v>
      </c>
    </row>
    <row r="1469" spans="1:8" ht="15.75" x14ac:dyDescent="0.25">
      <c r="A1469" s="244">
        <v>2001</v>
      </c>
      <c r="B1469" s="245" t="s">
        <v>19</v>
      </c>
      <c r="C1469" s="249" t="s">
        <v>20</v>
      </c>
      <c r="D1469" s="250" t="s">
        <v>30</v>
      </c>
      <c r="E1469" s="251">
        <v>11.5</v>
      </c>
      <c r="F1469" s="242" t="s">
        <v>504</v>
      </c>
      <c r="G1469" s="242">
        <v>4.5999999999999996</v>
      </c>
      <c r="H1469" s="230">
        <f t="shared" si="33"/>
        <v>52.9</v>
      </c>
    </row>
    <row r="1470" spans="1:8" ht="15.75" x14ac:dyDescent="0.25">
      <c r="A1470" s="244">
        <v>2001</v>
      </c>
      <c r="B1470" s="245" t="s">
        <v>19</v>
      </c>
      <c r="C1470" s="249" t="s">
        <v>20</v>
      </c>
      <c r="D1470" s="250" t="s">
        <v>30</v>
      </c>
      <c r="E1470" s="251">
        <v>14</v>
      </c>
      <c r="F1470" s="242" t="s">
        <v>504</v>
      </c>
      <c r="G1470" s="242">
        <v>4.5999999999999996</v>
      </c>
      <c r="H1470" s="230">
        <f t="shared" si="33"/>
        <v>64.399999999999991</v>
      </c>
    </row>
    <row r="1471" spans="1:8" ht="15.75" x14ac:dyDescent="0.25">
      <c r="A1471" s="244">
        <v>2001</v>
      </c>
      <c r="B1471" s="245" t="s">
        <v>19</v>
      </c>
      <c r="C1471" s="249" t="s">
        <v>20</v>
      </c>
      <c r="D1471" s="250" t="s">
        <v>30</v>
      </c>
      <c r="E1471" s="251">
        <v>14.5</v>
      </c>
      <c r="F1471" s="242" t="s">
        <v>504</v>
      </c>
      <c r="G1471" s="242">
        <v>4.5999999999999996</v>
      </c>
      <c r="H1471" s="230">
        <f t="shared" si="33"/>
        <v>66.699999999999989</v>
      </c>
    </row>
    <row r="1472" spans="1:8" ht="15.75" x14ac:dyDescent="0.25">
      <c r="A1472" s="244">
        <v>2001</v>
      </c>
      <c r="B1472" s="245" t="s">
        <v>19</v>
      </c>
      <c r="C1472" s="249" t="s">
        <v>20</v>
      </c>
      <c r="D1472" s="250" t="s">
        <v>30</v>
      </c>
      <c r="E1472" s="251">
        <v>14</v>
      </c>
      <c r="F1472" s="242" t="s">
        <v>504</v>
      </c>
      <c r="G1472" s="242">
        <v>4.5999999999999996</v>
      </c>
      <c r="H1472" s="230">
        <f t="shared" si="33"/>
        <v>64.399999999999991</v>
      </c>
    </row>
    <row r="1473" spans="1:8" ht="15.75" x14ac:dyDescent="0.25">
      <c r="A1473" s="244">
        <v>2001</v>
      </c>
      <c r="B1473" s="245" t="s">
        <v>19</v>
      </c>
      <c r="C1473" s="249" t="s">
        <v>20</v>
      </c>
      <c r="D1473" s="250" t="s">
        <v>30</v>
      </c>
      <c r="E1473" s="251">
        <v>10.5</v>
      </c>
      <c r="F1473" s="242" t="s">
        <v>504</v>
      </c>
      <c r="G1473" s="242">
        <v>4.5999999999999996</v>
      </c>
      <c r="H1473" s="230">
        <f t="shared" si="33"/>
        <v>48.3</v>
      </c>
    </row>
    <row r="1474" spans="1:8" ht="15.75" x14ac:dyDescent="0.25">
      <c r="A1474" s="244">
        <v>2001</v>
      </c>
      <c r="B1474" s="245" t="s">
        <v>19</v>
      </c>
      <c r="C1474" s="249" t="s">
        <v>20</v>
      </c>
      <c r="D1474" s="250" t="s">
        <v>30</v>
      </c>
      <c r="E1474" s="251">
        <v>13</v>
      </c>
      <c r="F1474" s="242" t="s">
        <v>504</v>
      </c>
      <c r="G1474" s="242">
        <v>4.5999999999999996</v>
      </c>
      <c r="H1474" s="230">
        <f t="shared" si="33"/>
        <v>59.8</v>
      </c>
    </row>
    <row r="1475" spans="1:8" ht="15.75" x14ac:dyDescent="0.25">
      <c r="A1475" s="244">
        <v>2001</v>
      </c>
      <c r="B1475" s="245" t="s">
        <v>19</v>
      </c>
      <c r="C1475" s="249" t="s">
        <v>20</v>
      </c>
      <c r="D1475" s="250" t="s">
        <v>30</v>
      </c>
      <c r="E1475" s="251">
        <v>9</v>
      </c>
      <c r="F1475" s="242" t="s">
        <v>504</v>
      </c>
      <c r="G1475" s="242">
        <v>4.5999999999999996</v>
      </c>
      <c r="H1475" s="230">
        <f t="shared" ref="H1475:H1538" si="34">E1475*G1475</f>
        <v>41.4</v>
      </c>
    </row>
    <row r="1476" spans="1:8" ht="15.75" x14ac:dyDescent="0.25">
      <c r="A1476" s="244">
        <v>2001</v>
      </c>
      <c r="B1476" s="245" t="s">
        <v>19</v>
      </c>
      <c r="C1476" s="249" t="s">
        <v>20</v>
      </c>
      <c r="D1476" s="250" t="s">
        <v>30</v>
      </c>
      <c r="E1476" s="251">
        <v>11.5</v>
      </c>
      <c r="F1476" s="242" t="s">
        <v>504</v>
      </c>
      <c r="G1476" s="242">
        <v>4.5999999999999996</v>
      </c>
      <c r="H1476" s="230">
        <f t="shared" si="34"/>
        <v>52.9</v>
      </c>
    </row>
    <row r="1477" spans="1:8" ht="15.75" x14ac:dyDescent="0.25">
      <c r="A1477" s="244">
        <v>2001</v>
      </c>
      <c r="B1477" s="245" t="s">
        <v>19</v>
      </c>
      <c r="C1477" s="249" t="s">
        <v>20</v>
      </c>
      <c r="D1477" s="250" t="s">
        <v>30</v>
      </c>
      <c r="E1477" s="251">
        <v>18.2</v>
      </c>
      <c r="F1477" s="242" t="s">
        <v>504</v>
      </c>
      <c r="G1477" s="242">
        <v>4.5999999999999996</v>
      </c>
      <c r="H1477" s="230">
        <f t="shared" si="34"/>
        <v>83.719999999999985</v>
      </c>
    </row>
    <row r="1478" spans="1:8" ht="15.75" x14ac:dyDescent="0.25">
      <c r="A1478" s="244">
        <v>2001</v>
      </c>
      <c r="B1478" s="245" t="s">
        <v>19</v>
      </c>
      <c r="C1478" s="249" t="s">
        <v>20</v>
      </c>
      <c r="D1478" s="250" t="s">
        <v>30</v>
      </c>
      <c r="E1478" s="251">
        <v>11</v>
      </c>
      <c r="F1478" s="242" t="s">
        <v>504</v>
      </c>
      <c r="G1478" s="242">
        <v>4.5999999999999996</v>
      </c>
      <c r="H1478" s="230">
        <f t="shared" si="34"/>
        <v>50.599999999999994</v>
      </c>
    </row>
    <row r="1479" spans="1:8" ht="15.75" x14ac:dyDescent="0.25">
      <c r="A1479" s="244">
        <v>2001</v>
      </c>
      <c r="B1479" s="245" t="s">
        <v>19</v>
      </c>
      <c r="C1479" s="249" t="s">
        <v>20</v>
      </c>
      <c r="D1479" s="250" t="s">
        <v>30</v>
      </c>
      <c r="E1479" s="251">
        <v>12</v>
      </c>
      <c r="F1479" s="242" t="s">
        <v>504</v>
      </c>
      <c r="G1479" s="242">
        <v>4.5999999999999996</v>
      </c>
      <c r="H1479" s="230">
        <f t="shared" si="34"/>
        <v>55.199999999999996</v>
      </c>
    </row>
    <row r="1480" spans="1:8" ht="15.75" x14ac:dyDescent="0.25">
      <c r="A1480" s="244">
        <v>2001</v>
      </c>
      <c r="B1480" s="245" t="s">
        <v>19</v>
      </c>
      <c r="C1480" s="249" t="s">
        <v>20</v>
      </c>
      <c r="D1480" s="250" t="s">
        <v>30</v>
      </c>
      <c r="E1480" s="251">
        <v>14.5</v>
      </c>
      <c r="F1480" s="242" t="s">
        <v>504</v>
      </c>
      <c r="G1480" s="242">
        <v>4.5999999999999996</v>
      </c>
      <c r="H1480" s="230">
        <f t="shared" si="34"/>
        <v>66.699999999999989</v>
      </c>
    </row>
    <row r="1481" spans="1:8" ht="15.75" x14ac:dyDescent="0.25">
      <c r="A1481" s="244">
        <v>2001</v>
      </c>
      <c r="B1481" s="245" t="s">
        <v>19</v>
      </c>
      <c r="C1481" s="249" t="s">
        <v>20</v>
      </c>
      <c r="D1481" s="250" t="s">
        <v>30</v>
      </c>
      <c r="E1481" s="251">
        <v>15.5</v>
      </c>
      <c r="F1481" s="242" t="s">
        <v>504</v>
      </c>
      <c r="G1481" s="242">
        <v>4.5999999999999996</v>
      </c>
      <c r="H1481" s="230">
        <f t="shared" si="34"/>
        <v>71.3</v>
      </c>
    </row>
    <row r="1482" spans="1:8" ht="15.75" x14ac:dyDescent="0.25">
      <c r="A1482" s="244">
        <v>2001</v>
      </c>
      <c r="B1482" s="245" t="s">
        <v>19</v>
      </c>
      <c r="C1482" s="249" t="s">
        <v>20</v>
      </c>
      <c r="D1482" s="250" t="s">
        <v>30</v>
      </c>
      <c r="E1482" s="251">
        <v>10</v>
      </c>
      <c r="F1482" s="242" t="s">
        <v>504</v>
      </c>
      <c r="G1482" s="242">
        <v>4.5999999999999996</v>
      </c>
      <c r="H1482" s="230">
        <f t="shared" si="34"/>
        <v>46</v>
      </c>
    </row>
    <row r="1483" spans="1:8" ht="15.75" x14ac:dyDescent="0.25">
      <c r="A1483" s="244">
        <v>2001</v>
      </c>
      <c r="B1483" s="245" t="s">
        <v>19</v>
      </c>
      <c r="C1483" s="249" t="s">
        <v>20</v>
      </c>
      <c r="D1483" s="250" t="s">
        <v>30</v>
      </c>
      <c r="E1483" s="251">
        <v>17</v>
      </c>
      <c r="F1483" s="242" t="s">
        <v>504</v>
      </c>
      <c r="G1483" s="242">
        <v>4.5999999999999996</v>
      </c>
      <c r="H1483" s="230">
        <f t="shared" si="34"/>
        <v>78.199999999999989</v>
      </c>
    </row>
    <row r="1484" spans="1:8" ht="15.75" x14ac:dyDescent="0.25">
      <c r="A1484" s="244">
        <v>2001</v>
      </c>
      <c r="B1484" s="245" t="s">
        <v>19</v>
      </c>
      <c r="C1484" s="249" t="s">
        <v>20</v>
      </c>
      <c r="D1484" s="250" t="s">
        <v>30</v>
      </c>
      <c r="E1484" s="251">
        <v>12.5</v>
      </c>
      <c r="F1484" s="242" t="s">
        <v>504</v>
      </c>
      <c r="G1484" s="242">
        <v>4.5999999999999996</v>
      </c>
      <c r="H1484" s="230">
        <f t="shared" si="34"/>
        <v>57.499999999999993</v>
      </c>
    </row>
    <row r="1485" spans="1:8" ht="15.75" x14ac:dyDescent="0.25">
      <c r="A1485" s="244">
        <v>2001</v>
      </c>
      <c r="B1485" s="245" t="s">
        <v>19</v>
      </c>
      <c r="C1485" s="249" t="s">
        <v>20</v>
      </c>
      <c r="D1485" s="250" t="s">
        <v>30</v>
      </c>
      <c r="E1485" s="251">
        <v>16</v>
      </c>
      <c r="F1485" s="242" t="s">
        <v>504</v>
      </c>
      <c r="G1485" s="242">
        <v>4.5999999999999996</v>
      </c>
      <c r="H1485" s="230">
        <f t="shared" si="34"/>
        <v>73.599999999999994</v>
      </c>
    </row>
    <row r="1486" spans="1:8" ht="15.75" x14ac:dyDescent="0.25">
      <c r="A1486" s="244">
        <v>2001</v>
      </c>
      <c r="B1486" s="245" t="s">
        <v>19</v>
      </c>
      <c r="C1486" s="249" t="s">
        <v>20</v>
      </c>
      <c r="D1486" s="250" t="s">
        <v>30</v>
      </c>
      <c r="E1486" s="251">
        <v>22</v>
      </c>
      <c r="F1486" s="242" t="s">
        <v>504</v>
      </c>
      <c r="G1486" s="242">
        <v>4.5999999999999996</v>
      </c>
      <c r="H1486" s="230">
        <f t="shared" si="34"/>
        <v>101.19999999999999</v>
      </c>
    </row>
    <row r="1487" spans="1:8" ht="15.75" x14ac:dyDescent="0.25">
      <c r="A1487" s="244">
        <v>2001</v>
      </c>
      <c r="B1487" s="245" t="s">
        <v>19</v>
      </c>
      <c r="C1487" s="249" t="s">
        <v>20</v>
      </c>
      <c r="D1487" s="250" t="s">
        <v>30</v>
      </c>
      <c r="E1487" s="251">
        <v>13</v>
      </c>
      <c r="F1487" s="242" t="s">
        <v>504</v>
      </c>
      <c r="G1487" s="242">
        <v>4.5999999999999996</v>
      </c>
      <c r="H1487" s="230">
        <f t="shared" si="34"/>
        <v>59.8</v>
      </c>
    </row>
    <row r="1488" spans="1:8" ht="15.75" x14ac:dyDescent="0.25">
      <c r="A1488" s="244">
        <v>2001</v>
      </c>
      <c r="B1488" s="245" t="s">
        <v>19</v>
      </c>
      <c r="C1488" s="249" t="s">
        <v>20</v>
      </c>
      <c r="D1488" s="245" t="s">
        <v>21</v>
      </c>
      <c r="E1488" s="251">
        <v>24</v>
      </c>
      <c r="F1488" s="242" t="s">
        <v>507</v>
      </c>
      <c r="G1488" s="242">
        <v>3.9</v>
      </c>
      <c r="H1488" s="230">
        <f t="shared" si="34"/>
        <v>93.6</v>
      </c>
    </row>
    <row r="1489" spans="1:8" ht="15.75" x14ac:dyDescent="0.25">
      <c r="A1489" s="244">
        <v>2001</v>
      </c>
      <c r="B1489" s="245" t="s">
        <v>19</v>
      </c>
      <c r="C1489" s="249" t="s">
        <v>20</v>
      </c>
      <c r="D1489" s="245" t="s">
        <v>21</v>
      </c>
      <c r="E1489" s="251">
        <v>14.5</v>
      </c>
      <c r="F1489" s="242" t="s">
        <v>507</v>
      </c>
      <c r="G1489" s="242">
        <v>3.9</v>
      </c>
      <c r="H1489" s="230">
        <f t="shared" si="34"/>
        <v>56.55</v>
      </c>
    </row>
    <row r="1490" spans="1:8" ht="15.75" x14ac:dyDescent="0.25">
      <c r="A1490" s="244">
        <v>2001</v>
      </c>
      <c r="B1490" s="245" t="s">
        <v>19</v>
      </c>
      <c r="C1490" s="249" t="s">
        <v>20</v>
      </c>
      <c r="D1490" s="245" t="s">
        <v>21</v>
      </c>
      <c r="E1490" s="251">
        <v>14</v>
      </c>
      <c r="F1490" s="242" t="s">
        <v>507</v>
      </c>
      <c r="G1490" s="242">
        <v>3.9</v>
      </c>
      <c r="H1490" s="230">
        <f t="shared" si="34"/>
        <v>54.6</v>
      </c>
    </row>
    <row r="1491" spans="1:8" ht="15.75" x14ac:dyDescent="0.25">
      <c r="A1491" s="244">
        <v>2001</v>
      </c>
      <c r="B1491" s="245" t="s">
        <v>19</v>
      </c>
      <c r="C1491" s="249" t="s">
        <v>20</v>
      </c>
      <c r="D1491" s="245" t="s">
        <v>21</v>
      </c>
      <c r="E1491" s="251">
        <v>16</v>
      </c>
      <c r="F1491" s="242" t="s">
        <v>507</v>
      </c>
      <c r="G1491" s="242">
        <v>3.9</v>
      </c>
      <c r="H1491" s="230">
        <f t="shared" si="34"/>
        <v>62.4</v>
      </c>
    </row>
    <row r="1492" spans="1:8" ht="15.75" x14ac:dyDescent="0.25">
      <c r="A1492" s="244">
        <v>2001</v>
      </c>
      <c r="B1492" s="245" t="s">
        <v>19</v>
      </c>
      <c r="C1492" s="249" t="s">
        <v>20</v>
      </c>
      <c r="D1492" s="245" t="s">
        <v>21</v>
      </c>
      <c r="E1492" s="251">
        <v>8.5</v>
      </c>
      <c r="F1492" s="242" t="s">
        <v>507</v>
      </c>
      <c r="G1492" s="242">
        <v>3.9</v>
      </c>
      <c r="H1492" s="230">
        <f t="shared" si="34"/>
        <v>33.15</v>
      </c>
    </row>
    <row r="1493" spans="1:8" ht="15.75" x14ac:dyDescent="0.25">
      <c r="A1493" s="244">
        <v>2001</v>
      </c>
      <c r="B1493" s="245" t="s">
        <v>19</v>
      </c>
      <c r="C1493" s="249" t="s">
        <v>20</v>
      </c>
      <c r="D1493" s="245" t="s">
        <v>21</v>
      </c>
      <c r="E1493" s="251">
        <v>11.5</v>
      </c>
      <c r="F1493" s="242" t="s">
        <v>507</v>
      </c>
      <c r="G1493" s="242">
        <v>3.9</v>
      </c>
      <c r="H1493" s="230">
        <f t="shared" si="34"/>
        <v>44.85</v>
      </c>
    </row>
    <row r="1494" spans="1:8" ht="15.75" x14ac:dyDescent="0.25">
      <c r="A1494" s="244">
        <v>2001</v>
      </c>
      <c r="B1494" s="245" t="s">
        <v>19</v>
      </c>
      <c r="C1494" s="249" t="s">
        <v>20</v>
      </c>
      <c r="D1494" s="245" t="s">
        <v>21</v>
      </c>
      <c r="E1494" s="251">
        <v>10</v>
      </c>
      <c r="F1494" s="242" t="s">
        <v>507</v>
      </c>
      <c r="G1494" s="242">
        <v>3.9</v>
      </c>
      <c r="H1494" s="230">
        <f t="shared" si="34"/>
        <v>39</v>
      </c>
    </row>
    <row r="1495" spans="1:8" ht="15.75" x14ac:dyDescent="0.25">
      <c r="A1495" s="244">
        <v>2001</v>
      </c>
      <c r="B1495" s="245" t="s">
        <v>19</v>
      </c>
      <c r="C1495" s="249" t="s">
        <v>20</v>
      </c>
      <c r="D1495" s="245" t="s">
        <v>21</v>
      </c>
      <c r="E1495" s="251">
        <v>9</v>
      </c>
      <c r="F1495" s="242" t="s">
        <v>507</v>
      </c>
      <c r="G1495" s="242">
        <v>3.9</v>
      </c>
      <c r="H1495" s="230">
        <f t="shared" si="34"/>
        <v>35.1</v>
      </c>
    </row>
    <row r="1496" spans="1:8" ht="15.75" x14ac:dyDescent="0.25">
      <c r="A1496" s="244">
        <v>2001</v>
      </c>
      <c r="B1496" s="245" t="s">
        <v>19</v>
      </c>
      <c r="C1496" s="249" t="s">
        <v>20</v>
      </c>
      <c r="D1496" s="245" t="s">
        <v>21</v>
      </c>
      <c r="E1496" s="251">
        <v>13</v>
      </c>
      <c r="F1496" s="242" t="s">
        <v>507</v>
      </c>
      <c r="G1496" s="242">
        <v>3.9</v>
      </c>
      <c r="H1496" s="230">
        <f t="shared" si="34"/>
        <v>50.699999999999996</v>
      </c>
    </row>
    <row r="1497" spans="1:8" ht="15.75" x14ac:dyDescent="0.25">
      <c r="A1497" s="244">
        <v>2001</v>
      </c>
      <c r="B1497" s="245" t="s">
        <v>19</v>
      </c>
      <c r="C1497" s="249" t="s">
        <v>20</v>
      </c>
      <c r="D1497" s="245" t="s">
        <v>21</v>
      </c>
      <c r="E1497" s="251">
        <v>6</v>
      </c>
      <c r="F1497" s="242" t="s">
        <v>507</v>
      </c>
      <c r="G1497" s="242">
        <v>3.9</v>
      </c>
      <c r="H1497" s="230">
        <f t="shared" si="34"/>
        <v>23.4</v>
      </c>
    </row>
    <row r="1498" spans="1:8" ht="15.75" x14ac:dyDescent="0.25">
      <c r="A1498" s="244">
        <v>2001</v>
      </c>
      <c r="B1498" s="245" t="s">
        <v>19</v>
      </c>
      <c r="C1498" s="249" t="s">
        <v>20</v>
      </c>
      <c r="D1498" s="245" t="s">
        <v>21</v>
      </c>
      <c r="E1498" s="251">
        <v>19.5</v>
      </c>
      <c r="F1498" s="242" t="s">
        <v>507</v>
      </c>
      <c r="G1498" s="242">
        <v>3.9</v>
      </c>
      <c r="H1498" s="230">
        <f t="shared" si="34"/>
        <v>76.05</v>
      </c>
    </row>
    <row r="1499" spans="1:8" ht="15.75" x14ac:dyDescent="0.25">
      <c r="A1499" s="244">
        <v>2001</v>
      </c>
      <c r="B1499" s="245" t="s">
        <v>19</v>
      </c>
      <c r="C1499" s="249" t="s">
        <v>20</v>
      </c>
      <c r="D1499" s="245" t="s">
        <v>21</v>
      </c>
      <c r="E1499" s="251">
        <v>9</v>
      </c>
      <c r="F1499" s="242" t="s">
        <v>507</v>
      </c>
      <c r="G1499" s="242">
        <v>3.9</v>
      </c>
      <c r="H1499" s="230">
        <f t="shared" si="34"/>
        <v>35.1</v>
      </c>
    </row>
    <row r="1500" spans="1:8" ht="15.75" x14ac:dyDescent="0.25">
      <c r="A1500" s="244">
        <v>2001</v>
      </c>
      <c r="B1500" s="245" t="s">
        <v>19</v>
      </c>
      <c r="C1500" s="249" t="s">
        <v>20</v>
      </c>
      <c r="D1500" s="245" t="s">
        <v>21</v>
      </c>
      <c r="E1500" s="251">
        <v>11</v>
      </c>
      <c r="F1500" s="242" t="s">
        <v>507</v>
      </c>
      <c r="G1500" s="242">
        <v>3.9</v>
      </c>
      <c r="H1500" s="230">
        <f t="shared" si="34"/>
        <v>42.9</v>
      </c>
    </row>
    <row r="1501" spans="1:8" ht="15.75" x14ac:dyDescent="0.25">
      <c r="A1501" s="244">
        <v>2001</v>
      </c>
      <c r="B1501" s="245" t="s">
        <v>19</v>
      </c>
      <c r="C1501" s="249" t="s">
        <v>20</v>
      </c>
      <c r="D1501" s="245" t="s">
        <v>21</v>
      </c>
      <c r="E1501" s="251">
        <v>12</v>
      </c>
      <c r="F1501" s="242" t="s">
        <v>507</v>
      </c>
      <c r="G1501" s="242">
        <v>3.9</v>
      </c>
      <c r="H1501" s="230">
        <f t="shared" si="34"/>
        <v>46.8</v>
      </c>
    </row>
    <row r="1502" spans="1:8" ht="15.75" x14ac:dyDescent="0.25">
      <c r="A1502" s="244">
        <v>2001</v>
      </c>
      <c r="B1502" s="245" t="s">
        <v>19</v>
      </c>
      <c r="C1502" s="249" t="s">
        <v>20</v>
      </c>
      <c r="D1502" s="245" t="s">
        <v>21</v>
      </c>
      <c r="E1502" s="251">
        <v>14</v>
      </c>
      <c r="F1502" s="242" t="s">
        <v>507</v>
      </c>
      <c r="G1502" s="242">
        <v>3.9</v>
      </c>
      <c r="H1502" s="230">
        <f t="shared" si="34"/>
        <v>54.6</v>
      </c>
    </row>
    <row r="1503" spans="1:8" ht="15.75" x14ac:dyDescent="0.25">
      <c r="A1503" s="244">
        <v>2001</v>
      </c>
      <c r="B1503" s="245" t="s">
        <v>19</v>
      </c>
      <c r="C1503" s="249" t="s">
        <v>20</v>
      </c>
      <c r="D1503" s="245" t="s">
        <v>21</v>
      </c>
      <c r="E1503" s="251">
        <v>11.5</v>
      </c>
      <c r="F1503" s="242" t="s">
        <v>507</v>
      </c>
      <c r="G1503" s="242">
        <v>3.9</v>
      </c>
      <c r="H1503" s="230">
        <f t="shared" si="34"/>
        <v>44.85</v>
      </c>
    </row>
    <row r="1504" spans="1:8" ht="15.75" x14ac:dyDescent="0.25">
      <c r="A1504" s="244">
        <v>2001</v>
      </c>
      <c r="B1504" s="245" t="s">
        <v>19</v>
      </c>
      <c r="C1504" s="249" t="s">
        <v>20</v>
      </c>
      <c r="D1504" s="245" t="s">
        <v>21</v>
      </c>
      <c r="E1504" s="251">
        <v>12</v>
      </c>
      <c r="F1504" s="242" t="s">
        <v>507</v>
      </c>
      <c r="G1504" s="242">
        <v>3.9</v>
      </c>
      <c r="H1504" s="230">
        <f t="shared" si="34"/>
        <v>46.8</v>
      </c>
    </row>
    <row r="1505" spans="1:8" ht="15.75" x14ac:dyDescent="0.25">
      <c r="A1505" s="244">
        <v>2001</v>
      </c>
      <c r="B1505" s="245" t="s">
        <v>19</v>
      </c>
      <c r="C1505" s="249" t="s">
        <v>20</v>
      </c>
      <c r="D1505" s="245" t="s">
        <v>21</v>
      </c>
      <c r="E1505" s="251">
        <v>9</v>
      </c>
      <c r="F1505" s="242" t="s">
        <v>507</v>
      </c>
      <c r="G1505" s="242">
        <v>3.9</v>
      </c>
      <c r="H1505" s="230">
        <f t="shared" si="34"/>
        <v>35.1</v>
      </c>
    </row>
    <row r="1506" spans="1:8" ht="15.75" x14ac:dyDescent="0.25">
      <c r="A1506" s="244">
        <v>2001</v>
      </c>
      <c r="B1506" s="245" t="s">
        <v>19</v>
      </c>
      <c r="C1506" s="249" t="s">
        <v>20</v>
      </c>
      <c r="D1506" s="245" t="s">
        <v>21</v>
      </c>
      <c r="E1506" s="251">
        <v>8.5</v>
      </c>
      <c r="F1506" s="242" t="s">
        <v>507</v>
      </c>
      <c r="G1506" s="242">
        <v>3.9</v>
      </c>
      <c r="H1506" s="230">
        <f t="shared" si="34"/>
        <v>33.15</v>
      </c>
    </row>
    <row r="1507" spans="1:8" ht="15.75" x14ac:dyDescent="0.25">
      <c r="A1507" s="244">
        <v>2001</v>
      </c>
      <c r="B1507" s="245" t="s">
        <v>19</v>
      </c>
      <c r="C1507" s="249" t="s">
        <v>20</v>
      </c>
      <c r="D1507" s="245" t="s">
        <v>21</v>
      </c>
      <c r="E1507" s="251">
        <v>15</v>
      </c>
      <c r="F1507" s="242" t="s">
        <v>507</v>
      </c>
      <c r="G1507" s="242">
        <v>3.9</v>
      </c>
      <c r="H1507" s="230">
        <f t="shared" si="34"/>
        <v>58.5</v>
      </c>
    </row>
    <row r="1508" spans="1:8" ht="15.75" x14ac:dyDescent="0.25">
      <c r="A1508" s="244">
        <v>2001</v>
      </c>
      <c r="B1508" s="245" t="s">
        <v>19</v>
      </c>
      <c r="C1508" s="249" t="s">
        <v>20</v>
      </c>
      <c r="D1508" s="245" t="s">
        <v>21</v>
      </c>
      <c r="E1508" s="251">
        <v>10</v>
      </c>
      <c r="F1508" s="242" t="s">
        <v>507</v>
      </c>
      <c r="G1508" s="242">
        <v>3.9</v>
      </c>
      <c r="H1508" s="230">
        <f t="shared" si="34"/>
        <v>39</v>
      </c>
    </row>
    <row r="1509" spans="1:8" ht="15.75" x14ac:dyDescent="0.25">
      <c r="A1509" s="244">
        <v>2001</v>
      </c>
      <c r="B1509" s="245" t="s">
        <v>19</v>
      </c>
      <c r="C1509" s="249" t="s">
        <v>20</v>
      </c>
      <c r="D1509" s="245" t="s">
        <v>21</v>
      </c>
      <c r="E1509" s="251">
        <v>11.5</v>
      </c>
      <c r="F1509" s="242" t="s">
        <v>507</v>
      </c>
      <c r="G1509" s="242">
        <v>3.9</v>
      </c>
      <c r="H1509" s="230">
        <f t="shared" si="34"/>
        <v>44.85</v>
      </c>
    </row>
    <row r="1510" spans="1:8" ht="15.75" x14ac:dyDescent="0.25">
      <c r="A1510" s="244">
        <v>2001</v>
      </c>
      <c r="B1510" s="245" t="s">
        <v>19</v>
      </c>
      <c r="C1510" s="249" t="s">
        <v>20</v>
      </c>
      <c r="D1510" s="245" t="s">
        <v>21</v>
      </c>
      <c r="E1510" s="251">
        <v>13.5</v>
      </c>
      <c r="F1510" s="242" t="s">
        <v>507</v>
      </c>
      <c r="G1510" s="242">
        <v>3.9</v>
      </c>
      <c r="H1510" s="230">
        <f t="shared" si="34"/>
        <v>52.65</v>
      </c>
    </row>
    <row r="1511" spans="1:8" ht="15.75" x14ac:dyDescent="0.25">
      <c r="A1511" s="244">
        <v>2001</v>
      </c>
      <c r="B1511" s="245" t="s">
        <v>19</v>
      </c>
      <c r="C1511" s="249" t="s">
        <v>20</v>
      </c>
      <c r="D1511" s="245" t="s">
        <v>21</v>
      </c>
      <c r="E1511" s="251">
        <v>7.5</v>
      </c>
      <c r="F1511" s="242" t="s">
        <v>507</v>
      </c>
      <c r="G1511" s="242">
        <v>3.9</v>
      </c>
      <c r="H1511" s="230">
        <f t="shared" si="34"/>
        <v>29.25</v>
      </c>
    </row>
    <row r="1512" spans="1:8" ht="15.75" x14ac:dyDescent="0.25">
      <c r="A1512" s="244">
        <v>2001</v>
      </c>
      <c r="B1512" s="245" t="s">
        <v>19</v>
      </c>
      <c r="C1512" s="249" t="s">
        <v>20</v>
      </c>
      <c r="D1512" s="245" t="s">
        <v>21</v>
      </c>
      <c r="E1512" s="251">
        <v>9</v>
      </c>
      <c r="F1512" s="242" t="s">
        <v>507</v>
      </c>
      <c r="G1512" s="242">
        <v>3.9</v>
      </c>
      <c r="H1512" s="230">
        <f t="shared" si="34"/>
        <v>35.1</v>
      </c>
    </row>
    <row r="1513" spans="1:8" ht="15.75" x14ac:dyDescent="0.25">
      <c r="A1513" s="244">
        <v>2001</v>
      </c>
      <c r="B1513" s="245" t="s">
        <v>19</v>
      </c>
      <c r="C1513" s="249" t="s">
        <v>20</v>
      </c>
      <c r="D1513" s="245" t="s">
        <v>21</v>
      </c>
      <c r="E1513" s="251">
        <v>12.5</v>
      </c>
      <c r="F1513" s="242" t="s">
        <v>507</v>
      </c>
      <c r="G1513" s="242">
        <v>3.9</v>
      </c>
      <c r="H1513" s="230">
        <f t="shared" si="34"/>
        <v>48.75</v>
      </c>
    </row>
    <row r="1514" spans="1:8" ht="15.75" x14ac:dyDescent="0.25">
      <c r="A1514" s="244">
        <v>2001</v>
      </c>
      <c r="B1514" s="245" t="s">
        <v>19</v>
      </c>
      <c r="C1514" s="249" t="s">
        <v>20</v>
      </c>
      <c r="D1514" s="245" t="s">
        <v>21</v>
      </c>
      <c r="E1514" s="251">
        <v>12.5</v>
      </c>
      <c r="F1514" s="242" t="s">
        <v>507</v>
      </c>
      <c r="G1514" s="242">
        <v>3.9</v>
      </c>
      <c r="H1514" s="230">
        <f t="shared" si="34"/>
        <v>48.75</v>
      </c>
    </row>
    <row r="1515" spans="1:8" ht="15.75" x14ac:dyDescent="0.25">
      <c r="A1515" s="244">
        <v>2001</v>
      </c>
      <c r="B1515" s="245" t="s">
        <v>19</v>
      </c>
      <c r="C1515" s="249" t="s">
        <v>20</v>
      </c>
      <c r="D1515" s="245" t="s">
        <v>21</v>
      </c>
      <c r="E1515" s="251">
        <v>6.5</v>
      </c>
      <c r="F1515" s="242" t="s">
        <v>507</v>
      </c>
      <c r="G1515" s="242">
        <v>3.9</v>
      </c>
      <c r="H1515" s="230">
        <f t="shared" si="34"/>
        <v>25.349999999999998</v>
      </c>
    </row>
    <row r="1516" spans="1:8" ht="15.75" x14ac:dyDescent="0.25">
      <c r="A1516" s="244">
        <v>2001</v>
      </c>
      <c r="B1516" s="245" t="s">
        <v>19</v>
      </c>
      <c r="C1516" s="249" t="s">
        <v>20</v>
      </c>
      <c r="D1516" s="245" t="s">
        <v>21</v>
      </c>
      <c r="E1516" s="251">
        <v>15.5</v>
      </c>
      <c r="F1516" s="242" t="s">
        <v>507</v>
      </c>
      <c r="G1516" s="242">
        <v>3.9</v>
      </c>
      <c r="H1516" s="230">
        <f t="shared" si="34"/>
        <v>60.449999999999996</v>
      </c>
    </row>
    <row r="1517" spans="1:8" ht="15.75" x14ac:dyDescent="0.25">
      <c r="A1517" s="244">
        <v>2001</v>
      </c>
      <c r="B1517" s="245" t="s">
        <v>19</v>
      </c>
      <c r="C1517" s="249" t="s">
        <v>20</v>
      </c>
      <c r="D1517" s="245" t="s">
        <v>21</v>
      </c>
      <c r="E1517" s="251">
        <v>5</v>
      </c>
      <c r="F1517" s="242" t="s">
        <v>507</v>
      </c>
      <c r="G1517" s="242">
        <v>3.9</v>
      </c>
      <c r="H1517" s="230">
        <f t="shared" si="34"/>
        <v>19.5</v>
      </c>
    </row>
    <row r="1518" spans="1:8" ht="15.75" x14ac:dyDescent="0.25">
      <c r="A1518" s="244">
        <v>2001</v>
      </c>
      <c r="B1518" s="245" t="s">
        <v>19</v>
      </c>
      <c r="C1518" s="249" t="s">
        <v>20</v>
      </c>
      <c r="D1518" s="245" t="s">
        <v>21</v>
      </c>
      <c r="E1518" s="251">
        <v>12.5</v>
      </c>
      <c r="F1518" s="242" t="s">
        <v>507</v>
      </c>
      <c r="G1518" s="242">
        <v>3.9</v>
      </c>
      <c r="H1518" s="230">
        <f t="shared" si="34"/>
        <v>48.75</v>
      </c>
    </row>
    <row r="1519" spans="1:8" ht="15.75" x14ac:dyDescent="0.25">
      <c r="A1519" s="244">
        <v>2001</v>
      </c>
      <c r="B1519" s="245" t="s">
        <v>19</v>
      </c>
      <c r="C1519" s="249" t="s">
        <v>20</v>
      </c>
      <c r="D1519" s="245" t="s">
        <v>21</v>
      </c>
      <c r="E1519" s="251">
        <v>14</v>
      </c>
      <c r="F1519" s="242" t="s">
        <v>507</v>
      </c>
      <c r="G1519" s="242">
        <v>3.9</v>
      </c>
      <c r="H1519" s="230">
        <f t="shared" si="34"/>
        <v>54.6</v>
      </c>
    </row>
    <row r="1520" spans="1:8" ht="15.75" x14ac:dyDescent="0.25">
      <c r="A1520" s="244">
        <v>2001</v>
      </c>
      <c r="B1520" s="245" t="s">
        <v>19</v>
      </c>
      <c r="C1520" s="249" t="s">
        <v>20</v>
      </c>
      <c r="D1520" s="245" t="s">
        <v>21</v>
      </c>
      <c r="E1520" s="251">
        <v>14</v>
      </c>
      <c r="F1520" s="242" t="s">
        <v>507</v>
      </c>
      <c r="G1520" s="242">
        <v>3.9</v>
      </c>
      <c r="H1520" s="230">
        <f t="shared" si="34"/>
        <v>54.6</v>
      </c>
    </row>
    <row r="1521" spans="1:8" ht="15.75" x14ac:dyDescent="0.25">
      <c r="A1521" s="244">
        <v>2001</v>
      </c>
      <c r="B1521" s="245" t="s">
        <v>19</v>
      </c>
      <c r="C1521" s="249" t="s">
        <v>20</v>
      </c>
      <c r="D1521" s="245" t="s">
        <v>21</v>
      </c>
      <c r="E1521" s="251">
        <v>12</v>
      </c>
      <c r="F1521" s="242" t="s">
        <v>507</v>
      </c>
      <c r="G1521" s="242">
        <v>3.9</v>
      </c>
      <c r="H1521" s="230">
        <f t="shared" si="34"/>
        <v>46.8</v>
      </c>
    </row>
    <row r="1522" spans="1:8" ht="15.75" x14ac:dyDescent="0.25">
      <c r="A1522" s="244">
        <v>2001</v>
      </c>
      <c r="B1522" s="245" t="s">
        <v>19</v>
      </c>
      <c r="C1522" s="249" t="s">
        <v>20</v>
      </c>
      <c r="D1522" s="245" t="s">
        <v>21</v>
      </c>
      <c r="E1522" s="251">
        <v>6.5</v>
      </c>
      <c r="F1522" s="242" t="s">
        <v>507</v>
      </c>
      <c r="G1522" s="242">
        <v>3.9</v>
      </c>
      <c r="H1522" s="230">
        <f t="shared" si="34"/>
        <v>25.349999999999998</v>
      </c>
    </row>
    <row r="1523" spans="1:8" ht="15.75" x14ac:dyDescent="0.25">
      <c r="A1523" s="244">
        <v>2001</v>
      </c>
      <c r="B1523" s="245" t="s">
        <v>19</v>
      </c>
      <c r="C1523" s="249" t="s">
        <v>20</v>
      </c>
      <c r="D1523" s="245" t="s">
        <v>21</v>
      </c>
      <c r="E1523" s="251">
        <v>19.5</v>
      </c>
      <c r="F1523" s="242" t="s">
        <v>507</v>
      </c>
      <c r="G1523" s="242">
        <v>3.9</v>
      </c>
      <c r="H1523" s="230">
        <f t="shared" si="34"/>
        <v>76.05</v>
      </c>
    </row>
    <row r="1524" spans="1:8" ht="15.75" x14ac:dyDescent="0.25">
      <c r="A1524" s="244">
        <v>2001</v>
      </c>
      <c r="B1524" s="245" t="s">
        <v>19</v>
      </c>
      <c r="C1524" s="249" t="s">
        <v>20</v>
      </c>
      <c r="D1524" s="245" t="s">
        <v>21</v>
      </c>
      <c r="E1524" s="251">
        <v>17.5</v>
      </c>
      <c r="F1524" s="242" t="s">
        <v>507</v>
      </c>
      <c r="G1524" s="242">
        <v>3.9</v>
      </c>
      <c r="H1524" s="230">
        <f t="shared" si="34"/>
        <v>68.25</v>
      </c>
    </row>
    <row r="1525" spans="1:8" ht="15.75" x14ac:dyDescent="0.25">
      <c r="A1525" s="244">
        <v>2001</v>
      </c>
      <c r="B1525" s="245" t="s">
        <v>19</v>
      </c>
      <c r="C1525" s="249" t="s">
        <v>20</v>
      </c>
      <c r="D1525" s="245" t="s">
        <v>21</v>
      </c>
      <c r="E1525" s="251">
        <v>11</v>
      </c>
      <c r="F1525" s="242" t="s">
        <v>507</v>
      </c>
      <c r="G1525" s="242">
        <v>3.9</v>
      </c>
      <c r="H1525" s="230">
        <f t="shared" si="34"/>
        <v>42.9</v>
      </c>
    </row>
    <row r="1526" spans="1:8" ht="15.75" x14ac:dyDescent="0.25">
      <c r="A1526" s="244">
        <v>2001</v>
      </c>
      <c r="B1526" s="245" t="s">
        <v>19</v>
      </c>
      <c r="C1526" s="249" t="s">
        <v>20</v>
      </c>
      <c r="D1526" s="245" t="s">
        <v>21</v>
      </c>
      <c r="E1526" s="251">
        <v>9</v>
      </c>
      <c r="F1526" s="242" t="s">
        <v>507</v>
      </c>
      <c r="G1526" s="242">
        <v>3.9</v>
      </c>
      <c r="H1526" s="230">
        <f t="shared" si="34"/>
        <v>35.1</v>
      </c>
    </row>
    <row r="1527" spans="1:8" ht="15.75" x14ac:dyDescent="0.25">
      <c r="A1527" s="244">
        <v>2001</v>
      </c>
      <c r="B1527" s="245" t="s">
        <v>19</v>
      </c>
      <c r="C1527" s="249" t="s">
        <v>20</v>
      </c>
      <c r="D1527" s="245" t="s">
        <v>21</v>
      </c>
      <c r="E1527" s="251">
        <v>9.5</v>
      </c>
      <c r="F1527" s="242" t="s">
        <v>507</v>
      </c>
      <c r="G1527" s="242">
        <v>3.9</v>
      </c>
      <c r="H1527" s="230">
        <f t="shared" si="34"/>
        <v>37.049999999999997</v>
      </c>
    </row>
    <row r="1528" spans="1:8" ht="15.75" x14ac:dyDescent="0.25">
      <c r="A1528" s="244">
        <v>2001</v>
      </c>
      <c r="B1528" s="245" t="s">
        <v>19</v>
      </c>
      <c r="C1528" s="249" t="s">
        <v>20</v>
      </c>
      <c r="D1528" s="245" t="s">
        <v>21</v>
      </c>
      <c r="E1528" s="251">
        <v>9.5</v>
      </c>
      <c r="F1528" s="242" t="s">
        <v>507</v>
      </c>
      <c r="G1528" s="242">
        <v>3.9</v>
      </c>
      <c r="H1528" s="230">
        <f t="shared" si="34"/>
        <v>37.049999999999997</v>
      </c>
    </row>
    <row r="1529" spans="1:8" ht="15.75" x14ac:dyDescent="0.25">
      <c r="A1529" s="244">
        <v>2001</v>
      </c>
      <c r="B1529" s="245" t="s">
        <v>19</v>
      </c>
      <c r="C1529" s="249" t="s">
        <v>20</v>
      </c>
      <c r="D1529" s="245" t="s">
        <v>21</v>
      </c>
      <c r="E1529" s="251">
        <v>10.5</v>
      </c>
      <c r="F1529" s="242" t="s">
        <v>507</v>
      </c>
      <c r="G1529" s="242">
        <v>3.9</v>
      </c>
      <c r="H1529" s="230">
        <f t="shared" si="34"/>
        <v>40.949999999999996</v>
      </c>
    </row>
    <row r="1530" spans="1:8" ht="15.75" x14ac:dyDescent="0.25">
      <c r="A1530" s="244">
        <v>2001</v>
      </c>
      <c r="B1530" s="245" t="s">
        <v>19</v>
      </c>
      <c r="C1530" s="249" t="s">
        <v>20</v>
      </c>
      <c r="D1530" s="245" t="s">
        <v>21</v>
      </c>
      <c r="E1530" s="251">
        <v>18.5</v>
      </c>
      <c r="F1530" s="242" t="s">
        <v>507</v>
      </c>
      <c r="G1530" s="242">
        <v>3.9</v>
      </c>
      <c r="H1530" s="230">
        <f t="shared" si="34"/>
        <v>72.149999999999991</v>
      </c>
    </row>
    <row r="1531" spans="1:8" ht="15.75" x14ac:dyDescent="0.25">
      <c r="A1531" s="244">
        <v>2001</v>
      </c>
      <c r="B1531" s="245" t="s">
        <v>19</v>
      </c>
      <c r="C1531" s="249" t="s">
        <v>20</v>
      </c>
      <c r="D1531" s="245" t="s">
        <v>21</v>
      </c>
      <c r="E1531" s="251">
        <v>10.5</v>
      </c>
      <c r="F1531" s="242" t="s">
        <v>507</v>
      </c>
      <c r="G1531" s="242">
        <v>3.9</v>
      </c>
      <c r="H1531" s="230">
        <f t="shared" si="34"/>
        <v>40.949999999999996</v>
      </c>
    </row>
    <row r="1532" spans="1:8" ht="15.75" x14ac:dyDescent="0.25">
      <c r="A1532" s="244">
        <v>2001</v>
      </c>
      <c r="B1532" s="245" t="s">
        <v>19</v>
      </c>
      <c r="C1532" s="249" t="s">
        <v>20</v>
      </c>
      <c r="D1532" s="245" t="s">
        <v>21</v>
      </c>
      <c r="E1532" s="251">
        <v>14</v>
      </c>
      <c r="F1532" s="242" t="s">
        <v>507</v>
      </c>
      <c r="G1532" s="242">
        <v>3.9</v>
      </c>
      <c r="H1532" s="230">
        <f t="shared" si="34"/>
        <v>54.6</v>
      </c>
    </row>
    <row r="1533" spans="1:8" ht="15.75" x14ac:dyDescent="0.25">
      <c r="A1533" s="244">
        <v>2001</v>
      </c>
      <c r="B1533" s="245" t="s">
        <v>19</v>
      </c>
      <c r="C1533" s="249" t="s">
        <v>20</v>
      </c>
      <c r="D1533" s="245" t="s">
        <v>21</v>
      </c>
      <c r="E1533" s="251">
        <v>9.5</v>
      </c>
      <c r="F1533" s="242" t="s">
        <v>507</v>
      </c>
      <c r="G1533" s="242">
        <v>3.9</v>
      </c>
      <c r="H1533" s="230">
        <f t="shared" si="34"/>
        <v>37.049999999999997</v>
      </c>
    </row>
    <row r="1534" spans="1:8" ht="15.75" x14ac:dyDescent="0.25">
      <c r="A1534" s="244">
        <v>2001</v>
      </c>
      <c r="B1534" s="245" t="s">
        <v>19</v>
      </c>
      <c r="C1534" s="249" t="s">
        <v>20</v>
      </c>
      <c r="D1534" s="245" t="s">
        <v>21</v>
      </c>
      <c r="E1534" s="251">
        <v>12.5</v>
      </c>
      <c r="F1534" s="242" t="s">
        <v>507</v>
      </c>
      <c r="G1534" s="242">
        <v>3.9</v>
      </c>
      <c r="H1534" s="230">
        <f t="shared" si="34"/>
        <v>48.75</v>
      </c>
    </row>
    <row r="1535" spans="1:8" ht="15.75" x14ac:dyDescent="0.25">
      <c r="A1535" s="244">
        <v>2001</v>
      </c>
      <c r="B1535" s="245" t="s">
        <v>19</v>
      </c>
      <c r="C1535" s="249" t="s">
        <v>20</v>
      </c>
      <c r="D1535" s="245" t="s">
        <v>21</v>
      </c>
      <c r="E1535" s="251">
        <v>10</v>
      </c>
      <c r="F1535" s="242" t="s">
        <v>507</v>
      </c>
      <c r="G1535" s="242">
        <v>3.9</v>
      </c>
      <c r="H1535" s="230">
        <f t="shared" si="34"/>
        <v>39</v>
      </c>
    </row>
    <row r="1536" spans="1:8" ht="15.75" x14ac:dyDescent="0.25">
      <c r="A1536" s="244">
        <v>2001</v>
      </c>
      <c r="B1536" s="245" t="s">
        <v>19</v>
      </c>
      <c r="C1536" s="249" t="s">
        <v>20</v>
      </c>
      <c r="D1536" s="245" t="s">
        <v>21</v>
      </c>
      <c r="E1536" s="251">
        <v>9.5</v>
      </c>
      <c r="F1536" s="242" t="s">
        <v>507</v>
      </c>
      <c r="G1536" s="242">
        <v>3.9</v>
      </c>
      <c r="H1536" s="230">
        <f t="shared" si="34"/>
        <v>37.049999999999997</v>
      </c>
    </row>
    <row r="1537" spans="1:8" ht="15.75" x14ac:dyDescent="0.25">
      <c r="A1537" s="244">
        <v>2001</v>
      </c>
      <c r="B1537" s="245" t="s">
        <v>19</v>
      </c>
      <c r="C1537" s="249" t="s">
        <v>20</v>
      </c>
      <c r="D1537" s="245" t="s">
        <v>21</v>
      </c>
      <c r="E1537" s="251">
        <v>11</v>
      </c>
      <c r="F1537" s="242" t="s">
        <v>507</v>
      </c>
      <c r="G1537" s="242">
        <v>3.9</v>
      </c>
      <c r="H1537" s="230">
        <f t="shared" si="34"/>
        <v>42.9</v>
      </c>
    </row>
    <row r="1538" spans="1:8" ht="15.75" x14ac:dyDescent="0.25">
      <c r="A1538" s="244">
        <v>2001</v>
      </c>
      <c r="B1538" s="245" t="s">
        <v>19</v>
      </c>
      <c r="C1538" s="249" t="s">
        <v>20</v>
      </c>
      <c r="D1538" s="245" t="s">
        <v>21</v>
      </c>
      <c r="E1538" s="251">
        <v>9.5</v>
      </c>
      <c r="F1538" s="242" t="s">
        <v>507</v>
      </c>
      <c r="G1538" s="242">
        <v>3.9</v>
      </c>
      <c r="H1538" s="230">
        <f t="shared" si="34"/>
        <v>37.049999999999997</v>
      </c>
    </row>
    <row r="1539" spans="1:8" ht="15.75" x14ac:dyDescent="0.25">
      <c r="A1539" s="244">
        <v>2001</v>
      </c>
      <c r="B1539" s="245" t="s">
        <v>19</v>
      </c>
      <c r="C1539" s="249" t="s">
        <v>20</v>
      </c>
      <c r="D1539" s="245" t="s">
        <v>21</v>
      </c>
      <c r="E1539" s="251">
        <v>19</v>
      </c>
      <c r="F1539" s="242" t="s">
        <v>507</v>
      </c>
      <c r="G1539" s="242">
        <v>3.9</v>
      </c>
      <c r="H1539" s="230">
        <f t="shared" ref="H1539:H1602" si="35">E1539*G1539</f>
        <v>74.099999999999994</v>
      </c>
    </row>
    <row r="1540" spans="1:8" ht="15.75" x14ac:dyDescent="0.25">
      <c r="A1540" s="244">
        <v>2001</v>
      </c>
      <c r="B1540" s="245" t="s">
        <v>19</v>
      </c>
      <c r="C1540" s="249" t="s">
        <v>20</v>
      </c>
      <c r="D1540" s="245" t="s">
        <v>21</v>
      </c>
      <c r="E1540" s="251">
        <v>9.5</v>
      </c>
      <c r="F1540" s="242" t="s">
        <v>507</v>
      </c>
      <c r="G1540" s="242">
        <v>3.9</v>
      </c>
      <c r="H1540" s="230">
        <f t="shared" si="35"/>
        <v>37.049999999999997</v>
      </c>
    </row>
    <row r="1541" spans="1:8" ht="15.75" x14ac:dyDescent="0.25">
      <c r="A1541" s="244">
        <v>2001</v>
      </c>
      <c r="B1541" s="245" t="s">
        <v>19</v>
      </c>
      <c r="C1541" s="249" t="s">
        <v>20</v>
      </c>
      <c r="D1541" s="245" t="s">
        <v>21</v>
      </c>
      <c r="E1541" s="251">
        <v>16</v>
      </c>
      <c r="F1541" s="242" t="s">
        <v>507</v>
      </c>
      <c r="G1541" s="242">
        <v>3.9</v>
      </c>
      <c r="H1541" s="230">
        <f t="shared" si="35"/>
        <v>62.4</v>
      </c>
    </row>
    <row r="1542" spans="1:8" ht="15.75" x14ac:dyDescent="0.25">
      <c r="A1542" s="244">
        <v>2001</v>
      </c>
      <c r="B1542" s="245" t="s">
        <v>19</v>
      </c>
      <c r="C1542" s="249" t="s">
        <v>20</v>
      </c>
      <c r="D1542" s="245" t="s">
        <v>21</v>
      </c>
      <c r="E1542" s="251">
        <v>11</v>
      </c>
      <c r="F1542" s="242" t="s">
        <v>507</v>
      </c>
      <c r="G1542" s="242">
        <v>3.9</v>
      </c>
      <c r="H1542" s="230">
        <f t="shared" si="35"/>
        <v>42.9</v>
      </c>
    </row>
    <row r="1543" spans="1:8" ht="15.75" x14ac:dyDescent="0.25">
      <c r="A1543" s="244">
        <v>2001</v>
      </c>
      <c r="B1543" s="245" t="s">
        <v>19</v>
      </c>
      <c r="C1543" s="249" t="s">
        <v>20</v>
      </c>
      <c r="D1543" s="245" t="s">
        <v>21</v>
      </c>
      <c r="E1543" s="251">
        <v>12</v>
      </c>
      <c r="F1543" s="242" t="s">
        <v>507</v>
      </c>
      <c r="G1543" s="242">
        <v>3.9</v>
      </c>
      <c r="H1543" s="230">
        <f t="shared" si="35"/>
        <v>46.8</v>
      </c>
    </row>
    <row r="1544" spans="1:8" ht="15.75" x14ac:dyDescent="0.25">
      <c r="A1544" s="244">
        <v>2001</v>
      </c>
      <c r="B1544" s="245" t="s">
        <v>19</v>
      </c>
      <c r="C1544" s="249" t="s">
        <v>20</v>
      </c>
      <c r="D1544" s="245" t="s">
        <v>21</v>
      </c>
      <c r="E1544" s="251">
        <v>16.5</v>
      </c>
      <c r="F1544" s="242" t="s">
        <v>507</v>
      </c>
      <c r="G1544" s="242">
        <v>3.9</v>
      </c>
      <c r="H1544" s="230">
        <f t="shared" si="35"/>
        <v>64.349999999999994</v>
      </c>
    </row>
    <row r="1545" spans="1:8" ht="15.75" x14ac:dyDescent="0.25">
      <c r="A1545" s="244">
        <v>2001</v>
      </c>
      <c r="B1545" s="245" t="s">
        <v>19</v>
      </c>
      <c r="C1545" s="249" t="s">
        <v>20</v>
      </c>
      <c r="D1545" s="245" t="s">
        <v>21</v>
      </c>
      <c r="E1545" s="251">
        <v>8.5</v>
      </c>
      <c r="F1545" s="242" t="s">
        <v>507</v>
      </c>
      <c r="G1545" s="242">
        <v>3.9</v>
      </c>
      <c r="H1545" s="230">
        <f t="shared" si="35"/>
        <v>33.15</v>
      </c>
    </row>
    <row r="1546" spans="1:8" ht="15.75" x14ac:dyDescent="0.25">
      <c r="A1546" s="244">
        <v>2001</v>
      </c>
      <c r="B1546" s="245" t="s">
        <v>19</v>
      </c>
      <c r="C1546" s="249" t="s">
        <v>20</v>
      </c>
      <c r="D1546" s="245" t="s">
        <v>21</v>
      </c>
      <c r="E1546" s="251">
        <v>11</v>
      </c>
      <c r="F1546" s="242" t="s">
        <v>507</v>
      </c>
      <c r="G1546" s="242">
        <v>3.9</v>
      </c>
      <c r="H1546" s="230">
        <f t="shared" si="35"/>
        <v>42.9</v>
      </c>
    </row>
    <row r="1547" spans="1:8" ht="15.75" x14ac:dyDescent="0.25">
      <c r="A1547" s="244">
        <v>2001</v>
      </c>
      <c r="B1547" s="245" t="s">
        <v>19</v>
      </c>
      <c r="C1547" s="249" t="s">
        <v>20</v>
      </c>
      <c r="D1547" s="245" t="s">
        <v>21</v>
      </c>
      <c r="E1547" s="251">
        <v>9.5</v>
      </c>
      <c r="F1547" s="242" t="s">
        <v>507</v>
      </c>
      <c r="G1547" s="242">
        <v>3.9</v>
      </c>
      <c r="H1547" s="230">
        <f t="shared" si="35"/>
        <v>37.049999999999997</v>
      </c>
    </row>
    <row r="1548" spans="1:8" ht="15.75" x14ac:dyDescent="0.25">
      <c r="A1548" s="244">
        <v>2001</v>
      </c>
      <c r="B1548" s="245" t="s">
        <v>19</v>
      </c>
      <c r="C1548" s="249" t="s">
        <v>20</v>
      </c>
      <c r="D1548" s="245" t="s">
        <v>21</v>
      </c>
      <c r="E1548" s="251">
        <v>11</v>
      </c>
      <c r="F1548" s="242" t="s">
        <v>507</v>
      </c>
      <c r="G1548" s="242">
        <v>3.9</v>
      </c>
      <c r="H1548" s="230">
        <f t="shared" si="35"/>
        <v>42.9</v>
      </c>
    </row>
    <row r="1549" spans="1:8" ht="15.75" x14ac:dyDescent="0.25">
      <c r="A1549" s="244">
        <v>2001</v>
      </c>
      <c r="B1549" s="245" t="s">
        <v>19</v>
      </c>
      <c r="C1549" s="249" t="s">
        <v>20</v>
      </c>
      <c r="D1549" s="245" t="s">
        <v>21</v>
      </c>
      <c r="E1549" s="251">
        <v>14.5</v>
      </c>
      <c r="F1549" s="242" t="s">
        <v>507</v>
      </c>
      <c r="G1549" s="242">
        <v>3.9</v>
      </c>
      <c r="H1549" s="230">
        <f t="shared" si="35"/>
        <v>56.55</v>
      </c>
    </row>
    <row r="1550" spans="1:8" ht="15.75" x14ac:dyDescent="0.25">
      <c r="A1550" s="244">
        <v>2001</v>
      </c>
      <c r="B1550" s="245" t="s">
        <v>19</v>
      </c>
      <c r="C1550" s="249" t="s">
        <v>20</v>
      </c>
      <c r="D1550" s="245" t="s">
        <v>21</v>
      </c>
      <c r="E1550" s="251">
        <v>15</v>
      </c>
      <c r="F1550" s="242" t="s">
        <v>507</v>
      </c>
      <c r="G1550" s="242">
        <v>3.9</v>
      </c>
      <c r="H1550" s="230">
        <f t="shared" si="35"/>
        <v>58.5</v>
      </c>
    </row>
    <row r="1551" spans="1:8" ht="15.75" x14ac:dyDescent="0.25">
      <c r="A1551" s="244">
        <v>2001</v>
      </c>
      <c r="B1551" s="245" t="s">
        <v>19</v>
      </c>
      <c r="C1551" s="249" t="s">
        <v>20</v>
      </c>
      <c r="D1551" s="245" t="s">
        <v>21</v>
      </c>
      <c r="E1551" s="251">
        <v>13</v>
      </c>
      <c r="F1551" s="242" t="s">
        <v>507</v>
      </c>
      <c r="G1551" s="242">
        <v>3.9</v>
      </c>
      <c r="H1551" s="230">
        <f t="shared" si="35"/>
        <v>50.699999999999996</v>
      </c>
    </row>
    <row r="1552" spans="1:8" ht="15.75" x14ac:dyDescent="0.25">
      <c r="A1552" s="244">
        <v>2001</v>
      </c>
      <c r="B1552" s="245" t="s">
        <v>19</v>
      </c>
      <c r="C1552" s="249" t="s">
        <v>20</v>
      </c>
      <c r="D1552" s="245" t="s">
        <v>21</v>
      </c>
      <c r="E1552" s="251">
        <v>11.5</v>
      </c>
      <c r="F1552" s="242" t="s">
        <v>507</v>
      </c>
      <c r="G1552" s="242">
        <v>3.9</v>
      </c>
      <c r="H1552" s="230">
        <f t="shared" si="35"/>
        <v>44.85</v>
      </c>
    </row>
    <row r="1553" spans="1:8" ht="15.75" x14ac:dyDescent="0.25">
      <c r="A1553" s="244">
        <v>2001</v>
      </c>
      <c r="B1553" s="245" t="s">
        <v>19</v>
      </c>
      <c r="C1553" s="249" t="s">
        <v>20</v>
      </c>
      <c r="D1553" s="245" t="s">
        <v>21</v>
      </c>
      <c r="E1553" s="251">
        <v>12.5</v>
      </c>
      <c r="F1553" s="242" t="s">
        <v>507</v>
      </c>
      <c r="G1553" s="242">
        <v>3.9</v>
      </c>
      <c r="H1553" s="230">
        <f t="shared" si="35"/>
        <v>48.75</v>
      </c>
    </row>
    <row r="1554" spans="1:8" ht="15.75" x14ac:dyDescent="0.25">
      <c r="A1554" s="244">
        <v>2001</v>
      </c>
      <c r="B1554" s="245" t="s">
        <v>19</v>
      </c>
      <c r="C1554" s="249" t="s">
        <v>20</v>
      </c>
      <c r="D1554" s="245" t="s">
        <v>21</v>
      </c>
      <c r="E1554" s="251">
        <v>10.5</v>
      </c>
      <c r="F1554" s="242" t="s">
        <v>507</v>
      </c>
      <c r="G1554" s="242">
        <v>3.9</v>
      </c>
      <c r="H1554" s="230">
        <f t="shared" si="35"/>
        <v>40.949999999999996</v>
      </c>
    </row>
    <row r="1555" spans="1:8" ht="15.75" x14ac:dyDescent="0.25">
      <c r="A1555" s="244">
        <v>2001</v>
      </c>
      <c r="B1555" s="245" t="s">
        <v>19</v>
      </c>
      <c r="C1555" s="249" t="s">
        <v>20</v>
      </c>
      <c r="D1555" s="245" t="s">
        <v>21</v>
      </c>
      <c r="E1555" s="251">
        <v>16.2</v>
      </c>
      <c r="F1555" s="242" t="s">
        <v>507</v>
      </c>
      <c r="G1555" s="242">
        <v>3.9</v>
      </c>
      <c r="H1555" s="230">
        <f t="shared" si="35"/>
        <v>63.179999999999993</v>
      </c>
    </row>
    <row r="1556" spans="1:8" ht="15.75" x14ac:dyDescent="0.25">
      <c r="A1556" s="244">
        <v>2001</v>
      </c>
      <c r="B1556" s="245" t="s">
        <v>19</v>
      </c>
      <c r="C1556" s="249" t="s">
        <v>20</v>
      </c>
      <c r="D1556" s="245" t="s">
        <v>21</v>
      </c>
      <c r="E1556" s="251">
        <v>10</v>
      </c>
      <c r="F1556" s="242" t="s">
        <v>507</v>
      </c>
      <c r="G1556" s="242">
        <v>3.9</v>
      </c>
      <c r="H1556" s="230">
        <f t="shared" si="35"/>
        <v>39</v>
      </c>
    </row>
    <row r="1557" spans="1:8" ht="15.75" x14ac:dyDescent="0.25">
      <c r="A1557" s="244">
        <v>2001</v>
      </c>
      <c r="B1557" s="245" t="s">
        <v>19</v>
      </c>
      <c r="C1557" s="249" t="s">
        <v>20</v>
      </c>
      <c r="D1557" s="245" t="s">
        <v>21</v>
      </c>
      <c r="E1557" s="251">
        <v>13</v>
      </c>
      <c r="F1557" s="242" t="s">
        <v>507</v>
      </c>
      <c r="G1557" s="242">
        <v>3.9</v>
      </c>
      <c r="H1557" s="230">
        <f t="shared" si="35"/>
        <v>50.699999999999996</v>
      </c>
    </row>
    <row r="1558" spans="1:8" ht="15.75" x14ac:dyDescent="0.25">
      <c r="A1558" s="244">
        <v>2001</v>
      </c>
      <c r="B1558" s="245" t="s">
        <v>19</v>
      </c>
      <c r="C1558" s="249" t="s">
        <v>20</v>
      </c>
      <c r="D1558" s="245" t="s">
        <v>21</v>
      </c>
      <c r="E1558" s="251">
        <v>14.8</v>
      </c>
      <c r="F1558" s="242" t="s">
        <v>507</v>
      </c>
      <c r="G1558" s="242">
        <v>3.9</v>
      </c>
      <c r="H1558" s="230">
        <f t="shared" si="35"/>
        <v>57.72</v>
      </c>
    </row>
    <row r="1559" spans="1:8" ht="15.75" x14ac:dyDescent="0.25">
      <c r="A1559" s="244">
        <v>2001</v>
      </c>
      <c r="B1559" s="245" t="s">
        <v>19</v>
      </c>
      <c r="C1559" s="249" t="s">
        <v>20</v>
      </c>
      <c r="D1559" s="245" t="s">
        <v>21</v>
      </c>
      <c r="E1559" s="251">
        <v>9.5</v>
      </c>
      <c r="F1559" s="242" t="s">
        <v>507</v>
      </c>
      <c r="G1559" s="242">
        <v>3.9</v>
      </c>
      <c r="H1559" s="230">
        <f t="shared" si="35"/>
        <v>37.049999999999997</v>
      </c>
    </row>
    <row r="1560" spans="1:8" ht="15.75" x14ac:dyDescent="0.25">
      <c r="A1560" s="244">
        <v>2001</v>
      </c>
      <c r="B1560" s="245" t="s">
        <v>19</v>
      </c>
      <c r="C1560" s="249" t="s">
        <v>20</v>
      </c>
      <c r="D1560" s="245" t="s">
        <v>21</v>
      </c>
      <c r="E1560" s="251">
        <v>16</v>
      </c>
      <c r="F1560" s="242" t="s">
        <v>507</v>
      </c>
      <c r="G1560" s="242">
        <v>3.9</v>
      </c>
      <c r="H1560" s="230">
        <f t="shared" si="35"/>
        <v>62.4</v>
      </c>
    </row>
    <row r="1561" spans="1:8" ht="15.75" x14ac:dyDescent="0.25">
      <c r="A1561" s="244">
        <v>2001</v>
      </c>
      <c r="B1561" s="245" t="s">
        <v>19</v>
      </c>
      <c r="C1561" s="249" t="s">
        <v>20</v>
      </c>
      <c r="D1561" s="245" t="s">
        <v>21</v>
      </c>
      <c r="E1561" s="251">
        <v>13</v>
      </c>
      <c r="F1561" s="242" t="s">
        <v>507</v>
      </c>
      <c r="G1561" s="242">
        <v>3.9</v>
      </c>
      <c r="H1561" s="230">
        <f t="shared" si="35"/>
        <v>50.699999999999996</v>
      </c>
    </row>
    <row r="1562" spans="1:8" ht="15.75" x14ac:dyDescent="0.25">
      <c r="A1562" s="244">
        <v>2001</v>
      </c>
      <c r="B1562" s="245" t="s">
        <v>19</v>
      </c>
      <c r="C1562" s="249" t="s">
        <v>20</v>
      </c>
      <c r="D1562" s="245" t="s">
        <v>21</v>
      </c>
      <c r="E1562" s="251">
        <v>15.5</v>
      </c>
      <c r="F1562" s="242" t="s">
        <v>507</v>
      </c>
      <c r="G1562" s="242">
        <v>3.9</v>
      </c>
      <c r="H1562" s="230">
        <f t="shared" si="35"/>
        <v>60.449999999999996</v>
      </c>
    </row>
    <row r="1563" spans="1:8" ht="15.75" x14ac:dyDescent="0.25">
      <c r="A1563" s="244">
        <v>2001</v>
      </c>
      <c r="B1563" s="245" t="s">
        <v>19</v>
      </c>
      <c r="C1563" s="249" t="s">
        <v>20</v>
      </c>
      <c r="D1563" s="245" t="s">
        <v>21</v>
      </c>
      <c r="E1563" s="251">
        <v>11</v>
      </c>
      <c r="F1563" s="242" t="s">
        <v>507</v>
      </c>
      <c r="G1563" s="242">
        <v>3.9</v>
      </c>
      <c r="H1563" s="230">
        <f t="shared" si="35"/>
        <v>42.9</v>
      </c>
    </row>
    <row r="1564" spans="1:8" ht="15.75" x14ac:dyDescent="0.25">
      <c r="A1564" s="244">
        <v>2001</v>
      </c>
      <c r="B1564" s="245" t="s">
        <v>19</v>
      </c>
      <c r="C1564" s="249" t="s">
        <v>20</v>
      </c>
      <c r="D1564" s="245" t="s">
        <v>21</v>
      </c>
      <c r="E1564" s="251">
        <v>13.5</v>
      </c>
      <c r="F1564" s="242" t="s">
        <v>507</v>
      </c>
      <c r="G1564" s="242">
        <v>3.9</v>
      </c>
      <c r="H1564" s="230">
        <f t="shared" si="35"/>
        <v>52.65</v>
      </c>
    </row>
    <row r="1565" spans="1:8" ht="15.75" x14ac:dyDescent="0.25">
      <c r="A1565" s="244">
        <v>2001</v>
      </c>
      <c r="B1565" s="245" t="s">
        <v>19</v>
      </c>
      <c r="C1565" s="249" t="s">
        <v>20</v>
      </c>
      <c r="D1565" s="245" t="s">
        <v>21</v>
      </c>
      <c r="E1565" s="251">
        <v>10.5</v>
      </c>
      <c r="F1565" s="242" t="s">
        <v>507</v>
      </c>
      <c r="G1565" s="242">
        <v>3.9</v>
      </c>
      <c r="H1565" s="230">
        <f t="shared" si="35"/>
        <v>40.949999999999996</v>
      </c>
    </row>
    <row r="1566" spans="1:8" ht="15.75" x14ac:dyDescent="0.25">
      <c r="A1566" s="244">
        <v>2001</v>
      </c>
      <c r="B1566" s="245" t="s">
        <v>19</v>
      </c>
      <c r="C1566" s="249" t="s">
        <v>20</v>
      </c>
      <c r="D1566" s="245" t="s">
        <v>21</v>
      </c>
      <c r="E1566" s="251">
        <v>9</v>
      </c>
      <c r="F1566" s="242" t="s">
        <v>507</v>
      </c>
      <c r="G1566" s="242">
        <v>3.9</v>
      </c>
      <c r="H1566" s="230">
        <f t="shared" si="35"/>
        <v>35.1</v>
      </c>
    </row>
    <row r="1567" spans="1:8" ht="15.75" x14ac:dyDescent="0.25">
      <c r="A1567" s="244">
        <v>2001</v>
      </c>
      <c r="B1567" s="245" t="s">
        <v>19</v>
      </c>
      <c r="C1567" s="249" t="s">
        <v>20</v>
      </c>
      <c r="D1567" s="245" t="s">
        <v>21</v>
      </c>
      <c r="E1567" s="251">
        <v>11</v>
      </c>
      <c r="F1567" s="242" t="s">
        <v>507</v>
      </c>
      <c r="G1567" s="242">
        <v>3.9</v>
      </c>
      <c r="H1567" s="230">
        <f t="shared" si="35"/>
        <v>42.9</v>
      </c>
    </row>
    <row r="1568" spans="1:8" ht="15.75" x14ac:dyDescent="0.25">
      <c r="A1568" s="244">
        <v>2001</v>
      </c>
      <c r="B1568" s="245" t="s">
        <v>19</v>
      </c>
      <c r="C1568" s="249" t="s">
        <v>20</v>
      </c>
      <c r="D1568" s="245" t="s">
        <v>21</v>
      </c>
      <c r="E1568" s="251">
        <v>15</v>
      </c>
      <c r="F1568" s="242" t="s">
        <v>507</v>
      </c>
      <c r="G1568" s="242">
        <v>3.9</v>
      </c>
      <c r="H1568" s="230">
        <f t="shared" si="35"/>
        <v>58.5</v>
      </c>
    </row>
    <row r="1569" spans="1:8" ht="15.75" x14ac:dyDescent="0.25">
      <c r="A1569" s="244">
        <v>2001</v>
      </c>
      <c r="B1569" s="245" t="s">
        <v>19</v>
      </c>
      <c r="C1569" s="249" t="s">
        <v>20</v>
      </c>
      <c r="D1569" s="245" t="s">
        <v>21</v>
      </c>
      <c r="E1569" s="251">
        <v>12</v>
      </c>
      <c r="F1569" s="242" t="s">
        <v>507</v>
      </c>
      <c r="G1569" s="242">
        <v>3.9</v>
      </c>
      <c r="H1569" s="230">
        <f t="shared" si="35"/>
        <v>46.8</v>
      </c>
    </row>
    <row r="1570" spans="1:8" ht="15.75" x14ac:dyDescent="0.25">
      <c r="A1570" s="244">
        <v>2001</v>
      </c>
      <c r="B1570" s="245" t="s">
        <v>19</v>
      </c>
      <c r="C1570" s="249" t="s">
        <v>20</v>
      </c>
      <c r="D1570" s="245" t="s">
        <v>21</v>
      </c>
      <c r="E1570" s="251">
        <v>15</v>
      </c>
      <c r="F1570" s="242" t="s">
        <v>507</v>
      </c>
      <c r="G1570" s="242">
        <v>3.9</v>
      </c>
      <c r="H1570" s="230">
        <f t="shared" si="35"/>
        <v>58.5</v>
      </c>
    </row>
    <row r="1571" spans="1:8" ht="15.75" x14ac:dyDescent="0.25">
      <c r="A1571" s="244">
        <v>2001</v>
      </c>
      <c r="B1571" s="245" t="s">
        <v>19</v>
      </c>
      <c r="C1571" s="249" t="s">
        <v>20</v>
      </c>
      <c r="D1571" s="245" t="s">
        <v>21</v>
      </c>
      <c r="E1571" s="251">
        <v>17</v>
      </c>
      <c r="F1571" s="242" t="s">
        <v>507</v>
      </c>
      <c r="G1571" s="242">
        <v>3.9</v>
      </c>
      <c r="H1571" s="230">
        <f t="shared" si="35"/>
        <v>66.3</v>
      </c>
    </row>
    <row r="1572" spans="1:8" ht="15.75" x14ac:dyDescent="0.25">
      <c r="A1572" s="244">
        <v>2001</v>
      </c>
      <c r="B1572" s="245" t="s">
        <v>19</v>
      </c>
      <c r="C1572" s="249" t="s">
        <v>20</v>
      </c>
      <c r="D1572" s="245" t="s">
        <v>21</v>
      </c>
      <c r="E1572" s="251">
        <v>12</v>
      </c>
      <c r="F1572" s="242" t="s">
        <v>507</v>
      </c>
      <c r="G1572" s="242">
        <v>3.9</v>
      </c>
      <c r="H1572" s="230">
        <f t="shared" si="35"/>
        <v>46.8</v>
      </c>
    </row>
    <row r="1573" spans="1:8" ht="15.75" x14ac:dyDescent="0.25">
      <c r="A1573" s="244">
        <v>2001</v>
      </c>
      <c r="B1573" s="245" t="s">
        <v>19</v>
      </c>
      <c r="C1573" s="249" t="s">
        <v>20</v>
      </c>
      <c r="D1573" s="245" t="s">
        <v>21</v>
      </c>
      <c r="E1573" s="251">
        <v>12.5</v>
      </c>
      <c r="F1573" s="242" t="s">
        <v>507</v>
      </c>
      <c r="G1573" s="242">
        <v>3.9</v>
      </c>
      <c r="H1573" s="230">
        <f t="shared" si="35"/>
        <v>48.75</v>
      </c>
    </row>
    <row r="1574" spans="1:8" ht="15.75" x14ac:dyDescent="0.25">
      <c r="A1574" s="244">
        <v>2001</v>
      </c>
      <c r="B1574" s="245" t="s">
        <v>19</v>
      </c>
      <c r="C1574" s="249" t="s">
        <v>20</v>
      </c>
      <c r="D1574" s="245" t="s">
        <v>21</v>
      </c>
      <c r="E1574" s="251">
        <v>13</v>
      </c>
      <c r="F1574" s="242" t="s">
        <v>507</v>
      </c>
      <c r="G1574" s="242">
        <v>3.9</v>
      </c>
      <c r="H1574" s="230">
        <f t="shared" si="35"/>
        <v>50.699999999999996</v>
      </c>
    </row>
    <row r="1575" spans="1:8" ht="15.75" x14ac:dyDescent="0.25">
      <c r="A1575" s="244">
        <v>2001</v>
      </c>
      <c r="B1575" s="245" t="s">
        <v>19</v>
      </c>
      <c r="C1575" s="249" t="s">
        <v>20</v>
      </c>
      <c r="D1575" s="245" t="s">
        <v>21</v>
      </c>
      <c r="E1575" s="251">
        <v>10</v>
      </c>
      <c r="F1575" s="242" t="s">
        <v>507</v>
      </c>
      <c r="G1575" s="242">
        <v>3.9</v>
      </c>
      <c r="H1575" s="230">
        <f t="shared" si="35"/>
        <v>39</v>
      </c>
    </row>
    <row r="1576" spans="1:8" ht="15.75" x14ac:dyDescent="0.25">
      <c r="A1576" s="244">
        <v>2001</v>
      </c>
      <c r="B1576" s="245" t="s">
        <v>19</v>
      </c>
      <c r="C1576" s="249" t="s">
        <v>20</v>
      </c>
      <c r="D1576" s="245" t="s">
        <v>21</v>
      </c>
      <c r="E1576" s="251">
        <v>9</v>
      </c>
      <c r="F1576" s="242" t="s">
        <v>507</v>
      </c>
      <c r="G1576" s="242">
        <v>3.9</v>
      </c>
      <c r="H1576" s="230">
        <f t="shared" si="35"/>
        <v>35.1</v>
      </c>
    </row>
    <row r="1577" spans="1:8" ht="15.75" x14ac:dyDescent="0.25">
      <c r="A1577" s="244">
        <v>2001</v>
      </c>
      <c r="B1577" s="245" t="s">
        <v>19</v>
      </c>
      <c r="C1577" s="249" t="s">
        <v>34</v>
      </c>
      <c r="D1577" s="245" t="s">
        <v>41</v>
      </c>
      <c r="E1577" s="251">
        <v>19.5</v>
      </c>
      <c r="F1577" s="242" t="s">
        <v>508</v>
      </c>
      <c r="G1577" s="242">
        <v>3.8</v>
      </c>
      <c r="H1577" s="230">
        <f t="shared" si="35"/>
        <v>74.099999999999994</v>
      </c>
    </row>
    <row r="1578" spans="1:8" ht="15.75" x14ac:dyDescent="0.25">
      <c r="A1578" s="244">
        <v>2000</v>
      </c>
      <c r="B1578" s="245" t="s">
        <v>19</v>
      </c>
      <c r="C1578" s="249" t="s">
        <v>20</v>
      </c>
      <c r="D1578" s="250" t="s">
        <v>30</v>
      </c>
      <c r="E1578" s="251">
        <v>12.5</v>
      </c>
      <c r="F1578" s="242" t="s">
        <v>504</v>
      </c>
      <c r="G1578" s="242">
        <v>4.5999999999999996</v>
      </c>
      <c r="H1578" s="230">
        <f t="shared" si="35"/>
        <v>57.499999999999993</v>
      </c>
    </row>
    <row r="1579" spans="1:8" ht="15.75" x14ac:dyDescent="0.25">
      <c r="A1579" s="244">
        <v>2000</v>
      </c>
      <c r="B1579" s="245" t="s">
        <v>19</v>
      </c>
      <c r="C1579" s="249" t="s">
        <v>20</v>
      </c>
      <c r="D1579" s="245" t="s">
        <v>30</v>
      </c>
      <c r="E1579" s="247">
        <v>14</v>
      </c>
      <c r="F1579" s="242" t="s">
        <v>504</v>
      </c>
      <c r="G1579" s="242">
        <v>4.5999999999999996</v>
      </c>
      <c r="H1579" s="230">
        <f t="shared" si="35"/>
        <v>64.399999999999991</v>
      </c>
    </row>
    <row r="1580" spans="1:8" ht="15.75" x14ac:dyDescent="0.25">
      <c r="A1580" s="244">
        <v>2000</v>
      </c>
      <c r="B1580" s="245" t="s">
        <v>19</v>
      </c>
      <c r="C1580" s="249" t="s">
        <v>20</v>
      </c>
      <c r="D1580" s="245" t="s">
        <v>30</v>
      </c>
      <c r="E1580" s="247">
        <v>19.5</v>
      </c>
      <c r="F1580" s="242" t="s">
        <v>504</v>
      </c>
      <c r="G1580" s="242">
        <v>4.5999999999999996</v>
      </c>
      <c r="H1580" s="230">
        <f t="shared" si="35"/>
        <v>89.699999999999989</v>
      </c>
    </row>
    <row r="1581" spans="1:8" ht="15.75" x14ac:dyDescent="0.25">
      <c r="A1581" s="244">
        <v>2000</v>
      </c>
      <c r="B1581" s="245" t="s">
        <v>19</v>
      </c>
      <c r="C1581" s="249" t="s">
        <v>20</v>
      </c>
      <c r="D1581" s="245" t="s">
        <v>30</v>
      </c>
      <c r="E1581" s="247">
        <v>9.5</v>
      </c>
      <c r="F1581" s="242" t="s">
        <v>504</v>
      </c>
      <c r="G1581" s="242">
        <v>4.5999999999999996</v>
      </c>
      <c r="H1581" s="230">
        <f t="shared" si="35"/>
        <v>43.699999999999996</v>
      </c>
    </row>
    <row r="1582" spans="1:8" ht="15.75" x14ac:dyDescent="0.25">
      <c r="A1582" s="244">
        <v>2000</v>
      </c>
      <c r="B1582" s="245" t="s">
        <v>19</v>
      </c>
      <c r="C1582" s="249" t="s">
        <v>20</v>
      </c>
      <c r="D1582" s="245" t="s">
        <v>30</v>
      </c>
      <c r="E1582" s="247">
        <v>16</v>
      </c>
      <c r="F1582" s="242" t="s">
        <v>504</v>
      </c>
      <c r="G1582" s="242">
        <v>4.5999999999999996</v>
      </c>
      <c r="H1582" s="230">
        <f t="shared" si="35"/>
        <v>73.599999999999994</v>
      </c>
    </row>
    <row r="1583" spans="1:8" ht="15.75" x14ac:dyDescent="0.25">
      <c r="A1583" s="244">
        <v>2000</v>
      </c>
      <c r="B1583" s="245" t="s">
        <v>19</v>
      </c>
      <c r="C1583" s="249" t="s">
        <v>20</v>
      </c>
      <c r="D1583" s="245" t="s">
        <v>30</v>
      </c>
      <c r="E1583" s="247">
        <v>13</v>
      </c>
      <c r="F1583" s="242" t="s">
        <v>504</v>
      </c>
      <c r="G1583" s="242">
        <v>4.5999999999999996</v>
      </c>
      <c r="H1583" s="230">
        <f t="shared" si="35"/>
        <v>59.8</v>
      </c>
    </row>
    <row r="1584" spans="1:8" ht="15.75" x14ac:dyDescent="0.25">
      <c r="A1584" s="244">
        <v>2000</v>
      </c>
      <c r="B1584" s="245" t="s">
        <v>19</v>
      </c>
      <c r="C1584" s="249" t="s">
        <v>20</v>
      </c>
      <c r="D1584" s="245" t="s">
        <v>30</v>
      </c>
      <c r="E1584" s="247">
        <v>10</v>
      </c>
      <c r="F1584" s="242" t="s">
        <v>504</v>
      </c>
      <c r="G1584" s="242">
        <v>4.5999999999999996</v>
      </c>
      <c r="H1584" s="230">
        <f t="shared" si="35"/>
        <v>46</v>
      </c>
    </row>
    <row r="1585" spans="1:8" ht="15.75" x14ac:dyDescent="0.25">
      <c r="A1585" s="244">
        <v>2000</v>
      </c>
      <c r="B1585" s="245" t="s">
        <v>19</v>
      </c>
      <c r="C1585" s="249" t="s">
        <v>20</v>
      </c>
      <c r="D1585" s="245" t="s">
        <v>30</v>
      </c>
      <c r="E1585" s="247">
        <v>14</v>
      </c>
      <c r="F1585" s="242" t="s">
        <v>504</v>
      </c>
      <c r="G1585" s="242">
        <v>4.5999999999999996</v>
      </c>
      <c r="H1585" s="230">
        <f t="shared" si="35"/>
        <v>64.399999999999991</v>
      </c>
    </row>
    <row r="1586" spans="1:8" ht="15.75" x14ac:dyDescent="0.25">
      <c r="A1586" s="244">
        <v>2000</v>
      </c>
      <c r="B1586" s="245" t="s">
        <v>19</v>
      </c>
      <c r="C1586" s="249" t="s">
        <v>20</v>
      </c>
      <c r="D1586" s="245" t="s">
        <v>21</v>
      </c>
      <c r="E1586" s="251">
        <v>9</v>
      </c>
      <c r="F1586" s="242" t="s">
        <v>507</v>
      </c>
      <c r="G1586" s="242">
        <v>3.9</v>
      </c>
      <c r="H1586" s="230">
        <f t="shared" si="35"/>
        <v>35.1</v>
      </c>
    </row>
    <row r="1587" spans="1:8" ht="15.75" x14ac:dyDescent="0.25">
      <c r="A1587" s="244">
        <v>2000</v>
      </c>
      <c r="B1587" s="245" t="s">
        <v>19</v>
      </c>
      <c r="C1587" s="249" t="s">
        <v>20</v>
      </c>
      <c r="D1587" s="245" t="s">
        <v>21</v>
      </c>
      <c r="E1587" s="251">
        <v>15</v>
      </c>
      <c r="F1587" s="242" t="s">
        <v>507</v>
      </c>
      <c r="G1587" s="242">
        <v>3.9</v>
      </c>
      <c r="H1587" s="230">
        <f t="shared" si="35"/>
        <v>58.5</v>
      </c>
    </row>
    <row r="1588" spans="1:8" ht="15.75" x14ac:dyDescent="0.25">
      <c r="A1588" s="244">
        <v>2000</v>
      </c>
      <c r="B1588" s="245" t="s">
        <v>19</v>
      </c>
      <c r="C1588" s="249" t="s">
        <v>20</v>
      </c>
      <c r="D1588" s="245" t="s">
        <v>21</v>
      </c>
      <c r="E1588" s="251">
        <v>15.5</v>
      </c>
      <c r="F1588" s="242" t="s">
        <v>507</v>
      </c>
      <c r="G1588" s="242">
        <v>3.9</v>
      </c>
      <c r="H1588" s="230">
        <f t="shared" si="35"/>
        <v>60.449999999999996</v>
      </c>
    </row>
    <row r="1589" spans="1:8" ht="15.75" x14ac:dyDescent="0.25">
      <c r="A1589" s="244">
        <v>2000</v>
      </c>
      <c r="B1589" s="245" t="s">
        <v>19</v>
      </c>
      <c r="C1589" s="249" t="s">
        <v>20</v>
      </c>
      <c r="D1589" s="245" t="s">
        <v>21</v>
      </c>
      <c r="E1589" s="251">
        <v>14</v>
      </c>
      <c r="F1589" s="242" t="s">
        <v>507</v>
      </c>
      <c r="G1589" s="242">
        <v>3.9</v>
      </c>
      <c r="H1589" s="230">
        <f t="shared" si="35"/>
        <v>54.6</v>
      </c>
    </row>
    <row r="1590" spans="1:8" ht="15.75" x14ac:dyDescent="0.25">
      <c r="A1590" s="244">
        <v>2000</v>
      </c>
      <c r="B1590" s="245" t="s">
        <v>19</v>
      </c>
      <c r="C1590" s="249" t="s">
        <v>20</v>
      </c>
      <c r="D1590" s="245" t="s">
        <v>21</v>
      </c>
      <c r="E1590" s="251">
        <v>17.5</v>
      </c>
      <c r="F1590" s="242" t="s">
        <v>507</v>
      </c>
      <c r="G1590" s="242">
        <v>3.9</v>
      </c>
      <c r="H1590" s="230">
        <f t="shared" si="35"/>
        <v>68.25</v>
      </c>
    </row>
    <row r="1591" spans="1:8" ht="15.75" x14ac:dyDescent="0.25">
      <c r="A1591" s="244">
        <v>2000</v>
      </c>
      <c r="B1591" s="245" t="s">
        <v>19</v>
      </c>
      <c r="C1591" s="249" t="s">
        <v>20</v>
      </c>
      <c r="D1591" s="245" t="s">
        <v>21</v>
      </c>
      <c r="E1591" s="251">
        <v>13</v>
      </c>
      <c r="F1591" s="242" t="s">
        <v>507</v>
      </c>
      <c r="G1591" s="242">
        <v>3.9</v>
      </c>
      <c r="H1591" s="230">
        <f t="shared" si="35"/>
        <v>50.699999999999996</v>
      </c>
    </row>
    <row r="1592" spans="1:8" ht="15.75" x14ac:dyDescent="0.25">
      <c r="A1592" s="244">
        <v>2000</v>
      </c>
      <c r="B1592" s="245" t="s">
        <v>19</v>
      </c>
      <c r="C1592" s="249" t="s">
        <v>20</v>
      </c>
      <c r="D1592" s="245" t="s">
        <v>21</v>
      </c>
      <c r="E1592" s="251">
        <v>17</v>
      </c>
      <c r="F1592" s="242" t="s">
        <v>507</v>
      </c>
      <c r="G1592" s="242">
        <v>3.9</v>
      </c>
      <c r="H1592" s="230">
        <f t="shared" si="35"/>
        <v>66.3</v>
      </c>
    </row>
    <row r="1593" spans="1:8" ht="15.75" x14ac:dyDescent="0.25">
      <c r="A1593" s="244">
        <v>2000</v>
      </c>
      <c r="B1593" s="245" t="s">
        <v>19</v>
      </c>
      <c r="C1593" s="249" t="s">
        <v>20</v>
      </c>
      <c r="D1593" s="245" t="s">
        <v>21</v>
      </c>
      <c r="E1593" s="251">
        <v>16.5</v>
      </c>
      <c r="F1593" s="242" t="s">
        <v>507</v>
      </c>
      <c r="G1593" s="242">
        <v>3.9</v>
      </c>
      <c r="H1593" s="230">
        <f t="shared" si="35"/>
        <v>64.349999999999994</v>
      </c>
    </row>
    <row r="1594" spans="1:8" ht="15.75" x14ac:dyDescent="0.25">
      <c r="A1594" s="244">
        <v>2000</v>
      </c>
      <c r="B1594" s="245" t="s">
        <v>19</v>
      </c>
      <c r="C1594" s="249" t="s">
        <v>20</v>
      </c>
      <c r="D1594" s="245" t="s">
        <v>21</v>
      </c>
      <c r="E1594" s="251">
        <v>11.5</v>
      </c>
      <c r="F1594" s="242" t="s">
        <v>507</v>
      </c>
      <c r="G1594" s="242">
        <v>3.9</v>
      </c>
      <c r="H1594" s="230">
        <f t="shared" si="35"/>
        <v>44.85</v>
      </c>
    </row>
    <row r="1595" spans="1:8" ht="15.75" x14ac:dyDescent="0.25">
      <c r="A1595" s="244">
        <v>2000</v>
      </c>
      <c r="B1595" s="245" t="s">
        <v>19</v>
      </c>
      <c r="C1595" s="249" t="s">
        <v>20</v>
      </c>
      <c r="D1595" s="245" t="s">
        <v>21</v>
      </c>
      <c r="E1595" s="251">
        <v>8.5</v>
      </c>
      <c r="F1595" s="242" t="s">
        <v>507</v>
      </c>
      <c r="G1595" s="242">
        <v>3.9</v>
      </c>
      <c r="H1595" s="230">
        <f t="shared" si="35"/>
        <v>33.15</v>
      </c>
    </row>
    <row r="1596" spans="1:8" ht="15.75" x14ac:dyDescent="0.25">
      <c r="A1596" s="244">
        <v>2000</v>
      </c>
      <c r="B1596" s="245" t="s">
        <v>19</v>
      </c>
      <c r="C1596" s="249" t="s">
        <v>20</v>
      </c>
      <c r="D1596" s="245" t="s">
        <v>21</v>
      </c>
      <c r="E1596" s="251">
        <v>18</v>
      </c>
      <c r="F1596" s="242" t="s">
        <v>507</v>
      </c>
      <c r="G1596" s="242">
        <v>3.9</v>
      </c>
      <c r="H1596" s="230">
        <f t="shared" si="35"/>
        <v>70.2</v>
      </c>
    </row>
    <row r="1597" spans="1:8" ht="15.75" x14ac:dyDescent="0.25">
      <c r="A1597" s="244">
        <v>2000</v>
      </c>
      <c r="B1597" s="245" t="s">
        <v>19</v>
      </c>
      <c r="C1597" s="249" t="s">
        <v>20</v>
      </c>
      <c r="D1597" s="245" t="s">
        <v>21</v>
      </c>
      <c r="E1597" s="251">
        <v>13.5</v>
      </c>
      <c r="F1597" s="242" t="s">
        <v>507</v>
      </c>
      <c r="G1597" s="242">
        <v>3.9</v>
      </c>
      <c r="H1597" s="230">
        <f t="shared" si="35"/>
        <v>52.65</v>
      </c>
    </row>
    <row r="1598" spans="1:8" ht="15.75" x14ac:dyDescent="0.25">
      <c r="A1598" s="244">
        <v>2000</v>
      </c>
      <c r="B1598" s="245" t="s">
        <v>19</v>
      </c>
      <c r="C1598" s="249" t="s">
        <v>20</v>
      </c>
      <c r="D1598" s="245" t="s">
        <v>21</v>
      </c>
      <c r="E1598" s="251">
        <v>10.5</v>
      </c>
      <c r="F1598" s="242" t="s">
        <v>507</v>
      </c>
      <c r="G1598" s="242">
        <v>3.9</v>
      </c>
      <c r="H1598" s="230">
        <f t="shared" si="35"/>
        <v>40.949999999999996</v>
      </c>
    </row>
    <row r="1599" spans="1:8" ht="15.75" x14ac:dyDescent="0.25">
      <c r="A1599" s="244">
        <v>2000</v>
      </c>
      <c r="B1599" s="245" t="s">
        <v>19</v>
      </c>
      <c r="C1599" s="249" t="s">
        <v>20</v>
      </c>
      <c r="D1599" s="245" t="s">
        <v>21</v>
      </c>
      <c r="E1599" s="251">
        <v>9.5</v>
      </c>
      <c r="F1599" s="242" t="s">
        <v>507</v>
      </c>
      <c r="G1599" s="242">
        <v>3.9</v>
      </c>
      <c r="H1599" s="230">
        <f t="shared" si="35"/>
        <v>37.049999999999997</v>
      </c>
    </row>
    <row r="1600" spans="1:8" ht="15.75" x14ac:dyDescent="0.25">
      <c r="A1600" s="244">
        <v>2000</v>
      </c>
      <c r="B1600" s="245" t="s">
        <v>19</v>
      </c>
      <c r="C1600" s="249" t="s">
        <v>20</v>
      </c>
      <c r="D1600" s="245" t="s">
        <v>21</v>
      </c>
      <c r="E1600" s="251">
        <v>15</v>
      </c>
      <c r="F1600" s="242" t="s">
        <v>507</v>
      </c>
      <c r="G1600" s="242">
        <v>3.9</v>
      </c>
      <c r="H1600" s="230">
        <f t="shared" si="35"/>
        <v>58.5</v>
      </c>
    </row>
    <row r="1601" spans="1:8" ht="15.75" x14ac:dyDescent="0.25">
      <c r="A1601" s="244">
        <v>2000</v>
      </c>
      <c r="B1601" s="245" t="s">
        <v>19</v>
      </c>
      <c r="C1601" s="249" t="s">
        <v>20</v>
      </c>
      <c r="D1601" s="245" t="s">
        <v>21</v>
      </c>
      <c r="E1601" s="251">
        <v>11.5</v>
      </c>
      <c r="F1601" s="242" t="s">
        <v>507</v>
      </c>
      <c r="G1601" s="242">
        <v>3.9</v>
      </c>
      <c r="H1601" s="230">
        <f t="shared" si="35"/>
        <v>44.85</v>
      </c>
    </row>
    <row r="1602" spans="1:8" ht="15.75" x14ac:dyDescent="0.25">
      <c r="A1602" s="244">
        <v>2000</v>
      </c>
      <c r="B1602" s="245" t="s">
        <v>19</v>
      </c>
      <c r="C1602" s="249" t="s">
        <v>20</v>
      </c>
      <c r="D1602" s="245" t="s">
        <v>21</v>
      </c>
      <c r="E1602" s="251">
        <v>8</v>
      </c>
      <c r="F1602" s="242" t="s">
        <v>507</v>
      </c>
      <c r="G1602" s="242">
        <v>3.9</v>
      </c>
      <c r="H1602" s="230">
        <f t="shared" si="35"/>
        <v>31.2</v>
      </c>
    </row>
    <row r="1603" spans="1:8" ht="15.75" x14ac:dyDescent="0.25">
      <c r="A1603" s="244">
        <v>2000</v>
      </c>
      <c r="B1603" s="245" t="s">
        <v>19</v>
      </c>
      <c r="C1603" s="249" t="s">
        <v>20</v>
      </c>
      <c r="D1603" s="245" t="s">
        <v>21</v>
      </c>
      <c r="E1603" s="251">
        <v>17</v>
      </c>
      <c r="F1603" s="242" t="s">
        <v>507</v>
      </c>
      <c r="G1603" s="242">
        <v>3.9</v>
      </c>
      <c r="H1603" s="230">
        <f t="shared" ref="H1603:H1666" si="36">E1603*G1603</f>
        <v>66.3</v>
      </c>
    </row>
    <row r="1604" spans="1:8" ht="15.75" x14ac:dyDescent="0.25">
      <c r="A1604" s="244">
        <v>2000</v>
      </c>
      <c r="B1604" s="245" t="s">
        <v>19</v>
      </c>
      <c r="C1604" s="249" t="s">
        <v>20</v>
      </c>
      <c r="D1604" s="245" t="s">
        <v>21</v>
      </c>
      <c r="E1604" s="247">
        <v>16.5</v>
      </c>
      <c r="F1604" s="242" t="s">
        <v>507</v>
      </c>
      <c r="G1604" s="242">
        <v>3.9</v>
      </c>
      <c r="H1604" s="230">
        <f t="shared" si="36"/>
        <v>64.349999999999994</v>
      </c>
    </row>
    <row r="1605" spans="1:8" ht="15.75" x14ac:dyDescent="0.25">
      <c r="A1605" s="244">
        <v>2000</v>
      </c>
      <c r="B1605" s="245" t="s">
        <v>19</v>
      </c>
      <c r="C1605" s="249" t="s">
        <v>20</v>
      </c>
      <c r="D1605" s="245" t="s">
        <v>21</v>
      </c>
      <c r="E1605" s="247">
        <v>13.5</v>
      </c>
      <c r="F1605" s="242" t="s">
        <v>507</v>
      </c>
      <c r="G1605" s="242">
        <v>3.9</v>
      </c>
      <c r="H1605" s="230">
        <f t="shared" si="36"/>
        <v>52.65</v>
      </c>
    </row>
    <row r="1606" spans="1:8" ht="15.75" x14ac:dyDescent="0.25">
      <c r="A1606" s="244">
        <v>2000</v>
      </c>
      <c r="B1606" s="245" t="s">
        <v>19</v>
      </c>
      <c r="C1606" s="249" t="s">
        <v>20</v>
      </c>
      <c r="D1606" s="245" t="s">
        <v>21</v>
      </c>
      <c r="E1606" s="247">
        <v>20</v>
      </c>
      <c r="F1606" s="242" t="s">
        <v>507</v>
      </c>
      <c r="G1606" s="242">
        <v>3.9</v>
      </c>
      <c r="H1606" s="230">
        <f t="shared" si="36"/>
        <v>78</v>
      </c>
    </row>
    <row r="1607" spans="1:8" ht="15.75" x14ac:dyDescent="0.25">
      <c r="A1607" s="244">
        <v>2000</v>
      </c>
      <c r="B1607" s="245" t="s">
        <v>19</v>
      </c>
      <c r="C1607" s="249" t="s">
        <v>20</v>
      </c>
      <c r="D1607" s="245" t="s">
        <v>21</v>
      </c>
      <c r="E1607" s="247">
        <v>16.5</v>
      </c>
      <c r="F1607" s="242" t="s">
        <v>507</v>
      </c>
      <c r="G1607" s="242">
        <v>3.9</v>
      </c>
      <c r="H1607" s="230">
        <f t="shared" si="36"/>
        <v>64.349999999999994</v>
      </c>
    </row>
    <row r="1608" spans="1:8" ht="15.75" x14ac:dyDescent="0.25">
      <c r="A1608" s="244">
        <v>2000</v>
      </c>
      <c r="B1608" s="245" t="s">
        <v>19</v>
      </c>
      <c r="C1608" s="249" t="s">
        <v>20</v>
      </c>
      <c r="D1608" s="245" t="s">
        <v>21</v>
      </c>
      <c r="E1608" s="247">
        <v>19.5</v>
      </c>
      <c r="F1608" s="242" t="s">
        <v>507</v>
      </c>
      <c r="G1608" s="242">
        <v>3.9</v>
      </c>
      <c r="H1608" s="230">
        <f t="shared" si="36"/>
        <v>76.05</v>
      </c>
    </row>
    <row r="1609" spans="1:8" ht="15.75" x14ac:dyDescent="0.25">
      <c r="A1609" s="244">
        <v>2000</v>
      </c>
      <c r="B1609" s="245" t="s">
        <v>19</v>
      </c>
      <c r="C1609" s="249" t="s">
        <v>20</v>
      </c>
      <c r="D1609" s="245" t="s">
        <v>21</v>
      </c>
      <c r="E1609" s="247">
        <v>15.5</v>
      </c>
      <c r="F1609" s="242" t="s">
        <v>507</v>
      </c>
      <c r="G1609" s="242">
        <v>3.9</v>
      </c>
      <c r="H1609" s="230">
        <f t="shared" si="36"/>
        <v>60.449999999999996</v>
      </c>
    </row>
    <row r="1610" spans="1:8" ht="15.75" x14ac:dyDescent="0.25">
      <c r="A1610" s="244">
        <v>2000</v>
      </c>
      <c r="B1610" s="245" t="s">
        <v>19</v>
      </c>
      <c r="C1610" s="249" t="s">
        <v>20</v>
      </c>
      <c r="D1610" s="245" t="s">
        <v>21</v>
      </c>
      <c r="E1610" s="247">
        <v>14</v>
      </c>
      <c r="F1610" s="242" t="s">
        <v>507</v>
      </c>
      <c r="G1610" s="242">
        <v>3.9</v>
      </c>
      <c r="H1610" s="230">
        <f t="shared" si="36"/>
        <v>54.6</v>
      </c>
    </row>
    <row r="1611" spans="1:8" ht="15.75" x14ac:dyDescent="0.25">
      <c r="A1611" s="244">
        <v>2000</v>
      </c>
      <c r="B1611" s="245" t="s">
        <v>19</v>
      </c>
      <c r="C1611" s="249" t="s">
        <v>20</v>
      </c>
      <c r="D1611" s="245" t="s">
        <v>21</v>
      </c>
      <c r="E1611" s="247">
        <v>13.5</v>
      </c>
      <c r="F1611" s="242" t="s">
        <v>507</v>
      </c>
      <c r="G1611" s="242">
        <v>3.9</v>
      </c>
      <c r="H1611" s="230">
        <f t="shared" si="36"/>
        <v>52.65</v>
      </c>
    </row>
    <row r="1612" spans="1:8" ht="15.75" x14ac:dyDescent="0.25">
      <c r="A1612" s="244">
        <v>2000</v>
      </c>
      <c r="B1612" s="245" t="s">
        <v>19</v>
      </c>
      <c r="C1612" s="249" t="s">
        <v>20</v>
      </c>
      <c r="D1612" s="245" t="s">
        <v>21</v>
      </c>
      <c r="E1612" s="247">
        <v>16.5</v>
      </c>
      <c r="F1612" s="242" t="s">
        <v>507</v>
      </c>
      <c r="G1612" s="242">
        <v>3.9</v>
      </c>
      <c r="H1612" s="230">
        <f t="shared" si="36"/>
        <v>64.349999999999994</v>
      </c>
    </row>
    <row r="1613" spans="1:8" ht="15.75" x14ac:dyDescent="0.25">
      <c r="A1613" s="244">
        <v>2000</v>
      </c>
      <c r="B1613" s="245" t="s">
        <v>19</v>
      </c>
      <c r="C1613" s="249" t="s">
        <v>20</v>
      </c>
      <c r="D1613" s="245" t="s">
        <v>21</v>
      </c>
      <c r="E1613" s="247">
        <v>19.5</v>
      </c>
      <c r="F1613" s="242" t="s">
        <v>507</v>
      </c>
      <c r="G1613" s="242">
        <v>3.9</v>
      </c>
      <c r="H1613" s="230">
        <f t="shared" si="36"/>
        <v>76.05</v>
      </c>
    </row>
    <row r="1614" spans="1:8" ht="15.75" x14ac:dyDescent="0.25">
      <c r="A1614" s="244">
        <v>2000</v>
      </c>
      <c r="B1614" s="245" t="s">
        <v>19</v>
      </c>
      <c r="C1614" s="249" t="s">
        <v>20</v>
      </c>
      <c r="D1614" s="245" t="s">
        <v>21</v>
      </c>
      <c r="E1614" s="247">
        <v>16.5</v>
      </c>
      <c r="F1614" s="242" t="s">
        <v>507</v>
      </c>
      <c r="G1614" s="242">
        <v>3.9</v>
      </c>
      <c r="H1614" s="230">
        <f t="shared" si="36"/>
        <v>64.349999999999994</v>
      </c>
    </row>
    <row r="1615" spans="1:8" ht="15.75" x14ac:dyDescent="0.25">
      <c r="A1615" s="244">
        <v>2000</v>
      </c>
      <c r="B1615" s="245" t="s">
        <v>19</v>
      </c>
      <c r="C1615" s="249" t="s">
        <v>20</v>
      </c>
      <c r="D1615" s="245" t="s">
        <v>21</v>
      </c>
      <c r="E1615" s="247">
        <v>15</v>
      </c>
      <c r="F1615" s="242" t="s">
        <v>507</v>
      </c>
      <c r="G1615" s="242">
        <v>3.9</v>
      </c>
      <c r="H1615" s="230">
        <f t="shared" si="36"/>
        <v>58.5</v>
      </c>
    </row>
    <row r="1616" spans="1:8" ht="15.75" x14ac:dyDescent="0.25">
      <c r="A1616" s="244">
        <v>2000</v>
      </c>
      <c r="B1616" s="245" t="s">
        <v>19</v>
      </c>
      <c r="C1616" s="249" t="s">
        <v>20</v>
      </c>
      <c r="D1616" s="245" t="s">
        <v>21</v>
      </c>
      <c r="E1616" s="247">
        <v>17</v>
      </c>
      <c r="F1616" s="242" t="s">
        <v>507</v>
      </c>
      <c r="G1616" s="242">
        <v>3.9</v>
      </c>
      <c r="H1616" s="230">
        <f t="shared" si="36"/>
        <v>66.3</v>
      </c>
    </row>
    <row r="1617" spans="1:8" ht="15.75" x14ac:dyDescent="0.25">
      <c r="A1617" s="244">
        <v>2000</v>
      </c>
      <c r="B1617" s="245" t="s">
        <v>19</v>
      </c>
      <c r="C1617" s="249" t="s">
        <v>20</v>
      </c>
      <c r="D1617" s="245" t="s">
        <v>21</v>
      </c>
      <c r="E1617" s="247">
        <v>11.5</v>
      </c>
      <c r="F1617" s="242" t="s">
        <v>507</v>
      </c>
      <c r="G1617" s="242">
        <v>3.9</v>
      </c>
      <c r="H1617" s="230">
        <f t="shared" si="36"/>
        <v>44.85</v>
      </c>
    </row>
    <row r="1618" spans="1:8" ht="15.75" x14ac:dyDescent="0.25">
      <c r="A1618" s="244">
        <v>2000</v>
      </c>
      <c r="B1618" s="245" t="s">
        <v>19</v>
      </c>
      <c r="C1618" s="249" t="s">
        <v>20</v>
      </c>
      <c r="D1618" s="245" t="s">
        <v>21</v>
      </c>
      <c r="E1618" s="247">
        <v>17.5</v>
      </c>
      <c r="F1618" s="242" t="s">
        <v>507</v>
      </c>
      <c r="G1618" s="242">
        <v>3.9</v>
      </c>
      <c r="H1618" s="230">
        <f t="shared" si="36"/>
        <v>68.25</v>
      </c>
    </row>
    <row r="1619" spans="1:8" ht="15.75" x14ac:dyDescent="0.25">
      <c r="A1619" s="244">
        <v>2000</v>
      </c>
      <c r="B1619" s="245" t="s">
        <v>19</v>
      </c>
      <c r="C1619" s="249" t="s">
        <v>20</v>
      </c>
      <c r="D1619" s="245" t="s">
        <v>21</v>
      </c>
      <c r="E1619" s="247">
        <v>17.5</v>
      </c>
      <c r="F1619" s="242" t="s">
        <v>507</v>
      </c>
      <c r="G1619" s="242">
        <v>3.9</v>
      </c>
      <c r="H1619" s="230">
        <f t="shared" si="36"/>
        <v>68.25</v>
      </c>
    </row>
    <row r="1620" spans="1:8" ht="15.75" x14ac:dyDescent="0.25">
      <c r="A1620" s="244">
        <v>2000</v>
      </c>
      <c r="B1620" s="245" t="s">
        <v>19</v>
      </c>
      <c r="C1620" s="249" t="s">
        <v>20</v>
      </c>
      <c r="D1620" s="245" t="s">
        <v>21</v>
      </c>
      <c r="E1620" s="247">
        <v>17</v>
      </c>
      <c r="F1620" s="242" t="s">
        <v>507</v>
      </c>
      <c r="G1620" s="242">
        <v>3.9</v>
      </c>
      <c r="H1620" s="230">
        <f t="shared" si="36"/>
        <v>66.3</v>
      </c>
    </row>
    <row r="1621" spans="1:8" ht="15.75" x14ac:dyDescent="0.25">
      <c r="A1621" s="244">
        <v>2000</v>
      </c>
      <c r="B1621" s="245" t="s">
        <v>19</v>
      </c>
      <c r="C1621" s="249" t="s">
        <v>20</v>
      </c>
      <c r="D1621" s="245" t="s">
        <v>21</v>
      </c>
      <c r="E1621" s="247">
        <v>15.5</v>
      </c>
      <c r="F1621" s="242" t="s">
        <v>507</v>
      </c>
      <c r="G1621" s="242">
        <v>3.9</v>
      </c>
      <c r="H1621" s="230">
        <f t="shared" si="36"/>
        <v>60.449999999999996</v>
      </c>
    </row>
    <row r="1622" spans="1:8" ht="15.75" x14ac:dyDescent="0.25">
      <c r="A1622" s="244">
        <v>2000</v>
      </c>
      <c r="B1622" s="245" t="s">
        <v>19</v>
      </c>
      <c r="C1622" s="249" t="s">
        <v>20</v>
      </c>
      <c r="D1622" s="245" t="s">
        <v>21</v>
      </c>
      <c r="E1622" s="247">
        <v>16</v>
      </c>
      <c r="F1622" s="242" t="s">
        <v>507</v>
      </c>
      <c r="G1622" s="242">
        <v>3.9</v>
      </c>
      <c r="H1622" s="230">
        <f t="shared" si="36"/>
        <v>62.4</v>
      </c>
    </row>
    <row r="1623" spans="1:8" ht="15.75" x14ac:dyDescent="0.25">
      <c r="A1623" s="244">
        <v>2000</v>
      </c>
      <c r="B1623" s="245" t="s">
        <v>19</v>
      </c>
      <c r="C1623" s="249" t="s">
        <v>20</v>
      </c>
      <c r="D1623" s="245" t="s">
        <v>21</v>
      </c>
      <c r="E1623" s="247">
        <v>12.5</v>
      </c>
      <c r="F1623" s="242" t="s">
        <v>507</v>
      </c>
      <c r="G1623" s="242">
        <v>3.9</v>
      </c>
      <c r="H1623" s="230">
        <f t="shared" si="36"/>
        <v>48.75</v>
      </c>
    </row>
    <row r="1624" spans="1:8" ht="15.75" x14ac:dyDescent="0.25">
      <c r="A1624" s="244">
        <v>2000</v>
      </c>
      <c r="B1624" s="245" t="s">
        <v>19</v>
      </c>
      <c r="C1624" s="249" t="s">
        <v>20</v>
      </c>
      <c r="D1624" s="245" t="s">
        <v>21</v>
      </c>
      <c r="E1624" s="247">
        <v>13.5</v>
      </c>
      <c r="F1624" s="242" t="s">
        <v>507</v>
      </c>
      <c r="G1624" s="242">
        <v>3.9</v>
      </c>
      <c r="H1624" s="230">
        <f t="shared" si="36"/>
        <v>52.65</v>
      </c>
    </row>
    <row r="1625" spans="1:8" ht="15.75" x14ac:dyDescent="0.25">
      <c r="A1625" s="244">
        <v>2000</v>
      </c>
      <c r="B1625" s="245" t="s">
        <v>19</v>
      </c>
      <c r="C1625" s="249" t="s">
        <v>20</v>
      </c>
      <c r="D1625" s="245" t="s">
        <v>21</v>
      </c>
      <c r="E1625" s="247">
        <v>11.5</v>
      </c>
      <c r="F1625" s="242" t="s">
        <v>507</v>
      </c>
      <c r="G1625" s="242">
        <v>3.9</v>
      </c>
      <c r="H1625" s="230">
        <f t="shared" si="36"/>
        <v>44.85</v>
      </c>
    </row>
    <row r="1626" spans="1:8" ht="15.75" x14ac:dyDescent="0.25">
      <c r="A1626" s="244">
        <v>2000</v>
      </c>
      <c r="B1626" s="245" t="s">
        <v>19</v>
      </c>
      <c r="C1626" s="249" t="s">
        <v>20</v>
      </c>
      <c r="D1626" s="245" t="s">
        <v>21</v>
      </c>
      <c r="E1626" s="247">
        <v>15</v>
      </c>
      <c r="F1626" s="242" t="s">
        <v>507</v>
      </c>
      <c r="G1626" s="242">
        <v>3.9</v>
      </c>
      <c r="H1626" s="230">
        <f t="shared" si="36"/>
        <v>58.5</v>
      </c>
    </row>
    <row r="1627" spans="1:8" ht="15.75" x14ac:dyDescent="0.25">
      <c r="A1627" s="244">
        <v>2000</v>
      </c>
      <c r="B1627" s="245" t="s">
        <v>19</v>
      </c>
      <c r="C1627" s="249" t="s">
        <v>20</v>
      </c>
      <c r="D1627" s="245" t="s">
        <v>21</v>
      </c>
      <c r="E1627" s="247">
        <v>15.5</v>
      </c>
      <c r="F1627" s="242" t="s">
        <v>507</v>
      </c>
      <c r="G1627" s="242">
        <v>3.9</v>
      </c>
      <c r="H1627" s="230">
        <f t="shared" si="36"/>
        <v>60.449999999999996</v>
      </c>
    </row>
    <row r="1628" spans="1:8" ht="15.75" x14ac:dyDescent="0.25">
      <c r="A1628" s="244">
        <v>2000</v>
      </c>
      <c r="B1628" s="245" t="s">
        <v>19</v>
      </c>
      <c r="C1628" s="249" t="s">
        <v>20</v>
      </c>
      <c r="D1628" s="245" t="s">
        <v>21</v>
      </c>
      <c r="E1628" s="247">
        <v>15</v>
      </c>
      <c r="F1628" s="242" t="s">
        <v>507</v>
      </c>
      <c r="G1628" s="242">
        <v>3.9</v>
      </c>
      <c r="H1628" s="230">
        <f t="shared" si="36"/>
        <v>58.5</v>
      </c>
    </row>
    <row r="1629" spans="1:8" ht="15.75" x14ac:dyDescent="0.25">
      <c r="A1629" s="244">
        <v>2000</v>
      </c>
      <c r="B1629" s="245" t="s">
        <v>19</v>
      </c>
      <c r="C1629" s="249" t="s">
        <v>20</v>
      </c>
      <c r="D1629" s="245" t="s">
        <v>21</v>
      </c>
      <c r="E1629" s="247">
        <v>15</v>
      </c>
      <c r="F1629" s="242" t="s">
        <v>507</v>
      </c>
      <c r="G1629" s="242">
        <v>3.9</v>
      </c>
      <c r="H1629" s="230">
        <f t="shared" si="36"/>
        <v>58.5</v>
      </c>
    </row>
    <row r="1630" spans="1:8" ht="15.75" x14ac:dyDescent="0.25">
      <c r="A1630" s="244">
        <v>2000</v>
      </c>
      <c r="B1630" s="245" t="s">
        <v>19</v>
      </c>
      <c r="C1630" s="249" t="s">
        <v>20</v>
      </c>
      <c r="D1630" s="245" t="s">
        <v>21</v>
      </c>
      <c r="E1630" s="247">
        <v>15</v>
      </c>
      <c r="F1630" s="242" t="s">
        <v>507</v>
      </c>
      <c r="G1630" s="242">
        <v>3.9</v>
      </c>
      <c r="H1630" s="230">
        <f t="shared" si="36"/>
        <v>58.5</v>
      </c>
    </row>
    <row r="1631" spans="1:8" ht="15.75" x14ac:dyDescent="0.25">
      <c r="A1631" s="244">
        <v>2000</v>
      </c>
      <c r="B1631" s="245" t="s">
        <v>19</v>
      </c>
      <c r="C1631" s="249" t="s">
        <v>20</v>
      </c>
      <c r="D1631" s="245" t="s">
        <v>21</v>
      </c>
      <c r="E1631" s="247">
        <v>12.5</v>
      </c>
      <c r="F1631" s="242" t="s">
        <v>507</v>
      </c>
      <c r="G1631" s="242">
        <v>3.9</v>
      </c>
      <c r="H1631" s="230">
        <f t="shared" si="36"/>
        <v>48.75</v>
      </c>
    </row>
    <row r="1632" spans="1:8" ht="15.75" x14ac:dyDescent="0.25">
      <c r="A1632" s="244">
        <v>2000</v>
      </c>
      <c r="B1632" s="245" t="s">
        <v>19</v>
      </c>
      <c r="C1632" s="249" t="s">
        <v>20</v>
      </c>
      <c r="D1632" s="245" t="s">
        <v>21</v>
      </c>
      <c r="E1632" s="247">
        <v>10</v>
      </c>
      <c r="F1632" s="242" t="s">
        <v>507</v>
      </c>
      <c r="G1632" s="242">
        <v>3.9</v>
      </c>
      <c r="H1632" s="230">
        <f t="shared" si="36"/>
        <v>39</v>
      </c>
    </row>
    <row r="1633" spans="1:8" ht="15.75" x14ac:dyDescent="0.25">
      <c r="A1633" s="244">
        <v>2000</v>
      </c>
      <c r="B1633" s="245" t="s">
        <v>19</v>
      </c>
      <c r="C1633" s="249" t="s">
        <v>20</v>
      </c>
      <c r="D1633" s="245" t="s">
        <v>21</v>
      </c>
      <c r="E1633" s="247">
        <v>11.5</v>
      </c>
      <c r="F1633" s="242" t="s">
        <v>507</v>
      </c>
      <c r="G1633" s="242">
        <v>3.9</v>
      </c>
      <c r="H1633" s="230">
        <f t="shared" si="36"/>
        <v>44.85</v>
      </c>
    </row>
    <row r="1634" spans="1:8" ht="15.75" x14ac:dyDescent="0.25">
      <c r="A1634" s="244">
        <v>2000</v>
      </c>
      <c r="B1634" s="245" t="s">
        <v>19</v>
      </c>
      <c r="C1634" s="249" t="s">
        <v>20</v>
      </c>
      <c r="D1634" s="245" t="s">
        <v>21</v>
      </c>
      <c r="E1634" s="247">
        <v>11.5</v>
      </c>
      <c r="F1634" s="242" t="s">
        <v>507</v>
      </c>
      <c r="G1634" s="242">
        <v>3.9</v>
      </c>
      <c r="H1634" s="230">
        <f t="shared" si="36"/>
        <v>44.85</v>
      </c>
    </row>
    <row r="1635" spans="1:8" ht="15.75" x14ac:dyDescent="0.25">
      <c r="A1635" s="244">
        <v>2000</v>
      </c>
      <c r="B1635" s="245" t="s">
        <v>19</v>
      </c>
      <c r="C1635" s="249" t="s">
        <v>20</v>
      </c>
      <c r="D1635" s="245" t="s">
        <v>21</v>
      </c>
      <c r="E1635" s="247">
        <v>9</v>
      </c>
      <c r="F1635" s="242" t="s">
        <v>507</v>
      </c>
      <c r="G1635" s="242">
        <v>3.9</v>
      </c>
      <c r="H1635" s="230">
        <f t="shared" si="36"/>
        <v>35.1</v>
      </c>
    </row>
    <row r="1636" spans="1:8" ht="15.75" x14ac:dyDescent="0.25">
      <c r="A1636" s="244">
        <v>2000</v>
      </c>
      <c r="B1636" s="245" t="s">
        <v>19</v>
      </c>
      <c r="C1636" s="249" t="s">
        <v>20</v>
      </c>
      <c r="D1636" s="245" t="s">
        <v>21</v>
      </c>
      <c r="E1636" s="247">
        <v>17.5</v>
      </c>
      <c r="F1636" s="242" t="s">
        <v>507</v>
      </c>
      <c r="G1636" s="242">
        <v>3.9</v>
      </c>
      <c r="H1636" s="230">
        <f t="shared" si="36"/>
        <v>68.25</v>
      </c>
    </row>
    <row r="1637" spans="1:8" ht="15.75" x14ac:dyDescent="0.25">
      <c r="A1637" s="244">
        <v>2000</v>
      </c>
      <c r="B1637" s="245" t="s">
        <v>19</v>
      </c>
      <c r="C1637" s="249" t="s">
        <v>20</v>
      </c>
      <c r="D1637" s="245" t="s">
        <v>21</v>
      </c>
      <c r="E1637" s="247">
        <v>13.5</v>
      </c>
      <c r="F1637" s="242" t="s">
        <v>507</v>
      </c>
      <c r="G1637" s="242">
        <v>3.9</v>
      </c>
      <c r="H1637" s="230">
        <f t="shared" si="36"/>
        <v>52.65</v>
      </c>
    </row>
    <row r="1638" spans="1:8" ht="15.75" x14ac:dyDescent="0.25">
      <c r="A1638" s="244">
        <v>2000</v>
      </c>
      <c r="B1638" s="245" t="s">
        <v>19</v>
      </c>
      <c r="C1638" s="249" t="s">
        <v>20</v>
      </c>
      <c r="D1638" s="245" t="s">
        <v>21</v>
      </c>
      <c r="E1638" s="247">
        <v>5</v>
      </c>
      <c r="F1638" s="242" t="s">
        <v>507</v>
      </c>
      <c r="G1638" s="242">
        <v>3.9</v>
      </c>
      <c r="H1638" s="230">
        <f t="shared" si="36"/>
        <v>19.5</v>
      </c>
    </row>
    <row r="1639" spans="1:8" ht="15.75" x14ac:dyDescent="0.25">
      <c r="A1639" s="244">
        <v>2000</v>
      </c>
      <c r="B1639" s="245" t="s">
        <v>19</v>
      </c>
      <c r="C1639" s="249" t="s">
        <v>20</v>
      </c>
      <c r="D1639" s="245" t="s">
        <v>21</v>
      </c>
      <c r="E1639" s="252">
        <v>5.8</v>
      </c>
      <c r="F1639" s="242" t="s">
        <v>507</v>
      </c>
      <c r="G1639" s="242">
        <v>3.9</v>
      </c>
      <c r="H1639" s="230">
        <f t="shared" si="36"/>
        <v>22.619999999999997</v>
      </c>
    </row>
    <row r="1640" spans="1:8" ht="15.75" x14ac:dyDescent="0.25">
      <c r="A1640" s="244">
        <v>2000</v>
      </c>
      <c r="B1640" s="245" t="s">
        <v>19</v>
      </c>
      <c r="C1640" s="249" t="s">
        <v>20</v>
      </c>
      <c r="D1640" s="245" t="s">
        <v>21</v>
      </c>
      <c r="E1640" s="247">
        <v>15.3</v>
      </c>
      <c r="F1640" s="242" t="s">
        <v>507</v>
      </c>
      <c r="G1640" s="242">
        <v>3.9</v>
      </c>
      <c r="H1640" s="230">
        <f t="shared" si="36"/>
        <v>59.67</v>
      </c>
    </row>
    <row r="1641" spans="1:8" ht="15.75" x14ac:dyDescent="0.25">
      <c r="A1641" s="244">
        <v>2000</v>
      </c>
      <c r="B1641" s="245" t="s">
        <v>19</v>
      </c>
      <c r="C1641" s="249" t="s">
        <v>20</v>
      </c>
      <c r="D1641" s="245" t="s">
        <v>21</v>
      </c>
      <c r="E1641" s="247">
        <v>7.5</v>
      </c>
      <c r="F1641" s="242" t="s">
        <v>507</v>
      </c>
      <c r="G1641" s="242">
        <v>3.9</v>
      </c>
      <c r="H1641" s="230">
        <f t="shared" si="36"/>
        <v>29.25</v>
      </c>
    </row>
    <row r="1642" spans="1:8" ht="15.75" x14ac:dyDescent="0.25">
      <c r="A1642" s="244">
        <v>2000</v>
      </c>
      <c r="B1642" s="245" t="s">
        <v>19</v>
      </c>
      <c r="C1642" s="249" t="s">
        <v>20</v>
      </c>
      <c r="D1642" s="245" t="s">
        <v>21</v>
      </c>
      <c r="E1642" s="247">
        <v>4</v>
      </c>
      <c r="F1642" s="242" t="s">
        <v>507</v>
      </c>
      <c r="G1642" s="242">
        <v>3.9</v>
      </c>
      <c r="H1642" s="230">
        <f t="shared" si="36"/>
        <v>15.6</v>
      </c>
    </row>
    <row r="1643" spans="1:8" ht="15.75" x14ac:dyDescent="0.25">
      <c r="A1643" s="244">
        <v>2000</v>
      </c>
      <c r="B1643" s="245" t="s">
        <v>19</v>
      </c>
      <c r="C1643" s="249" t="s">
        <v>20</v>
      </c>
      <c r="D1643" s="245" t="s">
        <v>21</v>
      </c>
      <c r="E1643" s="252">
        <v>7.5</v>
      </c>
      <c r="F1643" s="242" t="s">
        <v>507</v>
      </c>
      <c r="G1643" s="242">
        <v>3.9</v>
      </c>
      <c r="H1643" s="230">
        <f t="shared" si="36"/>
        <v>29.25</v>
      </c>
    </row>
    <row r="1644" spans="1:8" ht="15.75" x14ac:dyDescent="0.25">
      <c r="A1644" s="244">
        <v>2000</v>
      </c>
      <c r="B1644" s="245" t="s">
        <v>19</v>
      </c>
      <c r="C1644" s="249" t="s">
        <v>20</v>
      </c>
      <c r="D1644" s="245" t="s">
        <v>21</v>
      </c>
      <c r="E1644" s="247">
        <v>7.5</v>
      </c>
      <c r="F1644" s="242" t="s">
        <v>507</v>
      </c>
      <c r="G1644" s="242">
        <v>3.9</v>
      </c>
      <c r="H1644" s="230">
        <f t="shared" si="36"/>
        <v>29.25</v>
      </c>
    </row>
    <row r="1645" spans="1:8" ht="15.75" x14ac:dyDescent="0.25">
      <c r="A1645" s="244">
        <v>2000</v>
      </c>
      <c r="B1645" s="245" t="s">
        <v>19</v>
      </c>
      <c r="C1645" s="249" t="s">
        <v>20</v>
      </c>
      <c r="D1645" s="245" t="s">
        <v>21</v>
      </c>
      <c r="E1645" s="247">
        <v>8.8000000000000007</v>
      </c>
      <c r="F1645" s="242" t="s">
        <v>507</v>
      </c>
      <c r="G1645" s="242">
        <v>3.9</v>
      </c>
      <c r="H1645" s="230">
        <f t="shared" si="36"/>
        <v>34.32</v>
      </c>
    </row>
    <row r="1646" spans="1:8" ht="15.75" x14ac:dyDescent="0.25">
      <c r="A1646" s="244">
        <v>2000</v>
      </c>
      <c r="B1646" s="245" t="s">
        <v>19</v>
      </c>
      <c r="C1646" s="249" t="s">
        <v>20</v>
      </c>
      <c r="D1646" s="245" t="s">
        <v>21</v>
      </c>
      <c r="E1646" s="247">
        <v>14.8</v>
      </c>
      <c r="F1646" s="242" t="s">
        <v>507</v>
      </c>
      <c r="G1646" s="242">
        <v>3.9</v>
      </c>
      <c r="H1646" s="230">
        <f t="shared" si="36"/>
        <v>57.72</v>
      </c>
    </row>
    <row r="1647" spans="1:8" ht="15.75" x14ac:dyDescent="0.25">
      <c r="A1647" s="244">
        <v>2000</v>
      </c>
      <c r="B1647" s="245" t="s">
        <v>19</v>
      </c>
      <c r="C1647" s="249" t="s">
        <v>20</v>
      </c>
      <c r="D1647" s="245" t="s">
        <v>21</v>
      </c>
      <c r="E1647" s="247">
        <v>15.5</v>
      </c>
      <c r="F1647" s="242" t="s">
        <v>507</v>
      </c>
      <c r="G1647" s="242">
        <v>3.9</v>
      </c>
      <c r="H1647" s="230">
        <f t="shared" si="36"/>
        <v>60.449999999999996</v>
      </c>
    </row>
    <row r="1648" spans="1:8" ht="15.75" x14ac:dyDescent="0.25">
      <c r="A1648" s="244">
        <v>2000</v>
      </c>
      <c r="B1648" s="245" t="s">
        <v>19</v>
      </c>
      <c r="C1648" s="249" t="s">
        <v>20</v>
      </c>
      <c r="D1648" s="245" t="s">
        <v>21</v>
      </c>
      <c r="E1648" s="247">
        <v>17</v>
      </c>
      <c r="F1648" s="242" t="s">
        <v>507</v>
      </c>
      <c r="G1648" s="242">
        <v>3.9</v>
      </c>
      <c r="H1648" s="230">
        <f t="shared" si="36"/>
        <v>66.3</v>
      </c>
    </row>
    <row r="1649" spans="1:8" ht="15.75" x14ac:dyDescent="0.25">
      <c r="A1649" s="244">
        <v>2000</v>
      </c>
      <c r="B1649" s="245" t="s">
        <v>19</v>
      </c>
      <c r="C1649" s="249" t="s">
        <v>20</v>
      </c>
      <c r="D1649" s="245" t="s">
        <v>21</v>
      </c>
      <c r="E1649" s="245">
        <v>5.5</v>
      </c>
      <c r="F1649" s="242" t="s">
        <v>507</v>
      </c>
      <c r="G1649" s="242">
        <v>3.9</v>
      </c>
      <c r="H1649" s="230">
        <f t="shared" si="36"/>
        <v>21.45</v>
      </c>
    </row>
    <row r="1650" spans="1:8" ht="15.75" x14ac:dyDescent="0.25">
      <c r="A1650" s="244">
        <v>2000</v>
      </c>
      <c r="B1650" s="245" t="s">
        <v>19</v>
      </c>
      <c r="C1650" s="249" t="s">
        <v>20</v>
      </c>
      <c r="D1650" s="245" t="s">
        <v>21</v>
      </c>
      <c r="E1650" s="247">
        <v>11</v>
      </c>
      <c r="F1650" s="242" t="s">
        <v>507</v>
      </c>
      <c r="G1650" s="242">
        <v>3.9</v>
      </c>
      <c r="H1650" s="230">
        <f t="shared" si="36"/>
        <v>42.9</v>
      </c>
    </row>
    <row r="1651" spans="1:8" ht="15.75" x14ac:dyDescent="0.25">
      <c r="A1651" s="244">
        <v>2000</v>
      </c>
      <c r="B1651" s="245" t="s">
        <v>19</v>
      </c>
      <c r="C1651" s="249" t="s">
        <v>20</v>
      </c>
      <c r="D1651" s="245" t="s">
        <v>21</v>
      </c>
      <c r="E1651" s="247">
        <v>11.5</v>
      </c>
      <c r="F1651" s="242" t="s">
        <v>507</v>
      </c>
      <c r="G1651" s="242">
        <v>3.9</v>
      </c>
      <c r="H1651" s="230">
        <f t="shared" si="36"/>
        <v>44.85</v>
      </c>
    </row>
    <row r="1652" spans="1:8" ht="15.75" x14ac:dyDescent="0.25">
      <c r="A1652" s="244">
        <v>2000</v>
      </c>
      <c r="B1652" s="245" t="s">
        <v>19</v>
      </c>
      <c r="C1652" s="249" t="s">
        <v>20</v>
      </c>
      <c r="D1652" s="245" t="s">
        <v>21</v>
      </c>
      <c r="E1652" s="245">
        <v>11</v>
      </c>
      <c r="F1652" s="242" t="s">
        <v>507</v>
      </c>
      <c r="G1652" s="242">
        <v>3.9</v>
      </c>
      <c r="H1652" s="230">
        <f t="shared" si="36"/>
        <v>42.9</v>
      </c>
    </row>
    <row r="1653" spans="1:8" ht="15.75" x14ac:dyDescent="0.25">
      <c r="A1653" s="244">
        <v>2000</v>
      </c>
      <c r="B1653" s="245" t="s">
        <v>19</v>
      </c>
      <c r="C1653" s="249" t="s">
        <v>20</v>
      </c>
      <c r="D1653" s="245" t="s">
        <v>21</v>
      </c>
      <c r="E1653" s="245">
        <v>7.8</v>
      </c>
      <c r="F1653" s="242" t="s">
        <v>507</v>
      </c>
      <c r="G1653" s="242">
        <v>3.9</v>
      </c>
      <c r="H1653" s="230">
        <f t="shared" si="36"/>
        <v>30.419999999999998</v>
      </c>
    </row>
    <row r="1654" spans="1:8" ht="15.75" x14ac:dyDescent="0.25">
      <c r="A1654" s="244">
        <v>2000</v>
      </c>
      <c r="B1654" s="245" t="s">
        <v>19</v>
      </c>
      <c r="C1654" s="249" t="s">
        <v>20</v>
      </c>
      <c r="D1654" s="245" t="s">
        <v>21</v>
      </c>
      <c r="E1654" s="247">
        <v>10.5</v>
      </c>
      <c r="F1654" s="242" t="s">
        <v>507</v>
      </c>
      <c r="G1654" s="242">
        <v>3.9</v>
      </c>
      <c r="H1654" s="230">
        <f t="shared" si="36"/>
        <v>40.949999999999996</v>
      </c>
    </row>
    <row r="1655" spans="1:8" ht="15.75" x14ac:dyDescent="0.25">
      <c r="A1655" s="244">
        <v>2000</v>
      </c>
      <c r="B1655" s="245" t="s">
        <v>19</v>
      </c>
      <c r="C1655" s="249" t="s">
        <v>20</v>
      </c>
      <c r="D1655" s="245" t="s">
        <v>21</v>
      </c>
      <c r="E1655" s="247">
        <v>14</v>
      </c>
      <c r="F1655" s="242" t="s">
        <v>507</v>
      </c>
      <c r="G1655" s="242">
        <v>3.9</v>
      </c>
      <c r="H1655" s="230">
        <f t="shared" si="36"/>
        <v>54.6</v>
      </c>
    </row>
    <row r="1656" spans="1:8" ht="15.75" x14ac:dyDescent="0.25">
      <c r="A1656" s="244">
        <v>2000</v>
      </c>
      <c r="B1656" s="245" t="s">
        <v>19</v>
      </c>
      <c r="C1656" s="249" t="s">
        <v>20</v>
      </c>
      <c r="D1656" s="245" t="s">
        <v>21</v>
      </c>
      <c r="E1656" s="247">
        <v>7.3</v>
      </c>
      <c r="F1656" s="242" t="s">
        <v>507</v>
      </c>
      <c r="G1656" s="242">
        <v>3.9</v>
      </c>
      <c r="H1656" s="230">
        <f t="shared" si="36"/>
        <v>28.47</v>
      </c>
    </row>
    <row r="1657" spans="1:8" ht="15.75" x14ac:dyDescent="0.25">
      <c r="A1657" s="244">
        <v>2000</v>
      </c>
      <c r="B1657" s="245" t="s">
        <v>19</v>
      </c>
      <c r="C1657" s="249" t="s">
        <v>20</v>
      </c>
      <c r="D1657" s="245" t="s">
        <v>21</v>
      </c>
      <c r="E1657" s="247">
        <v>12.5</v>
      </c>
      <c r="F1657" s="242" t="s">
        <v>507</v>
      </c>
      <c r="G1657" s="242">
        <v>3.9</v>
      </c>
      <c r="H1657" s="230">
        <f t="shared" si="36"/>
        <v>48.75</v>
      </c>
    </row>
    <row r="1658" spans="1:8" ht="15.75" x14ac:dyDescent="0.25">
      <c r="A1658" s="244">
        <v>2000</v>
      </c>
      <c r="B1658" s="245" t="s">
        <v>19</v>
      </c>
      <c r="C1658" s="249" t="s">
        <v>20</v>
      </c>
      <c r="D1658" s="245" t="s">
        <v>21</v>
      </c>
      <c r="E1658" s="247">
        <v>11.5</v>
      </c>
      <c r="F1658" s="242" t="s">
        <v>507</v>
      </c>
      <c r="G1658" s="242">
        <v>3.9</v>
      </c>
      <c r="H1658" s="230">
        <f t="shared" si="36"/>
        <v>44.85</v>
      </c>
    </row>
    <row r="1659" spans="1:8" ht="15.75" x14ac:dyDescent="0.25">
      <c r="A1659" s="244">
        <v>2000</v>
      </c>
      <c r="B1659" s="245" t="s">
        <v>19</v>
      </c>
      <c r="C1659" s="249" t="s">
        <v>20</v>
      </c>
      <c r="D1659" s="245" t="s">
        <v>21</v>
      </c>
      <c r="E1659" s="245">
        <v>5</v>
      </c>
      <c r="F1659" s="242" t="s">
        <v>507</v>
      </c>
      <c r="G1659" s="242">
        <v>3.9</v>
      </c>
      <c r="H1659" s="230">
        <f t="shared" si="36"/>
        <v>19.5</v>
      </c>
    </row>
    <row r="1660" spans="1:8" ht="15.75" x14ac:dyDescent="0.25">
      <c r="A1660" s="244">
        <v>2000</v>
      </c>
      <c r="B1660" s="245" t="s">
        <v>19</v>
      </c>
      <c r="C1660" s="249" t="s">
        <v>20</v>
      </c>
      <c r="D1660" s="245" t="s">
        <v>21</v>
      </c>
      <c r="E1660" s="247">
        <v>11</v>
      </c>
      <c r="F1660" s="242" t="s">
        <v>507</v>
      </c>
      <c r="G1660" s="242">
        <v>3.9</v>
      </c>
      <c r="H1660" s="230">
        <f t="shared" si="36"/>
        <v>42.9</v>
      </c>
    </row>
    <row r="1661" spans="1:8" ht="15.75" x14ac:dyDescent="0.25">
      <c r="A1661" s="244">
        <v>2000</v>
      </c>
      <c r="B1661" s="245" t="s">
        <v>19</v>
      </c>
      <c r="C1661" s="249" t="s">
        <v>20</v>
      </c>
      <c r="D1661" s="245" t="s">
        <v>21</v>
      </c>
      <c r="E1661" s="247">
        <v>8</v>
      </c>
      <c r="F1661" s="242" t="s">
        <v>507</v>
      </c>
      <c r="G1661" s="242">
        <v>3.9</v>
      </c>
      <c r="H1661" s="230">
        <f t="shared" si="36"/>
        <v>31.2</v>
      </c>
    </row>
    <row r="1662" spans="1:8" ht="15.75" x14ac:dyDescent="0.25">
      <c r="A1662" s="244">
        <v>2000</v>
      </c>
      <c r="B1662" s="245" t="s">
        <v>19</v>
      </c>
      <c r="C1662" s="249" t="s">
        <v>20</v>
      </c>
      <c r="D1662" s="245" t="s">
        <v>21</v>
      </c>
      <c r="E1662" s="247">
        <v>16</v>
      </c>
      <c r="F1662" s="242" t="s">
        <v>507</v>
      </c>
      <c r="G1662" s="242">
        <v>3.9</v>
      </c>
      <c r="H1662" s="230">
        <f t="shared" si="36"/>
        <v>62.4</v>
      </c>
    </row>
    <row r="1663" spans="1:8" ht="15.75" x14ac:dyDescent="0.25">
      <c r="A1663" s="244">
        <v>2000</v>
      </c>
      <c r="B1663" s="245" t="s">
        <v>19</v>
      </c>
      <c r="C1663" s="249" t="s">
        <v>20</v>
      </c>
      <c r="D1663" s="245" t="s">
        <v>21</v>
      </c>
      <c r="E1663" s="247">
        <v>9</v>
      </c>
      <c r="F1663" s="242" t="s">
        <v>507</v>
      </c>
      <c r="G1663" s="242">
        <v>3.9</v>
      </c>
      <c r="H1663" s="230">
        <f t="shared" si="36"/>
        <v>35.1</v>
      </c>
    </row>
    <row r="1664" spans="1:8" ht="15.75" x14ac:dyDescent="0.25">
      <c r="A1664" s="244">
        <v>2000</v>
      </c>
      <c r="B1664" s="245" t="s">
        <v>19</v>
      </c>
      <c r="C1664" s="249" t="s">
        <v>20</v>
      </c>
      <c r="D1664" s="245" t="s">
        <v>21</v>
      </c>
      <c r="E1664" s="247">
        <v>11</v>
      </c>
      <c r="F1664" s="242" t="s">
        <v>507</v>
      </c>
      <c r="G1664" s="242">
        <v>3.9</v>
      </c>
      <c r="H1664" s="230">
        <f t="shared" si="36"/>
        <v>42.9</v>
      </c>
    </row>
    <row r="1665" spans="1:8" ht="15.75" x14ac:dyDescent="0.25">
      <c r="A1665" s="244">
        <v>2000</v>
      </c>
      <c r="B1665" s="245" t="s">
        <v>19</v>
      </c>
      <c r="C1665" s="249" t="s">
        <v>20</v>
      </c>
      <c r="D1665" s="245" t="s">
        <v>21</v>
      </c>
      <c r="E1665" s="247">
        <v>10</v>
      </c>
      <c r="F1665" s="242" t="s">
        <v>507</v>
      </c>
      <c r="G1665" s="242">
        <v>3.9</v>
      </c>
      <c r="H1665" s="230">
        <f t="shared" si="36"/>
        <v>39</v>
      </c>
    </row>
    <row r="1666" spans="1:8" ht="15.75" x14ac:dyDescent="0.25">
      <c r="A1666" s="244">
        <v>2000</v>
      </c>
      <c r="B1666" s="245" t="s">
        <v>19</v>
      </c>
      <c r="C1666" s="249" t="s">
        <v>20</v>
      </c>
      <c r="D1666" s="245" t="s">
        <v>21</v>
      </c>
      <c r="E1666" s="247">
        <v>8</v>
      </c>
      <c r="F1666" s="242" t="s">
        <v>507</v>
      </c>
      <c r="G1666" s="242">
        <v>3.9</v>
      </c>
      <c r="H1666" s="230">
        <f t="shared" si="36"/>
        <v>31.2</v>
      </c>
    </row>
    <row r="1667" spans="1:8" ht="15.75" x14ac:dyDescent="0.25">
      <c r="A1667" s="244">
        <v>2000</v>
      </c>
      <c r="B1667" s="245" t="s">
        <v>19</v>
      </c>
      <c r="C1667" s="249" t="s">
        <v>20</v>
      </c>
      <c r="D1667" s="245" t="s">
        <v>21</v>
      </c>
      <c r="E1667" s="247">
        <v>9.5</v>
      </c>
      <c r="F1667" s="242" t="s">
        <v>507</v>
      </c>
      <c r="G1667" s="242">
        <v>3.9</v>
      </c>
      <c r="H1667" s="230">
        <f t="shared" ref="H1667:H1730" si="37">E1667*G1667</f>
        <v>37.049999999999997</v>
      </c>
    </row>
    <row r="1668" spans="1:8" ht="15.75" x14ac:dyDescent="0.25">
      <c r="A1668" s="244">
        <v>2000</v>
      </c>
      <c r="B1668" s="245" t="s">
        <v>19</v>
      </c>
      <c r="C1668" s="249" t="s">
        <v>20</v>
      </c>
      <c r="D1668" s="245" t="s">
        <v>21</v>
      </c>
      <c r="E1668" s="247">
        <v>8</v>
      </c>
      <c r="F1668" s="242" t="s">
        <v>507</v>
      </c>
      <c r="G1668" s="242">
        <v>3.9</v>
      </c>
      <c r="H1668" s="230">
        <f t="shared" si="37"/>
        <v>31.2</v>
      </c>
    </row>
    <row r="1669" spans="1:8" ht="15.75" x14ac:dyDescent="0.25">
      <c r="A1669" s="244">
        <v>2000</v>
      </c>
      <c r="B1669" s="245" t="s">
        <v>19</v>
      </c>
      <c r="C1669" s="249" t="s">
        <v>20</v>
      </c>
      <c r="D1669" s="245" t="s">
        <v>21</v>
      </c>
      <c r="E1669" s="247">
        <v>14</v>
      </c>
      <c r="F1669" s="242" t="s">
        <v>507</v>
      </c>
      <c r="G1669" s="242">
        <v>3.9</v>
      </c>
      <c r="H1669" s="230">
        <f t="shared" si="37"/>
        <v>54.6</v>
      </c>
    </row>
    <row r="1670" spans="1:8" ht="15.75" x14ac:dyDescent="0.25">
      <c r="A1670" s="244">
        <v>2000</v>
      </c>
      <c r="B1670" s="245" t="s">
        <v>19</v>
      </c>
      <c r="C1670" s="249" t="s">
        <v>20</v>
      </c>
      <c r="D1670" s="245" t="s">
        <v>21</v>
      </c>
      <c r="E1670" s="247">
        <v>16</v>
      </c>
      <c r="F1670" s="242" t="s">
        <v>507</v>
      </c>
      <c r="G1670" s="242">
        <v>3.9</v>
      </c>
      <c r="H1670" s="230">
        <f t="shared" si="37"/>
        <v>62.4</v>
      </c>
    </row>
    <row r="1671" spans="1:8" ht="15.75" x14ac:dyDescent="0.25">
      <c r="A1671" s="244">
        <v>2000</v>
      </c>
      <c r="B1671" s="245" t="s">
        <v>19</v>
      </c>
      <c r="C1671" s="249" t="s">
        <v>20</v>
      </c>
      <c r="D1671" s="245" t="s">
        <v>21</v>
      </c>
      <c r="E1671" s="247">
        <v>12.5</v>
      </c>
      <c r="F1671" s="242" t="s">
        <v>507</v>
      </c>
      <c r="G1671" s="242">
        <v>3.9</v>
      </c>
      <c r="H1671" s="230">
        <f t="shared" si="37"/>
        <v>48.75</v>
      </c>
    </row>
    <row r="1672" spans="1:8" ht="15.75" x14ac:dyDescent="0.25">
      <c r="A1672" s="244">
        <v>2000</v>
      </c>
      <c r="B1672" s="245" t="s">
        <v>19</v>
      </c>
      <c r="C1672" s="249" t="s">
        <v>20</v>
      </c>
      <c r="D1672" s="245" t="s">
        <v>21</v>
      </c>
      <c r="E1672" s="247">
        <v>13</v>
      </c>
      <c r="F1672" s="242" t="s">
        <v>507</v>
      </c>
      <c r="G1672" s="242">
        <v>3.9</v>
      </c>
      <c r="H1672" s="230">
        <f t="shared" si="37"/>
        <v>50.699999999999996</v>
      </c>
    </row>
    <row r="1673" spans="1:8" ht="15.75" x14ac:dyDescent="0.25">
      <c r="A1673" s="244">
        <v>2000</v>
      </c>
      <c r="B1673" s="245" t="s">
        <v>19</v>
      </c>
      <c r="C1673" s="249" t="s">
        <v>20</v>
      </c>
      <c r="D1673" s="245" t="s">
        <v>21</v>
      </c>
      <c r="E1673" s="247">
        <v>12.5</v>
      </c>
      <c r="F1673" s="242" t="s">
        <v>507</v>
      </c>
      <c r="G1673" s="242">
        <v>3.9</v>
      </c>
      <c r="H1673" s="230">
        <f t="shared" si="37"/>
        <v>48.75</v>
      </c>
    </row>
    <row r="1674" spans="1:8" ht="15.75" x14ac:dyDescent="0.25">
      <c r="A1674" s="244">
        <v>2000</v>
      </c>
      <c r="B1674" s="245" t="s">
        <v>19</v>
      </c>
      <c r="C1674" s="249" t="s">
        <v>20</v>
      </c>
      <c r="D1674" s="245" t="s">
        <v>21</v>
      </c>
      <c r="E1674" s="247">
        <v>8.5</v>
      </c>
      <c r="F1674" s="242" t="s">
        <v>507</v>
      </c>
      <c r="G1674" s="242">
        <v>3.9</v>
      </c>
      <c r="H1674" s="230">
        <f t="shared" si="37"/>
        <v>33.15</v>
      </c>
    </row>
    <row r="1675" spans="1:8" ht="15.75" x14ac:dyDescent="0.25">
      <c r="A1675" s="244">
        <v>2000</v>
      </c>
      <c r="B1675" s="245" t="s">
        <v>19</v>
      </c>
      <c r="C1675" s="249" t="s">
        <v>20</v>
      </c>
      <c r="D1675" s="245" t="s">
        <v>21</v>
      </c>
      <c r="E1675" s="247">
        <v>13</v>
      </c>
      <c r="F1675" s="242" t="s">
        <v>507</v>
      </c>
      <c r="G1675" s="242">
        <v>3.9</v>
      </c>
      <c r="H1675" s="230">
        <f t="shared" si="37"/>
        <v>50.699999999999996</v>
      </c>
    </row>
    <row r="1676" spans="1:8" ht="15.75" x14ac:dyDescent="0.25">
      <c r="A1676" s="244">
        <v>2000</v>
      </c>
      <c r="B1676" s="245" t="s">
        <v>19</v>
      </c>
      <c r="C1676" s="249" t="s">
        <v>20</v>
      </c>
      <c r="D1676" s="245" t="s">
        <v>21</v>
      </c>
      <c r="E1676" s="247">
        <v>17</v>
      </c>
      <c r="F1676" s="242" t="s">
        <v>507</v>
      </c>
      <c r="G1676" s="242">
        <v>3.9</v>
      </c>
      <c r="H1676" s="230">
        <f t="shared" si="37"/>
        <v>66.3</v>
      </c>
    </row>
    <row r="1677" spans="1:8" ht="15.75" x14ac:dyDescent="0.25">
      <c r="A1677" s="244">
        <v>2000</v>
      </c>
      <c r="B1677" s="245" t="s">
        <v>19</v>
      </c>
      <c r="C1677" s="249" t="s">
        <v>20</v>
      </c>
      <c r="D1677" s="245" t="s">
        <v>21</v>
      </c>
      <c r="E1677" s="247">
        <v>15.5</v>
      </c>
      <c r="F1677" s="242" t="s">
        <v>507</v>
      </c>
      <c r="G1677" s="242">
        <v>3.9</v>
      </c>
      <c r="H1677" s="230">
        <f t="shared" si="37"/>
        <v>60.449999999999996</v>
      </c>
    </row>
    <row r="1678" spans="1:8" ht="15.75" x14ac:dyDescent="0.25">
      <c r="A1678" s="244">
        <v>2000</v>
      </c>
      <c r="B1678" s="245" t="s">
        <v>19</v>
      </c>
      <c r="C1678" s="249" t="s">
        <v>20</v>
      </c>
      <c r="D1678" s="245" t="s">
        <v>21</v>
      </c>
      <c r="E1678" s="247">
        <v>12</v>
      </c>
      <c r="F1678" s="242" t="s">
        <v>507</v>
      </c>
      <c r="G1678" s="242">
        <v>3.9</v>
      </c>
      <c r="H1678" s="230">
        <f t="shared" si="37"/>
        <v>46.8</v>
      </c>
    </row>
    <row r="1679" spans="1:8" ht="15.75" x14ac:dyDescent="0.25">
      <c r="A1679" s="244">
        <v>2000</v>
      </c>
      <c r="B1679" s="245" t="s">
        <v>19</v>
      </c>
      <c r="C1679" s="249" t="s">
        <v>20</v>
      </c>
      <c r="D1679" s="245" t="s">
        <v>21</v>
      </c>
      <c r="E1679" s="247">
        <v>11.5</v>
      </c>
      <c r="F1679" s="242" t="s">
        <v>507</v>
      </c>
      <c r="G1679" s="242">
        <v>3.9</v>
      </c>
      <c r="H1679" s="230">
        <f t="shared" si="37"/>
        <v>44.85</v>
      </c>
    </row>
    <row r="1680" spans="1:8" ht="15.75" x14ac:dyDescent="0.25">
      <c r="A1680" s="244">
        <v>2000</v>
      </c>
      <c r="B1680" s="245" t="s">
        <v>19</v>
      </c>
      <c r="C1680" s="249" t="s">
        <v>20</v>
      </c>
      <c r="D1680" s="245" t="s">
        <v>21</v>
      </c>
      <c r="E1680" s="247">
        <v>13</v>
      </c>
      <c r="F1680" s="242" t="s">
        <v>507</v>
      </c>
      <c r="G1680" s="242">
        <v>3.9</v>
      </c>
      <c r="H1680" s="230">
        <f t="shared" si="37"/>
        <v>50.699999999999996</v>
      </c>
    </row>
    <row r="1681" spans="1:8" ht="15.75" x14ac:dyDescent="0.25">
      <c r="A1681" s="244">
        <v>2000</v>
      </c>
      <c r="B1681" s="245" t="s">
        <v>19</v>
      </c>
      <c r="C1681" s="249" t="s">
        <v>20</v>
      </c>
      <c r="D1681" s="245" t="s">
        <v>21</v>
      </c>
      <c r="E1681" s="247">
        <v>18.5</v>
      </c>
      <c r="F1681" s="242" t="s">
        <v>507</v>
      </c>
      <c r="G1681" s="242">
        <v>3.9</v>
      </c>
      <c r="H1681" s="230">
        <f t="shared" si="37"/>
        <v>72.149999999999991</v>
      </c>
    </row>
    <row r="1682" spans="1:8" ht="15.75" x14ac:dyDescent="0.25">
      <c r="A1682" s="244">
        <v>2000</v>
      </c>
      <c r="B1682" s="245" t="s">
        <v>19</v>
      </c>
      <c r="C1682" s="249" t="s">
        <v>20</v>
      </c>
      <c r="D1682" s="245" t="s">
        <v>21</v>
      </c>
      <c r="E1682" s="247">
        <v>11</v>
      </c>
      <c r="F1682" s="242" t="s">
        <v>507</v>
      </c>
      <c r="G1682" s="242">
        <v>3.9</v>
      </c>
      <c r="H1682" s="230">
        <f t="shared" si="37"/>
        <v>42.9</v>
      </c>
    </row>
    <row r="1683" spans="1:8" ht="15.75" x14ac:dyDescent="0.25">
      <c r="A1683" s="244">
        <v>2000</v>
      </c>
      <c r="B1683" s="245" t="s">
        <v>19</v>
      </c>
      <c r="C1683" s="249" t="s">
        <v>20</v>
      </c>
      <c r="D1683" s="245" t="s">
        <v>21</v>
      </c>
      <c r="E1683" s="247">
        <v>15</v>
      </c>
      <c r="F1683" s="242" t="s">
        <v>507</v>
      </c>
      <c r="G1683" s="242">
        <v>3.9</v>
      </c>
      <c r="H1683" s="230">
        <f t="shared" si="37"/>
        <v>58.5</v>
      </c>
    </row>
    <row r="1684" spans="1:8" ht="15.75" x14ac:dyDescent="0.25">
      <c r="A1684" s="244">
        <v>2000</v>
      </c>
      <c r="B1684" s="245" t="s">
        <v>19</v>
      </c>
      <c r="C1684" s="249" t="s">
        <v>20</v>
      </c>
      <c r="D1684" s="245" t="s">
        <v>21</v>
      </c>
      <c r="E1684" s="247">
        <v>8</v>
      </c>
      <c r="F1684" s="242" t="s">
        <v>507</v>
      </c>
      <c r="G1684" s="242">
        <v>3.9</v>
      </c>
      <c r="H1684" s="230">
        <f t="shared" si="37"/>
        <v>31.2</v>
      </c>
    </row>
    <row r="1685" spans="1:8" ht="15.75" x14ac:dyDescent="0.25">
      <c r="A1685" s="244">
        <v>2000</v>
      </c>
      <c r="B1685" s="245" t="s">
        <v>19</v>
      </c>
      <c r="C1685" s="249" t="s">
        <v>20</v>
      </c>
      <c r="D1685" s="245" t="s">
        <v>21</v>
      </c>
      <c r="E1685" s="247">
        <v>11</v>
      </c>
      <c r="F1685" s="242" t="s">
        <v>507</v>
      </c>
      <c r="G1685" s="242">
        <v>3.9</v>
      </c>
      <c r="H1685" s="230">
        <f t="shared" si="37"/>
        <v>42.9</v>
      </c>
    </row>
    <row r="1686" spans="1:8" ht="15.75" x14ac:dyDescent="0.25">
      <c r="A1686" s="244">
        <v>2000</v>
      </c>
      <c r="B1686" s="245" t="s">
        <v>19</v>
      </c>
      <c r="C1686" s="249" t="s">
        <v>20</v>
      </c>
      <c r="D1686" s="245" t="s">
        <v>21</v>
      </c>
      <c r="E1686" s="247">
        <v>9.5</v>
      </c>
      <c r="F1686" s="242" t="s">
        <v>507</v>
      </c>
      <c r="G1686" s="242">
        <v>3.9</v>
      </c>
      <c r="H1686" s="230">
        <f t="shared" si="37"/>
        <v>37.049999999999997</v>
      </c>
    </row>
    <row r="1687" spans="1:8" ht="15.75" x14ac:dyDescent="0.25">
      <c r="A1687" s="244">
        <v>2000</v>
      </c>
      <c r="B1687" s="245" t="s">
        <v>19</v>
      </c>
      <c r="C1687" s="249" t="s">
        <v>20</v>
      </c>
      <c r="D1687" s="245" t="s">
        <v>21</v>
      </c>
      <c r="E1687" s="247">
        <v>0.2</v>
      </c>
      <c r="F1687" s="242" t="s">
        <v>507</v>
      </c>
      <c r="G1687" s="242">
        <v>3.9</v>
      </c>
      <c r="H1687" s="230">
        <f t="shared" si="37"/>
        <v>0.78</v>
      </c>
    </row>
    <row r="1688" spans="1:8" ht="15.75" x14ac:dyDescent="0.25">
      <c r="A1688" s="244">
        <v>2000</v>
      </c>
      <c r="B1688" s="245" t="s">
        <v>19</v>
      </c>
      <c r="C1688" s="249" t="s">
        <v>20</v>
      </c>
      <c r="D1688" s="245" t="s">
        <v>21</v>
      </c>
      <c r="E1688" s="247">
        <v>11.5</v>
      </c>
      <c r="F1688" s="242" t="s">
        <v>507</v>
      </c>
      <c r="G1688" s="242">
        <v>3.9</v>
      </c>
      <c r="H1688" s="230">
        <f t="shared" si="37"/>
        <v>44.85</v>
      </c>
    </row>
    <row r="1689" spans="1:8" ht="15.75" x14ac:dyDescent="0.25">
      <c r="A1689" s="244">
        <v>2000</v>
      </c>
      <c r="B1689" s="245" t="s">
        <v>19</v>
      </c>
      <c r="C1689" s="249" t="s">
        <v>20</v>
      </c>
      <c r="D1689" s="245" t="s">
        <v>21</v>
      </c>
      <c r="E1689" s="247">
        <v>9.5</v>
      </c>
      <c r="F1689" s="242" t="s">
        <v>507</v>
      </c>
      <c r="G1689" s="242">
        <v>3.9</v>
      </c>
      <c r="H1689" s="230">
        <f t="shared" si="37"/>
        <v>37.049999999999997</v>
      </c>
    </row>
    <row r="1690" spans="1:8" ht="15.75" x14ac:dyDescent="0.25">
      <c r="A1690" s="244">
        <v>2000</v>
      </c>
      <c r="B1690" s="245" t="s">
        <v>19</v>
      </c>
      <c r="C1690" s="249" t="s">
        <v>20</v>
      </c>
      <c r="D1690" s="245" t="s">
        <v>21</v>
      </c>
      <c r="E1690" s="247">
        <v>8</v>
      </c>
      <c r="F1690" s="242" t="s">
        <v>507</v>
      </c>
      <c r="G1690" s="242">
        <v>3.9</v>
      </c>
      <c r="H1690" s="230">
        <f t="shared" si="37"/>
        <v>31.2</v>
      </c>
    </row>
    <row r="1691" spans="1:8" ht="15.75" x14ac:dyDescent="0.25">
      <c r="A1691" s="244">
        <v>2000</v>
      </c>
      <c r="B1691" s="245" t="s">
        <v>19</v>
      </c>
      <c r="C1691" s="249" t="s">
        <v>20</v>
      </c>
      <c r="D1691" s="245" t="s">
        <v>21</v>
      </c>
      <c r="E1691" s="247">
        <v>10</v>
      </c>
      <c r="F1691" s="242" t="s">
        <v>507</v>
      </c>
      <c r="G1691" s="242">
        <v>3.9</v>
      </c>
      <c r="H1691" s="230">
        <f t="shared" si="37"/>
        <v>39</v>
      </c>
    </row>
    <row r="1692" spans="1:8" ht="15.75" x14ac:dyDescent="0.25">
      <c r="A1692" s="244">
        <v>2000</v>
      </c>
      <c r="B1692" s="245" t="s">
        <v>19</v>
      </c>
      <c r="C1692" s="249" t="s">
        <v>20</v>
      </c>
      <c r="D1692" s="245" t="s">
        <v>21</v>
      </c>
      <c r="E1692" s="247">
        <v>10</v>
      </c>
      <c r="F1692" s="242" t="s">
        <v>507</v>
      </c>
      <c r="G1692" s="242">
        <v>3.9</v>
      </c>
      <c r="H1692" s="230">
        <f t="shared" si="37"/>
        <v>39</v>
      </c>
    </row>
    <row r="1693" spans="1:8" ht="15.75" x14ac:dyDescent="0.25">
      <c r="A1693" s="244">
        <v>2000</v>
      </c>
      <c r="B1693" s="245" t="s">
        <v>19</v>
      </c>
      <c r="C1693" s="249" t="s">
        <v>20</v>
      </c>
      <c r="D1693" s="245" t="s">
        <v>21</v>
      </c>
      <c r="E1693" s="247">
        <v>14</v>
      </c>
      <c r="F1693" s="242" t="s">
        <v>507</v>
      </c>
      <c r="G1693" s="242">
        <v>3.9</v>
      </c>
      <c r="H1693" s="230">
        <f t="shared" si="37"/>
        <v>54.6</v>
      </c>
    </row>
    <row r="1694" spans="1:8" ht="15.75" x14ac:dyDescent="0.25">
      <c r="A1694" s="244">
        <v>2000</v>
      </c>
      <c r="B1694" s="245" t="s">
        <v>19</v>
      </c>
      <c r="C1694" s="249" t="s">
        <v>20</v>
      </c>
      <c r="D1694" s="245" t="s">
        <v>21</v>
      </c>
      <c r="E1694" s="247">
        <v>9.5</v>
      </c>
      <c r="F1694" s="242" t="s">
        <v>507</v>
      </c>
      <c r="G1694" s="242">
        <v>3.9</v>
      </c>
      <c r="H1694" s="230">
        <f t="shared" si="37"/>
        <v>37.049999999999997</v>
      </c>
    </row>
    <row r="1695" spans="1:8" ht="15.75" x14ac:dyDescent="0.25">
      <c r="A1695" s="244">
        <v>2000</v>
      </c>
      <c r="B1695" s="245" t="s">
        <v>19</v>
      </c>
      <c r="C1695" s="249" t="s">
        <v>20</v>
      </c>
      <c r="D1695" s="245" t="s">
        <v>21</v>
      </c>
      <c r="E1695" s="247">
        <v>11.5</v>
      </c>
      <c r="F1695" s="242" t="s">
        <v>507</v>
      </c>
      <c r="G1695" s="242">
        <v>3.9</v>
      </c>
      <c r="H1695" s="230">
        <f t="shared" si="37"/>
        <v>44.85</v>
      </c>
    </row>
    <row r="1696" spans="1:8" ht="15.75" x14ac:dyDescent="0.25">
      <c r="A1696" s="244">
        <v>2000</v>
      </c>
      <c r="B1696" s="245" t="s">
        <v>19</v>
      </c>
      <c r="C1696" s="249" t="s">
        <v>20</v>
      </c>
      <c r="D1696" s="245" t="s">
        <v>21</v>
      </c>
      <c r="E1696" s="247">
        <v>7</v>
      </c>
      <c r="F1696" s="242" t="s">
        <v>507</v>
      </c>
      <c r="G1696" s="242">
        <v>3.9</v>
      </c>
      <c r="H1696" s="230">
        <f t="shared" si="37"/>
        <v>27.3</v>
      </c>
    </row>
    <row r="1697" spans="1:8" ht="15.75" x14ac:dyDescent="0.25">
      <c r="A1697" s="244">
        <v>2000</v>
      </c>
      <c r="B1697" s="245" t="s">
        <v>19</v>
      </c>
      <c r="C1697" s="249" t="s">
        <v>20</v>
      </c>
      <c r="D1697" s="245" t="s">
        <v>21</v>
      </c>
      <c r="E1697" s="247">
        <v>8.5</v>
      </c>
      <c r="F1697" s="242" t="s">
        <v>507</v>
      </c>
      <c r="G1697" s="242">
        <v>3.9</v>
      </c>
      <c r="H1697" s="230">
        <f t="shared" si="37"/>
        <v>33.15</v>
      </c>
    </row>
    <row r="1698" spans="1:8" ht="15.75" x14ac:dyDescent="0.25">
      <c r="A1698" s="244">
        <v>2000</v>
      </c>
      <c r="B1698" s="245" t="s">
        <v>19</v>
      </c>
      <c r="C1698" s="249" t="s">
        <v>20</v>
      </c>
      <c r="D1698" s="245" t="s">
        <v>21</v>
      </c>
      <c r="E1698" s="247">
        <v>6</v>
      </c>
      <c r="F1698" s="242" t="s">
        <v>507</v>
      </c>
      <c r="G1698" s="242">
        <v>3.9</v>
      </c>
      <c r="H1698" s="230">
        <f t="shared" si="37"/>
        <v>23.4</v>
      </c>
    </row>
    <row r="1699" spans="1:8" ht="15.75" x14ac:dyDescent="0.25">
      <c r="A1699" s="244">
        <v>2000</v>
      </c>
      <c r="B1699" s="245" t="s">
        <v>19</v>
      </c>
      <c r="C1699" s="249" t="s">
        <v>20</v>
      </c>
      <c r="D1699" s="245" t="s">
        <v>21</v>
      </c>
      <c r="E1699" s="247">
        <v>7.5</v>
      </c>
      <c r="F1699" s="242" t="s">
        <v>507</v>
      </c>
      <c r="G1699" s="242">
        <v>3.9</v>
      </c>
      <c r="H1699" s="230">
        <f t="shared" si="37"/>
        <v>29.25</v>
      </c>
    </row>
    <row r="1700" spans="1:8" ht="15.75" x14ac:dyDescent="0.25">
      <c r="A1700" s="244">
        <v>2000</v>
      </c>
      <c r="B1700" s="245" t="s">
        <v>19</v>
      </c>
      <c r="C1700" s="249" t="s">
        <v>20</v>
      </c>
      <c r="D1700" s="245" t="s">
        <v>21</v>
      </c>
      <c r="E1700" s="247">
        <v>4.5</v>
      </c>
      <c r="F1700" s="242" t="s">
        <v>507</v>
      </c>
      <c r="G1700" s="242">
        <v>3.9</v>
      </c>
      <c r="H1700" s="230">
        <f t="shared" si="37"/>
        <v>17.55</v>
      </c>
    </row>
    <row r="1701" spans="1:8" ht="15.75" x14ac:dyDescent="0.25">
      <c r="A1701" s="244">
        <v>2000</v>
      </c>
      <c r="B1701" s="245" t="s">
        <v>19</v>
      </c>
      <c r="C1701" s="249" t="s">
        <v>20</v>
      </c>
      <c r="D1701" s="245" t="s">
        <v>21</v>
      </c>
      <c r="E1701" s="247">
        <v>13.5</v>
      </c>
      <c r="F1701" s="242" t="s">
        <v>507</v>
      </c>
      <c r="G1701" s="242">
        <v>3.9</v>
      </c>
      <c r="H1701" s="230">
        <f t="shared" si="37"/>
        <v>52.65</v>
      </c>
    </row>
    <row r="1702" spans="1:8" ht="15.75" x14ac:dyDescent="0.25">
      <c r="A1702" s="244">
        <v>2000</v>
      </c>
      <c r="B1702" s="245" t="s">
        <v>19</v>
      </c>
      <c r="C1702" s="249" t="s">
        <v>20</v>
      </c>
      <c r="D1702" s="245" t="s">
        <v>21</v>
      </c>
      <c r="E1702" s="247">
        <v>7</v>
      </c>
      <c r="F1702" s="242" t="s">
        <v>507</v>
      </c>
      <c r="G1702" s="242">
        <v>3.9</v>
      </c>
      <c r="H1702" s="230">
        <f t="shared" si="37"/>
        <v>27.3</v>
      </c>
    </row>
    <row r="1703" spans="1:8" ht="15" customHeight="1" x14ac:dyDescent="0.25">
      <c r="A1703" s="244">
        <v>2000</v>
      </c>
      <c r="B1703" s="245" t="s">
        <v>19</v>
      </c>
      <c r="C1703" s="246" t="s">
        <v>34</v>
      </c>
      <c r="D1703" s="245" t="s">
        <v>41</v>
      </c>
      <c r="E1703" s="247">
        <v>17</v>
      </c>
      <c r="F1703" s="242" t="s">
        <v>508</v>
      </c>
      <c r="G1703" s="242">
        <v>3.8</v>
      </c>
      <c r="H1703" s="230">
        <f t="shared" si="37"/>
        <v>64.599999999999994</v>
      </c>
    </row>
    <row r="1704" spans="1:8" ht="15" customHeight="1" x14ac:dyDescent="0.25">
      <c r="A1704" s="244">
        <v>2000</v>
      </c>
      <c r="B1704" s="245" t="s">
        <v>19</v>
      </c>
      <c r="C1704" s="246" t="s">
        <v>34</v>
      </c>
      <c r="D1704" s="245" t="s">
        <v>41</v>
      </c>
      <c r="E1704" s="247">
        <v>15.5</v>
      </c>
      <c r="F1704" s="242" t="s">
        <v>508</v>
      </c>
      <c r="G1704" s="242">
        <v>3.8</v>
      </c>
      <c r="H1704" s="230">
        <f t="shared" si="37"/>
        <v>58.9</v>
      </c>
    </row>
    <row r="1705" spans="1:8" ht="15" customHeight="1" x14ac:dyDescent="0.25">
      <c r="A1705" s="244">
        <v>2000</v>
      </c>
      <c r="B1705" s="245" t="s">
        <v>19</v>
      </c>
      <c r="C1705" s="246" t="s">
        <v>34</v>
      </c>
      <c r="D1705" s="245" t="s">
        <v>41</v>
      </c>
      <c r="E1705" s="247">
        <v>20</v>
      </c>
      <c r="F1705" s="242" t="s">
        <v>508</v>
      </c>
      <c r="G1705" s="242">
        <v>3.8</v>
      </c>
      <c r="H1705" s="230">
        <f t="shared" si="37"/>
        <v>76</v>
      </c>
    </row>
    <row r="1706" spans="1:8" ht="15.75" x14ac:dyDescent="0.25">
      <c r="A1706" s="244">
        <v>1999</v>
      </c>
      <c r="B1706" s="245" t="s">
        <v>19</v>
      </c>
      <c r="C1706" s="246" t="s">
        <v>20</v>
      </c>
      <c r="D1706" s="245" t="s">
        <v>30</v>
      </c>
      <c r="E1706" s="247">
        <v>12.5</v>
      </c>
      <c r="F1706" s="242" t="s">
        <v>504</v>
      </c>
      <c r="G1706" s="242">
        <v>4.5999999999999996</v>
      </c>
      <c r="H1706" s="230">
        <f t="shared" si="37"/>
        <v>57.499999999999993</v>
      </c>
    </row>
    <row r="1707" spans="1:8" ht="15.75" x14ac:dyDescent="0.25">
      <c r="A1707" s="244">
        <v>1999</v>
      </c>
      <c r="B1707" s="245" t="s">
        <v>19</v>
      </c>
      <c r="C1707" s="246" t="s">
        <v>20</v>
      </c>
      <c r="D1707" s="245" t="s">
        <v>30</v>
      </c>
      <c r="E1707" s="247">
        <v>17.5</v>
      </c>
      <c r="F1707" s="242" t="s">
        <v>504</v>
      </c>
      <c r="G1707" s="242">
        <v>4.5999999999999996</v>
      </c>
      <c r="H1707" s="230">
        <f t="shared" si="37"/>
        <v>80.5</v>
      </c>
    </row>
    <row r="1708" spans="1:8" ht="15.75" x14ac:dyDescent="0.25">
      <c r="A1708" s="244">
        <v>1999</v>
      </c>
      <c r="B1708" s="245" t="s">
        <v>19</v>
      </c>
      <c r="C1708" s="246" t="s">
        <v>20</v>
      </c>
      <c r="D1708" s="245" t="s">
        <v>30</v>
      </c>
      <c r="E1708" s="247">
        <v>11</v>
      </c>
      <c r="F1708" s="242" t="s">
        <v>504</v>
      </c>
      <c r="G1708" s="242">
        <v>4.5999999999999996</v>
      </c>
      <c r="H1708" s="230">
        <f t="shared" si="37"/>
        <v>50.599999999999994</v>
      </c>
    </row>
    <row r="1709" spans="1:8" ht="15.75" x14ac:dyDescent="0.25">
      <c r="A1709" s="244">
        <v>1999</v>
      </c>
      <c r="B1709" s="245" t="s">
        <v>19</v>
      </c>
      <c r="C1709" s="246" t="s">
        <v>20</v>
      </c>
      <c r="D1709" s="245" t="s">
        <v>30</v>
      </c>
      <c r="E1709" s="247">
        <v>11</v>
      </c>
      <c r="F1709" s="242" t="s">
        <v>504</v>
      </c>
      <c r="G1709" s="242">
        <v>4.5999999999999996</v>
      </c>
      <c r="H1709" s="230">
        <f t="shared" si="37"/>
        <v>50.599999999999994</v>
      </c>
    </row>
    <row r="1710" spans="1:8" ht="15.75" x14ac:dyDescent="0.25">
      <c r="A1710" s="244">
        <v>1999</v>
      </c>
      <c r="B1710" s="245" t="s">
        <v>19</v>
      </c>
      <c r="C1710" s="246" t="s">
        <v>20</v>
      </c>
      <c r="D1710" s="245" t="s">
        <v>30</v>
      </c>
      <c r="E1710" s="247">
        <v>10.5</v>
      </c>
      <c r="F1710" s="242" t="s">
        <v>504</v>
      </c>
      <c r="G1710" s="242">
        <v>4.5999999999999996</v>
      </c>
      <c r="H1710" s="230">
        <f t="shared" si="37"/>
        <v>48.3</v>
      </c>
    </row>
    <row r="1711" spans="1:8" ht="15.75" x14ac:dyDescent="0.25">
      <c r="A1711" s="244">
        <v>1999</v>
      </c>
      <c r="B1711" s="245" t="s">
        <v>19</v>
      </c>
      <c r="C1711" s="246" t="s">
        <v>20</v>
      </c>
      <c r="D1711" s="245" t="s">
        <v>30</v>
      </c>
      <c r="E1711" s="247">
        <v>22</v>
      </c>
      <c r="F1711" s="242" t="s">
        <v>504</v>
      </c>
      <c r="G1711" s="242">
        <v>4.5999999999999996</v>
      </c>
      <c r="H1711" s="230">
        <f t="shared" si="37"/>
        <v>101.19999999999999</v>
      </c>
    </row>
    <row r="1712" spans="1:8" ht="15.75" x14ac:dyDescent="0.25">
      <c r="A1712" s="244">
        <v>1999</v>
      </c>
      <c r="B1712" s="245" t="s">
        <v>19</v>
      </c>
      <c r="C1712" s="246" t="s">
        <v>20</v>
      </c>
      <c r="D1712" s="245" t="s">
        <v>30</v>
      </c>
      <c r="E1712" s="247">
        <v>19</v>
      </c>
      <c r="F1712" s="242" t="s">
        <v>504</v>
      </c>
      <c r="G1712" s="242">
        <v>4.5999999999999996</v>
      </c>
      <c r="H1712" s="230">
        <f t="shared" si="37"/>
        <v>87.399999999999991</v>
      </c>
    </row>
    <row r="1713" spans="1:8" ht="15.75" x14ac:dyDescent="0.25">
      <c r="A1713" s="244">
        <v>1999</v>
      </c>
      <c r="B1713" s="245" t="s">
        <v>19</v>
      </c>
      <c r="C1713" s="246" t="s">
        <v>20</v>
      </c>
      <c r="D1713" s="245" t="s">
        <v>30</v>
      </c>
      <c r="E1713" s="247">
        <v>15</v>
      </c>
      <c r="F1713" s="242" t="s">
        <v>504</v>
      </c>
      <c r="G1713" s="242">
        <v>4.5999999999999996</v>
      </c>
      <c r="H1713" s="230">
        <f t="shared" si="37"/>
        <v>69</v>
      </c>
    </row>
    <row r="1714" spans="1:8" ht="15.75" x14ac:dyDescent="0.25">
      <c r="A1714" s="244">
        <v>1999</v>
      </c>
      <c r="B1714" s="245" t="s">
        <v>19</v>
      </c>
      <c r="C1714" s="246" t="s">
        <v>20</v>
      </c>
      <c r="D1714" s="245" t="s">
        <v>30</v>
      </c>
      <c r="E1714" s="247">
        <v>11</v>
      </c>
      <c r="F1714" s="242" t="s">
        <v>504</v>
      </c>
      <c r="G1714" s="242">
        <v>4.5999999999999996</v>
      </c>
      <c r="H1714" s="230">
        <f t="shared" si="37"/>
        <v>50.599999999999994</v>
      </c>
    </row>
    <row r="1715" spans="1:8" ht="15.75" x14ac:dyDescent="0.25">
      <c r="A1715" s="244">
        <v>1999</v>
      </c>
      <c r="B1715" s="245" t="s">
        <v>19</v>
      </c>
      <c r="C1715" s="246" t="s">
        <v>20</v>
      </c>
      <c r="D1715" s="245" t="s">
        <v>30</v>
      </c>
      <c r="E1715" s="247">
        <v>13</v>
      </c>
      <c r="F1715" s="242" t="s">
        <v>504</v>
      </c>
      <c r="G1715" s="242">
        <v>4.5999999999999996</v>
      </c>
      <c r="H1715" s="230">
        <f t="shared" si="37"/>
        <v>59.8</v>
      </c>
    </row>
    <row r="1716" spans="1:8" ht="15.75" x14ac:dyDescent="0.25">
      <c r="A1716" s="244">
        <v>1999</v>
      </c>
      <c r="B1716" s="245" t="s">
        <v>19</v>
      </c>
      <c r="C1716" s="246" t="s">
        <v>20</v>
      </c>
      <c r="D1716" s="245" t="s">
        <v>21</v>
      </c>
      <c r="E1716" s="247">
        <v>8.5</v>
      </c>
      <c r="F1716" s="242" t="s">
        <v>507</v>
      </c>
      <c r="G1716" s="242">
        <v>3.9</v>
      </c>
      <c r="H1716" s="230">
        <f t="shared" si="37"/>
        <v>33.15</v>
      </c>
    </row>
    <row r="1717" spans="1:8" ht="15.75" x14ac:dyDescent="0.25">
      <c r="A1717" s="244">
        <v>1999</v>
      </c>
      <c r="B1717" s="245" t="s">
        <v>19</v>
      </c>
      <c r="C1717" s="246" t="s">
        <v>20</v>
      </c>
      <c r="D1717" s="245" t="s">
        <v>21</v>
      </c>
      <c r="E1717" s="247">
        <v>15</v>
      </c>
      <c r="F1717" s="242" t="s">
        <v>507</v>
      </c>
      <c r="G1717" s="242">
        <v>3.9</v>
      </c>
      <c r="H1717" s="230">
        <f t="shared" si="37"/>
        <v>58.5</v>
      </c>
    </row>
    <row r="1718" spans="1:8" ht="15.75" x14ac:dyDescent="0.25">
      <c r="A1718" s="244">
        <v>1999</v>
      </c>
      <c r="B1718" s="245" t="s">
        <v>19</v>
      </c>
      <c r="C1718" s="246" t="s">
        <v>20</v>
      </c>
      <c r="D1718" s="245" t="s">
        <v>21</v>
      </c>
      <c r="E1718" s="247">
        <v>6.5</v>
      </c>
      <c r="F1718" s="242" t="s">
        <v>507</v>
      </c>
      <c r="G1718" s="242">
        <v>3.9</v>
      </c>
      <c r="H1718" s="230">
        <f t="shared" si="37"/>
        <v>25.349999999999998</v>
      </c>
    </row>
    <row r="1719" spans="1:8" ht="15.75" x14ac:dyDescent="0.25">
      <c r="A1719" s="244">
        <v>1999</v>
      </c>
      <c r="B1719" s="245" t="s">
        <v>19</v>
      </c>
      <c r="C1719" s="246" t="s">
        <v>20</v>
      </c>
      <c r="D1719" s="245" t="s">
        <v>21</v>
      </c>
      <c r="E1719" s="247">
        <v>8.5</v>
      </c>
      <c r="F1719" s="242" t="s">
        <v>507</v>
      </c>
      <c r="G1719" s="242">
        <v>3.9</v>
      </c>
      <c r="H1719" s="230">
        <f t="shared" si="37"/>
        <v>33.15</v>
      </c>
    </row>
    <row r="1720" spans="1:8" ht="15.75" x14ac:dyDescent="0.25">
      <c r="A1720" s="244">
        <v>1999</v>
      </c>
      <c r="B1720" s="245" t="s">
        <v>19</v>
      </c>
      <c r="C1720" s="246" t="s">
        <v>20</v>
      </c>
      <c r="D1720" s="245" t="s">
        <v>21</v>
      </c>
      <c r="E1720" s="247">
        <v>11.5</v>
      </c>
      <c r="F1720" s="242" t="s">
        <v>507</v>
      </c>
      <c r="G1720" s="242">
        <v>3.9</v>
      </c>
      <c r="H1720" s="230">
        <f t="shared" si="37"/>
        <v>44.85</v>
      </c>
    </row>
    <row r="1721" spans="1:8" ht="15.75" x14ac:dyDescent="0.25">
      <c r="A1721" s="244">
        <v>1999</v>
      </c>
      <c r="B1721" s="245" t="s">
        <v>19</v>
      </c>
      <c r="C1721" s="246" t="s">
        <v>20</v>
      </c>
      <c r="D1721" s="245" t="s">
        <v>21</v>
      </c>
      <c r="E1721" s="247">
        <v>12.5</v>
      </c>
      <c r="F1721" s="242" t="s">
        <v>507</v>
      </c>
      <c r="G1721" s="242">
        <v>3.9</v>
      </c>
      <c r="H1721" s="230">
        <f t="shared" si="37"/>
        <v>48.75</v>
      </c>
    </row>
    <row r="1722" spans="1:8" ht="15.75" x14ac:dyDescent="0.25">
      <c r="A1722" s="244">
        <v>1999</v>
      </c>
      <c r="B1722" s="245" t="s">
        <v>19</v>
      </c>
      <c r="C1722" s="246" t="s">
        <v>20</v>
      </c>
      <c r="D1722" s="245" t="s">
        <v>21</v>
      </c>
      <c r="E1722" s="247">
        <v>15</v>
      </c>
      <c r="F1722" s="242" t="s">
        <v>507</v>
      </c>
      <c r="G1722" s="242">
        <v>3.9</v>
      </c>
      <c r="H1722" s="230">
        <f t="shared" si="37"/>
        <v>58.5</v>
      </c>
    </row>
    <row r="1723" spans="1:8" ht="15.75" x14ac:dyDescent="0.25">
      <c r="A1723" s="244">
        <v>1999</v>
      </c>
      <c r="B1723" s="245" t="s">
        <v>19</v>
      </c>
      <c r="C1723" s="246" t="s">
        <v>20</v>
      </c>
      <c r="D1723" s="245" t="s">
        <v>21</v>
      </c>
      <c r="E1723" s="247">
        <v>11.5</v>
      </c>
      <c r="F1723" s="242" t="s">
        <v>507</v>
      </c>
      <c r="G1723" s="242">
        <v>3.9</v>
      </c>
      <c r="H1723" s="230">
        <f t="shared" si="37"/>
        <v>44.85</v>
      </c>
    </row>
    <row r="1724" spans="1:8" ht="15.75" x14ac:dyDescent="0.25">
      <c r="A1724" s="244">
        <v>1999</v>
      </c>
      <c r="B1724" s="245" t="s">
        <v>19</v>
      </c>
      <c r="C1724" s="246" t="s">
        <v>20</v>
      </c>
      <c r="D1724" s="245" t="s">
        <v>21</v>
      </c>
      <c r="E1724" s="247">
        <v>12.5</v>
      </c>
      <c r="F1724" s="242" t="s">
        <v>507</v>
      </c>
      <c r="G1724" s="242">
        <v>3.9</v>
      </c>
      <c r="H1724" s="230">
        <f t="shared" si="37"/>
        <v>48.75</v>
      </c>
    </row>
    <row r="1725" spans="1:8" ht="15.75" x14ac:dyDescent="0.25">
      <c r="A1725" s="244">
        <v>1999</v>
      </c>
      <c r="B1725" s="245" t="s">
        <v>19</v>
      </c>
      <c r="C1725" s="246" t="s">
        <v>20</v>
      </c>
      <c r="D1725" s="245" t="s">
        <v>21</v>
      </c>
      <c r="E1725" s="247">
        <v>9.5</v>
      </c>
      <c r="F1725" s="242" t="s">
        <v>507</v>
      </c>
      <c r="G1725" s="242">
        <v>3.9</v>
      </c>
      <c r="H1725" s="230">
        <f t="shared" si="37"/>
        <v>37.049999999999997</v>
      </c>
    </row>
    <row r="1726" spans="1:8" ht="15.75" x14ac:dyDescent="0.25">
      <c r="A1726" s="244">
        <v>1999</v>
      </c>
      <c r="B1726" s="245" t="s">
        <v>19</v>
      </c>
      <c r="C1726" s="246" t="s">
        <v>20</v>
      </c>
      <c r="D1726" s="245" t="s">
        <v>21</v>
      </c>
      <c r="E1726" s="247">
        <v>14.5</v>
      </c>
      <c r="F1726" s="242" t="s">
        <v>507</v>
      </c>
      <c r="G1726" s="242">
        <v>3.9</v>
      </c>
      <c r="H1726" s="230">
        <f t="shared" si="37"/>
        <v>56.55</v>
      </c>
    </row>
    <row r="1727" spans="1:8" ht="15.75" x14ac:dyDescent="0.25">
      <c r="A1727" s="244">
        <v>1999</v>
      </c>
      <c r="B1727" s="245" t="s">
        <v>19</v>
      </c>
      <c r="C1727" s="246" t="s">
        <v>20</v>
      </c>
      <c r="D1727" s="245" t="s">
        <v>21</v>
      </c>
      <c r="E1727" s="247">
        <v>13.5</v>
      </c>
      <c r="F1727" s="242" t="s">
        <v>507</v>
      </c>
      <c r="G1727" s="242">
        <v>3.9</v>
      </c>
      <c r="H1727" s="230">
        <f t="shared" si="37"/>
        <v>52.65</v>
      </c>
    </row>
    <row r="1728" spans="1:8" ht="15.75" x14ac:dyDescent="0.25">
      <c r="A1728" s="244">
        <v>1999</v>
      </c>
      <c r="B1728" s="245" t="s">
        <v>19</v>
      </c>
      <c r="C1728" s="246" t="s">
        <v>20</v>
      </c>
      <c r="D1728" s="245" t="s">
        <v>21</v>
      </c>
      <c r="E1728" s="247">
        <v>10.5</v>
      </c>
      <c r="F1728" s="242" t="s">
        <v>507</v>
      </c>
      <c r="G1728" s="242">
        <v>3.9</v>
      </c>
      <c r="H1728" s="230">
        <f t="shared" si="37"/>
        <v>40.949999999999996</v>
      </c>
    </row>
    <row r="1729" spans="1:8" ht="15.75" x14ac:dyDescent="0.25">
      <c r="A1729" s="244">
        <v>1999</v>
      </c>
      <c r="B1729" s="245" t="s">
        <v>19</v>
      </c>
      <c r="C1729" s="246" t="s">
        <v>20</v>
      </c>
      <c r="D1729" s="245" t="s">
        <v>21</v>
      </c>
      <c r="E1729" s="247">
        <v>16.5</v>
      </c>
      <c r="F1729" s="242" t="s">
        <v>507</v>
      </c>
      <c r="G1729" s="242">
        <v>3.9</v>
      </c>
      <c r="H1729" s="230">
        <f t="shared" si="37"/>
        <v>64.349999999999994</v>
      </c>
    </row>
    <row r="1730" spans="1:8" ht="15.75" x14ac:dyDescent="0.25">
      <c r="A1730" s="244">
        <v>1999</v>
      </c>
      <c r="B1730" s="245" t="s">
        <v>19</v>
      </c>
      <c r="C1730" s="246" t="s">
        <v>20</v>
      </c>
      <c r="D1730" s="245" t="s">
        <v>21</v>
      </c>
      <c r="E1730" s="247">
        <v>14.5</v>
      </c>
      <c r="F1730" s="242" t="s">
        <v>507</v>
      </c>
      <c r="G1730" s="242">
        <v>3.9</v>
      </c>
      <c r="H1730" s="230">
        <f t="shared" si="37"/>
        <v>56.55</v>
      </c>
    </row>
    <row r="1731" spans="1:8" ht="15.75" x14ac:dyDescent="0.25">
      <c r="A1731" s="244">
        <v>1999</v>
      </c>
      <c r="B1731" s="245" t="s">
        <v>19</v>
      </c>
      <c r="C1731" s="246" t="s">
        <v>20</v>
      </c>
      <c r="D1731" s="245" t="s">
        <v>21</v>
      </c>
      <c r="E1731" s="247">
        <v>15</v>
      </c>
      <c r="F1731" s="242" t="s">
        <v>507</v>
      </c>
      <c r="G1731" s="242">
        <v>3.9</v>
      </c>
      <c r="H1731" s="230">
        <f t="shared" ref="H1731:H1794" si="38">E1731*G1731</f>
        <v>58.5</v>
      </c>
    </row>
    <row r="1732" spans="1:8" ht="15.75" x14ac:dyDescent="0.25">
      <c r="A1732" s="244">
        <v>1999</v>
      </c>
      <c r="B1732" s="245" t="s">
        <v>19</v>
      </c>
      <c r="C1732" s="246" t="s">
        <v>20</v>
      </c>
      <c r="D1732" s="245" t="s">
        <v>21</v>
      </c>
      <c r="E1732" s="247">
        <v>17</v>
      </c>
      <c r="F1732" s="242" t="s">
        <v>507</v>
      </c>
      <c r="G1732" s="242">
        <v>3.9</v>
      </c>
      <c r="H1732" s="230">
        <f t="shared" si="38"/>
        <v>66.3</v>
      </c>
    </row>
    <row r="1733" spans="1:8" ht="15.75" x14ac:dyDescent="0.25">
      <c r="A1733" s="244">
        <v>1999</v>
      </c>
      <c r="B1733" s="245" t="s">
        <v>19</v>
      </c>
      <c r="C1733" s="246" t="s">
        <v>20</v>
      </c>
      <c r="D1733" s="245" t="s">
        <v>21</v>
      </c>
      <c r="E1733" s="247">
        <v>17</v>
      </c>
      <c r="F1733" s="242" t="s">
        <v>507</v>
      </c>
      <c r="G1733" s="242">
        <v>3.9</v>
      </c>
      <c r="H1733" s="230">
        <f t="shared" si="38"/>
        <v>66.3</v>
      </c>
    </row>
    <row r="1734" spans="1:8" ht="15.75" x14ac:dyDescent="0.25">
      <c r="A1734" s="244">
        <v>1999</v>
      </c>
      <c r="B1734" s="245" t="s">
        <v>19</v>
      </c>
      <c r="C1734" s="246" t="s">
        <v>20</v>
      </c>
      <c r="D1734" s="245" t="s">
        <v>21</v>
      </c>
      <c r="E1734" s="247">
        <v>8</v>
      </c>
      <c r="F1734" s="242" t="s">
        <v>507</v>
      </c>
      <c r="G1734" s="242">
        <v>3.9</v>
      </c>
      <c r="H1734" s="230">
        <f t="shared" si="38"/>
        <v>31.2</v>
      </c>
    </row>
    <row r="1735" spans="1:8" ht="15.75" x14ac:dyDescent="0.25">
      <c r="A1735" s="244">
        <v>1999</v>
      </c>
      <c r="B1735" s="245" t="s">
        <v>19</v>
      </c>
      <c r="C1735" s="246" t="s">
        <v>20</v>
      </c>
      <c r="D1735" s="245" t="s">
        <v>21</v>
      </c>
      <c r="E1735" s="247">
        <v>11.5</v>
      </c>
      <c r="F1735" s="242" t="s">
        <v>507</v>
      </c>
      <c r="G1735" s="242">
        <v>3.9</v>
      </c>
      <c r="H1735" s="230">
        <f t="shared" si="38"/>
        <v>44.85</v>
      </c>
    </row>
    <row r="1736" spans="1:8" ht="15.75" x14ac:dyDescent="0.25">
      <c r="A1736" s="244">
        <v>1999</v>
      </c>
      <c r="B1736" s="245" t="s">
        <v>19</v>
      </c>
      <c r="C1736" s="246" t="s">
        <v>20</v>
      </c>
      <c r="D1736" s="245" t="s">
        <v>21</v>
      </c>
      <c r="E1736" s="247">
        <v>8.5</v>
      </c>
      <c r="F1736" s="242" t="s">
        <v>507</v>
      </c>
      <c r="G1736" s="242">
        <v>3.9</v>
      </c>
      <c r="H1736" s="230">
        <f t="shared" si="38"/>
        <v>33.15</v>
      </c>
    </row>
    <row r="1737" spans="1:8" ht="15.75" x14ac:dyDescent="0.25">
      <c r="A1737" s="244">
        <v>1999</v>
      </c>
      <c r="B1737" s="245" t="s">
        <v>19</v>
      </c>
      <c r="C1737" s="246" t="s">
        <v>20</v>
      </c>
      <c r="D1737" s="245" t="s">
        <v>21</v>
      </c>
      <c r="E1737" s="247">
        <v>16</v>
      </c>
      <c r="F1737" s="242" t="s">
        <v>507</v>
      </c>
      <c r="G1737" s="242">
        <v>3.9</v>
      </c>
      <c r="H1737" s="230">
        <f t="shared" si="38"/>
        <v>62.4</v>
      </c>
    </row>
    <row r="1738" spans="1:8" ht="15.75" x14ac:dyDescent="0.25">
      <c r="A1738" s="244">
        <v>1999</v>
      </c>
      <c r="B1738" s="245" t="s">
        <v>19</v>
      </c>
      <c r="C1738" s="246" t="s">
        <v>20</v>
      </c>
      <c r="D1738" s="245" t="s">
        <v>21</v>
      </c>
      <c r="E1738" s="247">
        <v>8</v>
      </c>
      <c r="F1738" s="242" t="s">
        <v>507</v>
      </c>
      <c r="G1738" s="242">
        <v>3.9</v>
      </c>
      <c r="H1738" s="230">
        <f t="shared" si="38"/>
        <v>31.2</v>
      </c>
    </row>
    <row r="1739" spans="1:8" ht="15.75" x14ac:dyDescent="0.25">
      <c r="A1739" s="244">
        <v>1999</v>
      </c>
      <c r="B1739" s="245" t="s">
        <v>19</v>
      </c>
      <c r="C1739" s="246" t="s">
        <v>20</v>
      </c>
      <c r="D1739" s="245" t="s">
        <v>21</v>
      </c>
      <c r="E1739" s="247">
        <v>12.5</v>
      </c>
      <c r="F1739" s="242" t="s">
        <v>507</v>
      </c>
      <c r="G1739" s="242">
        <v>3.9</v>
      </c>
      <c r="H1739" s="230">
        <f t="shared" si="38"/>
        <v>48.75</v>
      </c>
    </row>
    <row r="1740" spans="1:8" ht="15.75" x14ac:dyDescent="0.25">
      <c r="A1740" s="244">
        <v>1999</v>
      </c>
      <c r="B1740" s="245" t="s">
        <v>19</v>
      </c>
      <c r="C1740" s="246" t="s">
        <v>20</v>
      </c>
      <c r="D1740" s="245" t="s">
        <v>21</v>
      </c>
      <c r="E1740" s="247">
        <v>16.5</v>
      </c>
      <c r="F1740" s="242" t="s">
        <v>507</v>
      </c>
      <c r="G1740" s="242">
        <v>3.9</v>
      </c>
      <c r="H1740" s="230">
        <f t="shared" si="38"/>
        <v>64.349999999999994</v>
      </c>
    </row>
    <row r="1741" spans="1:8" ht="15.75" x14ac:dyDescent="0.25">
      <c r="A1741" s="244">
        <v>1999</v>
      </c>
      <c r="B1741" s="245" t="s">
        <v>19</v>
      </c>
      <c r="C1741" s="246" t="s">
        <v>20</v>
      </c>
      <c r="D1741" s="245" t="s">
        <v>21</v>
      </c>
      <c r="E1741" s="247">
        <v>13.5</v>
      </c>
      <c r="F1741" s="242" t="s">
        <v>507</v>
      </c>
      <c r="G1741" s="242">
        <v>3.9</v>
      </c>
      <c r="H1741" s="230">
        <f t="shared" si="38"/>
        <v>52.65</v>
      </c>
    </row>
    <row r="1742" spans="1:8" ht="15.75" x14ac:dyDescent="0.25">
      <c r="A1742" s="244">
        <v>1999</v>
      </c>
      <c r="B1742" s="245" t="s">
        <v>19</v>
      </c>
      <c r="C1742" s="246" t="s">
        <v>20</v>
      </c>
      <c r="D1742" s="245" t="s">
        <v>21</v>
      </c>
      <c r="E1742" s="247">
        <v>11</v>
      </c>
      <c r="F1742" s="242" t="s">
        <v>507</v>
      </c>
      <c r="G1742" s="242">
        <v>3.9</v>
      </c>
      <c r="H1742" s="230">
        <f t="shared" si="38"/>
        <v>42.9</v>
      </c>
    </row>
    <row r="1743" spans="1:8" ht="15.75" x14ac:dyDescent="0.25">
      <c r="A1743" s="244">
        <v>1999</v>
      </c>
      <c r="B1743" s="245" t="s">
        <v>19</v>
      </c>
      <c r="C1743" s="246" t="s">
        <v>20</v>
      </c>
      <c r="D1743" s="245" t="s">
        <v>21</v>
      </c>
      <c r="E1743" s="247">
        <v>10.5</v>
      </c>
      <c r="F1743" s="242" t="s">
        <v>507</v>
      </c>
      <c r="G1743" s="242">
        <v>3.9</v>
      </c>
      <c r="H1743" s="230">
        <f t="shared" si="38"/>
        <v>40.949999999999996</v>
      </c>
    </row>
    <row r="1744" spans="1:8" ht="15.75" x14ac:dyDescent="0.25">
      <c r="A1744" s="244">
        <v>1999</v>
      </c>
      <c r="B1744" s="245" t="s">
        <v>19</v>
      </c>
      <c r="C1744" s="246" t="s">
        <v>20</v>
      </c>
      <c r="D1744" s="245" t="s">
        <v>21</v>
      </c>
      <c r="E1744" s="247">
        <v>15</v>
      </c>
      <c r="F1744" s="242" t="s">
        <v>507</v>
      </c>
      <c r="G1744" s="242">
        <v>3.9</v>
      </c>
      <c r="H1744" s="230">
        <f t="shared" si="38"/>
        <v>58.5</v>
      </c>
    </row>
    <row r="1745" spans="1:8" ht="15.75" x14ac:dyDescent="0.25">
      <c r="A1745" s="244">
        <v>1999</v>
      </c>
      <c r="B1745" s="245" t="s">
        <v>19</v>
      </c>
      <c r="C1745" s="246" t="s">
        <v>20</v>
      </c>
      <c r="D1745" s="245" t="s">
        <v>21</v>
      </c>
      <c r="E1745" s="247">
        <v>12.5</v>
      </c>
      <c r="F1745" s="242" t="s">
        <v>507</v>
      </c>
      <c r="G1745" s="242">
        <v>3.9</v>
      </c>
      <c r="H1745" s="230">
        <f t="shared" si="38"/>
        <v>48.75</v>
      </c>
    </row>
    <row r="1746" spans="1:8" ht="15.75" x14ac:dyDescent="0.25">
      <c r="A1746" s="244">
        <v>1999</v>
      </c>
      <c r="B1746" s="245" t="s">
        <v>19</v>
      </c>
      <c r="C1746" s="246" t="s">
        <v>20</v>
      </c>
      <c r="D1746" s="245" t="s">
        <v>21</v>
      </c>
      <c r="E1746" s="247">
        <v>11</v>
      </c>
      <c r="F1746" s="242" t="s">
        <v>507</v>
      </c>
      <c r="G1746" s="242">
        <v>3.9</v>
      </c>
      <c r="H1746" s="230">
        <f t="shared" si="38"/>
        <v>42.9</v>
      </c>
    </row>
    <row r="1747" spans="1:8" ht="15.75" x14ac:dyDescent="0.25">
      <c r="A1747" s="244">
        <v>1999</v>
      </c>
      <c r="B1747" s="245" t="s">
        <v>19</v>
      </c>
      <c r="C1747" s="246" t="s">
        <v>20</v>
      </c>
      <c r="D1747" s="245" t="s">
        <v>21</v>
      </c>
      <c r="E1747" s="247">
        <v>5.5</v>
      </c>
      <c r="F1747" s="242" t="s">
        <v>507</v>
      </c>
      <c r="G1747" s="242">
        <v>3.9</v>
      </c>
      <c r="H1747" s="230">
        <f t="shared" si="38"/>
        <v>21.45</v>
      </c>
    </row>
    <row r="1748" spans="1:8" ht="15.75" x14ac:dyDescent="0.25">
      <c r="A1748" s="244">
        <v>1999</v>
      </c>
      <c r="B1748" s="245" t="s">
        <v>19</v>
      </c>
      <c r="C1748" s="246" t="s">
        <v>20</v>
      </c>
      <c r="D1748" s="245" t="s">
        <v>21</v>
      </c>
      <c r="E1748" s="247">
        <v>9</v>
      </c>
      <c r="F1748" s="242" t="s">
        <v>507</v>
      </c>
      <c r="G1748" s="242">
        <v>3.9</v>
      </c>
      <c r="H1748" s="230">
        <f t="shared" si="38"/>
        <v>35.1</v>
      </c>
    </row>
    <row r="1749" spans="1:8" ht="15.75" x14ac:dyDescent="0.25">
      <c r="A1749" s="244">
        <v>1999</v>
      </c>
      <c r="B1749" s="245" t="s">
        <v>19</v>
      </c>
      <c r="C1749" s="246" t="s">
        <v>20</v>
      </c>
      <c r="D1749" s="245" t="s">
        <v>21</v>
      </c>
      <c r="E1749" s="247">
        <v>7.5</v>
      </c>
      <c r="F1749" s="242" t="s">
        <v>507</v>
      </c>
      <c r="G1749" s="242">
        <v>3.9</v>
      </c>
      <c r="H1749" s="230">
        <f t="shared" si="38"/>
        <v>29.25</v>
      </c>
    </row>
    <row r="1750" spans="1:8" ht="15.75" x14ac:dyDescent="0.25">
      <c r="A1750" s="244">
        <v>1999</v>
      </c>
      <c r="B1750" s="245" t="s">
        <v>19</v>
      </c>
      <c r="C1750" s="246" t="s">
        <v>20</v>
      </c>
      <c r="D1750" s="245" t="s">
        <v>21</v>
      </c>
      <c r="E1750" s="247">
        <v>14</v>
      </c>
      <c r="F1750" s="242" t="s">
        <v>507</v>
      </c>
      <c r="G1750" s="242">
        <v>3.9</v>
      </c>
      <c r="H1750" s="230">
        <f t="shared" si="38"/>
        <v>54.6</v>
      </c>
    </row>
    <row r="1751" spans="1:8" ht="15.75" x14ac:dyDescent="0.25">
      <c r="A1751" s="244">
        <v>1999</v>
      </c>
      <c r="B1751" s="245" t="s">
        <v>19</v>
      </c>
      <c r="C1751" s="246" t="s">
        <v>20</v>
      </c>
      <c r="D1751" s="245" t="s">
        <v>21</v>
      </c>
      <c r="E1751" s="247">
        <v>22</v>
      </c>
      <c r="F1751" s="242" t="s">
        <v>507</v>
      </c>
      <c r="G1751" s="242">
        <v>3.9</v>
      </c>
      <c r="H1751" s="230">
        <f t="shared" si="38"/>
        <v>85.8</v>
      </c>
    </row>
    <row r="1752" spans="1:8" ht="15.75" x14ac:dyDescent="0.25">
      <c r="A1752" s="244">
        <v>1999</v>
      </c>
      <c r="B1752" s="245" t="s">
        <v>19</v>
      </c>
      <c r="C1752" s="246" t="s">
        <v>20</v>
      </c>
      <c r="D1752" s="245" t="s">
        <v>21</v>
      </c>
      <c r="E1752" s="247">
        <v>18</v>
      </c>
      <c r="F1752" s="242" t="s">
        <v>507</v>
      </c>
      <c r="G1752" s="242">
        <v>3.9</v>
      </c>
      <c r="H1752" s="230">
        <f t="shared" si="38"/>
        <v>70.2</v>
      </c>
    </row>
    <row r="1753" spans="1:8" ht="15.75" x14ac:dyDescent="0.25">
      <c r="A1753" s="244">
        <v>1999</v>
      </c>
      <c r="B1753" s="245" t="s">
        <v>19</v>
      </c>
      <c r="C1753" s="246" t="s">
        <v>20</v>
      </c>
      <c r="D1753" s="245" t="s">
        <v>21</v>
      </c>
      <c r="E1753" s="247">
        <v>7.5</v>
      </c>
      <c r="F1753" s="242" t="s">
        <v>507</v>
      </c>
      <c r="G1753" s="242">
        <v>3.9</v>
      </c>
      <c r="H1753" s="230">
        <f t="shared" si="38"/>
        <v>29.25</v>
      </c>
    </row>
    <row r="1754" spans="1:8" ht="15.75" x14ac:dyDescent="0.25">
      <c r="A1754" s="244">
        <v>1999</v>
      </c>
      <c r="B1754" s="245" t="s">
        <v>19</v>
      </c>
      <c r="C1754" s="246" t="s">
        <v>20</v>
      </c>
      <c r="D1754" s="245" t="s">
        <v>21</v>
      </c>
      <c r="E1754" s="247">
        <v>16.5</v>
      </c>
      <c r="F1754" s="242" t="s">
        <v>507</v>
      </c>
      <c r="G1754" s="242">
        <v>3.9</v>
      </c>
      <c r="H1754" s="230">
        <f t="shared" si="38"/>
        <v>64.349999999999994</v>
      </c>
    </row>
    <row r="1755" spans="1:8" ht="15.75" x14ac:dyDescent="0.25">
      <c r="A1755" s="244">
        <v>1999</v>
      </c>
      <c r="B1755" s="245" t="s">
        <v>19</v>
      </c>
      <c r="C1755" s="246" t="s">
        <v>20</v>
      </c>
      <c r="D1755" s="245" t="s">
        <v>21</v>
      </c>
      <c r="E1755" s="247">
        <v>12.5</v>
      </c>
      <c r="F1755" s="242" t="s">
        <v>507</v>
      </c>
      <c r="G1755" s="242">
        <v>3.9</v>
      </c>
      <c r="H1755" s="230">
        <f t="shared" si="38"/>
        <v>48.75</v>
      </c>
    </row>
    <row r="1756" spans="1:8" ht="15.75" x14ac:dyDescent="0.25">
      <c r="A1756" s="244">
        <v>1999</v>
      </c>
      <c r="B1756" s="245" t="s">
        <v>19</v>
      </c>
      <c r="C1756" s="246" t="s">
        <v>20</v>
      </c>
      <c r="D1756" s="245" t="s">
        <v>21</v>
      </c>
      <c r="E1756" s="247">
        <v>16.5</v>
      </c>
      <c r="F1756" s="242" t="s">
        <v>507</v>
      </c>
      <c r="G1756" s="242">
        <v>3.9</v>
      </c>
      <c r="H1756" s="230">
        <f t="shared" si="38"/>
        <v>64.349999999999994</v>
      </c>
    </row>
    <row r="1757" spans="1:8" ht="15.75" x14ac:dyDescent="0.25">
      <c r="A1757" s="244">
        <v>1999</v>
      </c>
      <c r="B1757" s="245" t="s">
        <v>19</v>
      </c>
      <c r="C1757" s="246" t="s">
        <v>20</v>
      </c>
      <c r="D1757" s="245" t="s">
        <v>21</v>
      </c>
      <c r="E1757" s="247">
        <v>10</v>
      </c>
      <c r="F1757" s="242" t="s">
        <v>507</v>
      </c>
      <c r="G1757" s="242">
        <v>3.9</v>
      </c>
      <c r="H1757" s="230">
        <f t="shared" si="38"/>
        <v>39</v>
      </c>
    </row>
    <row r="1758" spans="1:8" ht="15.75" x14ac:dyDescent="0.25">
      <c r="A1758" s="244">
        <v>1999</v>
      </c>
      <c r="B1758" s="245" t="s">
        <v>19</v>
      </c>
      <c r="C1758" s="246" t="s">
        <v>20</v>
      </c>
      <c r="D1758" s="245" t="s">
        <v>21</v>
      </c>
      <c r="E1758" s="247">
        <v>9.5</v>
      </c>
      <c r="F1758" s="242" t="s">
        <v>507</v>
      </c>
      <c r="G1758" s="242">
        <v>3.9</v>
      </c>
      <c r="H1758" s="230">
        <f t="shared" si="38"/>
        <v>37.049999999999997</v>
      </c>
    </row>
    <row r="1759" spans="1:8" ht="15.75" x14ac:dyDescent="0.25">
      <c r="A1759" s="244">
        <v>1999</v>
      </c>
      <c r="B1759" s="245" t="s">
        <v>19</v>
      </c>
      <c r="C1759" s="246" t="s">
        <v>20</v>
      </c>
      <c r="D1759" s="245" t="s">
        <v>21</v>
      </c>
      <c r="E1759" s="247">
        <v>19.5</v>
      </c>
      <c r="F1759" s="242" t="s">
        <v>507</v>
      </c>
      <c r="G1759" s="242">
        <v>3.9</v>
      </c>
      <c r="H1759" s="230">
        <f t="shared" si="38"/>
        <v>76.05</v>
      </c>
    </row>
    <row r="1760" spans="1:8" ht="15.75" x14ac:dyDescent="0.25">
      <c r="A1760" s="244">
        <v>1999</v>
      </c>
      <c r="B1760" s="245" t="s">
        <v>19</v>
      </c>
      <c r="C1760" s="246" t="s">
        <v>20</v>
      </c>
      <c r="D1760" s="245" t="s">
        <v>21</v>
      </c>
      <c r="E1760" s="247">
        <v>5.5</v>
      </c>
      <c r="F1760" s="242" t="s">
        <v>507</v>
      </c>
      <c r="G1760" s="242">
        <v>3.9</v>
      </c>
      <c r="H1760" s="230">
        <f t="shared" si="38"/>
        <v>21.45</v>
      </c>
    </row>
    <row r="1761" spans="1:8" ht="15.75" x14ac:dyDescent="0.25">
      <c r="A1761" s="244">
        <v>1999</v>
      </c>
      <c r="B1761" s="245" t="s">
        <v>19</v>
      </c>
      <c r="C1761" s="246" t="s">
        <v>20</v>
      </c>
      <c r="D1761" s="245" t="s">
        <v>21</v>
      </c>
      <c r="E1761" s="247">
        <v>14</v>
      </c>
      <c r="F1761" s="242" t="s">
        <v>507</v>
      </c>
      <c r="G1761" s="242">
        <v>3.9</v>
      </c>
      <c r="H1761" s="230">
        <f t="shared" si="38"/>
        <v>54.6</v>
      </c>
    </row>
    <row r="1762" spans="1:8" ht="15.75" x14ac:dyDescent="0.25">
      <c r="A1762" s="244">
        <v>1999</v>
      </c>
      <c r="B1762" s="245" t="s">
        <v>19</v>
      </c>
      <c r="C1762" s="246" t="s">
        <v>20</v>
      </c>
      <c r="D1762" s="245" t="s">
        <v>21</v>
      </c>
      <c r="E1762" s="247">
        <v>11.5</v>
      </c>
      <c r="F1762" s="242" t="s">
        <v>507</v>
      </c>
      <c r="G1762" s="242">
        <v>3.9</v>
      </c>
      <c r="H1762" s="230">
        <f t="shared" si="38"/>
        <v>44.85</v>
      </c>
    </row>
    <row r="1763" spans="1:8" ht="15.75" x14ac:dyDescent="0.25">
      <c r="A1763" s="244">
        <v>1998</v>
      </c>
      <c r="B1763" s="245" t="s">
        <v>19</v>
      </c>
      <c r="C1763" s="246" t="s">
        <v>20</v>
      </c>
      <c r="D1763" s="245" t="s">
        <v>30</v>
      </c>
      <c r="E1763" s="247">
        <v>13.2</v>
      </c>
      <c r="F1763" s="242" t="s">
        <v>504</v>
      </c>
      <c r="G1763" s="242">
        <v>4.5999999999999996</v>
      </c>
      <c r="H1763" s="230">
        <f t="shared" si="38"/>
        <v>60.719999999999992</v>
      </c>
    </row>
    <row r="1764" spans="1:8" ht="15.75" x14ac:dyDescent="0.25">
      <c r="A1764" s="244">
        <v>1998</v>
      </c>
      <c r="B1764" s="245" t="s">
        <v>19</v>
      </c>
      <c r="C1764" s="246" t="s">
        <v>20</v>
      </c>
      <c r="D1764" s="245" t="s">
        <v>30</v>
      </c>
      <c r="E1764" s="247">
        <v>12.5</v>
      </c>
      <c r="F1764" s="242" t="s">
        <v>504</v>
      </c>
      <c r="G1764" s="242">
        <v>4.5999999999999996</v>
      </c>
      <c r="H1764" s="230">
        <f t="shared" si="38"/>
        <v>57.499999999999993</v>
      </c>
    </row>
    <row r="1765" spans="1:8" ht="15.75" x14ac:dyDescent="0.25">
      <c r="A1765" s="244">
        <v>1998</v>
      </c>
      <c r="B1765" s="245" t="s">
        <v>19</v>
      </c>
      <c r="C1765" s="246" t="s">
        <v>20</v>
      </c>
      <c r="D1765" s="245" t="s">
        <v>30</v>
      </c>
      <c r="E1765" s="247">
        <v>12</v>
      </c>
      <c r="F1765" s="242" t="s">
        <v>504</v>
      </c>
      <c r="G1765" s="242">
        <v>4.5999999999999996</v>
      </c>
      <c r="H1765" s="230">
        <f t="shared" si="38"/>
        <v>55.199999999999996</v>
      </c>
    </row>
    <row r="1766" spans="1:8" ht="15.75" x14ac:dyDescent="0.25">
      <c r="A1766" s="244">
        <v>1998</v>
      </c>
      <c r="B1766" s="245" t="s">
        <v>19</v>
      </c>
      <c r="C1766" s="246" t="s">
        <v>20</v>
      </c>
      <c r="D1766" s="245" t="s">
        <v>30</v>
      </c>
      <c r="E1766" s="247">
        <v>12</v>
      </c>
      <c r="F1766" s="242" t="s">
        <v>504</v>
      </c>
      <c r="G1766" s="242">
        <v>4.5999999999999996</v>
      </c>
      <c r="H1766" s="230">
        <f t="shared" si="38"/>
        <v>55.199999999999996</v>
      </c>
    </row>
    <row r="1767" spans="1:8" ht="15.75" x14ac:dyDescent="0.25">
      <c r="A1767" s="244">
        <v>1998</v>
      </c>
      <c r="B1767" s="245" t="s">
        <v>19</v>
      </c>
      <c r="C1767" s="246" t="s">
        <v>20</v>
      </c>
      <c r="D1767" s="245" t="s">
        <v>30</v>
      </c>
      <c r="E1767" s="247">
        <v>11</v>
      </c>
      <c r="F1767" s="242" t="s">
        <v>504</v>
      </c>
      <c r="G1767" s="242">
        <v>4.5999999999999996</v>
      </c>
      <c r="H1767" s="230">
        <f t="shared" si="38"/>
        <v>50.599999999999994</v>
      </c>
    </row>
    <row r="1768" spans="1:8" ht="15.75" x14ac:dyDescent="0.25">
      <c r="A1768" s="244">
        <v>1998</v>
      </c>
      <c r="B1768" s="245" t="s">
        <v>19</v>
      </c>
      <c r="C1768" s="246" t="s">
        <v>20</v>
      </c>
      <c r="D1768" s="245" t="s">
        <v>30</v>
      </c>
      <c r="E1768" s="247">
        <v>12.5</v>
      </c>
      <c r="F1768" s="242" t="s">
        <v>504</v>
      </c>
      <c r="G1768" s="242">
        <v>4.5999999999999996</v>
      </c>
      <c r="H1768" s="230">
        <f t="shared" si="38"/>
        <v>57.499999999999993</v>
      </c>
    </row>
    <row r="1769" spans="1:8" ht="15.75" x14ac:dyDescent="0.25">
      <c r="A1769" s="244">
        <v>1998</v>
      </c>
      <c r="B1769" s="245" t="s">
        <v>19</v>
      </c>
      <c r="C1769" s="246" t="s">
        <v>20</v>
      </c>
      <c r="D1769" s="245" t="s">
        <v>30</v>
      </c>
      <c r="E1769" s="247">
        <v>15</v>
      </c>
      <c r="F1769" s="242" t="s">
        <v>504</v>
      </c>
      <c r="G1769" s="242">
        <v>4.5999999999999996</v>
      </c>
      <c r="H1769" s="230">
        <f t="shared" si="38"/>
        <v>69</v>
      </c>
    </row>
    <row r="1770" spans="1:8" ht="15.75" x14ac:dyDescent="0.25">
      <c r="A1770" s="244">
        <v>1998</v>
      </c>
      <c r="B1770" s="245" t="s">
        <v>19</v>
      </c>
      <c r="C1770" s="246" t="s">
        <v>20</v>
      </c>
      <c r="D1770" s="245" t="s">
        <v>30</v>
      </c>
      <c r="E1770" s="247">
        <v>7</v>
      </c>
      <c r="F1770" s="242" t="s">
        <v>504</v>
      </c>
      <c r="G1770" s="242">
        <v>4.5999999999999996</v>
      </c>
      <c r="H1770" s="230">
        <f t="shared" si="38"/>
        <v>32.199999999999996</v>
      </c>
    </row>
    <row r="1771" spans="1:8" ht="15.75" x14ac:dyDescent="0.25">
      <c r="A1771" s="244">
        <v>1998</v>
      </c>
      <c r="B1771" s="245" t="s">
        <v>19</v>
      </c>
      <c r="C1771" s="246" t="s">
        <v>20</v>
      </c>
      <c r="D1771" s="245" t="s">
        <v>30</v>
      </c>
      <c r="E1771" s="247">
        <v>8</v>
      </c>
      <c r="F1771" s="242" t="s">
        <v>504</v>
      </c>
      <c r="G1771" s="242">
        <v>4.5999999999999996</v>
      </c>
      <c r="H1771" s="230">
        <f t="shared" si="38"/>
        <v>36.799999999999997</v>
      </c>
    </row>
    <row r="1772" spans="1:8" ht="15.75" x14ac:dyDescent="0.25">
      <c r="A1772" s="244">
        <v>1998</v>
      </c>
      <c r="B1772" s="245" t="s">
        <v>19</v>
      </c>
      <c r="C1772" s="246" t="s">
        <v>20</v>
      </c>
      <c r="D1772" s="245" t="s">
        <v>30</v>
      </c>
      <c r="E1772" s="247">
        <v>11</v>
      </c>
      <c r="F1772" s="242" t="s">
        <v>504</v>
      </c>
      <c r="G1772" s="242">
        <v>4.5999999999999996</v>
      </c>
      <c r="H1772" s="230">
        <f t="shared" si="38"/>
        <v>50.599999999999994</v>
      </c>
    </row>
    <row r="1773" spans="1:8" ht="15.75" x14ac:dyDescent="0.25">
      <c r="A1773" s="244">
        <v>1998</v>
      </c>
      <c r="B1773" s="245" t="s">
        <v>19</v>
      </c>
      <c r="C1773" s="246" t="s">
        <v>20</v>
      </c>
      <c r="D1773" s="245" t="s">
        <v>30</v>
      </c>
      <c r="E1773" s="247">
        <v>14</v>
      </c>
      <c r="F1773" s="242" t="s">
        <v>504</v>
      </c>
      <c r="G1773" s="242">
        <v>4.5999999999999996</v>
      </c>
      <c r="H1773" s="230">
        <f t="shared" si="38"/>
        <v>64.399999999999991</v>
      </c>
    </row>
    <row r="1774" spans="1:8" ht="15.75" x14ac:dyDescent="0.25">
      <c r="A1774" s="244">
        <v>1998</v>
      </c>
      <c r="B1774" s="245" t="s">
        <v>19</v>
      </c>
      <c r="C1774" s="246" t="s">
        <v>20</v>
      </c>
      <c r="D1774" s="245" t="s">
        <v>30</v>
      </c>
      <c r="E1774" s="247">
        <v>12</v>
      </c>
      <c r="F1774" s="242" t="s">
        <v>504</v>
      </c>
      <c r="G1774" s="242">
        <v>4.5999999999999996</v>
      </c>
      <c r="H1774" s="230">
        <f t="shared" si="38"/>
        <v>55.199999999999996</v>
      </c>
    </row>
    <row r="1775" spans="1:8" ht="15.75" x14ac:dyDescent="0.25">
      <c r="A1775" s="244">
        <v>1998</v>
      </c>
      <c r="B1775" s="245" t="s">
        <v>19</v>
      </c>
      <c r="C1775" s="246" t="s">
        <v>20</v>
      </c>
      <c r="D1775" s="245" t="s">
        <v>30</v>
      </c>
      <c r="E1775" s="247">
        <v>11.8</v>
      </c>
      <c r="F1775" s="242" t="s">
        <v>504</v>
      </c>
      <c r="G1775" s="242">
        <v>4.5999999999999996</v>
      </c>
      <c r="H1775" s="230">
        <f t="shared" si="38"/>
        <v>54.28</v>
      </c>
    </row>
    <row r="1776" spans="1:8" ht="15.75" x14ac:dyDescent="0.25">
      <c r="A1776" s="244">
        <v>1998</v>
      </c>
      <c r="B1776" s="245" t="s">
        <v>19</v>
      </c>
      <c r="C1776" s="246" t="s">
        <v>20</v>
      </c>
      <c r="D1776" s="245" t="s">
        <v>30</v>
      </c>
      <c r="E1776" s="247">
        <v>15.4</v>
      </c>
      <c r="F1776" s="242" t="s">
        <v>504</v>
      </c>
      <c r="G1776" s="242">
        <v>4.5999999999999996</v>
      </c>
      <c r="H1776" s="230">
        <f t="shared" si="38"/>
        <v>70.839999999999989</v>
      </c>
    </row>
    <row r="1777" spans="1:8" ht="15.75" x14ac:dyDescent="0.25">
      <c r="A1777" s="244">
        <v>1998</v>
      </c>
      <c r="B1777" s="245" t="s">
        <v>19</v>
      </c>
      <c r="C1777" s="246" t="s">
        <v>20</v>
      </c>
      <c r="D1777" s="245" t="s">
        <v>30</v>
      </c>
      <c r="E1777" s="247">
        <v>12</v>
      </c>
      <c r="F1777" s="242" t="s">
        <v>504</v>
      </c>
      <c r="G1777" s="242">
        <v>4.5999999999999996</v>
      </c>
      <c r="H1777" s="230">
        <f t="shared" si="38"/>
        <v>55.199999999999996</v>
      </c>
    </row>
    <row r="1778" spans="1:8" ht="15.75" x14ac:dyDescent="0.25">
      <c r="A1778" s="244">
        <v>1998</v>
      </c>
      <c r="B1778" s="245" t="s">
        <v>19</v>
      </c>
      <c r="C1778" s="246" t="s">
        <v>20</v>
      </c>
      <c r="D1778" s="245" t="s">
        <v>30</v>
      </c>
      <c r="E1778" s="247">
        <v>12</v>
      </c>
      <c r="F1778" s="242" t="s">
        <v>504</v>
      </c>
      <c r="G1778" s="242">
        <v>4.5999999999999996</v>
      </c>
      <c r="H1778" s="230">
        <f t="shared" si="38"/>
        <v>55.199999999999996</v>
      </c>
    </row>
    <row r="1779" spans="1:8" ht="15.75" x14ac:dyDescent="0.25">
      <c r="A1779" s="244">
        <v>1998</v>
      </c>
      <c r="B1779" s="245" t="s">
        <v>19</v>
      </c>
      <c r="C1779" s="246" t="s">
        <v>20</v>
      </c>
      <c r="D1779" s="245" t="s">
        <v>30</v>
      </c>
      <c r="E1779" s="247">
        <v>7.5</v>
      </c>
      <c r="F1779" s="242" t="s">
        <v>504</v>
      </c>
      <c r="G1779" s="242">
        <v>4.5999999999999996</v>
      </c>
      <c r="H1779" s="230">
        <f t="shared" si="38"/>
        <v>34.5</v>
      </c>
    </row>
    <row r="1780" spans="1:8" ht="15.75" x14ac:dyDescent="0.25">
      <c r="A1780" s="244">
        <v>1998</v>
      </c>
      <c r="B1780" s="245" t="s">
        <v>19</v>
      </c>
      <c r="C1780" s="246" t="s">
        <v>20</v>
      </c>
      <c r="D1780" s="245" t="s">
        <v>30</v>
      </c>
      <c r="E1780" s="247">
        <v>13.7</v>
      </c>
      <c r="F1780" s="242" t="s">
        <v>504</v>
      </c>
      <c r="G1780" s="242">
        <v>4.5999999999999996</v>
      </c>
      <c r="H1780" s="230">
        <f t="shared" si="38"/>
        <v>63.019999999999989</v>
      </c>
    </row>
    <row r="1781" spans="1:8" ht="15.75" x14ac:dyDescent="0.25">
      <c r="A1781" s="244">
        <v>1998</v>
      </c>
      <c r="B1781" s="245" t="s">
        <v>19</v>
      </c>
      <c r="C1781" s="246" t="s">
        <v>20</v>
      </c>
      <c r="D1781" s="245" t="s">
        <v>30</v>
      </c>
      <c r="E1781" s="247">
        <v>12.5</v>
      </c>
      <c r="F1781" s="242" t="s">
        <v>504</v>
      </c>
      <c r="G1781" s="242">
        <v>4.5999999999999996</v>
      </c>
      <c r="H1781" s="230">
        <f t="shared" si="38"/>
        <v>57.499999999999993</v>
      </c>
    </row>
    <row r="1782" spans="1:8" ht="15.75" x14ac:dyDescent="0.25">
      <c r="A1782" s="244">
        <v>1998</v>
      </c>
      <c r="B1782" s="245" t="s">
        <v>19</v>
      </c>
      <c r="C1782" s="246" t="s">
        <v>20</v>
      </c>
      <c r="D1782" s="245" t="s">
        <v>30</v>
      </c>
      <c r="E1782" s="247">
        <v>9.8000000000000007</v>
      </c>
      <c r="F1782" s="242" t="s">
        <v>504</v>
      </c>
      <c r="G1782" s="242">
        <v>4.5999999999999996</v>
      </c>
      <c r="H1782" s="230">
        <f t="shared" si="38"/>
        <v>45.08</v>
      </c>
    </row>
    <row r="1783" spans="1:8" ht="15.75" x14ac:dyDescent="0.25">
      <c r="A1783" s="244">
        <v>1998</v>
      </c>
      <c r="B1783" s="245" t="s">
        <v>19</v>
      </c>
      <c r="C1783" s="246" t="s">
        <v>20</v>
      </c>
      <c r="D1783" s="245" t="s">
        <v>30</v>
      </c>
      <c r="E1783" s="247">
        <v>13</v>
      </c>
      <c r="F1783" s="242" t="s">
        <v>504</v>
      </c>
      <c r="G1783" s="242">
        <v>4.5999999999999996</v>
      </c>
      <c r="H1783" s="230">
        <f t="shared" si="38"/>
        <v>59.8</v>
      </c>
    </row>
    <row r="1784" spans="1:8" ht="15.75" x14ac:dyDescent="0.25">
      <c r="A1784" s="244">
        <v>1998</v>
      </c>
      <c r="B1784" s="245" t="s">
        <v>19</v>
      </c>
      <c r="C1784" s="246" t="s">
        <v>20</v>
      </c>
      <c r="D1784" s="245" t="s">
        <v>35</v>
      </c>
      <c r="E1784" s="247">
        <v>11</v>
      </c>
      <c r="F1784" s="242" t="s">
        <v>507</v>
      </c>
      <c r="G1784" s="242">
        <v>3.9</v>
      </c>
      <c r="H1784" s="230">
        <f t="shared" si="38"/>
        <v>42.9</v>
      </c>
    </row>
    <row r="1785" spans="1:8" ht="15.75" x14ac:dyDescent="0.25">
      <c r="A1785" s="244">
        <v>1998</v>
      </c>
      <c r="B1785" s="245" t="s">
        <v>19</v>
      </c>
      <c r="C1785" s="246" t="s">
        <v>20</v>
      </c>
      <c r="D1785" s="245" t="s">
        <v>35</v>
      </c>
      <c r="E1785" s="247">
        <v>5.3</v>
      </c>
      <c r="F1785" s="242" t="s">
        <v>507</v>
      </c>
      <c r="G1785" s="242">
        <v>3.9</v>
      </c>
      <c r="H1785" s="230">
        <f t="shared" si="38"/>
        <v>20.669999999999998</v>
      </c>
    </row>
    <row r="1786" spans="1:8" ht="15.75" x14ac:dyDescent="0.25">
      <c r="A1786" s="244">
        <v>1998</v>
      </c>
      <c r="B1786" s="245" t="s">
        <v>19</v>
      </c>
      <c r="C1786" s="246" t="s">
        <v>20</v>
      </c>
      <c r="D1786" s="245" t="s">
        <v>35</v>
      </c>
      <c r="E1786" s="247">
        <v>7.5</v>
      </c>
      <c r="F1786" s="242" t="s">
        <v>507</v>
      </c>
      <c r="G1786" s="242">
        <v>3.9</v>
      </c>
      <c r="H1786" s="230">
        <f t="shared" si="38"/>
        <v>29.25</v>
      </c>
    </row>
    <row r="1787" spans="1:8" ht="15.75" x14ac:dyDescent="0.25">
      <c r="A1787" s="244">
        <v>1998</v>
      </c>
      <c r="B1787" s="245" t="s">
        <v>19</v>
      </c>
      <c r="C1787" s="246" t="s">
        <v>20</v>
      </c>
      <c r="D1787" s="245" t="s">
        <v>35</v>
      </c>
      <c r="E1787" s="247">
        <v>5.5</v>
      </c>
      <c r="F1787" s="242" t="s">
        <v>507</v>
      </c>
      <c r="G1787" s="242">
        <v>3.9</v>
      </c>
      <c r="H1787" s="230">
        <f t="shared" si="38"/>
        <v>21.45</v>
      </c>
    </row>
    <row r="1788" spans="1:8" ht="15.75" x14ac:dyDescent="0.25">
      <c r="A1788" s="244">
        <v>1998</v>
      </c>
      <c r="B1788" s="245" t="s">
        <v>19</v>
      </c>
      <c r="C1788" s="246" t="s">
        <v>20</v>
      </c>
      <c r="D1788" s="245" t="s">
        <v>35</v>
      </c>
      <c r="E1788" s="247">
        <v>7.5</v>
      </c>
      <c r="F1788" s="242" t="s">
        <v>507</v>
      </c>
      <c r="G1788" s="242">
        <v>3.9</v>
      </c>
      <c r="H1788" s="230">
        <f t="shared" si="38"/>
        <v>29.25</v>
      </c>
    </row>
    <row r="1789" spans="1:8" ht="15.75" x14ac:dyDescent="0.25">
      <c r="A1789" s="244">
        <v>1998</v>
      </c>
      <c r="B1789" s="245" t="s">
        <v>19</v>
      </c>
      <c r="C1789" s="246" t="s">
        <v>20</v>
      </c>
      <c r="D1789" s="245" t="s">
        <v>35</v>
      </c>
      <c r="E1789" s="247">
        <v>11</v>
      </c>
      <c r="F1789" s="242" t="s">
        <v>507</v>
      </c>
      <c r="G1789" s="242">
        <v>3.9</v>
      </c>
      <c r="H1789" s="230">
        <f t="shared" si="38"/>
        <v>42.9</v>
      </c>
    </row>
    <row r="1790" spans="1:8" ht="15.75" x14ac:dyDescent="0.25">
      <c r="A1790" s="244">
        <v>1998</v>
      </c>
      <c r="B1790" s="245" t="s">
        <v>19</v>
      </c>
      <c r="C1790" s="246" t="s">
        <v>20</v>
      </c>
      <c r="D1790" s="245" t="s">
        <v>35</v>
      </c>
      <c r="E1790" s="247">
        <v>6.7</v>
      </c>
      <c r="F1790" s="242" t="s">
        <v>507</v>
      </c>
      <c r="G1790" s="242">
        <v>3.9</v>
      </c>
      <c r="H1790" s="230">
        <f t="shared" si="38"/>
        <v>26.13</v>
      </c>
    </row>
    <row r="1791" spans="1:8" ht="15.75" x14ac:dyDescent="0.25">
      <c r="A1791" s="244">
        <v>1998</v>
      </c>
      <c r="B1791" s="245" t="s">
        <v>19</v>
      </c>
      <c r="C1791" s="246" t="s">
        <v>20</v>
      </c>
      <c r="D1791" s="245" t="s">
        <v>35</v>
      </c>
      <c r="E1791" s="247">
        <v>10.5</v>
      </c>
      <c r="F1791" s="242" t="s">
        <v>507</v>
      </c>
      <c r="G1791" s="242">
        <v>3.9</v>
      </c>
      <c r="H1791" s="230">
        <f t="shared" si="38"/>
        <v>40.949999999999996</v>
      </c>
    </row>
    <row r="1792" spans="1:8" ht="15.75" x14ac:dyDescent="0.25">
      <c r="A1792" s="244">
        <v>1998</v>
      </c>
      <c r="B1792" s="245" t="s">
        <v>19</v>
      </c>
      <c r="C1792" s="246" t="s">
        <v>20</v>
      </c>
      <c r="D1792" s="245" t="s">
        <v>35</v>
      </c>
      <c r="E1792" s="247">
        <v>10.5</v>
      </c>
      <c r="F1792" s="242" t="s">
        <v>507</v>
      </c>
      <c r="G1792" s="242">
        <v>3.9</v>
      </c>
      <c r="H1792" s="230">
        <f t="shared" si="38"/>
        <v>40.949999999999996</v>
      </c>
    </row>
    <row r="1793" spans="1:8" ht="15.75" x14ac:dyDescent="0.25">
      <c r="A1793" s="244">
        <v>1998</v>
      </c>
      <c r="B1793" s="245" t="s">
        <v>19</v>
      </c>
      <c r="C1793" s="246" t="s">
        <v>20</v>
      </c>
      <c r="D1793" s="245" t="s">
        <v>35</v>
      </c>
      <c r="E1793" s="247">
        <v>5</v>
      </c>
      <c r="F1793" s="242" t="s">
        <v>507</v>
      </c>
      <c r="G1793" s="242">
        <v>3.9</v>
      </c>
      <c r="H1793" s="230">
        <f t="shared" si="38"/>
        <v>19.5</v>
      </c>
    </row>
    <row r="1794" spans="1:8" ht="15.75" x14ac:dyDescent="0.25">
      <c r="A1794" s="244">
        <v>1998</v>
      </c>
      <c r="B1794" s="245" t="s">
        <v>19</v>
      </c>
      <c r="C1794" s="246" t="s">
        <v>20</v>
      </c>
      <c r="D1794" s="245" t="s">
        <v>35</v>
      </c>
      <c r="E1794" s="247">
        <v>6.5</v>
      </c>
      <c r="F1794" s="242" t="s">
        <v>507</v>
      </c>
      <c r="G1794" s="242">
        <v>3.9</v>
      </c>
      <c r="H1794" s="230">
        <f t="shared" si="38"/>
        <v>25.349999999999998</v>
      </c>
    </row>
    <row r="1795" spans="1:8" ht="15.75" x14ac:dyDescent="0.25">
      <c r="A1795" s="244">
        <v>1998</v>
      </c>
      <c r="B1795" s="245" t="s">
        <v>19</v>
      </c>
      <c r="C1795" s="246" t="s">
        <v>20</v>
      </c>
      <c r="D1795" s="245" t="s">
        <v>35</v>
      </c>
      <c r="E1795" s="247">
        <v>7</v>
      </c>
      <c r="F1795" s="242" t="s">
        <v>507</v>
      </c>
      <c r="G1795" s="242">
        <v>3.9</v>
      </c>
      <c r="H1795" s="230">
        <f t="shared" ref="H1795:H1858" si="39">E1795*G1795</f>
        <v>27.3</v>
      </c>
    </row>
    <row r="1796" spans="1:8" ht="15.75" x14ac:dyDescent="0.25">
      <c r="A1796" s="244">
        <v>1998</v>
      </c>
      <c r="B1796" s="245" t="s">
        <v>19</v>
      </c>
      <c r="C1796" s="246" t="s">
        <v>20</v>
      </c>
      <c r="D1796" s="245" t="s">
        <v>21</v>
      </c>
      <c r="E1796" s="247">
        <v>7.5</v>
      </c>
      <c r="F1796" s="242" t="s">
        <v>507</v>
      </c>
      <c r="G1796" s="242">
        <v>3.9</v>
      </c>
      <c r="H1796" s="230">
        <f t="shared" si="39"/>
        <v>29.25</v>
      </c>
    </row>
    <row r="1797" spans="1:8" ht="15.75" x14ac:dyDescent="0.25">
      <c r="A1797" s="244">
        <v>1998</v>
      </c>
      <c r="B1797" s="245" t="s">
        <v>19</v>
      </c>
      <c r="C1797" s="246" t="s">
        <v>20</v>
      </c>
      <c r="D1797" s="245" t="s">
        <v>21</v>
      </c>
      <c r="E1797" s="247">
        <v>11.5</v>
      </c>
      <c r="F1797" s="242" t="s">
        <v>507</v>
      </c>
      <c r="G1797" s="242">
        <v>3.9</v>
      </c>
      <c r="H1797" s="230">
        <f t="shared" si="39"/>
        <v>44.85</v>
      </c>
    </row>
    <row r="1798" spans="1:8" ht="15.75" x14ac:dyDescent="0.25">
      <c r="A1798" s="244">
        <v>1998</v>
      </c>
      <c r="B1798" s="245" t="s">
        <v>19</v>
      </c>
      <c r="C1798" s="246" t="s">
        <v>20</v>
      </c>
      <c r="D1798" s="245" t="s">
        <v>21</v>
      </c>
      <c r="E1798" s="247">
        <v>12</v>
      </c>
      <c r="F1798" s="242" t="s">
        <v>507</v>
      </c>
      <c r="G1798" s="242">
        <v>3.9</v>
      </c>
      <c r="H1798" s="230">
        <f t="shared" si="39"/>
        <v>46.8</v>
      </c>
    </row>
    <row r="1799" spans="1:8" ht="15.75" x14ac:dyDescent="0.25">
      <c r="A1799" s="244">
        <v>1998</v>
      </c>
      <c r="B1799" s="245" t="s">
        <v>19</v>
      </c>
      <c r="C1799" s="246" t="s">
        <v>20</v>
      </c>
      <c r="D1799" s="245" t="s">
        <v>21</v>
      </c>
      <c r="E1799" s="247">
        <v>21</v>
      </c>
      <c r="F1799" s="242" t="s">
        <v>507</v>
      </c>
      <c r="G1799" s="242">
        <v>3.9</v>
      </c>
      <c r="H1799" s="230">
        <f t="shared" si="39"/>
        <v>81.899999999999991</v>
      </c>
    </row>
    <row r="1800" spans="1:8" ht="15.75" x14ac:dyDescent="0.25">
      <c r="A1800" s="244">
        <v>1998</v>
      </c>
      <c r="B1800" s="245" t="s">
        <v>19</v>
      </c>
      <c r="C1800" s="246" t="s">
        <v>20</v>
      </c>
      <c r="D1800" s="245" t="s">
        <v>21</v>
      </c>
      <c r="E1800" s="247">
        <v>11.5</v>
      </c>
      <c r="F1800" s="242" t="s">
        <v>507</v>
      </c>
      <c r="G1800" s="242">
        <v>3.9</v>
      </c>
      <c r="H1800" s="230">
        <f t="shared" si="39"/>
        <v>44.85</v>
      </c>
    </row>
    <row r="1801" spans="1:8" ht="15.75" x14ac:dyDescent="0.25">
      <c r="A1801" s="244">
        <v>1998</v>
      </c>
      <c r="B1801" s="245" t="s">
        <v>19</v>
      </c>
      <c r="C1801" s="246" t="s">
        <v>20</v>
      </c>
      <c r="D1801" s="245" t="s">
        <v>21</v>
      </c>
      <c r="E1801" s="247">
        <v>8.5</v>
      </c>
      <c r="F1801" s="242" t="s">
        <v>507</v>
      </c>
      <c r="G1801" s="242">
        <v>3.9</v>
      </c>
      <c r="H1801" s="230">
        <f t="shared" si="39"/>
        <v>33.15</v>
      </c>
    </row>
    <row r="1802" spans="1:8" ht="15.75" x14ac:dyDescent="0.25">
      <c r="A1802" s="244">
        <v>1998</v>
      </c>
      <c r="B1802" s="245" t="s">
        <v>19</v>
      </c>
      <c r="C1802" s="246" t="s">
        <v>20</v>
      </c>
      <c r="D1802" s="245" t="s">
        <v>21</v>
      </c>
      <c r="E1802" s="247">
        <v>6</v>
      </c>
      <c r="F1802" s="242" t="s">
        <v>507</v>
      </c>
      <c r="G1802" s="242">
        <v>3.9</v>
      </c>
      <c r="H1802" s="230">
        <f t="shared" si="39"/>
        <v>23.4</v>
      </c>
    </row>
    <row r="1803" spans="1:8" ht="15.75" x14ac:dyDescent="0.25">
      <c r="A1803" s="244">
        <v>1998</v>
      </c>
      <c r="B1803" s="245" t="s">
        <v>19</v>
      </c>
      <c r="C1803" s="246" t="s">
        <v>20</v>
      </c>
      <c r="D1803" s="245" t="s">
        <v>21</v>
      </c>
      <c r="E1803" s="247">
        <v>6</v>
      </c>
      <c r="F1803" s="242" t="s">
        <v>507</v>
      </c>
      <c r="G1803" s="242">
        <v>3.9</v>
      </c>
      <c r="H1803" s="230">
        <f t="shared" si="39"/>
        <v>23.4</v>
      </c>
    </row>
    <row r="1804" spans="1:8" ht="15.75" x14ac:dyDescent="0.25">
      <c r="A1804" s="244">
        <v>1998</v>
      </c>
      <c r="B1804" s="245" t="s">
        <v>19</v>
      </c>
      <c r="C1804" s="246" t="s">
        <v>20</v>
      </c>
      <c r="D1804" s="245" t="s">
        <v>21</v>
      </c>
      <c r="E1804" s="247">
        <v>12</v>
      </c>
      <c r="F1804" s="242" t="s">
        <v>507</v>
      </c>
      <c r="G1804" s="242">
        <v>3.9</v>
      </c>
      <c r="H1804" s="230">
        <f t="shared" si="39"/>
        <v>46.8</v>
      </c>
    </row>
    <row r="1805" spans="1:8" ht="15.75" x14ac:dyDescent="0.25">
      <c r="A1805" s="244">
        <v>1998</v>
      </c>
      <c r="B1805" s="245" t="s">
        <v>19</v>
      </c>
      <c r="C1805" s="246" t="s">
        <v>20</v>
      </c>
      <c r="D1805" s="245" t="s">
        <v>21</v>
      </c>
      <c r="E1805" s="247">
        <v>9.5</v>
      </c>
      <c r="F1805" s="242" t="s">
        <v>507</v>
      </c>
      <c r="G1805" s="242">
        <v>3.9</v>
      </c>
      <c r="H1805" s="230">
        <f t="shared" si="39"/>
        <v>37.049999999999997</v>
      </c>
    </row>
    <row r="1806" spans="1:8" ht="15.75" x14ac:dyDescent="0.25">
      <c r="A1806" s="244">
        <v>1998</v>
      </c>
      <c r="B1806" s="245" t="s">
        <v>19</v>
      </c>
      <c r="C1806" s="246" t="s">
        <v>20</v>
      </c>
      <c r="D1806" s="245" t="s">
        <v>21</v>
      </c>
      <c r="E1806" s="247">
        <v>10.8</v>
      </c>
      <c r="F1806" s="242" t="s">
        <v>507</v>
      </c>
      <c r="G1806" s="242">
        <v>3.9</v>
      </c>
      <c r="H1806" s="230">
        <f t="shared" si="39"/>
        <v>42.120000000000005</v>
      </c>
    </row>
    <row r="1807" spans="1:8" ht="15.75" x14ac:dyDescent="0.25">
      <c r="A1807" s="244">
        <v>1998</v>
      </c>
      <c r="B1807" s="245" t="s">
        <v>19</v>
      </c>
      <c r="C1807" s="246" t="s">
        <v>20</v>
      </c>
      <c r="D1807" s="245" t="s">
        <v>21</v>
      </c>
      <c r="E1807" s="247">
        <v>11.5</v>
      </c>
      <c r="F1807" s="242" t="s">
        <v>507</v>
      </c>
      <c r="G1807" s="242">
        <v>3.9</v>
      </c>
      <c r="H1807" s="230">
        <f t="shared" si="39"/>
        <v>44.85</v>
      </c>
    </row>
    <row r="1808" spans="1:8" ht="15.75" x14ac:dyDescent="0.25">
      <c r="A1808" s="244">
        <v>1998</v>
      </c>
      <c r="B1808" s="245" t="s">
        <v>19</v>
      </c>
      <c r="C1808" s="246" t="s">
        <v>20</v>
      </c>
      <c r="D1808" s="245" t="s">
        <v>21</v>
      </c>
      <c r="E1808" s="247">
        <v>11</v>
      </c>
      <c r="F1808" s="242" t="s">
        <v>507</v>
      </c>
      <c r="G1808" s="242">
        <v>3.9</v>
      </c>
      <c r="H1808" s="230">
        <f t="shared" si="39"/>
        <v>42.9</v>
      </c>
    </row>
    <row r="1809" spans="1:8" ht="15.75" x14ac:dyDescent="0.25">
      <c r="A1809" s="244">
        <v>1998</v>
      </c>
      <c r="B1809" s="245" t="s">
        <v>19</v>
      </c>
      <c r="C1809" s="246" t="s">
        <v>20</v>
      </c>
      <c r="D1809" s="245" t="s">
        <v>21</v>
      </c>
      <c r="E1809" s="247">
        <v>14.5</v>
      </c>
      <c r="F1809" s="242" t="s">
        <v>507</v>
      </c>
      <c r="G1809" s="242">
        <v>3.9</v>
      </c>
      <c r="H1809" s="230">
        <f t="shared" si="39"/>
        <v>56.55</v>
      </c>
    </row>
    <row r="1810" spans="1:8" ht="15.75" x14ac:dyDescent="0.25">
      <c r="A1810" s="244">
        <v>1998</v>
      </c>
      <c r="B1810" s="245" t="s">
        <v>19</v>
      </c>
      <c r="C1810" s="246" t="s">
        <v>20</v>
      </c>
      <c r="D1810" s="245" t="s">
        <v>21</v>
      </c>
      <c r="E1810" s="247">
        <v>21.5</v>
      </c>
      <c r="F1810" s="242" t="s">
        <v>507</v>
      </c>
      <c r="G1810" s="242">
        <v>3.9</v>
      </c>
      <c r="H1810" s="230">
        <f t="shared" si="39"/>
        <v>83.85</v>
      </c>
    </row>
    <row r="1811" spans="1:8" ht="15.75" x14ac:dyDescent="0.25">
      <c r="A1811" s="244">
        <v>1998</v>
      </c>
      <c r="B1811" s="245" t="s">
        <v>19</v>
      </c>
      <c r="C1811" s="246" t="s">
        <v>20</v>
      </c>
      <c r="D1811" s="245" t="s">
        <v>21</v>
      </c>
      <c r="E1811" s="247">
        <v>10</v>
      </c>
      <c r="F1811" s="242" t="s">
        <v>507</v>
      </c>
      <c r="G1811" s="242">
        <v>3.9</v>
      </c>
      <c r="H1811" s="230">
        <f t="shared" si="39"/>
        <v>39</v>
      </c>
    </row>
    <row r="1812" spans="1:8" ht="15.75" x14ac:dyDescent="0.25">
      <c r="A1812" s="244">
        <v>1998</v>
      </c>
      <c r="B1812" s="245" t="s">
        <v>19</v>
      </c>
      <c r="C1812" s="246" t="s">
        <v>20</v>
      </c>
      <c r="D1812" s="245" t="s">
        <v>21</v>
      </c>
      <c r="E1812" s="247">
        <v>9.5</v>
      </c>
      <c r="F1812" s="242" t="s">
        <v>507</v>
      </c>
      <c r="G1812" s="242">
        <v>3.9</v>
      </c>
      <c r="H1812" s="230">
        <f t="shared" si="39"/>
        <v>37.049999999999997</v>
      </c>
    </row>
    <row r="1813" spans="1:8" ht="15.75" x14ac:dyDescent="0.25">
      <c r="A1813" s="244">
        <v>1998</v>
      </c>
      <c r="B1813" s="245" t="s">
        <v>19</v>
      </c>
      <c r="C1813" s="246" t="s">
        <v>20</v>
      </c>
      <c r="D1813" s="245" t="s">
        <v>21</v>
      </c>
      <c r="E1813" s="247">
        <v>11</v>
      </c>
      <c r="F1813" s="242" t="s">
        <v>507</v>
      </c>
      <c r="G1813" s="242">
        <v>3.9</v>
      </c>
      <c r="H1813" s="230">
        <f t="shared" si="39"/>
        <v>42.9</v>
      </c>
    </row>
    <row r="1814" spans="1:8" ht="15.75" x14ac:dyDescent="0.25">
      <c r="A1814" s="244">
        <v>1998</v>
      </c>
      <c r="B1814" s="245" t="s">
        <v>19</v>
      </c>
      <c r="C1814" s="246" t="s">
        <v>20</v>
      </c>
      <c r="D1814" s="245" t="s">
        <v>21</v>
      </c>
      <c r="E1814" s="247">
        <v>14</v>
      </c>
      <c r="F1814" s="242" t="s">
        <v>507</v>
      </c>
      <c r="G1814" s="242">
        <v>3.9</v>
      </c>
      <c r="H1814" s="230">
        <f t="shared" si="39"/>
        <v>54.6</v>
      </c>
    </row>
    <row r="1815" spans="1:8" ht="15.75" x14ac:dyDescent="0.25">
      <c r="A1815" s="244">
        <v>1998</v>
      </c>
      <c r="B1815" s="245" t="s">
        <v>19</v>
      </c>
      <c r="C1815" s="246" t="s">
        <v>20</v>
      </c>
      <c r="D1815" s="245" t="s">
        <v>21</v>
      </c>
      <c r="E1815" s="247">
        <v>16</v>
      </c>
      <c r="F1815" s="242" t="s">
        <v>507</v>
      </c>
      <c r="G1815" s="242">
        <v>3.9</v>
      </c>
      <c r="H1815" s="230">
        <f t="shared" si="39"/>
        <v>62.4</v>
      </c>
    </row>
    <row r="1816" spans="1:8" ht="15.75" x14ac:dyDescent="0.25">
      <c r="A1816" s="244">
        <v>1998</v>
      </c>
      <c r="B1816" s="245" t="s">
        <v>19</v>
      </c>
      <c r="C1816" s="246" t="s">
        <v>20</v>
      </c>
      <c r="D1816" s="245" t="s">
        <v>21</v>
      </c>
      <c r="E1816" s="247">
        <v>3.2</v>
      </c>
      <c r="F1816" s="242" t="s">
        <v>507</v>
      </c>
      <c r="G1816" s="242">
        <v>3.9</v>
      </c>
      <c r="H1816" s="230">
        <f t="shared" si="39"/>
        <v>12.48</v>
      </c>
    </row>
    <row r="1817" spans="1:8" ht="15.75" x14ac:dyDescent="0.25">
      <c r="A1817" s="244">
        <v>1998</v>
      </c>
      <c r="B1817" s="245" t="s">
        <v>19</v>
      </c>
      <c r="C1817" s="246" t="s">
        <v>20</v>
      </c>
      <c r="D1817" s="245" t="s">
        <v>21</v>
      </c>
      <c r="E1817" s="247">
        <v>9.3000000000000007</v>
      </c>
      <c r="F1817" s="242" t="s">
        <v>507</v>
      </c>
      <c r="G1817" s="242">
        <v>3.9</v>
      </c>
      <c r="H1817" s="230">
        <f t="shared" si="39"/>
        <v>36.270000000000003</v>
      </c>
    </row>
    <row r="1818" spans="1:8" ht="15.75" x14ac:dyDescent="0.25">
      <c r="A1818" s="244">
        <v>1998</v>
      </c>
      <c r="B1818" s="245" t="s">
        <v>19</v>
      </c>
      <c r="C1818" s="246" t="s">
        <v>20</v>
      </c>
      <c r="D1818" s="245" t="s">
        <v>21</v>
      </c>
      <c r="E1818" s="247">
        <v>10.5</v>
      </c>
      <c r="F1818" s="242" t="s">
        <v>507</v>
      </c>
      <c r="G1818" s="242">
        <v>3.9</v>
      </c>
      <c r="H1818" s="230">
        <f t="shared" si="39"/>
        <v>40.949999999999996</v>
      </c>
    </row>
    <row r="1819" spans="1:8" ht="15.75" x14ac:dyDescent="0.25">
      <c r="A1819" s="244">
        <v>1998</v>
      </c>
      <c r="B1819" s="245" t="s">
        <v>19</v>
      </c>
      <c r="C1819" s="246" t="s">
        <v>20</v>
      </c>
      <c r="D1819" s="245" t="s">
        <v>21</v>
      </c>
      <c r="E1819" s="247">
        <v>12.5</v>
      </c>
      <c r="F1819" s="242" t="s">
        <v>507</v>
      </c>
      <c r="G1819" s="242">
        <v>3.9</v>
      </c>
      <c r="H1819" s="230">
        <f t="shared" si="39"/>
        <v>48.75</v>
      </c>
    </row>
    <row r="1820" spans="1:8" ht="15.75" x14ac:dyDescent="0.25">
      <c r="A1820" s="244">
        <v>1998</v>
      </c>
      <c r="B1820" s="245" t="s">
        <v>19</v>
      </c>
      <c r="C1820" s="246" t="s">
        <v>20</v>
      </c>
      <c r="D1820" s="245" t="s">
        <v>21</v>
      </c>
      <c r="E1820" s="247">
        <v>12</v>
      </c>
      <c r="F1820" s="242" t="s">
        <v>507</v>
      </c>
      <c r="G1820" s="242">
        <v>3.9</v>
      </c>
      <c r="H1820" s="230">
        <f t="shared" si="39"/>
        <v>46.8</v>
      </c>
    </row>
    <row r="1821" spans="1:8" ht="15.75" x14ac:dyDescent="0.25">
      <c r="A1821" s="244">
        <v>1998</v>
      </c>
      <c r="B1821" s="245" t="s">
        <v>19</v>
      </c>
      <c r="C1821" s="246" t="s">
        <v>20</v>
      </c>
      <c r="D1821" s="245" t="s">
        <v>21</v>
      </c>
      <c r="E1821" s="247">
        <v>9.5</v>
      </c>
      <c r="F1821" s="242" t="s">
        <v>507</v>
      </c>
      <c r="G1821" s="242">
        <v>3.9</v>
      </c>
      <c r="H1821" s="230">
        <f t="shared" si="39"/>
        <v>37.049999999999997</v>
      </c>
    </row>
    <row r="1822" spans="1:8" ht="15.75" x14ac:dyDescent="0.25">
      <c r="A1822" s="244">
        <v>1998</v>
      </c>
      <c r="B1822" s="245" t="s">
        <v>19</v>
      </c>
      <c r="C1822" s="246" t="s">
        <v>20</v>
      </c>
      <c r="D1822" s="245" t="s">
        <v>21</v>
      </c>
      <c r="E1822" s="247">
        <v>16</v>
      </c>
      <c r="F1822" s="242" t="s">
        <v>507</v>
      </c>
      <c r="G1822" s="242">
        <v>3.9</v>
      </c>
      <c r="H1822" s="230">
        <f t="shared" si="39"/>
        <v>62.4</v>
      </c>
    </row>
    <row r="1823" spans="1:8" ht="15.75" x14ac:dyDescent="0.25">
      <c r="A1823" s="244">
        <v>1998</v>
      </c>
      <c r="B1823" s="245" t="s">
        <v>19</v>
      </c>
      <c r="C1823" s="246" t="s">
        <v>20</v>
      </c>
      <c r="D1823" s="245" t="s">
        <v>21</v>
      </c>
      <c r="E1823" s="247">
        <v>16.2</v>
      </c>
      <c r="F1823" s="242" t="s">
        <v>507</v>
      </c>
      <c r="G1823" s="242">
        <v>3.9</v>
      </c>
      <c r="H1823" s="230">
        <f t="shared" si="39"/>
        <v>63.179999999999993</v>
      </c>
    </row>
    <row r="1824" spans="1:8" ht="15.75" x14ac:dyDescent="0.25">
      <c r="A1824" s="244">
        <v>1998</v>
      </c>
      <c r="B1824" s="245" t="s">
        <v>19</v>
      </c>
      <c r="C1824" s="246" t="s">
        <v>20</v>
      </c>
      <c r="D1824" s="245" t="s">
        <v>21</v>
      </c>
      <c r="E1824" s="247">
        <v>15.5</v>
      </c>
      <c r="F1824" s="242" t="s">
        <v>507</v>
      </c>
      <c r="G1824" s="242">
        <v>3.9</v>
      </c>
      <c r="H1824" s="230">
        <f t="shared" si="39"/>
        <v>60.449999999999996</v>
      </c>
    </row>
    <row r="1825" spans="1:8" ht="15.75" x14ac:dyDescent="0.25">
      <c r="A1825" s="244">
        <v>1998</v>
      </c>
      <c r="B1825" s="245" t="s">
        <v>19</v>
      </c>
      <c r="C1825" s="246" t="s">
        <v>20</v>
      </c>
      <c r="D1825" s="245" t="s">
        <v>21</v>
      </c>
      <c r="E1825" s="247">
        <v>11.7</v>
      </c>
      <c r="F1825" s="242" t="s">
        <v>507</v>
      </c>
      <c r="G1825" s="242">
        <v>3.9</v>
      </c>
      <c r="H1825" s="230">
        <f t="shared" si="39"/>
        <v>45.629999999999995</v>
      </c>
    </row>
    <row r="1826" spans="1:8" ht="15.75" x14ac:dyDescent="0.25">
      <c r="A1826" s="244">
        <v>1998</v>
      </c>
      <c r="B1826" s="245" t="s">
        <v>19</v>
      </c>
      <c r="C1826" s="246" t="s">
        <v>20</v>
      </c>
      <c r="D1826" s="245" t="s">
        <v>21</v>
      </c>
      <c r="E1826" s="247">
        <v>14</v>
      </c>
      <c r="F1826" s="242" t="s">
        <v>507</v>
      </c>
      <c r="G1826" s="242">
        <v>3.9</v>
      </c>
      <c r="H1826" s="230">
        <f t="shared" si="39"/>
        <v>54.6</v>
      </c>
    </row>
    <row r="1827" spans="1:8" ht="15.75" x14ac:dyDescent="0.25">
      <c r="A1827" s="244">
        <v>1998</v>
      </c>
      <c r="B1827" s="245" t="s">
        <v>19</v>
      </c>
      <c r="C1827" s="246" t="s">
        <v>20</v>
      </c>
      <c r="D1827" s="245" t="s">
        <v>21</v>
      </c>
      <c r="E1827" s="247">
        <v>14</v>
      </c>
      <c r="F1827" s="242" t="s">
        <v>507</v>
      </c>
      <c r="G1827" s="242">
        <v>3.9</v>
      </c>
      <c r="H1827" s="230">
        <f t="shared" si="39"/>
        <v>54.6</v>
      </c>
    </row>
    <row r="1828" spans="1:8" ht="15.75" x14ac:dyDescent="0.25">
      <c r="A1828" s="244">
        <v>1998</v>
      </c>
      <c r="B1828" s="245" t="s">
        <v>19</v>
      </c>
      <c r="C1828" s="246" t="s">
        <v>20</v>
      </c>
      <c r="D1828" s="245" t="s">
        <v>21</v>
      </c>
      <c r="E1828" s="247">
        <v>14.5</v>
      </c>
      <c r="F1828" s="242" t="s">
        <v>507</v>
      </c>
      <c r="G1828" s="242">
        <v>3.9</v>
      </c>
      <c r="H1828" s="230">
        <f t="shared" si="39"/>
        <v>56.55</v>
      </c>
    </row>
    <row r="1829" spans="1:8" ht="15.75" x14ac:dyDescent="0.25">
      <c r="A1829" s="244">
        <v>1998</v>
      </c>
      <c r="B1829" s="245" t="s">
        <v>19</v>
      </c>
      <c r="C1829" s="246" t="s">
        <v>20</v>
      </c>
      <c r="D1829" s="245" t="s">
        <v>21</v>
      </c>
      <c r="E1829" s="247">
        <v>12</v>
      </c>
      <c r="F1829" s="242" t="s">
        <v>507</v>
      </c>
      <c r="G1829" s="242">
        <v>3.9</v>
      </c>
      <c r="H1829" s="230">
        <f t="shared" si="39"/>
        <v>46.8</v>
      </c>
    </row>
    <row r="1830" spans="1:8" ht="15.75" x14ac:dyDescent="0.25">
      <c r="A1830" s="244">
        <v>1998</v>
      </c>
      <c r="B1830" s="245" t="s">
        <v>19</v>
      </c>
      <c r="C1830" s="246" t="s">
        <v>20</v>
      </c>
      <c r="D1830" s="245" t="s">
        <v>21</v>
      </c>
      <c r="E1830" s="247">
        <v>8.5</v>
      </c>
      <c r="F1830" s="242" t="s">
        <v>507</v>
      </c>
      <c r="G1830" s="242">
        <v>3.9</v>
      </c>
      <c r="H1830" s="230">
        <f t="shared" si="39"/>
        <v>33.15</v>
      </c>
    </row>
    <row r="1831" spans="1:8" ht="15.75" x14ac:dyDescent="0.25">
      <c r="A1831" s="244">
        <v>1998</v>
      </c>
      <c r="B1831" s="245" t="s">
        <v>19</v>
      </c>
      <c r="C1831" s="246" t="s">
        <v>20</v>
      </c>
      <c r="D1831" s="245" t="s">
        <v>21</v>
      </c>
      <c r="E1831" s="247">
        <v>7.5</v>
      </c>
      <c r="F1831" s="242" t="s">
        <v>507</v>
      </c>
      <c r="G1831" s="242">
        <v>3.9</v>
      </c>
      <c r="H1831" s="230">
        <f t="shared" si="39"/>
        <v>29.25</v>
      </c>
    </row>
    <row r="1832" spans="1:8" ht="15.75" x14ac:dyDescent="0.25">
      <c r="A1832" s="244">
        <v>1998</v>
      </c>
      <c r="B1832" s="245" t="s">
        <v>19</v>
      </c>
      <c r="C1832" s="246" t="s">
        <v>20</v>
      </c>
      <c r="D1832" s="245" t="s">
        <v>21</v>
      </c>
      <c r="E1832" s="247">
        <v>13</v>
      </c>
      <c r="F1832" s="242" t="s">
        <v>507</v>
      </c>
      <c r="G1832" s="242">
        <v>3.9</v>
      </c>
      <c r="H1832" s="230">
        <f t="shared" si="39"/>
        <v>50.699999999999996</v>
      </c>
    </row>
    <row r="1833" spans="1:8" ht="15.75" x14ac:dyDescent="0.25">
      <c r="A1833" s="244">
        <v>1998</v>
      </c>
      <c r="B1833" s="245" t="s">
        <v>19</v>
      </c>
      <c r="C1833" s="246" t="s">
        <v>20</v>
      </c>
      <c r="D1833" s="245" t="s">
        <v>21</v>
      </c>
      <c r="E1833" s="247">
        <v>17</v>
      </c>
      <c r="F1833" s="242" t="s">
        <v>507</v>
      </c>
      <c r="G1833" s="242">
        <v>3.9</v>
      </c>
      <c r="H1833" s="230">
        <f t="shared" si="39"/>
        <v>66.3</v>
      </c>
    </row>
    <row r="1834" spans="1:8" ht="15.75" x14ac:dyDescent="0.25">
      <c r="A1834" s="244">
        <v>1998</v>
      </c>
      <c r="B1834" s="245" t="s">
        <v>19</v>
      </c>
      <c r="C1834" s="246" t="s">
        <v>20</v>
      </c>
      <c r="D1834" s="245" t="s">
        <v>21</v>
      </c>
      <c r="E1834" s="247">
        <v>9.5</v>
      </c>
      <c r="F1834" s="242" t="s">
        <v>507</v>
      </c>
      <c r="G1834" s="242">
        <v>3.9</v>
      </c>
      <c r="H1834" s="230">
        <f t="shared" si="39"/>
        <v>37.049999999999997</v>
      </c>
    </row>
    <row r="1835" spans="1:8" ht="15.75" x14ac:dyDescent="0.25">
      <c r="A1835" s="244">
        <v>1998</v>
      </c>
      <c r="B1835" s="245" t="s">
        <v>19</v>
      </c>
      <c r="C1835" s="246" t="s">
        <v>20</v>
      </c>
      <c r="D1835" s="245" t="s">
        <v>21</v>
      </c>
      <c r="E1835" s="247">
        <v>16</v>
      </c>
      <c r="F1835" s="242" t="s">
        <v>507</v>
      </c>
      <c r="G1835" s="242">
        <v>3.9</v>
      </c>
      <c r="H1835" s="230">
        <f t="shared" si="39"/>
        <v>62.4</v>
      </c>
    </row>
    <row r="1836" spans="1:8" ht="15.75" x14ac:dyDescent="0.25">
      <c r="A1836" s="244">
        <v>1998</v>
      </c>
      <c r="B1836" s="245" t="s">
        <v>19</v>
      </c>
      <c r="C1836" s="246" t="s">
        <v>20</v>
      </c>
      <c r="D1836" s="245" t="s">
        <v>21</v>
      </c>
      <c r="E1836" s="247">
        <v>5.5</v>
      </c>
      <c r="F1836" s="242" t="s">
        <v>507</v>
      </c>
      <c r="G1836" s="242">
        <v>3.9</v>
      </c>
      <c r="H1836" s="230">
        <f t="shared" si="39"/>
        <v>21.45</v>
      </c>
    </row>
    <row r="1837" spans="1:8" ht="15.75" x14ac:dyDescent="0.25">
      <c r="A1837" s="244">
        <v>1998</v>
      </c>
      <c r="B1837" s="245" t="s">
        <v>19</v>
      </c>
      <c r="C1837" s="246" t="s">
        <v>20</v>
      </c>
      <c r="D1837" s="245" t="s">
        <v>21</v>
      </c>
      <c r="E1837" s="247">
        <v>6</v>
      </c>
      <c r="F1837" s="242" t="s">
        <v>507</v>
      </c>
      <c r="G1837" s="242">
        <v>3.9</v>
      </c>
      <c r="H1837" s="230">
        <f t="shared" si="39"/>
        <v>23.4</v>
      </c>
    </row>
    <row r="1838" spans="1:8" ht="15.75" x14ac:dyDescent="0.25">
      <c r="A1838" s="244">
        <v>1998</v>
      </c>
      <c r="B1838" s="245" t="s">
        <v>19</v>
      </c>
      <c r="C1838" s="246" t="s">
        <v>20</v>
      </c>
      <c r="D1838" s="245" t="s">
        <v>21</v>
      </c>
      <c r="E1838" s="247">
        <v>6.2</v>
      </c>
      <c r="F1838" s="242" t="s">
        <v>507</v>
      </c>
      <c r="G1838" s="242">
        <v>3.9</v>
      </c>
      <c r="H1838" s="230">
        <f t="shared" si="39"/>
        <v>24.18</v>
      </c>
    </row>
    <row r="1839" spans="1:8" ht="15.75" x14ac:dyDescent="0.25">
      <c r="A1839" s="244">
        <v>1998</v>
      </c>
      <c r="B1839" s="245" t="s">
        <v>19</v>
      </c>
      <c r="C1839" s="246" t="s">
        <v>20</v>
      </c>
      <c r="D1839" s="245" t="s">
        <v>21</v>
      </c>
      <c r="E1839" s="247">
        <v>8.5</v>
      </c>
      <c r="F1839" s="242" t="s">
        <v>507</v>
      </c>
      <c r="G1839" s="242">
        <v>3.9</v>
      </c>
      <c r="H1839" s="230">
        <f t="shared" si="39"/>
        <v>33.15</v>
      </c>
    </row>
    <row r="1840" spans="1:8" ht="15.75" x14ac:dyDescent="0.25">
      <c r="A1840" s="244">
        <v>1998</v>
      </c>
      <c r="B1840" s="245" t="s">
        <v>19</v>
      </c>
      <c r="C1840" s="246" t="s">
        <v>20</v>
      </c>
      <c r="D1840" s="245" t="s">
        <v>21</v>
      </c>
      <c r="E1840" s="247">
        <v>11.1</v>
      </c>
      <c r="F1840" s="242" t="s">
        <v>507</v>
      </c>
      <c r="G1840" s="242">
        <v>3.9</v>
      </c>
      <c r="H1840" s="230">
        <f t="shared" si="39"/>
        <v>43.29</v>
      </c>
    </row>
    <row r="1841" spans="1:8" ht="15.75" x14ac:dyDescent="0.25">
      <c r="A1841" s="244">
        <v>1998</v>
      </c>
      <c r="B1841" s="245" t="s">
        <v>19</v>
      </c>
      <c r="C1841" s="246" t="s">
        <v>20</v>
      </c>
      <c r="D1841" s="245" t="s">
        <v>21</v>
      </c>
      <c r="E1841" s="247">
        <v>10.8</v>
      </c>
      <c r="F1841" s="242" t="s">
        <v>507</v>
      </c>
      <c r="G1841" s="242">
        <v>3.9</v>
      </c>
      <c r="H1841" s="230">
        <f t="shared" si="39"/>
        <v>42.120000000000005</v>
      </c>
    </row>
    <row r="1842" spans="1:8" ht="15.75" x14ac:dyDescent="0.25">
      <c r="A1842" s="244">
        <v>1998</v>
      </c>
      <c r="B1842" s="245" t="s">
        <v>19</v>
      </c>
      <c r="C1842" s="246" t="s">
        <v>20</v>
      </c>
      <c r="D1842" s="245" t="s">
        <v>21</v>
      </c>
      <c r="E1842" s="247">
        <v>9.5</v>
      </c>
      <c r="F1842" s="242" t="s">
        <v>507</v>
      </c>
      <c r="G1842" s="242">
        <v>3.9</v>
      </c>
      <c r="H1842" s="230">
        <f t="shared" si="39"/>
        <v>37.049999999999997</v>
      </c>
    </row>
    <row r="1843" spans="1:8" ht="15.75" x14ac:dyDescent="0.25">
      <c r="A1843" s="244">
        <v>1998</v>
      </c>
      <c r="B1843" s="245" t="s">
        <v>19</v>
      </c>
      <c r="C1843" s="246" t="s">
        <v>20</v>
      </c>
      <c r="D1843" s="245" t="s">
        <v>21</v>
      </c>
      <c r="E1843" s="247">
        <v>11.5</v>
      </c>
      <c r="F1843" s="242" t="s">
        <v>507</v>
      </c>
      <c r="G1843" s="242">
        <v>3.9</v>
      </c>
      <c r="H1843" s="230">
        <f t="shared" si="39"/>
        <v>44.85</v>
      </c>
    </row>
    <row r="1844" spans="1:8" ht="15.75" x14ac:dyDescent="0.25">
      <c r="A1844" s="244">
        <v>1998</v>
      </c>
      <c r="B1844" s="245" t="s">
        <v>19</v>
      </c>
      <c r="C1844" s="246" t="s">
        <v>20</v>
      </c>
      <c r="D1844" s="245" t="s">
        <v>21</v>
      </c>
      <c r="E1844" s="247">
        <v>13.5</v>
      </c>
      <c r="F1844" s="242" t="s">
        <v>507</v>
      </c>
      <c r="G1844" s="242">
        <v>3.9</v>
      </c>
      <c r="H1844" s="230">
        <f t="shared" si="39"/>
        <v>52.65</v>
      </c>
    </row>
    <row r="1845" spans="1:8" ht="15.75" x14ac:dyDescent="0.25">
      <c r="A1845" s="244">
        <v>1998</v>
      </c>
      <c r="B1845" s="245" t="s">
        <v>19</v>
      </c>
      <c r="C1845" s="246" t="s">
        <v>20</v>
      </c>
      <c r="D1845" s="245" t="s">
        <v>21</v>
      </c>
      <c r="E1845" s="247">
        <v>12</v>
      </c>
      <c r="F1845" s="242" t="s">
        <v>507</v>
      </c>
      <c r="G1845" s="242">
        <v>3.9</v>
      </c>
      <c r="H1845" s="230">
        <f t="shared" si="39"/>
        <v>46.8</v>
      </c>
    </row>
    <row r="1846" spans="1:8" ht="15.75" x14ac:dyDescent="0.25">
      <c r="A1846" s="244">
        <v>1998</v>
      </c>
      <c r="B1846" s="245" t="s">
        <v>19</v>
      </c>
      <c r="C1846" s="246" t="s">
        <v>34</v>
      </c>
      <c r="D1846" s="245" t="s">
        <v>41</v>
      </c>
      <c r="E1846" s="247">
        <v>18</v>
      </c>
      <c r="F1846" s="242" t="s">
        <v>508</v>
      </c>
      <c r="G1846" s="242">
        <v>3.8</v>
      </c>
      <c r="H1846" s="230">
        <f t="shared" si="39"/>
        <v>68.399999999999991</v>
      </c>
    </row>
    <row r="1847" spans="1:8" ht="15.75" x14ac:dyDescent="0.25">
      <c r="A1847" s="244">
        <v>1998</v>
      </c>
      <c r="B1847" s="245" t="s">
        <v>19</v>
      </c>
      <c r="C1847" s="246" t="s">
        <v>34</v>
      </c>
      <c r="D1847" s="245" t="s">
        <v>41</v>
      </c>
      <c r="E1847" s="247">
        <v>13</v>
      </c>
      <c r="F1847" s="242" t="s">
        <v>508</v>
      </c>
      <c r="G1847" s="242">
        <v>3.8</v>
      </c>
      <c r="H1847" s="230">
        <f t="shared" si="39"/>
        <v>49.4</v>
      </c>
    </row>
    <row r="1848" spans="1:8" ht="15.75" x14ac:dyDescent="0.25">
      <c r="A1848" s="244">
        <v>1998</v>
      </c>
      <c r="B1848" s="245" t="s">
        <v>19</v>
      </c>
      <c r="C1848" s="246" t="s">
        <v>34</v>
      </c>
      <c r="D1848" s="245" t="s">
        <v>41</v>
      </c>
      <c r="E1848" s="247">
        <v>22.5</v>
      </c>
      <c r="F1848" s="242" t="s">
        <v>508</v>
      </c>
      <c r="G1848" s="242">
        <v>3.8</v>
      </c>
      <c r="H1848" s="230">
        <f t="shared" si="39"/>
        <v>85.5</v>
      </c>
    </row>
    <row r="1849" spans="1:8" ht="15.75" x14ac:dyDescent="0.25">
      <c r="A1849" s="244">
        <v>1998</v>
      </c>
      <c r="B1849" s="245" t="s">
        <v>19</v>
      </c>
      <c r="C1849" s="246" t="s">
        <v>34</v>
      </c>
      <c r="D1849" s="245" t="s">
        <v>41</v>
      </c>
      <c r="E1849" s="247">
        <v>10.7</v>
      </c>
      <c r="F1849" s="242" t="s">
        <v>508</v>
      </c>
      <c r="G1849" s="242">
        <v>3.8</v>
      </c>
      <c r="H1849" s="230">
        <f t="shared" si="39"/>
        <v>40.659999999999997</v>
      </c>
    </row>
    <row r="1850" spans="1:8" ht="15.75" x14ac:dyDescent="0.25">
      <c r="A1850" s="244">
        <v>1997</v>
      </c>
      <c r="B1850" s="245" t="s">
        <v>19</v>
      </c>
      <c r="C1850" s="246" t="s">
        <v>20</v>
      </c>
      <c r="D1850" s="245" t="s">
        <v>30</v>
      </c>
      <c r="E1850" s="247">
        <v>10</v>
      </c>
      <c r="F1850" s="242" t="s">
        <v>504</v>
      </c>
      <c r="G1850" s="242">
        <v>4.5999999999999996</v>
      </c>
      <c r="H1850" s="230">
        <f t="shared" si="39"/>
        <v>46</v>
      </c>
    </row>
    <row r="1851" spans="1:8" ht="15.75" x14ac:dyDescent="0.25">
      <c r="A1851" s="244">
        <v>1997</v>
      </c>
      <c r="B1851" s="245" t="s">
        <v>19</v>
      </c>
      <c r="C1851" s="246" t="s">
        <v>20</v>
      </c>
      <c r="D1851" s="245" t="s">
        <v>30</v>
      </c>
      <c r="E1851" s="247">
        <v>7.5</v>
      </c>
      <c r="F1851" s="242" t="s">
        <v>504</v>
      </c>
      <c r="G1851" s="242">
        <v>4.5999999999999996</v>
      </c>
      <c r="H1851" s="230">
        <f t="shared" si="39"/>
        <v>34.5</v>
      </c>
    </row>
    <row r="1852" spans="1:8" ht="15.75" x14ac:dyDescent="0.25">
      <c r="A1852" s="244">
        <v>1997</v>
      </c>
      <c r="B1852" s="245" t="s">
        <v>19</v>
      </c>
      <c r="C1852" s="246" t="s">
        <v>20</v>
      </c>
      <c r="D1852" s="245" t="s">
        <v>30</v>
      </c>
      <c r="E1852" s="247">
        <v>12</v>
      </c>
      <c r="F1852" s="242" t="s">
        <v>504</v>
      </c>
      <c r="G1852" s="242">
        <v>4.5999999999999996</v>
      </c>
      <c r="H1852" s="230">
        <f t="shared" si="39"/>
        <v>55.199999999999996</v>
      </c>
    </row>
    <row r="1853" spans="1:8" ht="15.75" x14ac:dyDescent="0.25">
      <c r="A1853" s="244">
        <v>1997</v>
      </c>
      <c r="B1853" s="245" t="s">
        <v>19</v>
      </c>
      <c r="C1853" s="246" t="s">
        <v>20</v>
      </c>
      <c r="D1853" s="245" t="s">
        <v>30</v>
      </c>
      <c r="E1853" s="247">
        <v>9</v>
      </c>
      <c r="F1853" s="242" t="s">
        <v>504</v>
      </c>
      <c r="G1853" s="242">
        <v>4.5999999999999996</v>
      </c>
      <c r="H1853" s="230">
        <f t="shared" si="39"/>
        <v>41.4</v>
      </c>
    </row>
    <row r="1854" spans="1:8" ht="15.75" x14ac:dyDescent="0.25">
      <c r="A1854" s="244">
        <v>1997</v>
      </c>
      <c r="B1854" s="245" t="s">
        <v>19</v>
      </c>
      <c r="C1854" s="246" t="s">
        <v>20</v>
      </c>
      <c r="D1854" s="245" t="s">
        <v>30</v>
      </c>
      <c r="E1854" s="247">
        <v>10.5</v>
      </c>
      <c r="F1854" s="242" t="s">
        <v>504</v>
      </c>
      <c r="G1854" s="242">
        <v>4.5999999999999996</v>
      </c>
      <c r="H1854" s="230">
        <f t="shared" si="39"/>
        <v>48.3</v>
      </c>
    </row>
    <row r="1855" spans="1:8" ht="15.75" x14ac:dyDescent="0.25">
      <c r="A1855" s="244">
        <v>1997</v>
      </c>
      <c r="B1855" s="245" t="s">
        <v>19</v>
      </c>
      <c r="C1855" s="246" t="s">
        <v>20</v>
      </c>
      <c r="D1855" s="245" t="s">
        <v>30</v>
      </c>
      <c r="E1855" s="247">
        <v>10.5</v>
      </c>
      <c r="F1855" s="242" t="s">
        <v>504</v>
      </c>
      <c r="G1855" s="242">
        <v>4.5999999999999996</v>
      </c>
      <c r="H1855" s="230">
        <f t="shared" si="39"/>
        <v>48.3</v>
      </c>
    </row>
    <row r="1856" spans="1:8" ht="15.75" x14ac:dyDescent="0.25">
      <c r="A1856" s="244">
        <v>1997</v>
      </c>
      <c r="B1856" s="245" t="s">
        <v>19</v>
      </c>
      <c r="C1856" s="246" t="s">
        <v>20</v>
      </c>
      <c r="D1856" s="245" t="s">
        <v>30</v>
      </c>
      <c r="E1856" s="247">
        <v>16</v>
      </c>
      <c r="F1856" s="242" t="s">
        <v>504</v>
      </c>
      <c r="G1856" s="242">
        <v>4.5999999999999996</v>
      </c>
      <c r="H1856" s="230">
        <f t="shared" si="39"/>
        <v>73.599999999999994</v>
      </c>
    </row>
    <row r="1857" spans="1:8" ht="15.75" x14ac:dyDescent="0.25">
      <c r="A1857" s="244">
        <v>1997</v>
      </c>
      <c r="B1857" s="245" t="s">
        <v>19</v>
      </c>
      <c r="C1857" s="246" t="s">
        <v>20</v>
      </c>
      <c r="D1857" s="245" t="s">
        <v>30</v>
      </c>
      <c r="E1857" s="247">
        <v>11</v>
      </c>
      <c r="F1857" s="242" t="s">
        <v>504</v>
      </c>
      <c r="G1857" s="242">
        <v>4.5999999999999996</v>
      </c>
      <c r="H1857" s="230">
        <f t="shared" si="39"/>
        <v>50.599999999999994</v>
      </c>
    </row>
    <row r="1858" spans="1:8" ht="15.75" x14ac:dyDescent="0.25">
      <c r="A1858" s="244">
        <v>1997</v>
      </c>
      <c r="B1858" s="245" t="s">
        <v>19</v>
      </c>
      <c r="C1858" s="246" t="s">
        <v>20</v>
      </c>
      <c r="D1858" s="245" t="s">
        <v>30</v>
      </c>
      <c r="E1858" s="247">
        <v>10</v>
      </c>
      <c r="F1858" s="242" t="s">
        <v>504</v>
      </c>
      <c r="G1858" s="242">
        <v>4.5999999999999996</v>
      </c>
      <c r="H1858" s="230">
        <f t="shared" si="39"/>
        <v>46</v>
      </c>
    </row>
    <row r="1859" spans="1:8" ht="15.75" x14ac:dyDescent="0.25">
      <c r="A1859" s="244">
        <v>1997</v>
      </c>
      <c r="B1859" s="245" t="s">
        <v>19</v>
      </c>
      <c r="C1859" s="246" t="s">
        <v>20</v>
      </c>
      <c r="D1859" s="245" t="s">
        <v>30</v>
      </c>
      <c r="E1859" s="247">
        <v>11</v>
      </c>
      <c r="F1859" s="242" t="s">
        <v>504</v>
      </c>
      <c r="G1859" s="242">
        <v>4.5999999999999996</v>
      </c>
      <c r="H1859" s="230">
        <f t="shared" ref="H1859:H1922" si="40">E1859*G1859</f>
        <v>50.599999999999994</v>
      </c>
    </row>
    <row r="1860" spans="1:8" ht="15.75" x14ac:dyDescent="0.25">
      <c r="A1860" s="244">
        <v>1997</v>
      </c>
      <c r="B1860" s="245" t="s">
        <v>19</v>
      </c>
      <c r="C1860" s="246" t="s">
        <v>20</v>
      </c>
      <c r="D1860" s="245" t="s">
        <v>30</v>
      </c>
      <c r="E1860" s="247">
        <v>8.5</v>
      </c>
      <c r="F1860" s="242" t="s">
        <v>504</v>
      </c>
      <c r="G1860" s="242">
        <v>4.5999999999999996</v>
      </c>
      <c r="H1860" s="230">
        <f t="shared" si="40"/>
        <v>39.099999999999994</v>
      </c>
    </row>
    <row r="1861" spans="1:8" ht="15.75" x14ac:dyDescent="0.25">
      <c r="A1861" s="244">
        <v>1997</v>
      </c>
      <c r="B1861" s="245" t="s">
        <v>19</v>
      </c>
      <c r="C1861" s="246" t="s">
        <v>20</v>
      </c>
      <c r="D1861" s="245" t="s">
        <v>30</v>
      </c>
      <c r="E1861" s="247">
        <v>6</v>
      </c>
      <c r="F1861" s="242" t="s">
        <v>504</v>
      </c>
      <c r="G1861" s="242">
        <v>4.5999999999999996</v>
      </c>
      <c r="H1861" s="230">
        <f t="shared" si="40"/>
        <v>27.599999999999998</v>
      </c>
    </row>
    <row r="1862" spans="1:8" ht="15.75" x14ac:dyDescent="0.25">
      <c r="A1862" s="244">
        <v>1997</v>
      </c>
      <c r="B1862" s="245" t="s">
        <v>19</v>
      </c>
      <c r="C1862" s="246" t="s">
        <v>20</v>
      </c>
      <c r="D1862" s="245" t="s">
        <v>30</v>
      </c>
      <c r="E1862" s="247">
        <v>12</v>
      </c>
      <c r="F1862" s="242" t="s">
        <v>504</v>
      </c>
      <c r="G1862" s="242">
        <v>4.5999999999999996</v>
      </c>
      <c r="H1862" s="230">
        <f t="shared" si="40"/>
        <v>55.199999999999996</v>
      </c>
    </row>
    <row r="1863" spans="1:8" ht="15.75" x14ac:dyDescent="0.25">
      <c r="A1863" s="244">
        <v>1997</v>
      </c>
      <c r="B1863" s="245" t="s">
        <v>19</v>
      </c>
      <c r="C1863" s="246" t="s">
        <v>20</v>
      </c>
      <c r="D1863" s="245" t="s">
        <v>30</v>
      </c>
      <c r="E1863" s="247">
        <v>18</v>
      </c>
      <c r="F1863" s="242" t="s">
        <v>504</v>
      </c>
      <c r="G1863" s="242">
        <v>4.5999999999999996</v>
      </c>
      <c r="H1863" s="230">
        <f t="shared" si="40"/>
        <v>82.8</v>
      </c>
    </row>
    <row r="1864" spans="1:8" ht="15.75" x14ac:dyDescent="0.25">
      <c r="A1864" s="244">
        <v>1997</v>
      </c>
      <c r="B1864" s="245" t="s">
        <v>19</v>
      </c>
      <c r="C1864" s="246" t="s">
        <v>20</v>
      </c>
      <c r="D1864" s="245" t="s">
        <v>30</v>
      </c>
      <c r="E1864" s="247">
        <v>10</v>
      </c>
      <c r="F1864" s="242" t="s">
        <v>504</v>
      </c>
      <c r="G1864" s="242">
        <v>4.5999999999999996</v>
      </c>
      <c r="H1864" s="230">
        <f t="shared" si="40"/>
        <v>46</v>
      </c>
    </row>
    <row r="1865" spans="1:8" ht="15.75" x14ac:dyDescent="0.25">
      <c r="A1865" s="244">
        <v>1997</v>
      </c>
      <c r="B1865" s="245" t="s">
        <v>19</v>
      </c>
      <c r="C1865" s="246" t="s">
        <v>20</v>
      </c>
      <c r="D1865" s="245" t="s">
        <v>30</v>
      </c>
      <c r="E1865" s="247">
        <v>14</v>
      </c>
      <c r="F1865" s="242" t="s">
        <v>504</v>
      </c>
      <c r="G1865" s="242">
        <v>4.5999999999999996</v>
      </c>
      <c r="H1865" s="230">
        <f t="shared" si="40"/>
        <v>64.399999999999991</v>
      </c>
    </row>
    <row r="1866" spans="1:8" ht="15.75" x14ac:dyDescent="0.25">
      <c r="A1866" s="244">
        <v>1997</v>
      </c>
      <c r="B1866" s="245" t="s">
        <v>19</v>
      </c>
      <c r="C1866" s="246" t="s">
        <v>20</v>
      </c>
      <c r="D1866" s="245" t="s">
        <v>30</v>
      </c>
      <c r="E1866" s="247">
        <v>17</v>
      </c>
      <c r="F1866" s="242" t="s">
        <v>504</v>
      </c>
      <c r="G1866" s="242">
        <v>4.5999999999999996</v>
      </c>
      <c r="H1866" s="230">
        <f t="shared" si="40"/>
        <v>78.199999999999989</v>
      </c>
    </row>
    <row r="1867" spans="1:8" ht="15.75" x14ac:dyDescent="0.25">
      <c r="A1867" s="244">
        <v>1997</v>
      </c>
      <c r="B1867" s="245" t="s">
        <v>19</v>
      </c>
      <c r="C1867" s="246" t="s">
        <v>20</v>
      </c>
      <c r="D1867" s="245" t="s">
        <v>30</v>
      </c>
      <c r="E1867" s="247">
        <v>18</v>
      </c>
      <c r="F1867" s="242" t="s">
        <v>504</v>
      </c>
      <c r="G1867" s="242">
        <v>4.5999999999999996</v>
      </c>
      <c r="H1867" s="230">
        <f t="shared" si="40"/>
        <v>82.8</v>
      </c>
    </row>
    <row r="1868" spans="1:8" ht="15.75" x14ac:dyDescent="0.25">
      <c r="A1868" s="244">
        <v>1997</v>
      </c>
      <c r="B1868" s="245" t="s">
        <v>19</v>
      </c>
      <c r="C1868" s="246" t="s">
        <v>20</v>
      </c>
      <c r="D1868" s="245" t="s">
        <v>30</v>
      </c>
      <c r="E1868" s="247">
        <v>7</v>
      </c>
      <c r="F1868" s="242" t="s">
        <v>504</v>
      </c>
      <c r="G1868" s="242">
        <v>4.5999999999999996</v>
      </c>
      <c r="H1868" s="230">
        <f t="shared" si="40"/>
        <v>32.199999999999996</v>
      </c>
    </row>
    <row r="1869" spans="1:8" ht="15.75" x14ac:dyDescent="0.25">
      <c r="A1869" s="244">
        <v>1997</v>
      </c>
      <c r="B1869" s="245" t="s">
        <v>19</v>
      </c>
      <c r="C1869" s="246" t="s">
        <v>20</v>
      </c>
      <c r="D1869" s="245" t="s">
        <v>30</v>
      </c>
      <c r="E1869" s="247">
        <v>9.5</v>
      </c>
      <c r="F1869" s="242" t="s">
        <v>504</v>
      </c>
      <c r="G1869" s="242">
        <v>4.5999999999999996</v>
      </c>
      <c r="H1869" s="230">
        <f t="shared" si="40"/>
        <v>43.699999999999996</v>
      </c>
    </row>
    <row r="1870" spans="1:8" ht="15.75" x14ac:dyDescent="0.25">
      <c r="A1870" s="244">
        <v>1997</v>
      </c>
      <c r="B1870" s="245" t="s">
        <v>19</v>
      </c>
      <c r="C1870" s="246" t="s">
        <v>20</v>
      </c>
      <c r="D1870" s="245" t="s">
        <v>30</v>
      </c>
      <c r="E1870" s="247">
        <v>9</v>
      </c>
      <c r="F1870" s="242" t="s">
        <v>504</v>
      </c>
      <c r="G1870" s="242">
        <v>4.5999999999999996</v>
      </c>
      <c r="H1870" s="230">
        <f t="shared" si="40"/>
        <v>41.4</v>
      </c>
    </row>
    <row r="1871" spans="1:8" ht="15.75" x14ac:dyDescent="0.25">
      <c r="A1871" s="244">
        <v>1997</v>
      </c>
      <c r="B1871" s="245" t="s">
        <v>19</v>
      </c>
      <c r="C1871" s="246" t="s">
        <v>20</v>
      </c>
      <c r="D1871" s="245" t="s">
        <v>30</v>
      </c>
      <c r="E1871" s="247">
        <v>16</v>
      </c>
      <c r="F1871" s="242" t="s">
        <v>504</v>
      </c>
      <c r="G1871" s="242">
        <v>4.5999999999999996</v>
      </c>
      <c r="H1871" s="230">
        <f t="shared" si="40"/>
        <v>73.599999999999994</v>
      </c>
    </row>
    <row r="1872" spans="1:8" ht="15.75" x14ac:dyDescent="0.25">
      <c r="A1872" s="244">
        <v>1997</v>
      </c>
      <c r="B1872" s="245" t="s">
        <v>19</v>
      </c>
      <c r="C1872" s="246" t="s">
        <v>20</v>
      </c>
      <c r="D1872" s="245" t="s">
        <v>30</v>
      </c>
      <c r="E1872" s="247">
        <v>9.5</v>
      </c>
      <c r="F1872" s="242" t="s">
        <v>504</v>
      </c>
      <c r="G1872" s="242">
        <v>4.5999999999999996</v>
      </c>
      <c r="H1872" s="230">
        <f t="shared" si="40"/>
        <v>43.699999999999996</v>
      </c>
    </row>
    <row r="1873" spans="1:8" ht="15.75" x14ac:dyDescent="0.25">
      <c r="A1873" s="244">
        <v>1997</v>
      </c>
      <c r="B1873" s="245" t="s">
        <v>19</v>
      </c>
      <c r="C1873" s="246" t="s">
        <v>20</v>
      </c>
      <c r="D1873" s="245" t="s">
        <v>30</v>
      </c>
      <c r="E1873" s="247">
        <v>11</v>
      </c>
      <c r="F1873" s="242" t="s">
        <v>504</v>
      </c>
      <c r="G1873" s="242">
        <v>4.5999999999999996</v>
      </c>
      <c r="H1873" s="230">
        <f t="shared" si="40"/>
        <v>50.599999999999994</v>
      </c>
    </row>
    <row r="1874" spans="1:8" ht="15.75" x14ac:dyDescent="0.25">
      <c r="A1874" s="244">
        <v>1997</v>
      </c>
      <c r="B1874" s="245" t="s">
        <v>19</v>
      </c>
      <c r="C1874" s="246" t="s">
        <v>20</v>
      </c>
      <c r="D1874" s="245" t="s">
        <v>30</v>
      </c>
      <c r="E1874" s="247">
        <v>9.5</v>
      </c>
      <c r="F1874" s="242" t="s">
        <v>504</v>
      </c>
      <c r="G1874" s="242">
        <v>4.5999999999999996</v>
      </c>
      <c r="H1874" s="230">
        <f t="shared" si="40"/>
        <v>43.699999999999996</v>
      </c>
    </row>
    <row r="1875" spans="1:8" ht="15.75" x14ac:dyDescent="0.25">
      <c r="A1875" s="244">
        <v>1997</v>
      </c>
      <c r="B1875" s="245" t="s">
        <v>19</v>
      </c>
      <c r="C1875" s="246" t="s">
        <v>20</v>
      </c>
      <c r="D1875" s="245" t="s">
        <v>30</v>
      </c>
      <c r="E1875" s="247">
        <v>11</v>
      </c>
      <c r="F1875" s="242" t="s">
        <v>504</v>
      </c>
      <c r="G1875" s="242">
        <v>4.5999999999999996</v>
      </c>
      <c r="H1875" s="230">
        <f t="shared" si="40"/>
        <v>50.599999999999994</v>
      </c>
    </row>
    <row r="1876" spans="1:8" ht="15.75" x14ac:dyDescent="0.25">
      <c r="A1876" s="244">
        <v>1997</v>
      </c>
      <c r="B1876" s="245" t="s">
        <v>19</v>
      </c>
      <c r="C1876" s="246" t="s">
        <v>20</v>
      </c>
      <c r="D1876" s="245" t="s">
        <v>30</v>
      </c>
      <c r="E1876" s="247">
        <v>7</v>
      </c>
      <c r="F1876" s="242" t="s">
        <v>504</v>
      </c>
      <c r="G1876" s="242">
        <v>4.5999999999999996</v>
      </c>
      <c r="H1876" s="230">
        <f t="shared" si="40"/>
        <v>32.199999999999996</v>
      </c>
    </row>
    <row r="1877" spans="1:8" ht="15.75" x14ac:dyDescent="0.25">
      <c r="A1877" s="244">
        <v>1997</v>
      </c>
      <c r="B1877" s="245" t="s">
        <v>19</v>
      </c>
      <c r="C1877" s="246" t="s">
        <v>20</v>
      </c>
      <c r="D1877" s="245" t="s">
        <v>30</v>
      </c>
      <c r="E1877" s="247">
        <v>11</v>
      </c>
      <c r="F1877" s="242" t="s">
        <v>504</v>
      </c>
      <c r="G1877" s="242">
        <v>4.5999999999999996</v>
      </c>
      <c r="H1877" s="230">
        <f t="shared" si="40"/>
        <v>50.599999999999994</v>
      </c>
    </row>
    <row r="1878" spans="1:8" ht="15.75" x14ac:dyDescent="0.25">
      <c r="A1878" s="244">
        <v>1997</v>
      </c>
      <c r="B1878" s="245" t="s">
        <v>19</v>
      </c>
      <c r="C1878" s="246" t="s">
        <v>20</v>
      </c>
      <c r="D1878" s="245" t="s">
        <v>30</v>
      </c>
      <c r="E1878" s="247">
        <v>11.5</v>
      </c>
      <c r="F1878" s="242" t="s">
        <v>504</v>
      </c>
      <c r="G1878" s="242">
        <v>4.5999999999999996</v>
      </c>
      <c r="H1878" s="230">
        <f t="shared" si="40"/>
        <v>52.9</v>
      </c>
    </row>
    <row r="1879" spans="1:8" ht="15.75" x14ac:dyDescent="0.25">
      <c r="A1879" s="244">
        <v>1997</v>
      </c>
      <c r="B1879" s="245" t="s">
        <v>19</v>
      </c>
      <c r="C1879" s="246" t="s">
        <v>20</v>
      </c>
      <c r="D1879" s="245" t="s">
        <v>30</v>
      </c>
      <c r="E1879" s="247">
        <v>21</v>
      </c>
      <c r="F1879" s="242" t="s">
        <v>504</v>
      </c>
      <c r="G1879" s="242">
        <v>4.5999999999999996</v>
      </c>
      <c r="H1879" s="230">
        <f t="shared" si="40"/>
        <v>96.6</v>
      </c>
    </row>
    <row r="1880" spans="1:8" ht="15.75" x14ac:dyDescent="0.25">
      <c r="A1880" s="244">
        <v>1997</v>
      </c>
      <c r="B1880" s="245" t="s">
        <v>19</v>
      </c>
      <c r="C1880" s="246" t="s">
        <v>20</v>
      </c>
      <c r="D1880" s="245" t="s">
        <v>30</v>
      </c>
      <c r="E1880" s="247">
        <v>9.5</v>
      </c>
      <c r="F1880" s="242" t="s">
        <v>504</v>
      </c>
      <c r="G1880" s="242">
        <v>4.5999999999999996</v>
      </c>
      <c r="H1880" s="230">
        <f t="shared" si="40"/>
        <v>43.699999999999996</v>
      </c>
    </row>
    <row r="1881" spans="1:8" ht="15.75" x14ac:dyDescent="0.25">
      <c r="A1881" s="244">
        <v>1997</v>
      </c>
      <c r="B1881" s="245" t="s">
        <v>19</v>
      </c>
      <c r="C1881" s="246" t="s">
        <v>20</v>
      </c>
      <c r="D1881" s="245" t="s">
        <v>30</v>
      </c>
      <c r="E1881" s="247">
        <v>12</v>
      </c>
      <c r="F1881" s="242" t="s">
        <v>504</v>
      </c>
      <c r="G1881" s="242">
        <v>4.5999999999999996</v>
      </c>
      <c r="H1881" s="230">
        <f t="shared" si="40"/>
        <v>55.199999999999996</v>
      </c>
    </row>
    <row r="1882" spans="1:8" ht="15.75" x14ac:dyDescent="0.25">
      <c r="A1882" s="244">
        <v>1997</v>
      </c>
      <c r="B1882" s="245" t="s">
        <v>19</v>
      </c>
      <c r="C1882" s="246" t="s">
        <v>20</v>
      </c>
      <c r="D1882" s="245" t="s">
        <v>30</v>
      </c>
      <c r="E1882" s="247">
        <v>13</v>
      </c>
      <c r="F1882" s="242" t="s">
        <v>504</v>
      </c>
      <c r="G1882" s="242">
        <v>4.5999999999999996</v>
      </c>
      <c r="H1882" s="230">
        <f t="shared" si="40"/>
        <v>59.8</v>
      </c>
    </row>
    <row r="1883" spans="1:8" ht="15.75" x14ac:dyDescent="0.25">
      <c r="A1883" s="244">
        <v>1997</v>
      </c>
      <c r="B1883" s="245" t="s">
        <v>19</v>
      </c>
      <c r="C1883" s="246" t="s">
        <v>20</v>
      </c>
      <c r="D1883" s="245" t="s">
        <v>30</v>
      </c>
      <c r="E1883" s="247">
        <v>10.5</v>
      </c>
      <c r="F1883" s="242" t="s">
        <v>504</v>
      </c>
      <c r="G1883" s="242">
        <v>4.5999999999999996</v>
      </c>
      <c r="H1883" s="230">
        <f t="shared" si="40"/>
        <v>48.3</v>
      </c>
    </row>
    <row r="1884" spans="1:8" ht="15.75" x14ac:dyDescent="0.25">
      <c r="A1884" s="244">
        <v>1997</v>
      </c>
      <c r="B1884" s="245" t="s">
        <v>19</v>
      </c>
      <c r="C1884" s="246" t="s">
        <v>20</v>
      </c>
      <c r="D1884" s="245" t="s">
        <v>30</v>
      </c>
      <c r="E1884" s="247">
        <v>11</v>
      </c>
      <c r="F1884" s="242" t="s">
        <v>504</v>
      </c>
      <c r="G1884" s="242">
        <v>4.5999999999999996</v>
      </c>
      <c r="H1884" s="230">
        <f t="shared" si="40"/>
        <v>50.599999999999994</v>
      </c>
    </row>
    <row r="1885" spans="1:8" ht="15.75" x14ac:dyDescent="0.25">
      <c r="A1885" s="244">
        <v>1997</v>
      </c>
      <c r="B1885" s="245" t="s">
        <v>19</v>
      </c>
      <c r="C1885" s="246" t="s">
        <v>20</v>
      </c>
      <c r="D1885" s="245" t="s">
        <v>30</v>
      </c>
      <c r="E1885" s="247">
        <v>8</v>
      </c>
      <c r="F1885" s="242" t="s">
        <v>504</v>
      </c>
      <c r="G1885" s="242">
        <v>4.5999999999999996</v>
      </c>
      <c r="H1885" s="230">
        <f t="shared" si="40"/>
        <v>36.799999999999997</v>
      </c>
    </row>
    <row r="1886" spans="1:8" ht="15.75" x14ac:dyDescent="0.25">
      <c r="A1886" s="244">
        <v>1997</v>
      </c>
      <c r="B1886" s="245" t="s">
        <v>19</v>
      </c>
      <c r="C1886" s="246" t="s">
        <v>20</v>
      </c>
      <c r="D1886" s="245" t="s">
        <v>30</v>
      </c>
      <c r="E1886" s="247">
        <v>11</v>
      </c>
      <c r="F1886" s="242" t="s">
        <v>504</v>
      </c>
      <c r="G1886" s="242">
        <v>4.5999999999999996</v>
      </c>
      <c r="H1886" s="230">
        <f t="shared" si="40"/>
        <v>50.599999999999994</v>
      </c>
    </row>
    <row r="1887" spans="1:8" ht="15.75" x14ac:dyDescent="0.25">
      <c r="A1887" s="244">
        <v>1997</v>
      </c>
      <c r="B1887" s="245" t="s">
        <v>19</v>
      </c>
      <c r="C1887" s="246" t="s">
        <v>20</v>
      </c>
      <c r="D1887" s="245" t="s">
        <v>30</v>
      </c>
      <c r="E1887" s="247">
        <v>13</v>
      </c>
      <c r="F1887" s="242" t="s">
        <v>504</v>
      </c>
      <c r="G1887" s="242">
        <v>4.5999999999999996</v>
      </c>
      <c r="H1887" s="230">
        <f t="shared" si="40"/>
        <v>59.8</v>
      </c>
    </row>
    <row r="1888" spans="1:8" ht="15.75" x14ac:dyDescent="0.25">
      <c r="A1888" s="244">
        <v>1997</v>
      </c>
      <c r="B1888" s="245" t="s">
        <v>19</v>
      </c>
      <c r="C1888" s="246" t="s">
        <v>20</v>
      </c>
      <c r="D1888" s="245" t="s">
        <v>30</v>
      </c>
      <c r="E1888" s="247">
        <v>9</v>
      </c>
      <c r="F1888" s="242" t="s">
        <v>504</v>
      </c>
      <c r="G1888" s="242">
        <v>4.5999999999999996</v>
      </c>
      <c r="H1888" s="230">
        <f t="shared" si="40"/>
        <v>41.4</v>
      </c>
    </row>
    <row r="1889" spans="1:8" ht="15.75" x14ac:dyDescent="0.25">
      <c r="A1889" s="244">
        <v>1997</v>
      </c>
      <c r="B1889" s="245" t="s">
        <v>19</v>
      </c>
      <c r="C1889" s="246" t="s">
        <v>20</v>
      </c>
      <c r="D1889" s="245" t="s">
        <v>30</v>
      </c>
      <c r="E1889" s="247">
        <v>9.5</v>
      </c>
      <c r="F1889" s="242" t="s">
        <v>504</v>
      </c>
      <c r="G1889" s="242">
        <v>4.5999999999999996</v>
      </c>
      <c r="H1889" s="230">
        <f t="shared" si="40"/>
        <v>43.699999999999996</v>
      </c>
    </row>
    <row r="1890" spans="1:8" ht="15.75" x14ac:dyDescent="0.25">
      <c r="A1890" s="244">
        <v>1997</v>
      </c>
      <c r="B1890" s="245" t="s">
        <v>19</v>
      </c>
      <c r="C1890" s="246" t="s">
        <v>20</v>
      </c>
      <c r="D1890" s="245" t="s">
        <v>30</v>
      </c>
      <c r="E1890" s="247">
        <v>12</v>
      </c>
      <c r="F1890" s="242" t="s">
        <v>504</v>
      </c>
      <c r="G1890" s="242">
        <v>4.5999999999999996</v>
      </c>
      <c r="H1890" s="230">
        <f t="shared" si="40"/>
        <v>55.199999999999996</v>
      </c>
    </row>
    <row r="1891" spans="1:8" ht="15.75" x14ac:dyDescent="0.25">
      <c r="A1891" s="244">
        <v>1997</v>
      </c>
      <c r="B1891" s="245" t="s">
        <v>19</v>
      </c>
      <c r="C1891" s="246" t="s">
        <v>20</v>
      </c>
      <c r="D1891" s="245" t="s">
        <v>30</v>
      </c>
      <c r="E1891" s="247">
        <v>8</v>
      </c>
      <c r="F1891" s="242" t="s">
        <v>504</v>
      </c>
      <c r="G1891" s="242">
        <v>4.5999999999999996</v>
      </c>
      <c r="H1891" s="230">
        <f t="shared" si="40"/>
        <v>36.799999999999997</v>
      </c>
    </row>
    <row r="1892" spans="1:8" ht="15.75" x14ac:dyDescent="0.25">
      <c r="A1892" s="244">
        <v>1997</v>
      </c>
      <c r="B1892" s="245" t="s">
        <v>19</v>
      </c>
      <c r="C1892" s="246" t="s">
        <v>20</v>
      </c>
      <c r="D1892" s="245" t="s">
        <v>30</v>
      </c>
      <c r="E1892" s="247">
        <v>13</v>
      </c>
      <c r="F1892" s="242" t="s">
        <v>504</v>
      </c>
      <c r="G1892" s="242">
        <v>4.5999999999999996</v>
      </c>
      <c r="H1892" s="230">
        <f t="shared" si="40"/>
        <v>59.8</v>
      </c>
    </row>
    <row r="1893" spans="1:8" ht="15.75" x14ac:dyDescent="0.25">
      <c r="A1893" s="244">
        <v>1997</v>
      </c>
      <c r="B1893" s="245" t="s">
        <v>19</v>
      </c>
      <c r="C1893" s="246" t="s">
        <v>20</v>
      </c>
      <c r="D1893" s="245" t="s">
        <v>30</v>
      </c>
      <c r="E1893" s="247">
        <v>12</v>
      </c>
      <c r="F1893" s="242" t="s">
        <v>504</v>
      </c>
      <c r="G1893" s="242">
        <v>4.5999999999999996</v>
      </c>
      <c r="H1893" s="230">
        <f t="shared" si="40"/>
        <v>55.199999999999996</v>
      </c>
    </row>
    <row r="1894" spans="1:8" ht="15.75" x14ac:dyDescent="0.25">
      <c r="A1894" s="244">
        <v>1997</v>
      </c>
      <c r="B1894" s="245" t="s">
        <v>19</v>
      </c>
      <c r="C1894" s="246" t="s">
        <v>20</v>
      </c>
      <c r="D1894" s="245" t="s">
        <v>30</v>
      </c>
      <c r="E1894" s="247">
        <v>10</v>
      </c>
      <c r="F1894" s="242" t="s">
        <v>504</v>
      </c>
      <c r="G1894" s="242">
        <v>4.5999999999999996</v>
      </c>
      <c r="H1894" s="230">
        <f t="shared" si="40"/>
        <v>46</v>
      </c>
    </row>
    <row r="1895" spans="1:8" ht="15.75" x14ac:dyDescent="0.25">
      <c r="A1895" s="244">
        <v>1997</v>
      </c>
      <c r="B1895" s="245" t="s">
        <v>19</v>
      </c>
      <c r="C1895" s="246" t="s">
        <v>20</v>
      </c>
      <c r="D1895" s="245" t="s">
        <v>30</v>
      </c>
      <c r="E1895" s="247">
        <v>10</v>
      </c>
      <c r="F1895" s="242" t="s">
        <v>504</v>
      </c>
      <c r="G1895" s="242">
        <v>4.5999999999999996</v>
      </c>
      <c r="H1895" s="230">
        <f t="shared" si="40"/>
        <v>46</v>
      </c>
    </row>
    <row r="1896" spans="1:8" ht="15.75" x14ac:dyDescent="0.25">
      <c r="A1896" s="244">
        <v>1997</v>
      </c>
      <c r="B1896" s="245" t="s">
        <v>19</v>
      </c>
      <c r="C1896" s="246" t="s">
        <v>20</v>
      </c>
      <c r="D1896" s="245" t="s">
        <v>30</v>
      </c>
      <c r="E1896" s="247">
        <v>9</v>
      </c>
      <c r="F1896" s="242" t="s">
        <v>504</v>
      </c>
      <c r="G1896" s="242">
        <v>4.5999999999999996</v>
      </c>
      <c r="H1896" s="230">
        <f t="shared" si="40"/>
        <v>41.4</v>
      </c>
    </row>
    <row r="1897" spans="1:8" ht="15.75" x14ac:dyDescent="0.25">
      <c r="A1897" s="244">
        <v>1997</v>
      </c>
      <c r="B1897" s="245" t="s">
        <v>19</v>
      </c>
      <c r="C1897" s="246" t="s">
        <v>20</v>
      </c>
      <c r="D1897" s="245" t="s">
        <v>30</v>
      </c>
      <c r="E1897" s="247">
        <v>10</v>
      </c>
      <c r="F1897" s="242" t="s">
        <v>504</v>
      </c>
      <c r="G1897" s="242">
        <v>4.5999999999999996</v>
      </c>
      <c r="H1897" s="230">
        <f t="shared" si="40"/>
        <v>46</v>
      </c>
    </row>
    <row r="1898" spans="1:8" ht="15.75" x14ac:dyDescent="0.25">
      <c r="A1898" s="244">
        <v>1997</v>
      </c>
      <c r="B1898" s="245" t="s">
        <v>19</v>
      </c>
      <c r="C1898" s="246" t="s">
        <v>20</v>
      </c>
      <c r="D1898" s="245" t="s">
        <v>30</v>
      </c>
      <c r="E1898" s="247">
        <v>11</v>
      </c>
      <c r="F1898" s="242" t="s">
        <v>504</v>
      </c>
      <c r="G1898" s="242">
        <v>4.5999999999999996</v>
      </c>
      <c r="H1898" s="230">
        <f t="shared" si="40"/>
        <v>50.599999999999994</v>
      </c>
    </row>
    <row r="1899" spans="1:8" ht="15.75" x14ac:dyDescent="0.25">
      <c r="A1899" s="244">
        <v>1997</v>
      </c>
      <c r="B1899" s="245" t="s">
        <v>19</v>
      </c>
      <c r="C1899" s="246" t="s">
        <v>20</v>
      </c>
      <c r="D1899" s="245" t="s">
        <v>30</v>
      </c>
      <c r="E1899" s="247">
        <v>12.5</v>
      </c>
      <c r="F1899" s="242" t="s">
        <v>504</v>
      </c>
      <c r="G1899" s="242">
        <v>4.5999999999999996</v>
      </c>
      <c r="H1899" s="230">
        <f t="shared" si="40"/>
        <v>57.499999999999993</v>
      </c>
    </row>
    <row r="1900" spans="1:8" ht="15.75" x14ac:dyDescent="0.25">
      <c r="A1900" s="244">
        <v>1997</v>
      </c>
      <c r="B1900" s="245" t="s">
        <v>19</v>
      </c>
      <c r="C1900" s="246" t="s">
        <v>20</v>
      </c>
      <c r="D1900" s="245" t="s">
        <v>30</v>
      </c>
      <c r="E1900" s="247">
        <v>6.5</v>
      </c>
      <c r="F1900" s="242" t="s">
        <v>504</v>
      </c>
      <c r="G1900" s="242">
        <v>4.5999999999999996</v>
      </c>
      <c r="H1900" s="230">
        <f t="shared" si="40"/>
        <v>29.9</v>
      </c>
    </row>
    <row r="1901" spans="1:8" ht="15.75" x14ac:dyDescent="0.25">
      <c r="A1901" s="244">
        <v>1997</v>
      </c>
      <c r="B1901" s="245" t="s">
        <v>19</v>
      </c>
      <c r="C1901" s="246" t="s">
        <v>20</v>
      </c>
      <c r="D1901" s="245" t="s">
        <v>30</v>
      </c>
      <c r="E1901" s="247">
        <v>6</v>
      </c>
      <c r="F1901" s="242" t="s">
        <v>504</v>
      </c>
      <c r="G1901" s="242">
        <v>4.5999999999999996</v>
      </c>
      <c r="H1901" s="230">
        <f t="shared" si="40"/>
        <v>27.599999999999998</v>
      </c>
    </row>
    <row r="1902" spans="1:8" ht="15.75" x14ac:dyDescent="0.25">
      <c r="A1902" s="244">
        <v>1997</v>
      </c>
      <c r="B1902" s="245" t="s">
        <v>19</v>
      </c>
      <c r="C1902" s="246" t="s">
        <v>20</v>
      </c>
      <c r="D1902" s="245" t="s">
        <v>30</v>
      </c>
      <c r="E1902" s="247">
        <v>7</v>
      </c>
      <c r="F1902" s="242" t="s">
        <v>504</v>
      </c>
      <c r="G1902" s="242">
        <v>4.5999999999999996</v>
      </c>
      <c r="H1902" s="230">
        <f t="shared" si="40"/>
        <v>32.199999999999996</v>
      </c>
    </row>
    <row r="1903" spans="1:8" ht="15.75" x14ac:dyDescent="0.25">
      <c r="A1903" s="244">
        <v>1997</v>
      </c>
      <c r="B1903" s="245" t="s">
        <v>19</v>
      </c>
      <c r="C1903" s="246" t="s">
        <v>20</v>
      </c>
      <c r="D1903" s="245" t="s">
        <v>30</v>
      </c>
      <c r="E1903" s="247">
        <v>10</v>
      </c>
      <c r="F1903" s="242" t="s">
        <v>504</v>
      </c>
      <c r="G1903" s="242">
        <v>4.5999999999999996</v>
      </c>
      <c r="H1903" s="230">
        <f t="shared" si="40"/>
        <v>46</v>
      </c>
    </row>
    <row r="1904" spans="1:8" ht="15.75" x14ac:dyDescent="0.25">
      <c r="A1904" s="244">
        <v>1997</v>
      </c>
      <c r="B1904" s="245" t="s">
        <v>19</v>
      </c>
      <c r="C1904" s="246" t="s">
        <v>20</v>
      </c>
      <c r="D1904" s="245" t="s">
        <v>30</v>
      </c>
      <c r="E1904" s="247">
        <v>14</v>
      </c>
      <c r="F1904" s="242" t="s">
        <v>504</v>
      </c>
      <c r="G1904" s="242">
        <v>4.5999999999999996</v>
      </c>
      <c r="H1904" s="230">
        <f t="shared" si="40"/>
        <v>64.399999999999991</v>
      </c>
    </row>
    <row r="1905" spans="1:8" ht="15.75" x14ac:dyDescent="0.25">
      <c r="A1905" s="244">
        <v>1997</v>
      </c>
      <c r="B1905" s="245" t="s">
        <v>19</v>
      </c>
      <c r="C1905" s="246" t="s">
        <v>20</v>
      </c>
      <c r="D1905" s="245" t="s">
        <v>30</v>
      </c>
      <c r="E1905" s="247">
        <v>11.5</v>
      </c>
      <c r="F1905" s="242" t="s">
        <v>504</v>
      </c>
      <c r="G1905" s="242">
        <v>4.5999999999999996</v>
      </c>
      <c r="H1905" s="230">
        <f t="shared" si="40"/>
        <v>52.9</v>
      </c>
    </row>
    <row r="1906" spans="1:8" ht="15.75" x14ac:dyDescent="0.25">
      <c r="A1906" s="244">
        <v>1997</v>
      </c>
      <c r="B1906" s="245" t="s">
        <v>19</v>
      </c>
      <c r="C1906" s="246" t="s">
        <v>20</v>
      </c>
      <c r="D1906" s="245" t="s">
        <v>30</v>
      </c>
      <c r="E1906" s="247">
        <v>10.5</v>
      </c>
      <c r="F1906" s="242" t="s">
        <v>504</v>
      </c>
      <c r="G1906" s="242">
        <v>4.5999999999999996</v>
      </c>
      <c r="H1906" s="230">
        <f t="shared" si="40"/>
        <v>48.3</v>
      </c>
    </row>
    <row r="1907" spans="1:8" ht="15.75" x14ac:dyDescent="0.25">
      <c r="A1907" s="244">
        <v>1997</v>
      </c>
      <c r="B1907" s="245" t="s">
        <v>19</v>
      </c>
      <c r="C1907" s="246" t="s">
        <v>20</v>
      </c>
      <c r="D1907" s="245" t="s">
        <v>30</v>
      </c>
      <c r="E1907" s="247">
        <v>9.5</v>
      </c>
      <c r="F1907" s="242" t="s">
        <v>504</v>
      </c>
      <c r="G1907" s="242">
        <v>4.5999999999999996</v>
      </c>
      <c r="H1907" s="230">
        <f t="shared" si="40"/>
        <v>43.699999999999996</v>
      </c>
    </row>
    <row r="1908" spans="1:8" ht="15.75" x14ac:dyDescent="0.25">
      <c r="A1908" s="244">
        <v>1997</v>
      </c>
      <c r="B1908" s="245" t="s">
        <v>19</v>
      </c>
      <c r="C1908" s="246" t="s">
        <v>20</v>
      </c>
      <c r="D1908" s="245" t="s">
        <v>30</v>
      </c>
      <c r="E1908" s="247">
        <v>6.5</v>
      </c>
      <c r="F1908" s="242" t="s">
        <v>504</v>
      </c>
      <c r="G1908" s="242">
        <v>4.5999999999999996</v>
      </c>
      <c r="H1908" s="230">
        <f t="shared" si="40"/>
        <v>29.9</v>
      </c>
    </row>
    <row r="1909" spans="1:8" ht="15.75" x14ac:dyDescent="0.25">
      <c r="A1909" s="244">
        <v>1997</v>
      </c>
      <c r="B1909" s="245" t="s">
        <v>19</v>
      </c>
      <c r="C1909" s="246" t="s">
        <v>20</v>
      </c>
      <c r="D1909" s="245" t="s">
        <v>30</v>
      </c>
      <c r="E1909" s="247">
        <v>8</v>
      </c>
      <c r="F1909" s="242" t="s">
        <v>504</v>
      </c>
      <c r="G1909" s="242">
        <v>4.5999999999999996</v>
      </c>
      <c r="H1909" s="230">
        <f t="shared" si="40"/>
        <v>36.799999999999997</v>
      </c>
    </row>
    <row r="1910" spans="1:8" ht="15.75" x14ac:dyDescent="0.25">
      <c r="A1910" s="244">
        <v>1997</v>
      </c>
      <c r="B1910" s="245" t="s">
        <v>19</v>
      </c>
      <c r="C1910" s="246" t="s">
        <v>20</v>
      </c>
      <c r="D1910" s="245" t="s">
        <v>30</v>
      </c>
      <c r="E1910" s="247">
        <v>12</v>
      </c>
      <c r="F1910" s="242" t="s">
        <v>504</v>
      </c>
      <c r="G1910" s="242">
        <v>4.5999999999999996</v>
      </c>
      <c r="H1910" s="230">
        <f t="shared" si="40"/>
        <v>55.199999999999996</v>
      </c>
    </row>
    <row r="1911" spans="1:8" ht="15.75" x14ac:dyDescent="0.25">
      <c r="A1911" s="244">
        <v>1997</v>
      </c>
      <c r="B1911" s="245" t="s">
        <v>19</v>
      </c>
      <c r="C1911" s="246" t="s">
        <v>20</v>
      </c>
      <c r="D1911" s="245" t="s">
        <v>30</v>
      </c>
      <c r="E1911" s="247">
        <v>9.5</v>
      </c>
      <c r="F1911" s="242" t="s">
        <v>504</v>
      </c>
      <c r="G1911" s="242">
        <v>4.5999999999999996</v>
      </c>
      <c r="H1911" s="230">
        <f t="shared" si="40"/>
        <v>43.699999999999996</v>
      </c>
    </row>
    <row r="1912" spans="1:8" ht="15.75" x14ac:dyDescent="0.25">
      <c r="A1912" s="244">
        <v>1997</v>
      </c>
      <c r="B1912" s="245" t="s">
        <v>19</v>
      </c>
      <c r="C1912" s="246" t="s">
        <v>20</v>
      </c>
      <c r="D1912" s="245" t="s">
        <v>30</v>
      </c>
      <c r="E1912" s="247">
        <v>14</v>
      </c>
      <c r="F1912" s="242" t="s">
        <v>504</v>
      </c>
      <c r="G1912" s="242">
        <v>4.5999999999999996</v>
      </c>
      <c r="H1912" s="230">
        <f t="shared" si="40"/>
        <v>64.399999999999991</v>
      </c>
    </row>
    <row r="1913" spans="1:8" ht="15.75" x14ac:dyDescent="0.25">
      <c r="A1913" s="244">
        <v>1997</v>
      </c>
      <c r="B1913" s="245" t="s">
        <v>19</v>
      </c>
      <c r="C1913" s="246" t="s">
        <v>20</v>
      </c>
      <c r="D1913" s="245" t="s">
        <v>30</v>
      </c>
      <c r="E1913" s="247">
        <v>17</v>
      </c>
      <c r="F1913" s="242" t="s">
        <v>504</v>
      </c>
      <c r="G1913" s="242">
        <v>4.5999999999999996</v>
      </c>
      <c r="H1913" s="230">
        <f t="shared" si="40"/>
        <v>78.199999999999989</v>
      </c>
    </row>
    <row r="1914" spans="1:8" ht="15.75" x14ac:dyDescent="0.25">
      <c r="A1914" s="244">
        <v>1997</v>
      </c>
      <c r="B1914" s="245" t="s">
        <v>19</v>
      </c>
      <c r="C1914" s="246" t="s">
        <v>20</v>
      </c>
      <c r="D1914" s="245" t="s">
        <v>30</v>
      </c>
      <c r="E1914" s="247">
        <v>16</v>
      </c>
      <c r="F1914" s="242" t="s">
        <v>504</v>
      </c>
      <c r="G1914" s="242">
        <v>4.5999999999999996</v>
      </c>
      <c r="H1914" s="230">
        <f t="shared" si="40"/>
        <v>73.599999999999994</v>
      </c>
    </row>
    <row r="1915" spans="1:8" ht="15.75" x14ac:dyDescent="0.25">
      <c r="A1915" s="244">
        <v>1997</v>
      </c>
      <c r="B1915" s="245" t="s">
        <v>19</v>
      </c>
      <c r="C1915" s="246" t="s">
        <v>20</v>
      </c>
      <c r="D1915" s="245" t="s">
        <v>30</v>
      </c>
      <c r="E1915" s="247">
        <v>9.5</v>
      </c>
      <c r="F1915" s="242" t="s">
        <v>504</v>
      </c>
      <c r="G1915" s="242">
        <v>4.5999999999999996</v>
      </c>
      <c r="H1915" s="230">
        <f t="shared" si="40"/>
        <v>43.699999999999996</v>
      </c>
    </row>
    <row r="1916" spans="1:8" ht="15.75" x14ac:dyDescent="0.25">
      <c r="A1916" s="244">
        <v>1997</v>
      </c>
      <c r="B1916" s="245" t="s">
        <v>19</v>
      </c>
      <c r="C1916" s="246" t="s">
        <v>20</v>
      </c>
      <c r="D1916" s="245" t="s">
        <v>30</v>
      </c>
      <c r="E1916" s="247">
        <v>7</v>
      </c>
      <c r="F1916" s="242" t="s">
        <v>504</v>
      </c>
      <c r="G1916" s="242">
        <v>4.5999999999999996</v>
      </c>
      <c r="H1916" s="230">
        <f t="shared" si="40"/>
        <v>32.199999999999996</v>
      </c>
    </row>
    <row r="1917" spans="1:8" ht="15.75" x14ac:dyDescent="0.25">
      <c r="A1917" s="244">
        <v>1997</v>
      </c>
      <c r="B1917" s="245" t="s">
        <v>19</v>
      </c>
      <c r="C1917" s="246" t="s">
        <v>20</v>
      </c>
      <c r="D1917" s="245" t="s">
        <v>30</v>
      </c>
      <c r="E1917" s="247">
        <v>22.5</v>
      </c>
      <c r="F1917" s="242" t="s">
        <v>504</v>
      </c>
      <c r="G1917" s="242">
        <v>4.5999999999999996</v>
      </c>
      <c r="H1917" s="230">
        <f t="shared" si="40"/>
        <v>103.49999999999999</v>
      </c>
    </row>
    <row r="1918" spans="1:8" ht="15.75" x14ac:dyDescent="0.25">
      <c r="A1918" s="244">
        <v>1997</v>
      </c>
      <c r="B1918" s="245" t="s">
        <v>19</v>
      </c>
      <c r="C1918" s="246" t="s">
        <v>20</v>
      </c>
      <c r="D1918" s="245" t="s">
        <v>30</v>
      </c>
      <c r="E1918" s="247">
        <v>7.5</v>
      </c>
      <c r="F1918" s="242" t="s">
        <v>504</v>
      </c>
      <c r="G1918" s="242">
        <v>4.5999999999999996</v>
      </c>
      <c r="H1918" s="230">
        <f t="shared" si="40"/>
        <v>34.5</v>
      </c>
    </row>
    <row r="1919" spans="1:8" ht="15.75" x14ac:dyDescent="0.25">
      <c r="A1919" s="244">
        <v>1997</v>
      </c>
      <c r="B1919" s="245" t="s">
        <v>19</v>
      </c>
      <c r="C1919" s="246" t="s">
        <v>20</v>
      </c>
      <c r="D1919" s="245" t="s">
        <v>30</v>
      </c>
      <c r="E1919" s="247">
        <v>17.5</v>
      </c>
      <c r="F1919" s="242" t="s">
        <v>504</v>
      </c>
      <c r="G1919" s="242">
        <v>4.5999999999999996</v>
      </c>
      <c r="H1919" s="230">
        <f t="shared" si="40"/>
        <v>80.5</v>
      </c>
    </row>
    <row r="1920" spans="1:8" ht="15.75" x14ac:dyDescent="0.25">
      <c r="A1920" s="244">
        <v>1997</v>
      </c>
      <c r="B1920" s="245" t="s">
        <v>19</v>
      </c>
      <c r="C1920" s="246" t="s">
        <v>20</v>
      </c>
      <c r="D1920" s="245" t="s">
        <v>30</v>
      </c>
      <c r="E1920" s="247">
        <v>20</v>
      </c>
      <c r="F1920" s="242" t="s">
        <v>504</v>
      </c>
      <c r="G1920" s="242">
        <v>4.5999999999999996</v>
      </c>
      <c r="H1920" s="230">
        <f t="shared" si="40"/>
        <v>92</v>
      </c>
    </row>
    <row r="1921" spans="1:8" ht="15.75" x14ac:dyDescent="0.25">
      <c r="A1921" s="244">
        <v>1997</v>
      </c>
      <c r="B1921" s="245" t="s">
        <v>19</v>
      </c>
      <c r="C1921" s="246" t="s">
        <v>20</v>
      </c>
      <c r="D1921" s="245" t="s">
        <v>30</v>
      </c>
      <c r="E1921" s="247">
        <v>12</v>
      </c>
      <c r="F1921" s="242" t="s">
        <v>504</v>
      </c>
      <c r="G1921" s="242">
        <v>4.5999999999999996</v>
      </c>
      <c r="H1921" s="230">
        <f t="shared" si="40"/>
        <v>55.199999999999996</v>
      </c>
    </row>
    <row r="1922" spans="1:8" ht="15.75" x14ac:dyDescent="0.25">
      <c r="A1922" s="244">
        <v>1997</v>
      </c>
      <c r="B1922" s="245" t="s">
        <v>19</v>
      </c>
      <c r="C1922" s="246" t="s">
        <v>20</v>
      </c>
      <c r="D1922" s="245" t="s">
        <v>30</v>
      </c>
      <c r="E1922" s="247">
        <v>22</v>
      </c>
      <c r="F1922" s="242" t="s">
        <v>504</v>
      </c>
      <c r="G1922" s="242">
        <v>4.5999999999999996</v>
      </c>
      <c r="H1922" s="230">
        <f t="shared" si="40"/>
        <v>101.19999999999999</v>
      </c>
    </row>
    <row r="1923" spans="1:8" ht="15.75" x14ac:dyDescent="0.25">
      <c r="A1923" s="244">
        <v>1997</v>
      </c>
      <c r="B1923" s="245" t="s">
        <v>19</v>
      </c>
      <c r="C1923" s="246" t="s">
        <v>20</v>
      </c>
      <c r="D1923" s="245" t="s">
        <v>30</v>
      </c>
      <c r="E1923" s="247">
        <v>14</v>
      </c>
      <c r="F1923" s="242" t="s">
        <v>504</v>
      </c>
      <c r="G1923" s="242">
        <v>4.5999999999999996</v>
      </c>
      <c r="H1923" s="230">
        <f t="shared" ref="H1923:H1986" si="41">E1923*G1923</f>
        <v>64.399999999999991</v>
      </c>
    </row>
    <row r="1924" spans="1:8" ht="15.75" x14ac:dyDescent="0.25">
      <c r="A1924" s="244">
        <v>1997</v>
      </c>
      <c r="B1924" s="245" t="s">
        <v>19</v>
      </c>
      <c r="C1924" s="246" t="s">
        <v>20</v>
      </c>
      <c r="D1924" s="245" t="s">
        <v>30</v>
      </c>
      <c r="E1924" s="247">
        <v>8.5</v>
      </c>
      <c r="F1924" s="242" t="s">
        <v>504</v>
      </c>
      <c r="G1924" s="242">
        <v>4.5999999999999996</v>
      </c>
      <c r="H1924" s="230">
        <f t="shared" si="41"/>
        <v>39.099999999999994</v>
      </c>
    </row>
    <row r="1925" spans="1:8" ht="15.75" x14ac:dyDescent="0.25">
      <c r="A1925" s="244">
        <v>1997</v>
      </c>
      <c r="B1925" s="245" t="s">
        <v>19</v>
      </c>
      <c r="C1925" s="246" t="s">
        <v>20</v>
      </c>
      <c r="D1925" s="245" t="s">
        <v>30</v>
      </c>
      <c r="E1925" s="247">
        <v>12.5</v>
      </c>
      <c r="F1925" s="242" t="s">
        <v>504</v>
      </c>
      <c r="G1925" s="242">
        <v>4.5999999999999996</v>
      </c>
      <c r="H1925" s="230">
        <f t="shared" si="41"/>
        <v>57.499999999999993</v>
      </c>
    </row>
    <row r="1926" spans="1:8" ht="15.75" x14ac:dyDescent="0.25">
      <c r="A1926" s="244">
        <v>1997</v>
      </c>
      <c r="B1926" s="245" t="s">
        <v>19</v>
      </c>
      <c r="C1926" s="246" t="s">
        <v>20</v>
      </c>
      <c r="D1926" s="245" t="s">
        <v>30</v>
      </c>
      <c r="E1926" s="247">
        <v>8</v>
      </c>
      <c r="F1926" s="242" t="s">
        <v>504</v>
      </c>
      <c r="G1926" s="242">
        <v>4.5999999999999996</v>
      </c>
      <c r="H1926" s="230">
        <f t="shared" si="41"/>
        <v>36.799999999999997</v>
      </c>
    </row>
    <row r="1927" spans="1:8" ht="15.75" x14ac:dyDescent="0.25">
      <c r="A1927" s="244">
        <v>1997</v>
      </c>
      <c r="B1927" s="245" t="s">
        <v>19</v>
      </c>
      <c r="C1927" s="246" t="s">
        <v>20</v>
      </c>
      <c r="D1927" s="245" t="s">
        <v>30</v>
      </c>
      <c r="E1927" s="247">
        <v>11</v>
      </c>
      <c r="F1927" s="242" t="s">
        <v>504</v>
      </c>
      <c r="G1927" s="242">
        <v>4.5999999999999996</v>
      </c>
      <c r="H1927" s="230">
        <f t="shared" si="41"/>
        <v>50.599999999999994</v>
      </c>
    </row>
    <row r="1928" spans="1:8" ht="15.75" x14ac:dyDescent="0.25">
      <c r="A1928" s="244">
        <v>1997</v>
      </c>
      <c r="B1928" s="245" t="s">
        <v>19</v>
      </c>
      <c r="C1928" s="246" t="s">
        <v>20</v>
      </c>
      <c r="D1928" s="245" t="s">
        <v>30</v>
      </c>
      <c r="E1928" s="247">
        <v>9</v>
      </c>
      <c r="F1928" s="242" t="s">
        <v>504</v>
      </c>
      <c r="G1928" s="242">
        <v>4.5999999999999996</v>
      </c>
      <c r="H1928" s="230">
        <f t="shared" si="41"/>
        <v>41.4</v>
      </c>
    </row>
    <row r="1929" spans="1:8" ht="15.75" x14ac:dyDescent="0.25">
      <c r="A1929" s="244">
        <v>1997</v>
      </c>
      <c r="B1929" s="245" t="s">
        <v>19</v>
      </c>
      <c r="C1929" s="246" t="s">
        <v>20</v>
      </c>
      <c r="D1929" s="245" t="s">
        <v>30</v>
      </c>
      <c r="E1929" s="247">
        <v>8.5</v>
      </c>
      <c r="F1929" s="242" t="s">
        <v>504</v>
      </c>
      <c r="G1929" s="242">
        <v>4.5999999999999996</v>
      </c>
      <c r="H1929" s="230">
        <f t="shared" si="41"/>
        <v>39.099999999999994</v>
      </c>
    </row>
    <row r="1930" spans="1:8" ht="15.75" x14ac:dyDescent="0.25">
      <c r="A1930" s="244">
        <v>1997</v>
      </c>
      <c r="B1930" s="245" t="s">
        <v>19</v>
      </c>
      <c r="C1930" s="246" t="s">
        <v>20</v>
      </c>
      <c r="D1930" s="245" t="s">
        <v>30</v>
      </c>
      <c r="E1930" s="247">
        <v>15</v>
      </c>
      <c r="F1930" s="242" t="s">
        <v>504</v>
      </c>
      <c r="G1930" s="242">
        <v>4.5999999999999996</v>
      </c>
      <c r="H1930" s="230">
        <f t="shared" si="41"/>
        <v>69</v>
      </c>
    </row>
    <row r="1931" spans="1:8" ht="15.75" x14ac:dyDescent="0.25">
      <c r="A1931" s="244">
        <v>1997</v>
      </c>
      <c r="B1931" s="245" t="s">
        <v>19</v>
      </c>
      <c r="C1931" s="246" t="s">
        <v>20</v>
      </c>
      <c r="D1931" s="245" t="s">
        <v>30</v>
      </c>
      <c r="E1931" s="247">
        <v>12</v>
      </c>
      <c r="F1931" s="242" t="s">
        <v>504</v>
      </c>
      <c r="G1931" s="242">
        <v>4.5999999999999996</v>
      </c>
      <c r="H1931" s="230">
        <f t="shared" si="41"/>
        <v>55.199999999999996</v>
      </c>
    </row>
    <row r="1932" spans="1:8" ht="15.75" x14ac:dyDescent="0.25">
      <c r="A1932" s="244">
        <v>1997</v>
      </c>
      <c r="B1932" s="245" t="s">
        <v>19</v>
      </c>
      <c r="C1932" s="246" t="s">
        <v>20</v>
      </c>
      <c r="D1932" s="245" t="s">
        <v>30</v>
      </c>
      <c r="E1932" s="247">
        <v>18.5</v>
      </c>
      <c r="F1932" s="242" t="s">
        <v>504</v>
      </c>
      <c r="G1932" s="242">
        <v>4.5999999999999996</v>
      </c>
      <c r="H1932" s="230">
        <f t="shared" si="41"/>
        <v>85.1</v>
      </c>
    </row>
    <row r="1933" spans="1:8" ht="15.75" x14ac:dyDescent="0.25">
      <c r="A1933" s="244">
        <v>1997</v>
      </c>
      <c r="B1933" s="245" t="s">
        <v>19</v>
      </c>
      <c r="C1933" s="246" t="s">
        <v>20</v>
      </c>
      <c r="D1933" s="245" t="s">
        <v>30</v>
      </c>
      <c r="E1933" s="247">
        <v>15</v>
      </c>
      <c r="F1933" s="242" t="s">
        <v>504</v>
      </c>
      <c r="G1933" s="242">
        <v>4.5999999999999996</v>
      </c>
      <c r="H1933" s="230">
        <f t="shared" si="41"/>
        <v>69</v>
      </c>
    </row>
    <row r="1934" spans="1:8" ht="15.75" x14ac:dyDescent="0.25">
      <c r="A1934" s="244">
        <v>1997</v>
      </c>
      <c r="B1934" s="245" t="s">
        <v>19</v>
      </c>
      <c r="C1934" s="246" t="s">
        <v>20</v>
      </c>
      <c r="D1934" s="245" t="s">
        <v>30</v>
      </c>
      <c r="E1934" s="247">
        <v>13</v>
      </c>
      <c r="F1934" s="242" t="s">
        <v>504</v>
      </c>
      <c r="G1934" s="242">
        <v>4.5999999999999996</v>
      </c>
      <c r="H1934" s="230">
        <f t="shared" si="41"/>
        <v>59.8</v>
      </c>
    </row>
    <row r="1935" spans="1:8" ht="15.75" x14ac:dyDescent="0.25">
      <c r="A1935" s="244">
        <v>1997</v>
      </c>
      <c r="B1935" s="245" t="s">
        <v>19</v>
      </c>
      <c r="C1935" s="246" t="s">
        <v>20</v>
      </c>
      <c r="D1935" s="245" t="s">
        <v>30</v>
      </c>
      <c r="E1935" s="247">
        <v>13</v>
      </c>
      <c r="F1935" s="242" t="s">
        <v>504</v>
      </c>
      <c r="G1935" s="242">
        <v>4.5999999999999996</v>
      </c>
      <c r="H1935" s="230">
        <f t="shared" si="41"/>
        <v>59.8</v>
      </c>
    </row>
    <row r="1936" spans="1:8" ht="15.75" x14ac:dyDescent="0.25">
      <c r="A1936" s="244">
        <v>1997</v>
      </c>
      <c r="B1936" s="245" t="s">
        <v>19</v>
      </c>
      <c r="C1936" s="246" t="s">
        <v>20</v>
      </c>
      <c r="D1936" s="245" t="s">
        <v>30</v>
      </c>
      <c r="E1936" s="247">
        <v>13</v>
      </c>
      <c r="F1936" s="242" t="s">
        <v>504</v>
      </c>
      <c r="G1936" s="242">
        <v>4.5999999999999996</v>
      </c>
      <c r="H1936" s="230">
        <f t="shared" si="41"/>
        <v>59.8</v>
      </c>
    </row>
    <row r="1937" spans="1:8" ht="15.75" x14ac:dyDescent="0.25">
      <c r="A1937" s="244">
        <v>1997</v>
      </c>
      <c r="B1937" s="245" t="s">
        <v>19</v>
      </c>
      <c r="C1937" s="246" t="s">
        <v>20</v>
      </c>
      <c r="D1937" s="245" t="s">
        <v>30</v>
      </c>
      <c r="E1937" s="247">
        <v>15.5</v>
      </c>
      <c r="F1937" s="242" t="s">
        <v>504</v>
      </c>
      <c r="G1937" s="242">
        <v>4.5999999999999996</v>
      </c>
      <c r="H1937" s="230">
        <f t="shared" si="41"/>
        <v>71.3</v>
      </c>
    </row>
    <row r="1938" spans="1:8" ht="15.75" x14ac:dyDescent="0.25">
      <c r="A1938" s="244">
        <v>1997</v>
      </c>
      <c r="B1938" s="245" t="s">
        <v>19</v>
      </c>
      <c r="C1938" s="246" t="s">
        <v>20</v>
      </c>
      <c r="D1938" s="245" t="s">
        <v>30</v>
      </c>
      <c r="E1938" s="247">
        <v>20.5</v>
      </c>
      <c r="F1938" s="242" t="s">
        <v>504</v>
      </c>
      <c r="G1938" s="242">
        <v>4.5999999999999996</v>
      </c>
      <c r="H1938" s="230">
        <f t="shared" si="41"/>
        <v>94.3</v>
      </c>
    </row>
    <row r="1939" spans="1:8" ht="15.75" x14ac:dyDescent="0.25">
      <c r="A1939" s="244">
        <v>1997</v>
      </c>
      <c r="B1939" s="245" t="s">
        <v>19</v>
      </c>
      <c r="C1939" s="246" t="s">
        <v>20</v>
      </c>
      <c r="D1939" s="245" t="s">
        <v>30</v>
      </c>
      <c r="E1939" s="247">
        <v>12</v>
      </c>
      <c r="F1939" s="242" t="s">
        <v>504</v>
      </c>
      <c r="G1939" s="242">
        <v>4.5999999999999996</v>
      </c>
      <c r="H1939" s="230">
        <f t="shared" si="41"/>
        <v>55.199999999999996</v>
      </c>
    </row>
    <row r="1940" spans="1:8" ht="15.75" x14ac:dyDescent="0.25">
      <c r="A1940" s="244">
        <v>1997</v>
      </c>
      <c r="B1940" s="245" t="s">
        <v>19</v>
      </c>
      <c r="C1940" s="246" t="s">
        <v>20</v>
      </c>
      <c r="D1940" s="245" t="s">
        <v>30</v>
      </c>
      <c r="E1940" s="247">
        <v>6</v>
      </c>
      <c r="F1940" s="242" t="s">
        <v>504</v>
      </c>
      <c r="G1940" s="242">
        <v>4.5999999999999996</v>
      </c>
      <c r="H1940" s="230">
        <f t="shared" si="41"/>
        <v>27.599999999999998</v>
      </c>
    </row>
    <row r="1941" spans="1:8" ht="15.75" x14ac:dyDescent="0.25">
      <c r="A1941" s="244">
        <v>1997</v>
      </c>
      <c r="B1941" s="245" t="s">
        <v>19</v>
      </c>
      <c r="C1941" s="246" t="s">
        <v>20</v>
      </c>
      <c r="D1941" s="245" t="s">
        <v>30</v>
      </c>
      <c r="E1941" s="247">
        <v>9.5</v>
      </c>
      <c r="F1941" s="242" t="s">
        <v>504</v>
      </c>
      <c r="G1941" s="242">
        <v>4.5999999999999996</v>
      </c>
      <c r="H1941" s="230">
        <f t="shared" si="41"/>
        <v>43.699999999999996</v>
      </c>
    </row>
    <row r="1942" spans="1:8" ht="15.75" x14ac:dyDescent="0.25">
      <c r="A1942" s="244">
        <v>1997</v>
      </c>
      <c r="B1942" s="245" t="s">
        <v>19</v>
      </c>
      <c r="C1942" s="246" t="s">
        <v>20</v>
      </c>
      <c r="D1942" s="245" t="s">
        <v>30</v>
      </c>
      <c r="E1942" s="247">
        <v>12</v>
      </c>
      <c r="F1942" s="242" t="s">
        <v>504</v>
      </c>
      <c r="G1942" s="242">
        <v>4.5999999999999996</v>
      </c>
      <c r="H1942" s="230">
        <f t="shared" si="41"/>
        <v>55.199999999999996</v>
      </c>
    </row>
    <row r="1943" spans="1:8" ht="15.75" x14ac:dyDescent="0.25">
      <c r="A1943" s="244">
        <v>1997</v>
      </c>
      <c r="B1943" s="245" t="s">
        <v>19</v>
      </c>
      <c r="C1943" s="246" t="s">
        <v>20</v>
      </c>
      <c r="D1943" s="245" t="s">
        <v>30</v>
      </c>
      <c r="E1943" s="247">
        <v>16.5</v>
      </c>
      <c r="F1943" s="242" t="s">
        <v>504</v>
      </c>
      <c r="G1943" s="242">
        <v>4.5999999999999996</v>
      </c>
      <c r="H1943" s="230">
        <f t="shared" si="41"/>
        <v>75.899999999999991</v>
      </c>
    </row>
    <row r="1944" spans="1:8" ht="15.75" x14ac:dyDescent="0.25">
      <c r="A1944" s="244">
        <v>1997</v>
      </c>
      <c r="B1944" s="245" t="s">
        <v>19</v>
      </c>
      <c r="C1944" s="246" t="s">
        <v>20</v>
      </c>
      <c r="D1944" s="245" t="s">
        <v>30</v>
      </c>
      <c r="E1944" s="247">
        <v>17</v>
      </c>
      <c r="F1944" s="242" t="s">
        <v>504</v>
      </c>
      <c r="G1944" s="242">
        <v>4.5999999999999996</v>
      </c>
      <c r="H1944" s="230">
        <f t="shared" si="41"/>
        <v>78.199999999999989</v>
      </c>
    </row>
    <row r="1945" spans="1:8" ht="15.75" x14ac:dyDescent="0.25">
      <c r="A1945" s="244">
        <v>1997</v>
      </c>
      <c r="B1945" s="245" t="s">
        <v>19</v>
      </c>
      <c r="C1945" s="246" t="s">
        <v>20</v>
      </c>
      <c r="D1945" s="245" t="s">
        <v>30</v>
      </c>
      <c r="E1945" s="247">
        <v>12.5</v>
      </c>
      <c r="F1945" s="242" t="s">
        <v>504</v>
      </c>
      <c r="G1945" s="242">
        <v>4.5999999999999996</v>
      </c>
      <c r="H1945" s="230">
        <f t="shared" si="41"/>
        <v>57.499999999999993</v>
      </c>
    </row>
    <row r="1946" spans="1:8" ht="15.75" x14ac:dyDescent="0.25">
      <c r="A1946" s="244">
        <v>1997</v>
      </c>
      <c r="B1946" s="245" t="s">
        <v>19</v>
      </c>
      <c r="C1946" s="246" t="s">
        <v>20</v>
      </c>
      <c r="D1946" s="245" t="s">
        <v>30</v>
      </c>
      <c r="E1946" s="247">
        <v>17</v>
      </c>
      <c r="F1946" s="242" t="s">
        <v>504</v>
      </c>
      <c r="G1946" s="242">
        <v>4.5999999999999996</v>
      </c>
      <c r="H1946" s="230">
        <f t="shared" si="41"/>
        <v>78.199999999999989</v>
      </c>
    </row>
    <row r="1947" spans="1:8" ht="15.75" x14ac:dyDescent="0.25">
      <c r="A1947" s="244">
        <v>1997</v>
      </c>
      <c r="B1947" s="245" t="s">
        <v>19</v>
      </c>
      <c r="C1947" s="246" t="s">
        <v>20</v>
      </c>
      <c r="D1947" s="245" t="s">
        <v>30</v>
      </c>
      <c r="E1947" s="247">
        <v>18</v>
      </c>
      <c r="F1947" s="242" t="s">
        <v>504</v>
      </c>
      <c r="G1947" s="242">
        <v>4.5999999999999996</v>
      </c>
      <c r="H1947" s="230">
        <f t="shared" si="41"/>
        <v>82.8</v>
      </c>
    </row>
    <row r="1948" spans="1:8" ht="15.75" x14ac:dyDescent="0.25">
      <c r="A1948" s="244">
        <v>1997</v>
      </c>
      <c r="B1948" s="245" t="s">
        <v>19</v>
      </c>
      <c r="C1948" s="246" t="s">
        <v>20</v>
      </c>
      <c r="D1948" s="245" t="s">
        <v>30</v>
      </c>
      <c r="E1948" s="247">
        <v>11</v>
      </c>
      <c r="F1948" s="242" t="s">
        <v>504</v>
      </c>
      <c r="G1948" s="242">
        <v>4.5999999999999996</v>
      </c>
      <c r="H1948" s="230">
        <f t="shared" si="41"/>
        <v>50.599999999999994</v>
      </c>
    </row>
    <row r="1949" spans="1:8" ht="15.75" x14ac:dyDescent="0.25">
      <c r="A1949" s="244">
        <v>1997</v>
      </c>
      <c r="B1949" s="245" t="s">
        <v>19</v>
      </c>
      <c r="C1949" s="246" t="s">
        <v>20</v>
      </c>
      <c r="D1949" s="245" t="s">
        <v>30</v>
      </c>
      <c r="E1949" s="247">
        <v>13</v>
      </c>
      <c r="F1949" s="242" t="s">
        <v>504</v>
      </c>
      <c r="G1949" s="242">
        <v>4.5999999999999996</v>
      </c>
      <c r="H1949" s="230">
        <f t="shared" si="41"/>
        <v>59.8</v>
      </c>
    </row>
    <row r="1950" spans="1:8" ht="15.75" x14ac:dyDescent="0.25">
      <c r="A1950" s="244">
        <v>1997</v>
      </c>
      <c r="B1950" s="245" t="s">
        <v>19</v>
      </c>
      <c r="C1950" s="246" t="s">
        <v>20</v>
      </c>
      <c r="D1950" s="245" t="s">
        <v>30</v>
      </c>
      <c r="E1950" s="247">
        <v>10</v>
      </c>
      <c r="F1950" s="242" t="s">
        <v>504</v>
      </c>
      <c r="G1950" s="242">
        <v>4.5999999999999996</v>
      </c>
      <c r="H1950" s="230">
        <f t="shared" si="41"/>
        <v>46</v>
      </c>
    </row>
    <row r="1951" spans="1:8" ht="15.75" x14ac:dyDescent="0.25">
      <c r="A1951" s="244">
        <v>1997</v>
      </c>
      <c r="B1951" s="245" t="s">
        <v>19</v>
      </c>
      <c r="C1951" s="246" t="s">
        <v>20</v>
      </c>
      <c r="D1951" s="245" t="s">
        <v>30</v>
      </c>
      <c r="E1951" s="247">
        <v>11</v>
      </c>
      <c r="F1951" s="242" t="s">
        <v>504</v>
      </c>
      <c r="G1951" s="242">
        <v>4.5999999999999996</v>
      </c>
      <c r="H1951" s="230">
        <f t="shared" si="41"/>
        <v>50.599999999999994</v>
      </c>
    </row>
    <row r="1952" spans="1:8" ht="15.75" x14ac:dyDescent="0.25">
      <c r="A1952" s="244">
        <v>1997</v>
      </c>
      <c r="B1952" s="245" t="s">
        <v>19</v>
      </c>
      <c r="C1952" s="246" t="s">
        <v>20</v>
      </c>
      <c r="D1952" s="245" t="s">
        <v>30</v>
      </c>
      <c r="E1952" s="247">
        <v>11</v>
      </c>
      <c r="F1952" s="242" t="s">
        <v>504</v>
      </c>
      <c r="G1952" s="242">
        <v>4.5999999999999996</v>
      </c>
      <c r="H1952" s="230">
        <f t="shared" si="41"/>
        <v>50.599999999999994</v>
      </c>
    </row>
    <row r="1953" spans="1:8" ht="15.75" x14ac:dyDescent="0.25">
      <c r="A1953" s="244">
        <v>1997</v>
      </c>
      <c r="B1953" s="245" t="s">
        <v>19</v>
      </c>
      <c r="C1953" s="246" t="s">
        <v>20</v>
      </c>
      <c r="D1953" s="245" t="s">
        <v>30</v>
      </c>
      <c r="E1953" s="247">
        <v>15.5</v>
      </c>
      <c r="F1953" s="242" t="s">
        <v>504</v>
      </c>
      <c r="G1953" s="242">
        <v>4.5999999999999996</v>
      </c>
      <c r="H1953" s="230">
        <f t="shared" si="41"/>
        <v>71.3</v>
      </c>
    </row>
    <row r="1954" spans="1:8" ht="15.75" x14ac:dyDescent="0.25">
      <c r="A1954" s="244">
        <v>1997</v>
      </c>
      <c r="B1954" s="245" t="s">
        <v>19</v>
      </c>
      <c r="C1954" s="246" t="s">
        <v>20</v>
      </c>
      <c r="D1954" s="245" t="s">
        <v>30</v>
      </c>
      <c r="E1954" s="247">
        <v>13</v>
      </c>
      <c r="F1954" s="242" t="s">
        <v>504</v>
      </c>
      <c r="G1954" s="242">
        <v>4.5999999999999996</v>
      </c>
      <c r="H1954" s="230">
        <f t="shared" si="41"/>
        <v>59.8</v>
      </c>
    </row>
    <row r="1955" spans="1:8" ht="15.75" x14ac:dyDescent="0.25">
      <c r="A1955" s="244">
        <v>1997</v>
      </c>
      <c r="B1955" s="245" t="s">
        <v>19</v>
      </c>
      <c r="C1955" s="246" t="s">
        <v>20</v>
      </c>
      <c r="D1955" s="245" t="s">
        <v>30</v>
      </c>
      <c r="E1955" s="247">
        <v>16</v>
      </c>
      <c r="F1955" s="242" t="s">
        <v>504</v>
      </c>
      <c r="G1955" s="242">
        <v>4.5999999999999996</v>
      </c>
      <c r="H1955" s="230">
        <f t="shared" si="41"/>
        <v>73.599999999999994</v>
      </c>
    </row>
    <row r="1956" spans="1:8" ht="15.75" x14ac:dyDescent="0.25">
      <c r="A1956" s="244">
        <v>1997</v>
      </c>
      <c r="B1956" s="245" t="s">
        <v>19</v>
      </c>
      <c r="C1956" s="246" t="s">
        <v>20</v>
      </c>
      <c r="D1956" s="245" t="s">
        <v>30</v>
      </c>
      <c r="E1956" s="247">
        <v>12</v>
      </c>
      <c r="F1956" s="242" t="s">
        <v>504</v>
      </c>
      <c r="G1956" s="242">
        <v>4.5999999999999996</v>
      </c>
      <c r="H1956" s="230">
        <f t="shared" si="41"/>
        <v>55.199999999999996</v>
      </c>
    </row>
    <row r="1957" spans="1:8" ht="15.75" x14ac:dyDescent="0.25">
      <c r="A1957" s="244">
        <v>1997</v>
      </c>
      <c r="B1957" s="245" t="s">
        <v>19</v>
      </c>
      <c r="C1957" s="246" t="s">
        <v>20</v>
      </c>
      <c r="D1957" s="245" t="s">
        <v>30</v>
      </c>
      <c r="E1957" s="247">
        <v>9</v>
      </c>
      <c r="F1957" s="242" t="s">
        <v>504</v>
      </c>
      <c r="G1957" s="242">
        <v>4.5999999999999996</v>
      </c>
      <c r="H1957" s="230">
        <f t="shared" si="41"/>
        <v>41.4</v>
      </c>
    </row>
    <row r="1958" spans="1:8" ht="15.75" x14ac:dyDescent="0.25">
      <c r="A1958" s="244">
        <v>1997</v>
      </c>
      <c r="B1958" s="245" t="s">
        <v>19</v>
      </c>
      <c r="C1958" s="246" t="s">
        <v>20</v>
      </c>
      <c r="D1958" s="245" t="s">
        <v>30</v>
      </c>
      <c r="E1958" s="247">
        <v>10</v>
      </c>
      <c r="F1958" s="242" t="s">
        <v>504</v>
      </c>
      <c r="G1958" s="242">
        <v>4.5999999999999996</v>
      </c>
      <c r="H1958" s="230">
        <f t="shared" si="41"/>
        <v>46</v>
      </c>
    </row>
    <row r="1959" spans="1:8" ht="15.75" x14ac:dyDescent="0.25">
      <c r="A1959" s="244">
        <v>1997</v>
      </c>
      <c r="B1959" s="245" t="s">
        <v>19</v>
      </c>
      <c r="C1959" s="246" t="s">
        <v>20</v>
      </c>
      <c r="D1959" s="245" t="s">
        <v>30</v>
      </c>
      <c r="E1959" s="247">
        <v>13.5</v>
      </c>
      <c r="F1959" s="242" t="s">
        <v>504</v>
      </c>
      <c r="G1959" s="242">
        <v>4.5999999999999996</v>
      </c>
      <c r="H1959" s="230">
        <f t="shared" si="41"/>
        <v>62.099999999999994</v>
      </c>
    </row>
    <row r="1960" spans="1:8" ht="15.75" x14ac:dyDescent="0.25">
      <c r="A1960" s="244">
        <v>1997</v>
      </c>
      <c r="B1960" s="245" t="s">
        <v>19</v>
      </c>
      <c r="C1960" s="246" t="s">
        <v>20</v>
      </c>
      <c r="D1960" s="245" t="s">
        <v>30</v>
      </c>
      <c r="E1960" s="247">
        <v>8.5</v>
      </c>
      <c r="F1960" s="242" t="s">
        <v>504</v>
      </c>
      <c r="G1960" s="242">
        <v>4.5999999999999996</v>
      </c>
      <c r="H1960" s="230">
        <f t="shared" si="41"/>
        <v>39.099999999999994</v>
      </c>
    </row>
    <row r="1961" spans="1:8" ht="15.75" x14ac:dyDescent="0.25">
      <c r="A1961" s="244">
        <v>1997</v>
      </c>
      <c r="B1961" s="245" t="s">
        <v>19</v>
      </c>
      <c r="C1961" s="246" t="s">
        <v>20</v>
      </c>
      <c r="D1961" s="245" t="s">
        <v>30</v>
      </c>
      <c r="E1961" s="247">
        <v>14</v>
      </c>
      <c r="F1961" s="242" t="s">
        <v>504</v>
      </c>
      <c r="G1961" s="242">
        <v>4.5999999999999996</v>
      </c>
      <c r="H1961" s="230">
        <f t="shared" si="41"/>
        <v>64.399999999999991</v>
      </c>
    </row>
    <row r="1962" spans="1:8" ht="15.75" x14ac:dyDescent="0.25">
      <c r="A1962" s="244">
        <v>1997</v>
      </c>
      <c r="B1962" s="245" t="s">
        <v>19</v>
      </c>
      <c r="C1962" s="246" t="s">
        <v>20</v>
      </c>
      <c r="D1962" s="245" t="s">
        <v>30</v>
      </c>
      <c r="E1962" s="247">
        <v>16</v>
      </c>
      <c r="F1962" s="242" t="s">
        <v>504</v>
      </c>
      <c r="G1962" s="242">
        <v>4.5999999999999996</v>
      </c>
      <c r="H1962" s="230">
        <f t="shared" si="41"/>
        <v>73.599999999999994</v>
      </c>
    </row>
    <row r="1963" spans="1:8" ht="15.75" x14ac:dyDescent="0.25">
      <c r="A1963" s="244">
        <v>1997</v>
      </c>
      <c r="B1963" s="245" t="s">
        <v>19</v>
      </c>
      <c r="C1963" s="246" t="s">
        <v>20</v>
      </c>
      <c r="D1963" s="245" t="s">
        <v>30</v>
      </c>
      <c r="E1963" s="247">
        <v>19</v>
      </c>
      <c r="F1963" s="242" t="s">
        <v>504</v>
      </c>
      <c r="G1963" s="242">
        <v>4.5999999999999996</v>
      </c>
      <c r="H1963" s="230">
        <f t="shared" si="41"/>
        <v>87.399999999999991</v>
      </c>
    </row>
    <row r="1964" spans="1:8" ht="15.75" x14ac:dyDescent="0.25">
      <c r="A1964" s="244">
        <v>1997</v>
      </c>
      <c r="B1964" s="245" t="s">
        <v>19</v>
      </c>
      <c r="C1964" s="246" t="s">
        <v>20</v>
      </c>
      <c r="D1964" s="245" t="s">
        <v>30</v>
      </c>
      <c r="E1964" s="247">
        <v>15</v>
      </c>
      <c r="F1964" s="242" t="s">
        <v>504</v>
      </c>
      <c r="G1964" s="242">
        <v>4.5999999999999996</v>
      </c>
      <c r="H1964" s="230">
        <f t="shared" si="41"/>
        <v>69</v>
      </c>
    </row>
    <row r="1965" spans="1:8" ht="15.75" x14ac:dyDescent="0.25">
      <c r="A1965" s="244">
        <v>1997</v>
      </c>
      <c r="B1965" s="245" t="s">
        <v>19</v>
      </c>
      <c r="C1965" s="246" t="s">
        <v>20</v>
      </c>
      <c r="D1965" s="245" t="s">
        <v>30</v>
      </c>
      <c r="E1965" s="247">
        <v>14</v>
      </c>
      <c r="F1965" s="242" t="s">
        <v>504</v>
      </c>
      <c r="G1965" s="242">
        <v>4.5999999999999996</v>
      </c>
      <c r="H1965" s="230">
        <f t="shared" si="41"/>
        <v>64.399999999999991</v>
      </c>
    </row>
    <row r="1966" spans="1:8" ht="15.75" x14ac:dyDescent="0.25">
      <c r="A1966" s="244">
        <v>1997</v>
      </c>
      <c r="B1966" s="245" t="s">
        <v>19</v>
      </c>
      <c r="C1966" s="246" t="s">
        <v>20</v>
      </c>
      <c r="D1966" s="245" t="s">
        <v>30</v>
      </c>
      <c r="E1966" s="247">
        <v>14.5</v>
      </c>
      <c r="F1966" s="242" t="s">
        <v>504</v>
      </c>
      <c r="G1966" s="242">
        <v>4.5999999999999996</v>
      </c>
      <c r="H1966" s="230">
        <f t="shared" si="41"/>
        <v>66.699999999999989</v>
      </c>
    </row>
    <row r="1967" spans="1:8" ht="15.75" x14ac:dyDescent="0.25">
      <c r="A1967" s="244">
        <v>1997</v>
      </c>
      <c r="B1967" s="245" t="s">
        <v>19</v>
      </c>
      <c r="C1967" s="246" t="s">
        <v>20</v>
      </c>
      <c r="D1967" s="245" t="s">
        <v>30</v>
      </c>
      <c r="E1967" s="247">
        <v>14</v>
      </c>
      <c r="F1967" s="242" t="s">
        <v>504</v>
      </c>
      <c r="G1967" s="242">
        <v>4.5999999999999996</v>
      </c>
      <c r="H1967" s="230">
        <f t="shared" si="41"/>
        <v>64.399999999999991</v>
      </c>
    </row>
    <row r="1968" spans="1:8" ht="15.75" x14ac:dyDescent="0.25">
      <c r="A1968" s="244">
        <v>1997</v>
      </c>
      <c r="B1968" s="245" t="s">
        <v>19</v>
      </c>
      <c r="C1968" s="246" t="s">
        <v>20</v>
      </c>
      <c r="D1968" s="245" t="s">
        <v>30</v>
      </c>
      <c r="E1968" s="247">
        <v>10</v>
      </c>
      <c r="F1968" s="242" t="s">
        <v>504</v>
      </c>
      <c r="G1968" s="242">
        <v>4.5999999999999996</v>
      </c>
      <c r="H1968" s="230">
        <f t="shared" si="41"/>
        <v>46</v>
      </c>
    </row>
    <row r="1969" spans="1:8" ht="15.75" x14ac:dyDescent="0.25">
      <c r="A1969" s="244">
        <v>1997</v>
      </c>
      <c r="B1969" s="245" t="s">
        <v>19</v>
      </c>
      <c r="C1969" s="246" t="s">
        <v>20</v>
      </c>
      <c r="D1969" s="245" t="s">
        <v>30</v>
      </c>
      <c r="E1969" s="247">
        <v>9.5</v>
      </c>
      <c r="F1969" s="242" t="s">
        <v>504</v>
      </c>
      <c r="G1969" s="242">
        <v>4.5999999999999996</v>
      </c>
      <c r="H1969" s="230">
        <f t="shared" si="41"/>
        <v>43.699999999999996</v>
      </c>
    </row>
    <row r="1970" spans="1:8" ht="15.75" x14ac:dyDescent="0.25">
      <c r="A1970" s="244">
        <v>1997</v>
      </c>
      <c r="B1970" s="245" t="s">
        <v>19</v>
      </c>
      <c r="C1970" s="246" t="s">
        <v>20</v>
      </c>
      <c r="D1970" s="245" t="s">
        <v>30</v>
      </c>
      <c r="E1970" s="247">
        <v>14.5</v>
      </c>
      <c r="F1970" s="242" t="s">
        <v>504</v>
      </c>
      <c r="G1970" s="242">
        <v>4.5999999999999996</v>
      </c>
      <c r="H1970" s="230">
        <f t="shared" si="41"/>
        <v>66.699999999999989</v>
      </c>
    </row>
    <row r="1971" spans="1:8" ht="15.75" x14ac:dyDescent="0.25">
      <c r="A1971" s="244">
        <v>1997</v>
      </c>
      <c r="B1971" s="245" t="s">
        <v>19</v>
      </c>
      <c r="C1971" s="246" t="s">
        <v>20</v>
      </c>
      <c r="D1971" s="245" t="s">
        <v>30</v>
      </c>
      <c r="E1971" s="247">
        <v>15.5</v>
      </c>
      <c r="F1971" s="242" t="s">
        <v>504</v>
      </c>
      <c r="G1971" s="242">
        <v>4.5999999999999996</v>
      </c>
      <c r="H1971" s="230">
        <f t="shared" si="41"/>
        <v>71.3</v>
      </c>
    </row>
    <row r="1972" spans="1:8" ht="15.75" x14ac:dyDescent="0.25">
      <c r="A1972" s="244">
        <v>1997</v>
      </c>
      <c r="B1972" s="245" t="s">
        <v>19</v>
      </c>
      <c r="C1972" s="246" t="s">
        <v>20</v>
      </c>
      <c r="D1972" s="245" t="s">
        <v>30</v>
      </c>
      <c r="E1972" s="247">
        <v>14.5</v>
      </c>
      <c r="F1972" s="242" t="s">
        <v>504</v>
      </c>
      <c r="G1972" s="242">
        <v>4.5999999999999996</v>
      </c>
      <c r="H1972" s="230">
        <f t="shared" si="41"/>
        <v>66.699999999999989</v>
      </c>
    </row>
    <row r="1973" spans="1:8" ht="15.75" x14ac:dyDescent="0.25">
      <c r="A1973" s="244">
        <v>1997</v>
      </c>
      <c r="B1973" s="245" t="s">
        <v>19</v>
      </c>
      <c r="C1973" s="246" t="s">
        <v>20</v>
      </c>
      <c r="D1973" s="245" t="s">
        <v>30</v>
      </c>
      <c r="E1973" s="247">
        <v>25.5</v>
      </c>
      <c r="F1973" s="242" t="s">
        <v>504</v>
      </c>
      <c r="G1973" s="242">
        <v>4.5999999999999996</v>
      </c>
      <c r="H1973" s="230">
        <f t="shared" si="41"/>
        <v>117.3</v>
      </c>
    </row>
    <row r="1974" spans="1:8" ht="15.75" x14ac:dyDescent="0.25">
      <c r="A1974" s="244">
        <v>1997</v>
      </c>
      <c r="B1974" s="245" t="s">
        <v>19</v>
      </c>
      <c r="C1974" s="246" t="s">
        <v>20</v>
      </c>
      <c r="D1974" s="245" t="s">
        <v>30</v>
      </c>
      <c r="E1974" s="247">
        <v>14.5</v>
      </c>
      <c r="F1974" s="242" t="s">
        <v>504</v>
      </c>
      <c r="G1974" s="242">
        <v>4.5999999999999996</v>
      </c>
      <c r="H1974" s="230">
        <f t="shared" si="41"/>
        <v>66.699999999999989</v>
      </c>
    </row>
    <row r="1975" spans="1:8" ht="15.75" x14ac:dyDescent="0.25">
      <c r="A1975" s="244">
        <v>1997</v>
      </c>
      <c r="B1975" s="245" t="s">
        <v>19</v>
      </c>
      <c r="C1975" s="246" t="s">
        <v>20</v>
      </c>
      <c r="D1975" s="245" t="s">
        <v>30</v>
      </c>
      <c r="E1975" s="247">
        <v>16.5</v>
      </c>
      <c r="F1975" s="242" t="s">
        <v>504</v>
      </c>
      <c r="G1975" s="242">
        <v>4.5999999999999996</v>
      </c>
      <c r="H1975" s="230">
        <f t="shared" si="41"/>
        <v>75.899999999999991</v>
      </c>
    </row>
    <row r="1976" spans="1:8" ht="15.75" x14ac:dyDescent="0.25">
      <c r="A1976" s="244">
        <v>1997</v>
      </c>
      <c r="B1976" s="245" t="s">
        <v>19</v>
      </c>
      <c r="C1976" s="246" t="s">
        <v>20</v>
      </c>
      <c r="D1976" s="245" t="s">
        <v>30</v>
      </c>
      <c r="E1976" s="247">
        <v>15.5</v>
      </c>
      <c r="F1976" s="242" t="s">
        <v>504</v>
      </c>
      <c r="G1976" s="242">
        <v>4.5999999999999996</v>
      </c>
      <c r="H1976" s="230">
        <f t="shared" si="41"/>
        <v>71.3</v>
      </c>
    </row>
    <row r="1977" spans="1:8" ht="15.75" x14ac:dyDescent="0.25">
      <c r="A1977" s="244">
        <v>1997</v>
      </c>
      <c r="B1977" s="245" t="s">
        <v>230</v>
      </c>
      <c r="C1977" s="246" t="s">
        <v>20</v>
      </c>
      <c r="D1977" s="245" t="s">
        <v>30</v>
      </c>
      <c r="E1977" s="247">
        <v>20.5</v>
      </c>
      <c r="F1977" s="242" t="s">
        <v>504</v>
      </c>
      <c r="G1977" s="242">
        <v>4.5999999999999996</v>
      </c>
      <c r="H1977" s="230">
        <f t="shared" si="41"/>
        <v>94.3</v>
      </c>
    </row>
    <row r="1978" spans="1:8" ht="15.75" x14ac:dyDescent="0.25">
      <c r="A1978" s="244">
        <v>1997</v>
      </c>
      <c r="B1978" s="245" t="s">
        <v>19</v>
      </c>
      <c r="C1978" s="246" t="s">
        <v>20</v>
      </c>
      <c r="D1978" s="245" t="s">
        <v>30</v>
      </c>
      <c r="E1978" s="247">
        <v>19.5</v>
      </c>
      <c r="F1978" s="242" t="s">
        <v>504</v>
      </c>
      <c r="G1978" s="242">
        <v>4.5999999999999996</v>
      </c>
      <c r="H1978" s="230">
        <f t="shared" si="41"/>
        <v>89.699999999999989</v>
      </c>
    </row>
    <row r="1979" spans="1:8" ht="15.75" x14ac:dyDescent="0.25">
      <c r="A1979" s="244">
        <v>1997</v>
      </c>
      <c r="B1979" s="245" t="s">
        <v>19</v>
      </c>
      <c r="C1979" s="246" t="s">
        <v>20</v>
      </c>
      <c r="D1979" s="245" t="s">
        <v>30</v>
      </c>
      <c r="E1979" s="247">
        <v>6</v>
      </c>
      <c r="F1979" s="242" t="s">
        <v>504</v>
      </c>
      <c r="G1979" s="242">
        <v>4.5999999999999996</v>
      </c>
      <c r="H1979" s="230">
        <f t="shared" si="41"/>
        <v>27.599999999999998</v>
      </c>
    </row>
    <row r="1980" spans="1:8" ht="15.75" x14ac:dyDescent="0.25">
      <c r="A1980" s="244">
        <v>1997</v>
      </c>
      <c r="B1980" s="245" t="s">
        <v>19</v>
      </c>
      <c r="C1980" s="246" t="s">
        <v>20</v>
      </c>
      <c r="D1980" s="245" t="s">
        <v>30</v>
      </c>
      <c r="E1980" s="247">
        <v>18.5</v>
      </c>
      <c r="F1980" s="242" t="s">
        <v>504</v>
      </c>
      <c r="G1980" s="242">
        <v>4.5999999999999996</v>
      </c>
      <c r="H1980" s="230">
        <f t="shared" si="41"/>
        <v>85.1</v>
      </c>
    </row>
    <row r="1981" spans="1:8" ht="15.75" x14ac:dyDescent="0.25">
      <c r="A1981" s="244">
        <v>1997</v>
      </c>
      <c r="B1981" s="245" t="s">
        <v>19</v>
      </c>
      <c r="C1981" s="246" t="s">
        <v>20</v>
      </c>
      <c r="D1981" s="245" t="s">
        <v>30</v>
      </c>
      <c r="E1981" s="247">
        <v>15.5</v>
      </c>
      <c r="F1981" s="242" t="s">
        <v>504</v>
      </c>
      <c r="G1981" s="242">
        <v>4.5999999999999996</v>
      </c>
      <c r="H1981" s="230">
        <f t="shared" si="41"/>
        <v>71.3</v>
      </c>
    </row>
    <row r="1982" spans="1:8" ht="15.75" x14ac:dyDescent="0.25">
      <c r="A1982" s="244">
        <v>1997</v>
      </c>
      <c r="B1982" s="245" t="s">
        <v>19</v>
      </c>
      <c r="C1982" s="246" t="s">
        <v>20</v>
      </c>
      <c r="D1982" s="245" t="s">
        <v>30</v>
      </c>
      <c r="E1982" s="247">
        <v>9.5</v>
      </c>
      <c r="F1982" s="242" t="s">
        <v>504</v>
      </c>
      <c r="G1982" s="242">
        <v>4.5999999999999996</v>
      </c>
      <c r="H1982" s="230">
        <f t="shared" si="41"/>
        <v>43.699999999999996</v>
      </c>
    </row>
    <row r="1983" spans="1:8" ht="15.75" x14ac:dyDescent="0.25">
      <c r="A1983" s="244">
        <v>1997</v>
      </c>
      <c r="B1983" s="245" t="s">
        <v>19</v>
      </c>
      <c r="C1983" s="246" t="s">
        <v>20</v>
      </c>
      <c r="D1983" s="245" t="s">
        <v>30</v>
      </c>
      <c r="E1983" s="247">
        <v>14</v>
      </c>
      <c r="F1983" s="242" t="s">
        <v>504</v>
      </c>
      <c r="G1983" s="242">
        <v>4.5999999999999996</v>
      </c>
      <c r="H1983" s="230">
        <f t="shared" si="41"/>
        <v>64.399999999999991</v>
      </c>
    </row>
    <row r="1984" spans="1:8" ht="15.75" x14ac:dyDescent="0.25">
      <c r="A1984" s="244">
        <v>1997</v>
      </c>
      <c r="B1984" s="245" t="s">
        <v>19</v>
      </c>
      <c r="C1984" s="246" t="s">
        <v>20</v>
      </c>
      <c r="D1984" s="245" t="s">
        <v>30</v>
      </c>
      <c r="E1984" s="247">
        <v>14</v>
      </c>
      <c r="F1984" s="242" t="s">
        <v>504</v>
      </c>
      <c r="G1984" s="242">
        <v>4.5999999999999996</v>
      </c>
      <c r="H1984" s="230">
        <f t="shared" si="41"/>
        <v>64.399999999999991</v>
      </c>
    </row>
    <row r="1985" spans="1:8" ht="15.75" x14ac:dyDescent="0.25">
      <c r="A1985" s="244">
        <v>1997</v>
      </c>
      <c r="B1985" s="245" t="s">
        <v>19</v>
      </c>
      <c r="C1985" s="246" t="s">
        <v>20</v>
      </c>
      <c r="D1985" s="245" t="s">
        <v>30</v>
      </c>
      <c r="E1985" s="247">
        <v>19.5</v>
      </c>
      <c r="F1985" s="242" t="s">
        <v>504</v>
      </c>
      <c r="G1985" s="242">
        <v>4.5999999999999996</v>
      </c>
      <c r="H1985" s="230">
        <f t="shared" si="41"/>
        <v>89.699999999999989</v>
      </c>
    </row>
    <row r="1986" spans="1:8" ht="15.75" x14ac:dyDescent="0.25">
      <c r="A1986" s="244">
        <v>1997</v>
      </c>
      <c r="B1986" s="245" t="s">
        <v>19</v>
      </c>
      <c r="C1986" s="246" t="s">
        <v>20</v>
      </c>
      <c r="D1986" s="245" t="s">
        <v>30</v>
      </c>
      <c r="E1986" s="247">
        <v>14</v>
      </c>
      <c r="F1986" s="242" t="s">
        <v>504</v>
      </c>
      <c r="G1986" s="242">
        <v>4.5999999999999996</v>
      </c>
      <c r="H1986" s="230">
        <f t="shared" si="41"/>
        <v>64.399999999999991</v>
      </c>
    </row>
    <row r="1987" spans="1:8" ht="15.75" x14ac:dyDescent="0.25">
      <c r="A1987" s="244">
        <v>1997</v>
      </c>
      <c r="B1987" s="245" t="s">
        <v>19</v>
      </c>
      <c r="C1987" s="246" t="s">
        <v>20</v>
      </c>
      <c r="D1987" s="245" t="s">
        <v>30</v>
      </c>
      <c r="E1987" s="247">
        <v>14.2</v>
      </c>
      <c r="F1987" s="242" t="s">
        <v>504</v>
      </c>
      <c r="G1987" s="242">
        <v>4.5999999999999996</v>
      </c>
      <c r="H1987" s="230">
        <f t="shared" ref="H1987:H2050" si="42">E1987*G1987</f>
        <v>65.319999999999993</v>
      </c>
    </row>
    <row r="1988" spans="1:8" ht="15.75" x14ac:dyDescent="0.25">
      <c r="A1988" s="244">
        <v>1997</v>
      </c>
      <c r="B1988" s="245" t="s">
        <v>19</v>
      </c>
      <c r="C1988" s="246" t="s">
        <v>20</v>
      </c>
      <c r="D1988" s="245" t="s">
        <v>30</v>
      </c>
      <c r="E1988" s="247">
        <v>24</v>
      </c>
      <c r="F1988" s="242" t="s">
        <v>504</v>
      </c>
      <c r="G1988" s="242">
        <v>4.5999999999999996</v>
      </c>
      <c r="H1988" s="230">
        <f t="shared" si="42"/>
        <v>110.39999999999999</v>
      </c>
    </row>
    <row r="1989" spans="1:8" ht="15.75" x14ac:dyDescent="0.25">
      <c r="A1989" s="244">
        <v>1997</v>
      </c>
      <c r="B1989" s="245" t="s">
        <v>19</v>
      </c>
      <c r="C1989" s="246" t="s">
        <v>20</v>
      </c>
      <c r="D1989" s="245" t="s">
        <v>30</v>
      </c>
      <c r="E1989" s="247">
        <v>19</v>
      </c>
      <c r="F1989" s="242" t="s">
        <v>504</v>
      </c>
      <c r="G1989" s="242">
        <v>4.5999999999999996</v>
      </c>
      <c r="H1989" s="230">
        <f t="shared" si="42"/>
        <v>87.399999999999991</v>
      </c>
    </row>
    <row r="1990" spans="1:8" ht="15.75" x14ac:dyDescent="0.25">
      <c r="A1990" s="244">
        <v>1997</v>
      </c>
      <c r="B1990" s="245" t="s">
        <v>19</v>
      </c>
      <c r="C1990" s="246" t="s">
        <v>20</v>
      </c>
      <c r="D1990" s="245" t="s">
        <v>30</v>
      </c>
      <c r="E1990" s="247">
        <v>14.5</v>
      </c>
      <c r="F1990" s="242" t="s">
        <v>504</v>
      </c>
      <c r="G1990" s="242">
        <v>4.5999999999999996</v>
      </c>
      <c r="H1990" s="230">
        <f t="shared" si="42"/>
        <v>66.699999999999989</v>
      </c>
    </row>
    <row r="1991" spans="1:8" ht="15.75" x14ac:dyDescent="0.25">
      <c r="A1991" s="244">
        <v>1997</v>
      </c>
      <c r="B1991" s="245" t="s">
        <v>19</v>
      </c>
      <c r="C1991" s="246" t="s">
        <v>20</v>
      </c>
      <c r="D1991" s="245" t="s">
        <v>30</v>
      </c>
      <c r="E1991" s="247">
        <v>20</v>
      </c>
      <c r="F1991" s="242" t="s">
        <v>504</v>
      </c>
      <c r="G1991" s="242">
        <v>4.5999999999999996</v>
      </c>
      <c r="H1991" s="230">
        <f t="shared" si="42"/>
        <v>92</v>
      </c>
    </row>
    <row r="1992" spans="1:8" ht="15.75" x14ac:dyDescent="0.25">
      <c r="A1992" s="244">
        <v>1997</v>
      </c>
      <c r="B1992" s="245" t="s">
        <v>19</v>
      </c>
      <c r="C1992" s="246" t="s">
        <v>20</v>
      </c>
      <c r="D1992" s="245" t="s">
        <v>30</v>
      </c>
      <c r="E1992" s="247">
        <v>14</v>
      </c>
      <c r="F1992" s="242" t="s">
        <v>504</v>
      </c>
      <c r="G1992" s="242">
        <v>4.5999999999999996</v>
      </c>
      <c r="H1992" s="230">
        <f t="shared" si="42"/>
        <v>64.399999999999991</v>
      </c>
    </row>
    <row r="1993" spans="1:8" ht="15.75" x14ac:dyDescent="0.25">
      <c r="A1993" s="244">
        <v>1997</v>
      </c>
      <c r="B1993" s="245" t="s">
        <v>19</v>
      </c>
      <c r="C1993" s="246" t="s">
        <v>20</v>
      </c>
      <c r="D1993" s="245" t="s">
        <v>30</v>
      </c>
      <c r="E1993" s="247">
        <v>8.5</v>
      </c>
      <c r="F1993" s="242" t="s">
        <v>504</v>
      </c>
      <c r="G1993" s="242">
        <v>4.5999999999999996</v>
      </c>
      <c r="H1993" s="230">
        <f t="shared" si="42"/>
        <v>39.099999999999994</v>
      </c>
    </row>
    <row r="1994" spans="1:8" ht="15.75" x14ac:dyDescent="0.25">
      <c r="A1994" s="244">
        <v>1997</v>
      </c>
      <c r="B1994" s="245" t="s">
        <v>19</v>
      </c>
      <c r="C1994" s="246" t="s">
        <v>20</v>
      </c>
      <c r="D1994" s="245" t="s">
        <v>30</v>
      </c>
      <c r="E1994" s="247">
        <v>19</v>
      </c>
      <c r="F1994" s="242" t="s">
        <v>504</v>
      </c>
      <c r="G1994" s="242">
        <v>4.5999999999999996</v>
      </c>
      <c r="H1994" s="230">
        <f t="shared" si="42"/>
        <v>87.399999999999991</v>
      </c>
    </row>
    <row r="1995" spans="1:8" ht="15.75" x14ac:dyDescent="0.25">
      <c r="A1995" s="244">
        <v>1997</v>
      </c>
      <c r="B1995" s="245" t="s">
        <v>19</v>
      </c>
      <c r="C1995" s="246" t="s">
        <v>20</v>
      </c>
      <c r="D1995" s="245" t="s">
        <v>30</v>
      </c>
      <c r="E1995" s="247">
        <v>7</v>
      </c>
      <c r="F1995" s="242" t="s">
        <v>504</v>
      </c>
      <c r="G1995" s="242">
        <v>4.5999999999999996</v>
      </c>
      <c r="H1995" s="230">
        <f t="shared" si="42"/>
        <v>32.199999999999996</v>
      </c>
    </row>
    <row r="1996" spans="1:8" ht="15.75" x14ac:dyDescent="0.25">
      <c r="A1996" s="244">
        <v>1997</v>
      </c>
      <c r="B1996" s="245" t="s">
        <v>19</v>
      </c>
      <c r="C1996" s="246" t="s">
        <v>20</v>
      </c>
      <c r="D1996" s="245" t="s">
        <v>30</v>
      </c>
      <c r="E1996" s="247">
        <v>9.5</v>
      </c>
      <c r="F1996" s="242" t="s">
        <v>504</v>
      </c>
      <c r="G1996" s="242">
        <v>4.5999999999999996</v>
      </c>
      <c r="H1996" s="230">
        <f t="shared" si="42"/>
        <v>43.699999999999996</v>
      </c>
    </row>
    <row r="1997" spans="1:8" ht="15.75" x14ac:dyDescent="0.25">
      <c r="A1997" s="244">
        <v>1997</v>
      </c>
      <c r="B1997" s="245" t="s">
        <v>19</v>
      </c>
      <c r="C1997" s="246" t="s">
        <v>20</v>
      </c>
      <c r="D1997" s="245" t="s">
        <v>30</v>
      </c>
      <c r="E1997" s="247">
        <v>14.5</v>
      </c>
      <c r="F1997" s="242" t="s">
        <v>504</v>
      </c>
      <c r="G1997" s="242">
        <v>4.5999999999999996</v>
      </c>
      <c r="H1997" s="230">
        <f t="shared" si="42"/>
        <v>66.699999999999989</v>
      </c>
    </row>
    <row r="1998" spans="1:8" ht="15.75" x14ac:dyDescent="0.25">
      <c r="A1998" s="244">
        <v>1997</v>
      </c>
      <c r="B1998" s="245" t="s">
        <v>19</v>
      </c>
      <c r="C1998" s="246" t="s">
        <v>20</v>
      </c>
      <c r="D1998" s="245" t="s">
        <v>30</v>
      </c>
      <c r="E1998" s="247">
        <v>6.5</v>
      </c>
      <c r="F1998" s="242" t="s">
        <v>504</v>
      </c>
      <c r="G1998" s="242">
        <v>4.5999999999999996</v>
      </c>
      <c r="H1998" s="230">
        <f t="shared" si="42"/>
        <v>29.9</v>
      </c>
    </row>
    <row r="1999" spans="1:8" ht="15.75" x14ac:dyDescent="0.25">
      <c r="A1999" s="244">
        <v>1997</v>
      </c>
      <c r="B1999" s="245" t="s">
        <v>19</v>
      </c>
      <c r="C1999" s="246" t="s">
        <v>20</v>
      </c>
      <c r="D1999" s="245" t="s">
        <v>30</v>
      </c>
      <c r="E1999" s="247">
        <v>15.5</v>
      </c>
      <c r="F1999" s="242" t="s">
        <v>504</v>
      </c>
      <c r="G1999" s="242">
        <v>4.5999999999999996</v>
      </c>
      <c r="H1999" s="230">
        <f t="shared" si="42"/>
        <v>71.3</v>
      </c>
    </row>
    <row r="2000" spans="1:8" ht="15.75" x14ac:dyDescent="0.25">
      <c r="A2000" s="244">
        <v>1997</v>
      </c>
      <c r="B2000" s="245" t="s">
        <v>19</v>
      </c>
      <c r="C2000" s="246" t="s">
        <v>20</v>
      </c>
      <c r="D2000" s="245" t="s">
        <v>30</v>
      </c>
      <c r="E2000" s="247">
        <v>13.5</v>
      </c>
      <c r="F2000" s="242" t="s">
        <v>504</v>
      </c>
      <c r="G2000" s="242">
        <v>4.5999999999999996</v>
      </c>
      <c r="H2000" s="230">
        <f t="shared" si="42"/>
        <v>62.099999999999994</v>
      </c>
    </row>
    <row r="2001" spans="1:8" ht="15.75" x14ac:dyDescent="0.25">
      <c r="A2001" s="244">
        <v>1997</v>
      </c>
      <c r="B2001" s="245" t="s">
        <v>19</v>
      </c>
      <c r="C2001" s="246" t="s">
        <v>20</v>
      </c>
      <c r="D2001" s="245" t="s">
        <v>30</v>
      </c>
      <c r="E2001" s="247">
        <v>9</v>
      </c>
      <c r="F2001" s="242" t="s">
        <v>504</v>
      </c>
      <c r="G2001" s="242">
        <v>4.5999999999999996</v>
      </c>
      <c r="H2001" s="230">
        <f t="shared" si="42"/>
        <v>41.4</v>
      </c>
    </row>
    <row r="2002" spans="1:8" ht="15.75" x14ac:dyDescent="0.25">
      <c r="A2002" s="244">
        <v>1997</v>
      </c>
      <c r="B2002" s="245" t="s">
        <v>19</v>
      </c>
      <c r="C2002" s="246" t="s">
        <v>20</v>
      </c>
      <c r="D2002" s="245" t="s">
        <v>30</v>
      </c>
      <c r="E2002" s="247">
        <v>14.5</v>
      </c>
      <c r="F2002" s="242" t="s">
        <v>504</v>
      </c>
      <c r="G2002" s="242">
        <v>4.5999999999999996</v>
      </c>
      <c r="H2002" s="230">
        <f t="shared" si="42"/>
        <v>66.699999999999989</v>
      </c>
    </row>
    <row r="2003" spans="1:8" ht="15.75" x14ac:dyDescent="0.25">
      <c r="A2003" s="244">
        <v>1997</v>
      </c>
      <c r="B2003" s="245" t="s">
        <v>19</v>
      </c>
      <c r="C2003" s="246" t="s">
        <v>20</v>
      </c>
      <c r="D2003" s="245" t="s">
        <v>30</v>
      </c>
      <c r="E2003" s="247">
        <v>15.5</v>
      </c>
      <c r="F2003" s="242" t="s">
        <v>504</v>
      </c>
      <c r="G2003" s="242">
        <v>4.5999999999999996</v>
      </c>
      <c r="H2003" s="230">
        <f t="shared" si="42"/>
        <v>71.3</v>
      </c>
    </row>
    <row r="2004" spans="1:8" ht="15.75" x14ac:dyDescent="0.25">
      <c r="A2004" s="244">
        <v>1997</v>
      </c>
      <c r="B2004" s="245" t="s">
        <v>19</v>
      </c>
      <c r="C2004" s="246" t="s">
        <v>20</v>
      </c>
      <c r="D2004" s="245" t="s">
        <v>30</v>
      </c>
      <c r="E2004" s="247">
        <v>22</v>
      </c>
      <c r="F2004" s="242" t="s">
        <v>504</v>
      </c>
      <c r="G2004" s="242">
        <v>4.5999999999999996</v>
      </c>
      <c r="H2004" s="230">
        <f t="shared" si="42"/>
        <v>101.19999999999999</v>
      </c>
    </row>
    <row r="2005" spans="1:8" ht="15.75" x14ac:dyDescent="0.25">
      <c r="A2005" s="244">
        <v>1997</v>
      </c>
      <c r="B2005" s="245" t="s">
        <v>19</v>
      </c>
      <c r="C2005" s="246" t="s">
        <v>20</v>
      </c>
      <c r="D2005" s="245" t="s">
        <v>30</v>
      </c>
      <c r="E2005" s="247">
        <v>8.5</v>
      </c>
      <c r="F2005" s="242" t="s">
        <v>504</v>
      </c>
      <c r="G2005" s="242">
        <v>4.5999999999999996</v>
      </c>
      <c r="H2005" s="230">
        <f t="shared" si="42"/>
        <v>39.099999999999994</v>
      </c>
    </row>
    <row r="2006" spans="1:8" ht="15.75" x14ac:dyDescent="0.25">
      <c r="A2006" s="244">
        <v>1997</v>
      </c>
      <c r="B2006" s="245" t="s">
        <v>19</v>
      </c>
      <c r="C2006" s="246" t="s">
        <v>20</v>
      </c>
      <c r="D2006" s="245" t="s">
        <v>30</v>
      </c>
      <c r="E2006" s="247">
        <v>14</v>
      </c>
      <c r="F2006" s="242" t="s">
        <v>504</v>
      </c>
      <c r="G2006" s="242">
        <v>4.5999999999999996</v>
      </c>
      <c r="H2006" s="230">
        <f t="shared" si="42"/>
        <v>64.399999999999991</v>
      </c>
    </row>
    <row r="2007" spans="1:8" ht="15.75" x14ac:dyDescent="0.25">
      <c r="A2007" s="244">
        <v>1997</v>
      </c>
      <c r="B2007" s="245" t="s">
        <v>19</v>
      </c>
      <c r="C2007" s="246" t="s">
        <v>20</v>
      </c>
      <c r="D2007" s="245" t="s">
        <v>30</v>
      </c>
      <c r="E2007" s="247">
        <v>15.5</v>
      </c>
      <c r="F2007" s="242" t="s">
        <v>504</v>
      </c>
      <c r="G2007" s="242">
        <v>4.5999999999999996</v>
      </c>
      <c r="H2007" s="230">
        <f t="shared" si="42"/>
        <v>71.3</v>
      </c>
    </row>
    <row r="2008" spans="1:8" ht="15.75" x14ac:dyDescent="0.25">
      <c r="A2008" s="244">
        <v>1997</v>
      </c>
      <c r="B2008" s="245" t="s">
        <v>19</v>
      </c>
      <c r="C2008" s="246" t="s">
        <v>20</v>
      </c>
      <c r="D2008" s="245" t="s">
        <v>30</v>
      </c>
      <c r="E2008" s="247">
        <v>13</v>
      </c>
      <c r="F2008" s="242" t="s">
        <v>504</v>
      </c>
      <c r="G2008" s="242">
        <v>4.5999999999999996</v>
      </c>
      <c r="H2008" s="230">
        <f t="shared" si="42"/>
        <v>59.8</v>
      </c>
    </row>
    <row r="2009" spans="1:8" ht="15.75" x14ac:dyDescent="0.25">
      <c r="A2009" s="244">
        <v>1997</v>
      </c>
      <c r="B2009" s="245" t="s">
        <v>19</v>
      </c>
      <c r="C2009" s="246" t="s">
        <v>20</v>
      </c>
      <c r="D2009" s="245" t="s">
        <v>30</v>
      </c>
      <c r="E2009" s="247">
        <v>15.5</v>
      </c>
      <c r="F2009" s="242" t="s">
        <v>504</v>
      </c>
      <c r="G2009" s="242">
        <v>4.5999999999999996</v>
      </c>
      <c r="H2009" s="230">
        <f t="shared" si="42"/>
        <v>71.3</v>
      </c>
    </row>
    <row r="2010" spans="1:8" ht="15.75" x14ac:dyDescent="0.25">
      <c r="A2010" s="244">
        <v>1997</v>
      </c>
      <c r="B2010" s="245" t="s">
        <v>19</v>
      </c>
      <c r="C2010" s="246" t="s">
        <v>20</v>
      </c>
      <c r="D2010" s="245" t="s">
        <v>30</v>
      </c>
      <c r="E2010" s="247">
        <v>13</v>
      </c>
      <c r="F2010" s="242" t="s">
        <v>504</v>
      </c>
      <c r="G2010" s="242">
        <v>4.5999999999999996</v>
      </c>
      <c r="H2010" s="230">
        <f t="shared" si="42"/>
        <v>59.8</v>
      </c>
    </row>
    <row r="2011" spans="1:8" ht="15.75" x14ac:dyDescent="0.25">
      <c r="A2011" s="244">
        <v>1997</v>
      </c>
      <c r="B2011" s="245" t="s">
        <v>19</v>
      </c>
      <c r="C2011" s="246" t="s">
        <v>20</v>
      </c>
      <c r="D2011" s="245" t="s">
        <v>30</v>
      </c>
      <c r="E2011" s="247">
        <v>10</v>
      </c>
      <c r="F2011" s="242" t="s">
        <v>504</v>
      </c>
      <c r="G2011" s="242">
        <v>4.5999999999999996</v>
      </c>
      <c r="H2011" s="230">
        <f t="shared" si="42"/>
        <v>46</v>
      </c>
    </row>
    <row r="2012" spans="1:8" ht="15.75" x14ac:dyDescent="0.25">
      <c r="A2012" s="244">
        <v>1997</v>
      </c>
      <c r="B2012" s="245" t="s">
        <v>19</v>
      </c>
      <c r="C2012" s="246" t="s">
        <v>20</v>
      </c>
      <c r="D2012" s="245" t="s">
        <v>30</v>
      </c>
      <c r="E2012" s="247">
        <v>12.5</v>
      </c>
      <c r="F2012" s="242" t="s">
        <v>504</v>
      </c>
      <c r="G2012" s="242">
        <v>4.5999999999999996</v>
      </c>
      <c r="H2012" s="230">
        <f t="shared" si="42"/>
        <v>57.499999999999993</v>
      </c>
    </row>
    <row r="2013" spans="1:8" ht="15.75" x14ac:dyDescent="0.25">
      <c r="A2013" s="244">
        <v>1997</v>
      </c>
      <c r="B2013" s="245" t="s">
        <v>19</v>
      </c>
      <c r="C2013" s="246" t="s">
        <v>20</v>
      </c>
      <c r="D2013" s="245" t="s">
        <v>30</v>
      </c>
      <c r="E2013" s="247">
        <v>14</v>
      </c>
      <c r="F2013" s="242" t="s">
        <v>504</v>
      </c>
      <c r="G2013" s="242">
        <v>4.5999999999999996</v>
      </c>
      <c r="H2013" s="230">
        <f t="shared" si="42"/>
        <v>64.399999999999991</v>
      </c>
    </row>
    <row r="2014" spans="1:8" ht="15.75" x14ac:dyDescent="0.25">
      <c r="A2014" s="244">
        <v>1997</v>
      </c>
      <c r="B2014" s="245" t="s">
        <v>19</v>
      </c>
      <c r="C2014" s="246" t="s">
        <v>20</v>
      </c>
      <c r="D2014" s="245" t="s">
        <v>30</v>
      </c>
      <c r="E2014" s="247">
        <v>12.5</v>
      </c>
      <c r="F2014" s="242" t="s">
        <v>504</v>
      </c>
      <c r="G2014" s="242">
        <v>4.5999999999999996</v>
      </c>
      <c r="H2014" s="230">
        <f t="shared" si="42"/>
        <v>57.499999999999993</v>
      </c>
    </row>
    <row r="2015" spans="1:8" ht="15.75" x14ac:dyDescent="0.25">
      <c r="A2015" s="244">
        <v>1997</v>
      </c>
      <c r="B2015" s="245" t="s">
        <v>19</v>
      </c>
      <c r="C2015" s="246" t="s">
        <v>20</v>
      </c>
      <c r="D2015" s="245" t="s">
        <v>30</v>
      </c>
      <c r="E2015" s="247">
        <v>12</v>
      </c>
      <c r="F2015" s="242" t="s">
        <v>504</v>
      </c>
      <c r="G2015" s="242">
        <v>4.5999999999999996</v>
      </c>
      <c r="H2015" s="230">
        <f t="shared" si="42"/>
        <v>55.199999999999996</v>
      </c>
    </row>
    <row r="2016" spans="1:8" ht="15.75" x14ac:dyDescent="0.25">
      <c r="A2016" s="244">
        <v>1997</v>
      </c>
      <c r="B2016" s="245" t="s">
        <v>19</v>
      </c>
      <c r="C2016" s="246" t="s">
        <v>20</v>
      </c>
      <c r="D2016" s="245" t="s">
        <v>30</v>
      </c>
      <c r="E2016" s="247">
        <v>7.5</v>
      </c>
      <c r="F2016" s="242" t="s">
        <v>504</v>
      </c>
      <c r="G2016" s="242">
        <v>4.5999999999999996</v>
      </c>
      <c r="H2016" s="230">
        <f t="shared" si="42"/>
        <v>34.5</v>
      </c>
    </row>
    <row r="2017" spans="1:8" ht="15.75" x14ac:dyDescent="0.25">
      <c r="A2017" s="244">
        <v>1997</v>
      </c>
      <c r="B2017" s="245" t="s">
        <v>19</v>
      </c>
      <c r="C2017" s="246" t="s">
        <v>20</v>
      </c>
      <c r="D2017" s="245" t="s">
        <v>30</v>
      </c>
      <c r="E2017" s="247">
        <v>13.5</v>
      </c>
      <c r="F2017" s="242" t="s">
        <v>504</v>
      </c>
      <c r="G2017" s="242">
        <v>4.5999999999999996</v>
      </c>
      <c r="H2017" s="230">
        <f t="shared" si="42"/>
        <v>62.099999999999994</v>
      </c>
    </row>
    <row r="2018" spans="1:8" ht="15.75" x14ac:dyDescent="0.25">
      <c r="A2018" s="244">
        <v>1997</v>
      </c>
      <c r="B2018" s="245" t="s">
        <v>19</v>
      </c>
      <c r="C2018" s="246" t="s">
        <v>20</v>
      </c>
      <c r="D2018" s="245" t="s">
        <v>30</v>
      </c>
      <c r="E2018" s="247">
        <v>8.5</v>
      </c>
      <c r="F2018" s="242" t="s">
        <v>504</v>
      </c>
      <c r="G2018" s="242">
        <v>4.5999999999999996</v>
      </c>
      <c r="H2018" s="230">
        <f t="shared" si="42"/>
        <v>39.099999999999994</v>
      </c>
    </row>
    <row r="2019" spans="1:8" ht="15.75" x14ac:dyDescent="0.25">
      <c r="A2019" s="244">
        <v>1997</v>
      </c>
      <c r="B2019" s="245" t="s">
        <v>19</v>
      </c>
      <c r="C2019" s="246" t="s">
        <v>20</v>
      </c>
      <c r="D2019" s="245" t="s">
        <v>30</v>
      </c>
      <c r="E2019" s="247">
        <v>9</v>
      </c>
      <c r="F2019" s="242" t="s">
        <v>504</v>
      </c>
      <c r="G2019" s="242">
        <v>4.5999999999999996</v>
      </c>
      <c r="H2019" s="230">
        <f t="shared" si="42"/>
        <v>41.4</v>
      </c>
    </row>
    <row r="2020" spans="1:8" ht="15.75" x14ac:dyDescent="0.25">
      <c r="A2020" s="244">
        <v>1997</v>
      </c>
      <c r="B2020" s="245" t="s">
        <v>19</v>
      </c>
      <c r="C2020" s="246" t="s">
        <v>20</v>
      </c>
      <c r="D2020" s="245" t="s">
        <v>30</v>
      </c>
      <c r="E2020" s="247">
        <v>11.5</v>
      </c>
      <c r="F2020" s="242" t="s">
        <v>504</v>
      </c>
      <c r="G2020" s="242">
        <v>4.5999999999999996</v>
      </c>
      <c r="H2020" s="230">
        <f t="shared" si="42"/>
        <v>52.9</v>
      </c>
    </row>
    <row r="2021" spans="1:8" ht="15.75" x14ac:dyDescent="0.25">
      <c r="A2021" s="244">
        <v>1997</v>
      </c>
      <c r="B2021" s="245" t="s">
        <v>19</v>
      </c>
      <c r="C2021" s="246" t="s">
        <v>20</v>
      </c>
      <c r="D2021" s="245" t="s">
        <v>30</v>
      </c>
      <c r="E2021" s="247">
        <v>25.5</v>
      </c>
      <c r="F2021" s="242" t="s">
        <v>504</v>
      </c>
      <c r="G2021" s="242">
        <v>4.5999999999999996</v>
      </c>
      <c r="H2021" s="230">
        <f t="shared" si="42"/>
        <v>117.3</v>
      </c>
    </row>
    <row r="2022" spans="1:8" ht="15.75" x14ac:dyDescent="0.25">
      <c r="A2022" s="244">
        <v>1997</v>
      </c>
      <c r="B2022" s="245" t="s">
        <v>19</v>
      </c>
      <c r="C2022" s="246" t="s">
        <v>20</v>
      </c>
      <c r="D2022" s="245" t="s">
        <v>30</v>
      </c>
      <c r="E2022" s="247">
        <v>10.5</v>
      </c>
      <c r="F2022" s="242" t="s">
        <v>504</v>
      </c>
      <c r="G2022" s="242">
        <v>4.5999999999999996</v>
      </c>
      <c r="H2022" s="230">
        <f t="shared" si="42"/>
        <v>48.3</v>
      </c>
    </row>
    <row r="2023" spans="1:8" ht="15.75" x14ac:dyDescent="0.25">
      <c r="A2023" s="244">
        <v>1997</v>
      </c>
      <c r="B2023" s="245" t="s">
        <v>19</v>
      </c>
      <c r="C2023" s="246" t="s">
        <v>20</v>
      </c>
      <c r="D2023" s="245" t="s">
        <v>30</v>
      </c>
      <c r="E2023" s="247">
        <v>11.5</v>
      </c>
      <c r="F2023" s="242" t="s">
        <v>504</v>
      </c>
      <c r="G2023" s="242">
        <v>4.5999999999999996</v>
      </c>
      <c r="H2023" s="230">
        <f t="shared" si="42"/>
        <v>52.9</v>
      </c>
    </row>
    <row r="2024" spans="1:8" ht="15.75" x14ac:dyDescent="0.25">
      <c r="A2024" s="244">
        <v>1997</v>
      </c>
      <c r="B2024" s="245" t="s">
        <v>19</v>
      </c>
      <c r="C2024" s="246" t="s">
        <v>20</v>
      </c>
      <c r="D2024" s="245" t="s">
        <v>30</v>
      </c>
      <c r="E2024" s="247">
        <v>18.5</v>
      </c>
      <c r="F2024" s="242" t="s">
        <v>504</v>
      </c>
      <c r="G2024" s="242">
        <v>4.5999999999999996</v>
      </c>
      <c r="H2024" s="230">
        <f t="shared" si="42"/>
        <v>85.1</v>
      </c>
    </row>
    <row r="2025" spans="1:8" ht="15.75" x14ac:dyDescent="0.25">
      <c r="A2025" s="244">
        <v>1997</v>
      </c>
      <c r="B2025" s="245" t="s">
        <v>19</v>
      </c>
      <c r="C2025" s="246" t="s">
        <v>20</v>
      </c>
      <c r="D2025" s="245" t="s">
        <v>30</v>
      </c>
      <c r="E2025" s="247">
        <v>12</v>
      </c>
      <c r="F2025" s="242" t="s">
        <v>504</v>
      </c>
      <c r="G2025" s="242">
        <v>4.5999999999999996</v>
      </c>
      <c r="H2025" s="230">
        <f t="shared" si="42"/>
        <v>55.199999999999996</v>
      </c>
    </row>
    <row r="2026" spans="1:8" ht="15.75" x14ac:dyDescent="0.25">
      <c r="A2026" s="244">
        <v>1997</v>
      </c>
      <c r="B2026" s="245" t="s">
        <v>19</v>
      </c>
      <c r="C2026" s="246" t="s">
        <v>20</v>
      </c>
      <c r="D2026" s="245" t="s">
        <v>30</v>
      </c>
      <c r="E2026" s="247">
        <v>12.5</v>
      </c>
      <c r="F2026" s="242" t="s">
        <v>504</v>
      </c>
      <c r="G2026" s="242">
        <v>4.5999999999999996</v>
      </c>
      <c r="H2026" s="230">
        <f t="shared" si="42"/>
        <v>57.499999999999993</v>
      </c>
    </row>
    <row r="2027" spans="1:8" ht="15.75" x14ac:dyDescent="0.25">
      <c r="A2027" s="244">
        <v>1997</v>
      </c>
      <c r="B2027" s="245" t="s">
        <v>19</v>
      </c>
      <c r="C2027" s="246" t="s">
        <v>20</v>
      </c>
      <c r="D2027" s="245" t="s">
        <v>30</v>
      </c>
      <c r="E2027" s="247">
        <v>19.5</v>
      </c>
      <c r="F2027" s="242" t="s">
        <v>504</v>
      </c>
      <c r="G2027" s="242">
        <v>4.5999999999999996</v>
      </c>
      <c r="H2027" s="230">
        <f t="shared" si="42"/>
        <v>89.699999999999989</v>
      </c>
    </row>
    <row r="2028" spans="1:8" ht="15.75" x14ac:dyDescent="0.25">
      <c r="A2028" s="244">
        <v>1997</v>
      </c>
      <c r="B2028" s="245" t="s">
        <v>19</v>
      </c>
      <c r="C2028" s="246" t="s">
        <v>20</v>
      </c>
      <c r="D2028" s="245" t="s">
        <v>30</v>
      </c>
      <c r="E2028" s="247">
        <v>7.5</v>
      </c>
      <c r="F2028" s="242" t="s">
        <v>504</v>
      </c>
      <c r="G2028" s="242">
        <v>4.5999999999999996</v>
      </c>
      <c r="H2028" s="230">
        <f t="shared" si="42"/>
        <v>34.5</v>
      </c>
    </row>
    <row r="2029" spans="1:8" ht="15.75" x14ac:dyDescent="0.25">
      <c r="A2029" s="244">
        <v>1997</v>
      </c>
      <c r="B2029" s="245" t="s">
        <v>19</v>
      </c>
      <c r="C2029" s="246" t="s">
        <v>20</v>
      </c>
      <c r="D2029" s="245" t="s">
        <v>30</v>
      </c>
      <c r="E2029" s="247">
        <v>17.5</v>
      </c>
      <c r="F2029" s="242" t="s">
        <v>504</v>
      </c>
      <c r="G2029" s="242">
        <v>4.5999999999999996</v>
      </c>
      <c r="H2029" s="230">
        <f t="shared" si="42"/>
        <v>80.5</v>
      </c>
    </row>
    <row r="2030" spans="1:8" ht="15.75" x14ac:dyDescent="0.25">
      <c r="A2030" s="244">
        <v>1997</v>
      </c>
      <c r="B2030" s="245" t="s">
        <v>19</v>
      </c>
      <c r="C2030" s="246" t="s">
        <v>20</v>
      </c>
      <c r="D2030" s="245" t="s">
        <v>30</v>
      </c>
      <c r="E2030" s="247">
        <v>17</v>
      </c>
      <c r="F2030" s="242" t="s">
        <v>504</v>
      </c>
      <c r="G2030" s="242">
        <v>4.5999999999999996</v>
      </c>
      <c r="H2030" s="230">
        <f t="shared" si="42"/>
        <v>78.199999999999989</v>
      </c>
    </row>
    <row r="2031" spans="1:8" ht="15.75" x14ac:dyDescent="0.25">
      <c r="A2031" s="244">
        <v>1997</v>
      </c>
      <c r="B2031" s="245" t="s">
        <v>19</v>
      </c>
      <c r="C2031" s="246" t="s">
        <v>20</v>
      </c>
      <c r="D2031" s="245" t="s">
        <v>30</v>
      </c>
      <c r="E2031" s="247">
        <v>8.5</v>
      </c>
      <c r="F2031" s="242" t="s">
        <v>504</v>
      </c>
      <c r="G2031" s="242">
        <v>4.5999999999999996</v>
      </c>
      <c r="H2031" s="230">
        <f t="shared" si="42"/>
        <v>39.099999999999994</v>
      </c>
    </row>
    <row r="2032" spans="1:8" ht="15.75" x14ac:dyDescent="0.25">
      <c r="A2032" s="244">
        <v>1997</v>
      </c>
      <c r="B2032" s="245" t="s">
        <v>19</v>
      </c>
      <c r="C2032" s="246" t="s">
        <v>20</v>
      </c>
      <c r="D2032" s="245" t="s">
        <v>30</v>
      </c>
      <c r="E2032" s="247">
        <v>13</v>
      </c>
      <c r="F2032" s="242" t="s">
        <v>504</v>
      </c>
      <c r="G2032" s="242">
        <v>4.5999999999999996</v>
      </c>
      <c r="H2032" s="230">
        <f t="shared" si="42"/>
        <v>59.8</v>
      </c>
    </row>
    <row r="2033" spans="1:8" ht="15.75" x14ac:dyDescent="0.25">
      <c r="A2033" s="244">
        <v>1997</v>
      </c>
      <c r="B2033" s="245" t="s">
        <v>19</v>
      </c>
      <c r="C2033" s="246" t="s">
        <v>20</v>
      </c>
      <c r="D2033" s="245" t="s">
        <v>30</v>
      </c>
      <c r="E2033" s="247">
        <v>13</v>
      </c>
      <c r="F2033" s="242" t="s">
        <v>504</v>
      </c>
      <c r="G2033" s="242">
        <v>4.5999999999999996</v>
      </c>
      <c r="H2033" s="230">
        <f t="shared" si="42"/>
        <v>59.8</v>
      </c>
    </row>
    <row r="2034" spans="1:8" ht="15.75" x14ac:dyDescent="0.25">
      <c r="A2034" s="244">
        <v>1997</v>
      </c>
      <c r="B2034" s="245" t="s">
        <v>19</v>
      </c>
      <c r="C2034" s="246" t="s">
        <v>20</v>
      </c>
      <c r="D2034" s="245" t="s">
        <v>30</v>
      </c>
      <c r="E2034" s="247">
        <v>11</v>
      </c>
      <c r="F2034" s="242" t="s">
        <v>504</v>
      </c>
      <c r="G2034" s="242">
        <v>4.5999999999999996</v>
      </c>
      <c r="H2034" s="230">
        <f t="shared" si="42"/>
        <v>50.599999999999994</v>
      </c>
    </row>
    <row r="2035" spans="1:8" ht="15.75" x14ac:dyDescent="0.25">
      <c r="A2035" s="244">
        <v>1997</v>
      </c>
      <c r="B2035" s="245" t="s">
        <v>19</v>
      </c>
      <c r="C2035" s="246" t="s">
        <v>20</v>
      </c>
      <c r="D2035" s="245" t="s">
        <v>30</v>
      </c>
      <c r="E2035" s="247">
        <v>10.5</v>
      </c>
      <c r="F2035" s="242" t="s">
        <v>504</v>
      </c>
      <c r="G2035" s="242">
        <v>4.5999999999999996</v>
      </c>
      <c r="H2035" s="230">
        <f t="shared" si="42"/>
        <v>48.3</v>
      </c>
    </row>
    <row r="2036" spans="1:8" ht="15.75" x14ac:dyDescent="0.25">
      <c r="A2036" s="244">
        <v>1997</v>
      </c>
      <c r="B2036" s="245" t="s">
        <v>19</v>
      </c>
      <c r="C2036" s="246" t="s">
        <v>20</v>
      </c>
      <c r="D2036" s="245" t="s">
        <v>30</v>
      </c>
      <c r="E2036" s="247">
        <v>9</v>
      </c>
      <c r="F2036" s="242" t="s">
        <v>504</v>
      </c>
      <c r="G2036" s="242">
        <v>4.5999999999999996</v>
      </c>
      <c r="H2036" s="230">
        <f t="shared" si="42"/>
        <v>41.4</v>
      </c>
    </row>
    <row r="2037" spans="1:8" ht="15.75" x14ac:dyDescent="0.25">
      <c r="A2037" s="244">
        <v>1997</v>
      </c>
      <c r="B2037" s="245" t="s">
        <v>19</v>
      </c>
      <c r="C2037" s="246" t="s">
        <v>20</v>
      </c>
      <c r="D2037" s="245" t="s">
        <v>30</v>
      </c>
      <c r="E2037" s="247">
        <v>14.5</v>
      </c>
      <c r="F2037" s="242" t="s">
        <v>504</v>
      </c>
      <c r="G2037" s="242">
        <v>4.5999999999999996</v>
      </c>
      <c r="H2037" s="230">
        <f t="shared" si="42"/>
        <v>66.699999999999989</v>
      </c>
    </row>
    <row r="2038" spans="1:8" ht="15.75" x14ac:dyDescent="0.25">
      <c r="A2038" s="244">
        <v>1997</v>
      </c>
      <c r="B2038" s="245" t="s">
        <v>19</v>
      </c>
      <c r="C2038" s="246" t="s">
        <v>20</v>
      </c>
      <c r="D2038" s="245" t="s">
        <v>30</v>
      </c>
      <c r="E2038" s="247">
        <v>11.5</v>
      </c>
      <c r="F2038" s="242" t="s">
        <v>504</v>
      </c>
      <c r="G2038" s="242">
        <v>4.5999999999999996</v>
      </c>
      <c r="H2038" s="230">
        <f t="shared" si="42"/>
        <v>52.9</v>
      </c>
    </row>
    <row r="2039" spans="1:8" ht="15.75" x14ac:dyDescent="0.25">
      <c r="A2039" s="244">
        <v>1997</v>
      </c>
      <c r="B2039" s="245" t="s">
        <v>19</v>
      </c>
      <c r="C2039" s="246" t="s">
        <v>20</v>
      </c>
      <c r="D2039" s="245" t="s">
        <v>30</v>
      </c>
      <c r="E2039" s="247">
        <v>20.5</v>
      </c>
      <c r="F2039" s="242" t="s">
        <v>504</v>
      </c>
      <c r="G2039" s="242">
        <v>4.5999999999999996</v>
      </c>
      <c r="H2039" s="230">
        <f t="shared" si="42"/>
        <v>94.3</v>
      </c>
    </row>
    <row r="2040" spans="1:8" ht="15.75" x14ac:dyDescent="0.25">
      <c r="A2040" s="244">
        <v>1997</v>
      </c>
      <c r="B2040" s="245" t="s">
        <v>19</v>
      </c>
      <c r="C2040" s="246" t="s">
        <v>20</v>
      </c>
      <c r="D2040" s="245" t="s">
        <v>30</v>
      </c>
      <c r="E2040" s="247">
        <v>11.5</v>
      </c>
      <c r="F2040" s="242" t="s">
        <v>504</v>
      </c>
      <c r="G2040" s="242">
        <v>4.5999999999999996</v>
      </c>
      <c r="H2040" s="230">
        <f t="shared" si="42"/>
        <v>52.9</v>
      </c>
    </row>
    <row r="2041" spans="1:8" ht="15.75" x14ac:dyDescent="0.25">
      <c r="A2041" s="244">
        <v>1997</v>
      </c>
      <c r="B2041" s="245" t="s">
        <v>19</v>
      </c>
      <c r="C2041" s="246" t="s">
        <v>20</v>
      </c>
      <c r="D2041" s="245" t="s">
        <v>30</v>
      </c>
      <c r="E2041" s="247">
        <v>10</v>
      </c>
      <c r="F2041" s="242" t="s">
        <v>504</v>
      </c>
      <c r="G2041" s="242">
        <v>4.5999999999999996</v>
      </c>
      <c r="H2041" s="230">
        <f t="shared" si="42"/>
        <v>46</v>
      </c>
    </row>
    <row r="2042" spans="1:8" ht="15.75" x14ac:dyDescent="0.25">
      <c r="A2042" s="244">
        <v>1997</v>
      </c>
      <c r="B2042" s="245" t="s">
        <v>19</v>
      </c>
      <c r="C2042" s="246" t="s">
        <v>20</v>
      </c>
      <c r="D2042" s="245" t="s">
        <v>30</v>
      </c>
      <c r="E2042" s="247">
        <v>9</v>
      </c>
      <c r="F2042" s="242" t="s">
        <v>504</v>
      </c>
      <c r="G2042" s="242">
        <v>4.5999999999999996</v>
      </c>
      <c r="H2042" s="230">
        <f t="shared" si="42"/>
        <v>41.4</v>
      </c>
    </row>
    <row r="2043" spans="1:8" ht="15.75" x14ac:dyDescent="0.25">
      <c r="A2043" s="244">
        <v>1997</v>
      </c>
      <c r="B2043" s="245" t="s">
        <v>19</v>
      </c>
      <c r="C2043" s="246" t="s">
        <v>20</v>
      </c>
      <c r="D2043" s="245" t="s">
        <v>30</v>
      </c>
      <c r="E2043" s="247">
        <v>20</v>
      </c>
      <c r="F2043" s="242" t="s">
        <v>504</v>
      </c>
      <c r="G2043" s="242">
        <v>4.5999999999999996</v>
      </c>
      <c r="H2043" s="230">
        <f t="shared" si="42"/>
        <v>92</v>
      </c>
    </row>
    <row r="2044" spans="1:8" ht="15.75" x14ac:dyDescent="0.25">
      <c r="A2044" s="244">
        <v>1997</v>
      </c>
      <c r="B2044" s="245" t="s">
        <v>19</v>
      </c>
      <c r="C2044" s="246" t="s">
        <v>20</v>
      </c>
      <c r="D2044" s="245" t="s">
        <v>30</v>
      </c>
      <c r="E2044" s="247">
        <v>13.3</v>
      </c>
      <c r="F2044" s="242" t="s">
        <v>504</v>
      </c>
      <c r="G2044" s="242">
        <v>4.5999999999999996</v>
      </c>
      <c r="H2044" s="230">
        <f t="shared" si="42"/>
        <v>61.18</v>
      </c>
    </row>
    <row r="2045" spans="1:8" ht="15.75" x14ac:dyDescent="0.25">
      <c r="A2045" s="244">
        <v>1997</v>
      </c>
      <c r="B2045" s="245" t="s">
        <v>19</v>
      </c>
      <c r="C2045" s="246" t="s">
        <v>20</v>
      </c>
      <c r="D2045" s="245" t="s">
        <v>30</v>
      </c>
      <c r="E2045" s="247">
        <v>10.5</v>
      </c>
      <c r="F2045" s="242" t="s">
        <v>504</v>
      </c>
      <c r="G2045" s="242">
        <v>4.5999999999999996</v>
      </c>
      <c r="H2045" s="230">
        <f t="shared" si="42"/>
        <v>48.3</v>
      </c>
    </row>
    <row r="2046" spans="1:8" ht="15.75" x14ac:dyDescent="0.25">
      <c r="A2046" s="244">
        <v>1997</v>
      </c>
      <c r="B2046" s="245" t="s">
        <v>19</v>
      </c>
      <c r="C2046" s="246" t="s">
        <v>20</v>
      </c>
      <c r="D2046" s="245" t="s">
        <v>30</v>
      </c>
      <c r="E2046" s="247">
        <v>14</v>
      </c>
      <c r="F2046" s="242" t="s">
        <v>504</v>
      </c>
      <c r="G2046" s="242">
        <v>4.5999999999999996</v>
      </c>
      <c r="H2046" s="230">
        <f t="shared" si="42"/>
        <v>64.399999999999991</v>
      </c>
    </row>
    <row r="2047" spans="1:8" ht="15.75" x14ac:dyDescent="0.25">
      <c r="A2047" s="244">
        <v>1997</v>
      </c>
      <c r="B2047" s="245" t="s">
        <v>19</v>
      </c>
      <c r="C2047" s="246" t="s">
        <v>20</v>
      </c>
      <c r="D2047" s="245" t="s">
        <v>30</v>
      </c>
      <c r="E2047" s="247">
        <v>10.5</v>
      </c>
      <c r="F2047" s="242" t="s">
        <v>504</v>
      </c>
      <c r="G2047" s="242">
        <v>4.5999999999999996</v>
      </c>
      <c r="H2047" s="230">
        <f t="shared" si="42"/>
        <v>48.3</v>
      </c>
    </row>
    <row r="2048" spans="1:8" ht="15.75" x14ac:dyDescent="0.25">
      <c r="A2048" s="244">
        <v>1997</v>
      </c>
      <c r="B2048" s="245" t="s">
        <v>19</v>
      </c>
      <c r="C2048" s="246" t="s">
        <v>20</v>
      </c>
      <c r="D2048" s="245" t="s">
        <v>30</v>
      </c>
      <c r="E2048" s="247">
        <v>9</v>
      </c>
      <c r="F2048" s="242" t="s">
        <v>504</v>
      </c>
      <c r="G2048" s="242">
        <v>4.5999999999999996</v>
      </c>
      <c r="H2048" s="230">
        <f t="shared" si="42"/>
        <v>41.4</v>
      </c>
    </row>
    <row r="2049" spans="1:8" ht="15.75" x14ac:dyDescent="0.25">
      <c r="A2049" s="244">
        <v>1997</v>
      </c>
      <c r="B2049" s="245" t="s">
        <v>19</v>
      </c>
      <c r="C2049" s="246" t="s">
        <v>20</v>
      </c>
      <c r="D2049" s="245" t="s">
        <v>30</v>
      </c>
      <c r="E2049" s="247">
        <v>15</v>
      </c>
      <c r="F2049" s="242" t="s">
        <v>504</v>
      </c>
      <c r="G2049" s="242">
        <v>4.5999999999999996</v>
      </c>
      <c r="H2049" s="230">
        <f t="shared" si="42"/>
        <v>69</v>
      </c>
    </row>
    <row r="2050" spans="1:8" ht="15.75" x14ac:dyDescent="0.25">
      <c r="A2050" s="244">
        <v>1997</v>
      </c>
      <c r="B2050" s="245" t="s">
        <v>19</v>
      </c>
      <c r="C2050" s="246" t="s">
        <v>20</v>
      </c>
      <c r="D2050" s="245" t="s">
        <v>30</v>
      </c>
      <c r="E2050" s="247">
        <v>10.5</v>
      </c>
      <c r="F2050" s="242" t="s">
        <v>504</v>
      </c>
      <c r="G2050" s="242">
        <v>4.5999999999999996</v>
      </c>
      <c r="H2050" s="230">
        <f t="shared" si="42"/>
        <v>48.3</v>
      </c>
    </row>
    <row r="2051" spans="1:8" ht="15.75" x14ac:dyDescent="0.25">
      <c r="A2051" s="244">
        <v>1997</v>
      </c>
      <c r="B2051" s="245" t="s">
        <v>19</v>
      </c>
      <c r="C2051" s="246" t="s">
        <v>20</v>
      </c>
      <c r="D2051" s="245" t="s">
        <v>30</v>
      </c>
      <c r="E2051" s="247">
        <v>16.5</v>
      </c>
      <c r="F2051" s="242" t="s">
        <v>504</v>
      </c>
      <c r="G2051" s="242">
        <v>4.5999999999999996</v>
      </c>
      <c r="H2051" s="230">
        <f t="shared" ref="H2051:H2114" si="43">E2051*G2051</f>
        <v>75.899999999999991</v>
      </c>
    </row>
    <row r="2052" spans="1:8" ht="15.75" x14ac:dyDescent="0.25">
      <c r="A2052" s="244">
        <v>1997</v>
      </c>
      <c r="B2052" s="245" t="s">
        <v>19</v>
      </c>
      <c r="C2052" s="246" t="s">
        <v>20</v>
      </c>
      <c r="D2052" s="245" t="s">
        <v>30</v>
      </c>
      <c r="E2052" s="247">
        <v>13.7</v>
      </c>
      <c r="F2052" s="242" t="s">
        <v>504</v>
      </c>
      <c r="G2052" s="242">
        <v>4.5999999999999996</v>
      </c>
      <c r="H2052" s="230">
        <f t="shared" si="43"/>
        <v>63.019999999999989</v>
      </c>
    </row>
    <row r="2053" spans="1:8" ht="15.75" x14ac:dyDescent="0.25">
      <c r="A2053" s="244">
        <v>1997</v>
      </c>
      <c r="B2053" s="245" t="s">
        <v>19</v>
      </c>
      <c r="C2053" s="246" t="s">
        <v>20</v>
      </c>
      <c r="D2053" s="245" t="s">
        <v>30</v>
      </c>
      <c r="E2053" s="247">
        <v>16</v>
      </c>
      <c r="F2053" s="242" t="s">
        <v>504</v>
      </c>
      <c r="G2053" s="242">
        <v>4.5999999999999996</v>
      </c>
      <c r="H2053" s="230">
        <f t="shared" si="43"/>
        <v>73.599999999999994</v>
      </c>
    </row>
    <row r="2054" spans="1:8" ht="15.75" x14ac:dyDescent="0.25">
      <c r="A2054" s="244">
        <v>1997</v>
      </c>
      <c r="B2054" s="245" t="s">
        <v>19</v>
      </c>
      <c r="C2054" s="246" t="s">
        <v>20</v>
      </c>
      <c r="D2054" s="245" t="s">
        <v>30</v>
      </c>
      <c r="E2054" s="247">
        <v>13.5</v>
      </c>
      <c r="F2054" s="242" t="s">
        <v>504</v>
      </c>
      <c r="G2054" s="242">
        <v>4.5999999999999996</v>
      </c>
      <c r="H2054" s="230">
        <f t="shared" si="43"/>
        <v>62.099999999999994</v>
      </c>
    </row>
    <row r="2055" spans="1:8" ht="15.75" x14ac:dyDescent="0.25">
      <c r="A2055" s="244">
        <v>1997</v>
      </c>
      <c r="B2055" s="245" t="s">
        <v>19</v>
      </c>
      <c r="C2055" s="246" t="s">
        <v>20</v>
      </c>
      <c r="D2055" s="245" t="s">
        <v>30</v>
      </c>
      <c r="E2055" s="247">
        <v>12</v>
      </c>
      <c r="F2055" s="242" t="s">
        <v>504</v>
      </c>
      <c r="G2055" s="242">
        <v>4.5999999999999996</v>
      </c>
      <c r="H2055" s="230">
        <f t="shared" si="43"/>
        <v>55.199999999999996</v>
      </c>
    </row>
    <row r="2056" spans="1:8" ht="15.75" x14ac:dyDescent="0.25">
      <c r="A2056" s="244">
        <v>1997</v>
      </c>
      <c r="B2056" s="245" t="s">
        <v>19</v>
      </c>
      <c r="C2056" s="246" t="s">
        <v>20</v>
      </c>
      <c r="D2056" s="245" t="s">
        <v>30</v>
      </c>
      <c r="E2056" s="247">
        <v>14.5</v>
      </c>
      <c r="F2056" s="242" t="s">
        <v>504</v>
      </c>
      <c r="G2056" s="242">
        <v>4.5999999999999996</v>
      </c>
      <c r="H2056" s="230">
        <f t="shared" si="43"/>
        <v>66.699999999999989</v>
      </c>
    </row>
    <row r="2057" spans="1:8" ht="15.75" x14ac:dyDescent="0.25">
      <c r="A2057" s="244">
        <v>1997</v>
      </c>
      <c r="B2057" s="245" t="s">
        <v>19</v>
      </c>
      <c r="C2057" s="246" t="s">
        <v>20</v>
      </c>
      <c r="D2057" s="245" t="s">
        <v>30</v>
      </c>
      <c r="E2057" s="247">
        <v>8.5</v>
      </c>
      <c r="F2057" s="242" t="s">
        <v>504</v>
      </c>
      <c r="G2057" s="242">
        <v>4.5999999999999996</v>
      </c>
      <c r="H2057" s="230">
        <f t="shared" si="43"/>
        <v>39.099999999999994</v>
      </c>
    </row>
    <row r="2058" spans="1:8" ht="15.75" x14ac:dyDescent="0.25">
      <c r="A2058" s="244">
        <v>1997</v>
      </c>
      <c r="B2058" s="245" t="s">
        <v>19</v>
      </c>
      <c r="C2058" s="246" t="s">
        <v>20</v>
      </c>
      <c r="D2058" s="245" t="s">
        <v>30</v>
      </c>
      <c r="E2058" s="247">
        <v>9</v>
      </c>
      <c r="F2058" s="242" t="s">
        <v>504</v>
      </c>
      <c r="G2058" s="242">
        <v>4.5999999999999996</v>
      </c>
      <c r="H2058" s="230">
        <f t="shared" si="43"/>
        <v>41.4</v>
      </c>
    </row>
    <row r="2059" spans="1:8" ht="15.75" x14ac:dyDescent="0.25">
      <c r="A2059" s="244">
        <v>1997</v>
      </c>
      <c r="B2059" s="245" t="s">
        <v>19</v>
      </c>
      <c r="C2059" s="246" t="s">
        <v>20</v>
      </c>
      <c r="D2059" s="245" t="s">
        <v>30</v>
      </c>
      <c r="E2059" s="247">
        <v>14.5</v>
      </c>
      <c r="F2059" s="242" t="s">
        <v>504</v>
      </c>
      <c r="G2059" s="242">
        <v>4.5999999999999996</v>
      </c>
      <c r="H2059" s="230">
        <f t="shared" si="43"/>
        <v>66.699999999999989</v>
      </c>
    </row>
    <row r="2060" spans="1:8" ht="15.75" x14ac:dyDescent="0.25">
      <c r="A2060" s="244">
        <v>1997</v>
      </c>
      <c r="B2060" s="245" t="s">
        <v>19</v>
      </c>
      <c r="C2060" s="246" t="s">
        <v>20</v>
      </c>
      <c r="D2060" s="245" t="s">
        <v>30</v>
      </c>
      <c r="E2060" s="247">
        <v>12</v>
      </c>
      <c r="F2060" s="242" t="s">
        <v>504</v>
      </c>
      <c r="G2060" s="242">
        <v>4.5999999999999996</v>
      </c>
      <c r="H2060" s="230">
        <f t="shared" si="43"/>
        <v>55.199999999999996</v>
      </c>
    </row>
    <row r="2061" spans="1:8" ht="15.75" x14ac:dyDescent="0.25">
      <c r="A2061" s="244">
        <v>1997</v>
      </c>
      <c r="B2061" s="245" t="s">
        <v>19</v>
      </c>
      <c r="C2061" s="246" t="s">
        <v>20</v>
      </c>
      <c r="D2061" s="245" t="s">
        <v>30</v>
      </c>
      <c r="E2061" s="247">
        <v>6</v>
      </c>
      <c r="F2061" s="242" t="s">
        <v>504</v>
      </c>
      <c r="G2061" s="242">
        <v>4.5999999999999996</v>
      </c>
      <c r="H2061" s="230">
        <f t="shared" si="43"/>
        <v>27.599999999999998</v>
      </c>
    </row>
    <row r="2062" spans="1:8" ht="15.75" x14ac:dyDescent="0.25">
      <c r="A2062" s="244">
        <v>1997</v>
      </c>
      <c r="B2062" s="245" t="s">
        <v>19</v>
      </c>
      <c r="C2062" s="246" t="s">
        <v>20</v>
      </c>
      <c r="D2062" s="245" t="s">
        <v>30</v>
      </c>
      <c r="E2062" s="247">
        <v>13</v>
      </c>
      <c r="F2062" s="242" t="s">
        <v>504</v>
      </c>
      <c r="G2062" s="242">
        <v>4.5999999999999996</v>
      </c>
      <c r="H2062" s="230">
        <f t="shared" si="43"/>
        <v>59.8</v>
      </c>
    </row>
    <row r="2063" spans="1:8" ht="15.75" x14ac:dyDescent="0.25">
      <c r="A2063" s="244">
        <v>1997</v>
      </c>
      <c r="B2063" s="245" t="s">
        <v>19</v>
      </c>
      <c r="C2063" s="246" t="s">
        <v>20</v>
      </c>
      <c r="D2063" s="245" t="s">
        <v>30</v>
      </c>
      <c r="E2063" s="247">
        <v>15.5</v>
      </c>
      <c r="F2063" s="242" t="s">
        <v>504</v>
      </c>
      <c r="G2063" s="242">
        <v>4.5999999999999996</v>
      </c>
      <c r="H2063" s="230">
        <f t="shared" si="43"/>
        <v>71.3</v>
      </c>
    </row>
    <row r="2064" spans="1:8" ht="15.75" x14ac:dyDescent="0.25">
      <c r="A2064" s="244">
        <v>1997</v>
      </c>
      <c r="B2064" s="245" t="s">
        <v>19</v>
      </c>
      <c r="C2064" s="246" t="s">
        <v>20</v>
      </c>
      <c r="D2064" s="245" t="s">
        <v>30</v>
      </c>
      <c r="E2064" s="247">
        <v>12</v>
      </c>
      <c r="F2064" s="242" t="s">
        <v>504</v>
      </c>
      <c r="G2064" s="242">
        <v>4.5999999999999996</v>
      </c>
      <c r="H2064" s="230">
        <f t="shared" si="43"/>
        <v>55.199999999999996</v>
      </c>
    </row>
    <row r="2065" spans="1:8" ht="15.75" x14ac:dyDescent="0.25">
      <c r="A2065" s="244">
        <v>1997</v>
      </c>
      <c r="B2065" s="245" t="s">
        <v>19</v>
      </c>
      <c r="C2065" s="246" t="s">
        <v>20</v>
      </c>
      <c r="D2065" s="245" t="s">
        <v>30</v>
      </c>
      <c r="E2065" s="247">
        <v>13.5</v>
      </c>
      <c r="F2065" s="242" t="s">
        <v>504</v>
      </c>
      <c r="G2065" s="242">
        <v>4.5999999999999996</v>
      </c>
      <c r="H2065" s="230">
        <f t="shared" si="43"/>
        <v>62.099999999999994</v>
      </c>
    </row>
    <row r="2066" spans="1:8" ht="15.75" x14ac:dyDescent="0.25">
      <c r="A2066" s="244">
        <v>1997</v>
      </c>
      <c r="B2066" s="245" t="s">
        <v>19</v>
      </c>
      <c r="C2066" s="246" t="s">
        <v>20</v>
      </c>
      <c r="D2066" s="245" t="s">
        <v>30</v>
      </c>
      <c r="E2066" s="247">
        <v>19</v>
      </c>
      <c r="F2066" s="242" t="s">
        <v>504</v>
      </c>
      <c r="G2066" s="242">
        <v>4.5999999999999996</v>
      </c>
      <c r="H2066" s="230">
        <f t="shared" si="43"/>
        <v>87.399999999999991</v>
      </c>
    </row>
    <row r="2067" spans="1:8" ht="15.75" x14ac:dyDescent="0.25">
      <c r="A2067" s="244">
        <v>1997</v>
      </c>
      <c r="B2067" s="245" t="s">
        <v>19</v>
      </c>
      <c r="C2067" s="246" t="s">
        <v>20</v>
      </c>
      <c r="D2067" s="245" t="s">
        <v>30</v>
      </c>
      <c r="E2067" s="247">
        <v>13.5</v>
      </c>
      <c r="F2067" s="242" t="s">
        <v>504</v>
      </c>
      <c r="G2067" s="242">
        <v>4.5999999999999996</v>
      </c>
      <c r="H2067" s="230">
        <f t="shared" si="43"/>
        <v>62.099999999999994</v>
      </c>
    </row>
    <row r="2068" spans="1:8" ht="15.75" x14ac:dyDescent="0.25">
      <c r="A2068" s="244">
        <v>1997</v>
      </c>
      <c r="B2068" s="245" t="s">
        <v>19</v>
      </c>
      <c r="C2068" s="246" t="s">
        <v>20</v>
      </c>
      <c r="D2068" s="245" t="s">
        <v>30</v>
      </c>
      <c r="E2068" s="247">
        <v>11.5</v>
      </c>
      <c r="F2068" s="242" t="s">
        <v>504</v>
      </c>
      <c r="G2068" s="242">
        <v>4.5999999999999996</v>
      </c>
      <c r="H2068" s="230">
        <f t="shared" si="43"/>
        <v>52.9</v>
      </c>
    </row>
    <row r="2069" spans="1:8" ht="15.75" x14ac:dyDescent="0.25">
      <c r="A2069" s="244">
        <v>1997</v>
      </c>
      <c r="B2069" s="245" t="s">
        <v>19</v>
      </c>
      <c r="C2069" s="246" t="s">
        <v>20</v>
      </c>
      <c r="D2069" s="245" t="s">
        <v>30</v>
      </c>
      <c r="E2069" s="247">
        <v>11.5</v>
      </c>
      <c r="F2069" s="242" t="s">
        <v>504</v>
      </c>
      <c r="G2069" s="242">
        <v>4.5999999999999996</v>
      </c>
      <c r="H2069" s="230">
        <f t="shared" si="43"/>
        <v>52.9</v>
      </c>
    </row>
    <row r="2070" spans="1:8" ht="15.75" x14ac:dyDescent="0.25">
      <c r="A2070" s="244">
        <v>1997</v>
      </c>
      <c r="B2070" s="245" t="s">
        <v>19</v>
      </c>
      <c r="C2070" s="246" t="s">
        <v>20</v>
      </c>
      <c r="D2070" s="245" t="s">
        <v>30</v>
      </c>
      <c r="E2070" s="247">
        <v>14.5</v>
      </c>
      <c r="F2070" s="242" t="s">
        <v>504</v>
      </c>
      <c r="G2070" s="242">
        <v>4.5999999999999996</v>
      </c>
      <c r="H2070" s="230">
        <f t="shared" si="43"/>
        <v>66.699999999999989</v>
      </c>
    </row>
    <row r="2071" spans="1:8" ht="15.75" x14ac:dyDescent="0.25">
      <c r="A2071" s="244">
        <v>1997</v>
      </c>
      <c r="B2071" s="245" t="s">
        <v>19</v>
      </c>
      <c r="C2071" s="246" t="s">
        <v>20</v>
      </c>
      <c r="D2071" s="245" t="s">
        <v>30</v>
      </c>
      <c r="E2071" s="247">
        <v>12.5</v>
      </c>
      <c r="F2071" s="242" t="s">
        <v>504</v>
      </c>
      <c r="G2071" s="242">
        <v>4.5999999999999996</v>
      </c>
      <c r="H2071" s="230">
        <f t="shared" si="43"/>
        <v>57.499999999999993</v>
      </c>
    </row>
    <row r="2072" spans="1:8" ht="15.75" x14ac:dyDescent="0.25">
      <c r="A2072" s="244">
        <v>1997</v>
      </c>
      <c r="B2072" s="245" t="s">
        <v>19</v>
      </c>
      <c r="C2072" s="246" t="s">
        <v>20</v>
      </c>
      <c r="D2072" s="245" t="s">
        <v>30</v>
      </c>
      <c r="E2072" s="247">
        <v>9</v>
      </c>
      <c r="F2072" s="242" t="s">
        <v>504</v>
      </c>
      <c r="G2072" s="242">
        <v>4.5999999999999996</v>
      </c>
      <c r="H2072" s="230">
        <f t="shared" si="43"/>
        <v>41.4</v>
      </c>
    </row>
    <row r="2073" spans="1:8" ht="15.75" x14ac:dyDescent="0.25">
      <c r="A2073" s="244">
        <v>1997</v>
      </c>
      <c r="B2073" s="245" t="s">
        <v>19</v>
      </c>
      <c r="C2073" s="246" t="s">
        <v>20</v>
      </c>
      <c r="D2073" s="245" t="s">
        <v>30</v>
      </c>
      <c r="E2073" s="247">
        <v>7</v>
      </c>
      <c r="F2073" s="242" t="s">
        <v>504</v>
      </c>
      <c r="G2073" s="242">
        <v>4.5999999999999996</v>
      </c>
      <c r="H2073" s="230">
        <f t="shared" si="43"/>
        <v>32.199999999999996</v>
      </c>
    </row>
    <row r="2074" spans="1:8" ht="15.75" x14ac:dyDescent="0.25">
      <c r="A2074" s="244">
        <v>1997</v>
      </c>
      <c r="B2074" s="245" t="s">
        <v>19</v>
      </c>
      <c r="C2074" s="246" t="s">
        <v>20</v>
      </c>
      <c r="D2074" s="245" t="s">
        <v>30</v>
      </c>
      <c r="E2074" s="247">
        <v>9</v>
      </c>
      <c r="F2074" s="242" t="s">
        <v>504</v>
      </c>
      <c r="G2074" s="242">
        <v>4.5999999999999996</v>
      </c>
      <c r="H2074" s="230">
        <f t="shared" si="43"/>
        <v>41.4</v>
      </c>
    </row>
    <row r="2075" spans="1:8" ht="15.75" x14ac:dyDescent="0.25">
      <c r="A2075" s="244">
        <v>1997</v>
      </c>
      <c r="B2075" s="245" t="s">
        <v>19</v>
      </c>
      <c r="C2075" s="246" t="s">
        <v>20</v>
      </c>
      <c r="D2075" s="245" t="s">
        <v>30</v>
      </c>
      <c r="E2075" s="247">
        <v>13</v>
      </c>
      <c r="F2075" s="242" t="s">
        <v>504</v>
      </c>
      <c r="G2075" s="242">
        <v>4.5999999999999996</v>
      </c>
      <c r="H2075" s="230">
        <f t="shared" si="43"/>
        <v>59.8</v>
      </c>
    </row>
    <row r="2076" spans="1:8" ht="15.75" x14ac:dyDescent="0.25">
      <c r="A2076" s="244">
        <v>1997</v>
      </c>
      <c r="B2076" s="245" t="s">
        <v>19</v>
      </c>
      <c r="C2076" s="246" t="s">
        <v>20</v>
      </c>
      <c r="D2076" s="245" t="s">
        <v>30</v>
      </c>
      <c r="E2076" s="247">
        <v>8</v>
      </c>
      <c r="F2076" s="242" t="s">
        <v>504</v>
      </c>
      <c r="G2076" s="242">
        <v>4.5999999999999996</v>
      </c>
      <c r="H2076" s="230">
        <f t="shared" si="43"/>
        <v>36.799999999999997</v>
      </c>
    </row>
    <row r="2077" spans="1:8" ht="15.75" x14ac:dyDescent="0.25">
      <c r="A2077" s="244">
        <v>1997</v>
      </c>
      <c r="B2077" s="245" t="s">
        <v>19</v>
      </c>
      <c r="C2077" s="246" t="s">
        <v>20</v>
      </c>
      <c r="D2077" s="245" t="s">
        <v>30</v>
      </c>
      <c r="E2077" s="247">
        <v>16.5</v>
      </c>
      <c r="F2077" s="242" t="s">
        <v>504</v>
      </c>
      <c r="G2077" s="242">
        <v>4.5999999999999996</v>
      </c>
      <c r="H2077" s="230">
        <f t="shared" si="43"/>
        <v>75.899999999999991</v>
      </c>
    </row>
    <row r="2078" spans="1:8" ht="15.75" x14ac:dyDescent="0.25">
      <c r="A2078" s="244">
        <v>1997</v>
      </c>
      <c r="B2078" s="245" t="s">
        <v>19</v>
      </c>
      <c r="C2078" s="246" t="s">
        <v>20</v>
      </c>
      <c r="D2078" s="245" t="s">
        <v>30</v>
      </c>
      <c r="E2078" s="247">
        <v>14</v>
      </c>
      <c r="F2078" s="242" t="s">
        <v>504</v>
      </c>
      <c r="G2078" s="242">
        <v>4.5999999999999996</v>
      </c>
      <c r="H2078" s="230">
        <f t="shared" si="43"/>
        <v>64.399999999999991</v>
      </c>
    </row>
    <row r="2079" spans="1:8" ht="15.75" x14ac:dyDescent="0.25">
      <c r="A2079" s="244">
        <v>1997</v>
      </c>
      <c r="B2079" s="245" t="s">
        <v>19</v>
      </c>
      <c r="C2079" s="246" t="s">
        <v>20</v>
      </c>
      <c r="D2079" s="245" t="s">
        <v>35</v>
      </c>
      <c r="E2079" s="247">
        <v>4.2</v>
      </c>
      <c r="F2079" s="242" t="s">
        <v>507</v>
      </c>
      <c r="G2079" s="242">
        <v>3.9</v>
      </c>
      <c r="H2079" s="230">
        <f t="shared" si="43"/>
        <v>16.38</v>
      </c>
    </row>
    <row r="2080" spans="1:8" ht="15.75" x14ac:dyDescent="0.25">
      <c r="A2080" s="244">
        <v>1997</v>
      </c>
      <c r="B2080" s="245" t="s">
        <v>19</v>
      </c>
      <c r="C2080" s="246" t="s">
        <v>20</v>
      </c>
      <c r="D2080" s="245" t="s">
        <v>35</v>
      </c>
      <c r="E2080" s="247">
        <v>9</v>
      </c>
      <c r="F2080" s="242" t="s">
        <v>507</v>
      </c>
      <c r="G2080" s="242">
        <v>3.9</v>
      </c>
      <c r="H2080" s="230">
        <f t="shared" si="43"/>
        <v>35.1</v>
      </c>
    </row>
    <row r="2081" spans="1:8" ht="15" customHeight="1" x14ac:dyDescent="0.2">
      <c r="A2081" s="244">
        <v>1997</v>
      </c>
      <c r="B2081" s="245" t="s">
        <v>19</v>
      </c>
      <c r="C2081" s="246" t="s">
        <v>34</v>
      </c>
      <c r="D2081" s="245" t="s">
        <v>35</v>
      </c>
      <c r="E2081" s="247">
        <v>10</v>
      </c>
      <c r="F2081" s="242" t="s">
        <v>506</v>
      </c>
      <c r="G2081" s="242">
        <v>3.9</v>
      </c>
      <c r="H2081" s="230">
        <f t="shared" si="43"/>
        <v>39</v>
      </c>
    </row>
    <row r="2082" spans="1:8" ht="15.75" x14ac:dyDescent="0.25">
      <c r="A2082" s="244">
        <v>1997</v>
      </c>
      <c r="B2082" s="245" t="s">
        <v>19</v>
      </c>
      <c r="C2082" s="246" t="s">
        <v>20</v>
      </c>
      <c r="D2082" s="245" t="s">
        <v>21</v>
      </c>
      <c r="E2082" s="247">
        <v>10</v>
      </c>
      <c r="F2082" s="242" t="s">
        <v>507</v>
      </c>
      <c r="G2082" s="242">
        <v>3.9</v>
      </c>
      <c r="H2082" s="230">
        <f t="shared" si="43"/>
        <v>39</v>
      </c>
    </row>
    <row r="2083" spans="1:8" ht="15.75" x14ac:dyDescent="0.25">
      <c r="A2083" s="244">
        <v>1997</v>
      </c>
      <c r="B2083" s="245" t="s">
        <v>19</v>
      </c>
      <c r="C2083" s="246" t="s">
        <v>20</v>
      </c>
      <c r="D2083" s="245" t="s">
        <v>21</v>
      </c>
      <c r="E2083" s="247">
        <v>7.5</v>
      </c>
      <c r="F2083" s="242" t="s">
        <v>507</v>
      </c>
      <c r="G2083" s="242">
        <v>3.9</v>
      </c>
      <c r="H2083" s="230">
        <f t="shared" si="43"/>
        <v>29.25</v>
      </c>
    </row>
    <row r="2084" spans="1:8" ht="15.75" x14ac:dyDescent="0.25">
      <c r="A2084" s="244">
        <v>1997</v>
      </c>
      <c r="B2084" s="245" t="s">
        <v>19</v>
      </c>
      <c r="C2084" s="246" t="s">
        <v>20</v>
      </c>
      <c r="D2084" s="245" t="s">
        <v>21</v>
      </c>
      <c r="E2084" s="247">
        <v>7</v>
      </c>
      <c r="F2084" s="242" t="s">
        <v>507</v>
      </c>
      <c r="G2084" s="242">
        <v>3.9</v>
      </c>
      <c r="H2084" s="230">
        <f t="shared" si="43"/>
        <v>27.3</v>
      </c>
    </row>
    <row r="2085" spans="1:8" ht="15.75" x14ac:dyDescent="0.25">
      <c r="A2085" s="244">
        <v>1997</v>
      </c>
      <c r="B2085" s="245" t="s">
        <v>19</v>
      </c>
      <c r="C2085" s="246" t="s">
        <v>20</v>
      </c>
      <c r="D2085" s="245" t="s">
        <v>21</v>
      </c>
      <c r="E2085" s="247">
        <v>8.5</v>
      </c>
      <c r="F2085" s="242" t="s">
        <v>507</v>
      </c>
      <c r="G2085" s="242">
        <v>3.9</v>
      </c>
      <c r="H2085" s="230">
        <f t="shared" si="43"/>
        <v>33.15</v>
      </c>
    </row>
    <row r="2086" spans="1:8" ht="15.75" x14ac:dyDescent="0.25">
      <c r="A2086" s="244">
        <v>1997</v>
      </c>
      <c r="B2086" s="245" t="s">
        <v>19</v>
      </c>
      <c r="C2086" s="246" t="s">
        <v>20</v>
      </c>
      <c r="D2086" s="245" t="s">
        <v>21</v>
      </c>
      <c r="E2086" s="247">
        <v>5.5</v>
      </c>
      <c r="F2086" s="242" t="s">
        <v>507</v>
      </c>
      <c r="G2086" s="242">
        <v>3.9</v>
      </c>
      <c r="H2086" s="230">
        <f t="shared" si="43"/>
        <v>21.45</v>
      </c>
    </row>
    <row r="2087" spans="1:8" ht="15.75" x14ac:dyDescent="0.25">
      <c r="A2087" s="244">
        <v>1997</v>
      </c>
      <c r="B2087" s="245" t="s">
        <v>19</v>
      </c>
      <c r="C2087" s="246" t="s">
        <v>20</v>
      </c>
      <c r="D2087" s="245" t="s">
        <v>21</v>
      </c>
      <c r="E2087" s="247">
        <v>10</v>
      </c>
      <c r="F2087" s="242" t="s">
        <v>507</v>
      </c>
      <c r="G2087" s="242">
        <v>3.9</v>
      </c>
      <c r="H2087" s="230">
        <f t="shared" si="43"/>
        <v>39</v>
      </c>
    </row>
    <row r="2088" spans="1:8" ht="15.75" x14ac:dyDescent="0.25">
      <c r="A2088" s="244">
        <v>1997</v>
      </c>
      <c r="B2088" s="245" t="s">
        <v>19</v>
      </c>
      <c r="C2088" s="246" t="s">
        <v>20</v>
      </c>
      <c r="D2088" s="245" t="s">
        <v>21</v>
      </c>
      <c r="E2088" s="247">
        <v>13.5</v>
      </c>
      <c r="F2088" s="242" t="s">
        <v>507</v>
      </c>
      <c r="G2088" s="242">
        <v>3.9</v>
      </c>
      <c r="H2088" s="230">
        <f t="shared" si="43"/>
        <v>52.65</v>
      </c>
    </row>
    <row r="2089" spans="1:8" ht="15.75" x14ac:dyDescent="0.25">
      <c r="A2089" s="244">
        <v>1997</v>
      </c>
      <c r="B2089" s="245" t="s">
        <v>19</v>
      </c>
      <c r="C2089" s="246" t="s">
        <v>20</v>
      </c>
      <c r="D2089" s="245" t="s">
        <v>21</v>
      </c>
      <c r="E2089" s="247">
        <v>11</v>
      </c>
      <c r="F2089" s="242" t="s">
        <v>507</v>
      </c>
      <c r="G2089" s="242">
        <v>3.9</v>
      </c>
      <c r="H2089" s="230">
        <f t="shared" si="43"/>
        <v>42.9</v>
      </c>
    </row>
    <row r="2090" spans="1:8" ht="15.75" x14ac:dyDescent="0.25">
      <c r="A2090" s="244">
        <v>1997</v>
      </c>
      <c r="B2090" s="245" t="s">
        <v>19</v>
      </c>
      <c r="C2090" s="246" t="s">
        <v>20</v>
      </c>
      <c r="D2090" s="245" t="s">
        <v>21</v>
      </c>
      <c r="E2090" s="247">
        <v>2.4</v>
      </c>
      <c r="F2090" s="242" t="s">
        <v>507</v>
      </c>
      <c r="G2090" s="242">
        <v>3.9</v>
      </c>
      <c r="H2090" s="230">
        <f t="shared" si="43"/>
        <v>9.36</v>
      </c>
    </row>
    <row r="2091" spans="1:8" ht="15.75" x14ac:dyDescent="0.25">
      <c r="A2091" s="244">
        <v>1997</v>
      </c>
      <c r="B2091" s="245" t="s">
        <v>19</v>
      </c>
      <c r="C2091" s="246" t="s">
        <v>20</v>
      </c>
      <c r="D2091" s="245" t="s">
        <v>21</v>
      </c>
      <c r="E2091" s="247">
        <v>11</v>
      </c>
      <c r="F2091" s="242" t="s">
        <v>507</v>
      </c>
      <c r="G2091" s="242">
        <v>3.9</v>
      </c>
      <c r="H2091" s="230">
        <f t="shared" si="43"/>
        <v>42.9</v>
      </c>
    </row>
    <row r="2092" spans="1:8" ht="15.75" x14ac:dyDescent="0.25">
      <c r="A2092" s="244">
        <v>1997</v>
      </c>
      <c r="B2092" s="245" t="s">
        <v>19</v>
      </c>
      <c r="C2092" s="246" t="s">
        <v>20</v>
      </c>
      <c r="D2092" s="245" t="s">
        <v>21</v>
      </c>
      <c r="E2092" s="247">
        <v>9.5</v>
      </c>
      <c r="F2092" s="242" t="s">
        <v>507</v>
      </c>
      <c r="G2092" s="242">
        <v>3.9</v>
      </c>
      <c r="H2092" s="230">
        <f t="shared" si="43"/>
        <v>37.049999999999997</v>
      </c>
    </row>
    <row r="2093" spans="1:8" ht="15.75" x14ac:dyDescent="0.25">
      <c r="A2093" s="244">
        <v>1997</v>
      </c>
      <c r="B2093" s="245" t="s">
        <v>19</v>
      </c>
      <c r="C2093" s="246" t="s">
        <v>20</v>
      </c>
      <c r="D2093" s="245" t="s">
        <v>21</v>
      </c>
      <c r="E2093" s="247">
        <v>8</v>
      </c>
      <c r="F2093" s="242" t="s">
        <v>507</v>
      </c>
      <c r="G2093" s="242">
        <v>3.9</v>
      </c>
      <c r="H2093" s="230">
        <f t="shared" si="43"/>
        <v>31.2</v>
      </c>
    </row>
    <row r="2094" spans="1:8" ht="15.75" x14ac:dyDescent="0.25">
      <c r="A2094" s="244">
        <v>1997</v>
      </c>
      <c r="B2094" s="245" t="s">
        <v>19</v>
      </c>
      <c r="C2094" s="246" t="s">
        <v>20</v>
      </c>
      <c r="D2094" s="245" t="s">
        <v>21</v>
      </c>
      <c r="E2094" s="247">
        <v>7.5</v>
      </c>
      <c r="F2094" s="242" t="s">
        <v>507</v>
      </c>
      <c r="G2094" s="242">
        <v>3.9</v>
      </c>
      <c r="H2094" s="230">
        <f t="shared" si="43"/>
        <v>29.25</v>
      </c>
    </row>
    <row r="2095" spans="1:8" ht="15.75" x14ac:dyDescent="0.25">
      <c r="A2095" s="244">
        <v>1997</v>
      </c>
      <c r="B2095" s="245" t="s">
        <v>19</v>
      </c>
      <c r="C2095" s="246" t="s">
        <v>20</v>
      </c>
      <c r="D2095" s="245" t="s">
        <v>21</v>
      </c>
      <c r="E2095" s="247">
        <v>9.5</v>
      </c>
      <c r="F2095" s="242" t="s">
        <v>507</v>
      </c>
      <c r="G2095" s="242">
        <v>3.9</v>
      </c>
      <c r="H2095" s="230">
        <f t="shared" si="43"/>
        <v>37.049999999999997</v>
      </c>
    </row>
    <row r="2096" spans="1:8" ht="15.75" x14ac:dyDescent="0.25">
      <c r="A2096" s="244">
        <v>1997</v>
      </c>
      <c r="B2096" s="245" t="s">
        <v>19</v>
      </c>
      <c r="C2096" s="246" t="s">
        <v>20</v>
      </c>
      <c r="D2096" s="245" t="s">
        <v>21</v>
      </c>
      <c r="E2096" s="247">
        <v>3</v>
      </c>
      <c r="F2096" s="242" t="s">
        <v>507</v>
      </c>
      <c r="G2096" s="242">
        <v>3.9</v>
      </c>
      <c r="H2096" s="230">
        <f t="shared" si="43"/>
        <v>11.7</v>
      </c>
    </row>
    <row r="2097" spans="1:8" ht="15.75" x14ac:dyDescent="0.25">
      <c r="A2097" s="244">
        <v>1997</v>
      </c>
      <c r="B2097" s="245" t="s">
        <v>19</v>
      </c>
      <c r="C2097" s="246" t="s">
        <v>20</v>
      </c>
      <c r="D2097" s="245" t="s">
        <v>21</v>
      </c>
      <c r="E2097" s="247">
        <v>10</v>
      </c>
      <c r="F2097" s="242" t="s">
        <v>507</v>
      </c>
      <c r="G2097" s="242">
        <v>3.9</v>
      </c>
      <c r="H2097" s="230">
        <f t="shared" si="43"/>
        <v>39</v>
      </c>
    </row>
    <row r="2098" spans="1:8" ht="15.75" x14ac:dyDescent="0.25">
      <c r="A2098" s="244">
        <v>1997</v>
      </c>
      <c r="B2098" s="245" t="s">
        <v>19</v>
      </c>
      <c r="C2098" s="246" t="s">
        <v>20</v>
      </c>
      <c r="D2098" s="245" t="s">
        <v>21</v>
      </c>
      <c r="E2098" s="247">
        <v>11</v>
      </c>
      <c r="F2098" s="242" t="s">
        <v>507</v>
      </c>
      <c r="G2098" s="242">
        <v>3.9</v>
      </c>
      <c r="H2098" s="230">
        <f t="shared" si="43"/>
        <v>42.9</v>
      </c>
    </row>
    <row r="2099" spans="1:8" ht="15.75" x14ac:dyDescent="0.25">
      <c r="A2099" s="244">
        <v>1997</v>
      </c>
      <c r="B2099" s="245" t="s">
        <v>19</v>
      </c>
      <c r="C2099" s="246" t="s">
        <v>20</v>
      </c>
      <c r="D2099" s="245" t="s">
        <v>21</v>
      </c>
      <c r="E2099" s="247">
        <v>9</v>
      </c>
      <c r="F2099" s="242" t="s">
        <v>507</v>
      </c>
      <c r="G2099" s="242">
        <v>3.9</v>
      </c>
      <c r="H2099" s="230">
        <f t="shared" si="43"/>
        <v>35.1</v>
      </c>
    </row>
    <row r="2100" spans="1:8" ht="15.75" x14ac:dyDescent="0.25">
      <c r="A2100" s="244">
        <v>1997</v>
      </c>
      <c r="B2100" s="245" t="s">
        <v>19</v>
      </c>
      <c r="C2100" s="246" t="s">
        <v>20</v>
      </c>
      <c r="D2100" s="245" t="s">
        <v>21</v>
      </c>
      <c r="E2100" s="247">
        <v>14.5</v>
      </c>
      <c r="F2100" s="242" t="s">
        <v>507</v>
      </c>
      <c r="G2100" s="242">
        <v>3.9</v>
      </c>
      <c r="H2100" s="230">
        <f t="shared" si="43"/>
        <v>56.55</v>
      </c>
    </row>
    <row r="2101" spans="1:8" ht="15.75" x14ac:dyDescent="0.25">
      <c r="A2101" s="244">
        <v>1997</v>
      </c>
      <c r="B2101" s="245" t="s">
        <v>19</v>
      </c>
      <c r="C2101" s="246" t="s">
        <v>20</v>
      </c>
      <c r="D2101" s="245" t="s">
        <v>21</v>
      </c>
      <c r="E2101" s="247">
        <v>13</v>
      </c>
      <c r="F2101" s="242" t="s">
        <v>507</v>
      </c>
      <c r="G2101" s="242">
        <v>3.9</v>
      </c>
      <c r="H2101" s="230">
        <f t="shared" si="43"/>
        <v>50.699999999999996</v>
      </c>
    </row>
    <row r="2102" spans="1:8" ht="15.75" x14ac:dyDescent="0.25">
      <c r="A2102" s="244">
        <v>1997</v>
      </c>
      <c r="B2102" s="245" t="s">
        <v>19</v>
      </c>
      <c r="C2102" s="246" t="s">
        <v>20</v>
      </c>
      <c r="D2102" s="245" t="s">
        <v>21</v>
      </c>
      <c r="E2102" s="247">
        <v>15</v>
      </c>
      <c r="F2102" s="242" t="s">
        <v>507</v>
      </c>
      <c r="G2102" s="242">
        <v>3.9</v>
      </c>
      <c r="H2102" s="230">
        <f t="shared" si="43"/>
        <v>58.5</v>
      </c>
    </row>
    <row r="2103" spans="1:8" ht="15.75" x14ac:dyDescent="0.25">
      <c r="A2103" s="244">
        <v>1997</v>
      </c>
      <c r="B2103" s="245" t="s">
        <v>19</v>
      </c>
      <c r="C2103" s="246" t="s">
        <v>20</v>
      </c>
      <c r="D2103" s="245" t="s">
        <v>21</v>
      </c>
      <c r="E2103" s="247">
        <v>13.5</v>
      </c>
      <c r="F2103" s="242" t="s">
        <v>507</v>
      </c>
      <c r="G2103" s="242">
        <v>3.9</v>
      </c>
      <c r="H2103" s="230">
        <f t="shared" si="43"/>
        <v>52.65</v>
      </c>
    </row>
    <row r="2104" spans="1:8" ht="15.75" x14ac:dyDescent="0.25">
      <c r="A2104" s="244">
        <v>1997</v>
      </c>
      <c r="B2104" s="245" t="s">
        <v>19</v>
      </c>
      <c r="C2104" s="246" t="s">
        <v>20</v>
      </c>
      <c r="D2104" s="245" t="s">
        <v>21</v>
      </c>
      <c r="E2104" s="247">
        <v>12</v>
      </c>
      <c r="F2104" s="242" t="s">
        <v>507</v>
      </c>
      <c r="G2104" s="242">
        <v>3.9</v>
      </c>
      <c r="H2104" s="230">
        <f t="shared" si="43"/>
        <v>46.8</v>
      </c>
    </row>
    <row r="2105" spans="1:8" ht="15.75" x14ac:dyDescent="0.25">
      <c r="A2105" s="244">
        <v>1997</v>
      </c>
      <c r="B2105" s="245" t="s">
        <v>19</v>
      </c>
      <c r="C2105" s="246" t="s">
        <v>20</v>
      </c>
      <c r="D2105" s="245" t="s">
        <v>21</v>
      </c>
      <c r="E2105" s="247">
        <v>8.5</v>
      </c>
      <c r="F2105" s="242" t="s">
        <v>507</v>
      </c>
      <c r="G2105" s="242">
        <v>3.9</v>
      </c>
      <c r="H2105" s="230">
        <f t="shared" si="43"/>
        <v>33.15</v>
      </c>
    </row>
    <row r="2106" spans="1:8" ht="15.75" x14ac:dyDescent="0.25">
      <c r="A2106" s="244">
        <v>1997</v>
      </c>
      <c r="B2106" s="245" t="s">
        <v>19</v>
      </c>
      <c r="C2106" s="246" t="s">
        <v>20</v>
      </c>
      <c r="D2106" s="245" t="s">
        <v>21</v>
      </c>
      <c r="E2106" s="247">
        <v>8</v>
      </c>
      <c r="F2106" s="242" t="s">
        <v>507</v>
      </c>
      <c r="G2106" s="242">
        <v>3.9</v>
      </c>
      <c r="H2106" s="230">
        <f t="shared" si="43"/>
        <v>31.2</v>
      </c>
    </row>
    <row r="2107" spans="1:8" ht="15.75" x14ac:dyDescent="0.25">
      <c r="A2107" s="244">
        <v>1997</v>
      </c>
      <c r="B2107" s="245" t="s">
        <v>19</v>
      </c>
      <c r="C2107" s="246" t="s">
        <v>20</v>
      </c>
      <c r="D2107" s="245" t="s">
        <v>21</v>
      </c>
      <c r="E2107" s="247">
        <v>12</v>
      </c>
      <c r="F2107" s="242" t="s">
        <v>507</v>
      </c>
      <c r="G2107" s="242">
        <v>3.9</v>
      </c>
      <c r="H2107" s="230">
        <f t="shared" si="43"/>
        <v>46.8</v>
      </c>
    </row>
    <row r="2108" spans="1:8" ht="15.75" x14ac:dyDescent="0.25">
      <c r="A2108" s="244">
        <v>1997</v>
      </c>
      <c r="B2108" s="245" t="s">
        <v>19</v>
      </c>
      <c r="C2108" s="246" t="s">
        <v>20</v>
      </c>
      <c r="D2108" s="245" t="s">
        <v>21</v>
      </c>
      <c r="E2108" s="247">
        <v>11</v>
      </c>
      <c r="F2108" s="242" t="s">
        <v>507</v>
      </c>
      <c r="G2108" s="242">
        <v>3.9</v>
      </c>
      <c r="H2108" s="230">
        <f t="shared" si="43"/>
        <v>42.9</v>
      </c>
    </row>
    <row r="2109" spans="1:8" ht="15.75" x14ac:dyDescent="0.25">
      <c r="A2109" s="244">
        <v>1997</v>
      </c>
      <c r="B2109" s="245" t="s">
        <v>19</v>
      </c>
      <c r="C2109" s="246" t="s">
        <v>20</v>
      </c>
      <c r="D2109" s="245" t="s">
        <v>21</v>
      </c>
      <c r="E2109" s="247">
        <v>11</v>
      </c>
      <c r="F2109" s="242" t="s">
        <v>507</v>
      </c>
      <c r="G2109" s="242">
        <v>3.9</v>
      </c>
      <c r="H2109" s="230">
        <f t="shared" si="43"/>
        <v>42.9</v>
      </c>
    </row>
    <row r="2110" spans="1:8" ht="15.75" x14ac:dyDescent="0.25">
      <c r="A2110" s="244">
        <v>1997</v>
      </c>
      <c r="B2110" s="245" t="s">
        <v>19</v>
      </c>
      <c r="C2110" s="246" t="s">
        <v>20</v>
      </c>
      <c r="D2110" s="245" t="s">
        <v>21</v>
      </c>
      <c r="E2110" s="247">
        <v>9</v>
      </c>
      <c r="F2110" s="242" t="s">
        <v>507</v>
      </c>
      <c r="G2110" s="242">
        <v>3.9</v>
      </c>
      <c r="H2110" s="230">
        <f t="shared" si="43"/>
        <v>35.1</v>
      </c>
    </row>
    <row r="2111" spans="1:8" ht="15.75" x14ac:dyDescent="0.25">
      <c r="A2111" s="244">
        <v>1997</v>
      </c>
      <c r="B2111" s="245" t="s">
        <v>19</v>
      </c>
      <c r="C2111" s="246" t="s">
        <v>20</v>
      </c>
      <c r="D2111" s="245" t="s">
        <v>21</v>
      </c>
      <c r="E2111" s="247">
        <v>11</v>
      </c>
      <c r="F2111" s="242" t="s">
        <v>507</v>
      </c>
      <c r="G2111" s="242">
        <v>3.9</v>
      </c>
      <c r="H2111" s="230">
        <f t="shared" si="43"/>
        <v>42.9</v>
      </c>
    </row>
    <row r="2112" spans="1:8" ht="15.75" x14ac:dyDescent="0.25">
      <c r="A2112" s="244">
        <v>1997</v>
      </c>
      <c r="B2112" s="245" t="s">
        <v>19</v>
      </c>
      <c r="C2112" s="246" t="s">
        <v>20</v>
      </c>
      <c r="D2112" s="245" t="s">
        <v>21</v>
      </c>
      <c r="E2112" s="247">
        <v>12</v>
      </c>
      <c r="F2112" s="242" t="s">
        <v>507</v>
      </c>
      <c r="G2112" s="242">
        <v>3.9</v>
      </c>
      <c r="H2112" s="230">
        <f t="shared" si="43"/>
        <v>46.8</v>
      </c>
    </row>
    <row r="2113" spans="1:8" ht="15.75" x14ac:dyDescent="0.25">
      <c r="A2113" s="244">
        <v>1997</v>
      </c>
      <c r="B2113" s="245" t="s">
        <v>19</v>
      </c>
      <c r="C2113" s="246" t="s">
        <v>20</v>
      </c>
      <c r="D2113" s="245" t="s">
        <v>21</v>
      </c>
      <c r="E2113" s="247">
        <v>8.5</v>
      </c>
      <c r="F2113" s="242" t="s">
        <v>507</v>
      </c>
      <c r="G2113" s="242">
        <v>3.9</v>
      </c>
      <c r="H2113" s="230">
        <f t="shared" si="43"/>
        <v>33.15</v>
      </c>
    </row>
    <row r="2114" spans="1:8" ht="15.75" x14ac:dyDescent="0.25">
      <c r="A2114" s="244">
        <v>1997</v>
      </c>
      <c r="B2114" s="245" t="s">
        <v>19</v>
      </c>
      <c r="C2114" s="246" t="s">
        <v>20</v>
      </c>
      <c r="D2114" s="245" t="s">
        <v>21</v>
      </c>
      <c r="E2114" s="247">
        <v>10</v>
      </c>
      <c r="F2114" s="242" t="s">
        <v>507</v>
      </c>
      <c r="G2114" s="242">
        <v>3.9</v>
      </c>
      <c r="H2114" s="230">
        <f t="shared" si="43"/>
        <v>39</v>
      </c>
    </row>
    <row r="2115" spans="1:8" ht="15.75" x14ac:dyDescent="0.25">
      <c r="A2115" s="244">
        <v>1997</v>
      </c>
      <c r="B2115" s="245" t="s">
        <v>19</v>
      </c>
      <c r="C2115" s="246" t="s">
        <v>20</v>
      </c>
      <c r="D2115" s="245" t="s">
        <v>21</v>
      </c>
      <c r="E2115" s="247">
        <v>10</v>
      </c>
      <c r="F2115" s="242" t="s">
        <v>507</v>
      </c>
      <c r="G2115" s="242">
        <v>3.9</v>
      </c>
      <c r="H2115" s="230">
        <f t="shared" ref="H2115:H2178" si="44">E2115*G2115</f>
        <v>39</v>
      </c>
    </row>
    <row r="2116" spans="1:8" ht="15.75" x14ac:dyDescent="0.25">
      <c r="A2116" s="244">
        <v>1997</v>
      </c>
      <c r="B2116" s="245" t="s">
        <v>19</v>
      </c>
      <c r="C2116" s="246" t="s">
        <v>20</v>
      </c>
      <c r="D2116" s="245" t="s">
        <v>21</v>
      </c>
      <c r="E2116" s="247">
        <v>13.5</v>
      </c>
      <c r="F2116" s="242" t="s">
        <v>507</v>
      </c>
      <c r="G2116" s="242">
        <v>3.9</v>
      </c>
      <c r="H2116" s="230">
        <f t="shared" si="44"/>
        <v>52.65</v>
      </c>
    </row>
    <row r="2117" spans="1:8" ht="15.75" x14ac:dyDescent="0.25">
      <c r="A2117" s="244">
        <v>1997</v>
      </c>
      <c r="B2117" s="245" t="s">
        <v>19</v>
      </c>
      <c r="C2117" s="246" t="s">
        <v>20</v>
      </c>
      <c r="D2117" s="245" t="s">
        <v>21</v>
      </c>
      <c r="E2117" s="247">
        <v>14.5</v>
      </c>
      <c r="F2117" s="242" t="s">
        <v>507</v>
      </c>
      <c r="G2117" s="242">
        <v>3.9</v>
      </c>
      <c r="H2117" s="230">
        <f t="shared" si="44"/>
        <v>56.55</v>
      </c>
    </row>
    <row r="2118" spans="1:8" ht="15.75" x14ac:dyDescent="0.25">
      <c r="A2118" s="244">
        <v>1997</v>
      </c>
      <c r="B2118" s="245" t="s">
        <v>19</v>
      </c>
      <c r="C2118" s="246" t="s">
        <v>20</v>
      </c>
      <c r="D2118" s="245" t="s">
        <v>21</v>
      </c>
      <c r="E2118" s="247">
        <v>9.5</v>
      </c>
      <c r="F2118" s="242" t="s">
        <v>507</v>
      </c>
      <c r="G2118" s="242">
        <v>3.9</v>
      </c>
      <c r="H2118" s="230">
        <f t="shared" si="44"/>
        <v>37.049999999999997</v>
      </c>
    </row>
    <row r="2119" spans="1:8" ht="15.75" x14ac:dyDescent="0.25">
      <c r="A2119" s="244">
        <v>1997</v>
      </c>
      <c r="B2119" s="245" t="s">
        <v>19</v>
      </c>
      <c r="C2119" s="246" t="s">
        <v>20</v>
      </c>
      <c r="D2119" s="245" t="s">
        <v>21</v>
      </c>
      <c r="E2119" s="247">
        <v>6.5</v>
      </c>
      <c r="F2119" s="242" t="s">
        <v>507</v>
      </c>
      <c r="G2119" s="242">
        <v>3.9</v>
      </c>
      <c r="H2119" s="230">
        <f t="shared" si="44"/>
        <v>25.349999999999998</v>
      </c>
    </row>
    <row r="2120" spans="1:8" ht="15.75" x14ac:dyDescent="0.25">
      <c r="A2120" s="244">
        <v>1997</v>
      </c>
      <c r="B2120" s="245" t="s">
        <v>19</v>
      </c>
      <c r="C2120" s="246" t="s">
        <v>20</v>
      </c>
      <c r="D2120" s="245" t="s">
        <v>21</v>
      </c>
      <c r="E2120" s="247">
        <v>7</v>
      </c>
      <c r="F2120" s="242" t="s">
        <v>507</v>
      </c>
      <c r="G2120" s="242">
        <v>3.9</v>
      </c>
      <c r="H2120" s="230">
        <f t="shared" si="44"/>
        <v>27.3</v>
      </c>
    </row>
    <row r="2121" spans="1:8" ht="15.75" x14ac:dyDescent="0.25">
      <c r="A2121" s="244">
        <v>1997</v>
      </c>
      <c r="B2121" s="245" t="s">
        <v>19</v>
      </c>
      <c r="C2121" s="246" t="s">
        <v>20</v>
      </c>
      <c r="D2121" s="245" t="s">
        <v>21</v>
      </c>
      <c r="E2121" s="247">
        <v>8.5</v>
      </c>
      <c r="F2121" s="242" t="s">
        <v>507</v>
      </c>
      <c r="G2121" s="242">
        <v>3.9</v>
      </c>
      <c r="H2121" s="230">
        <f t="shared" si="44"/>
        <v>33.15</v>
      </c>
    </row>
    <row r="2122" spans="1:8" ht="15.75" x14ac:dyDescent="0.25">
      <c r="A2122" s="244">
        <v>1997</v>
      </c>
      <c r="B2122" s="245" t="s">
        <v>19</v>
      </c>
      <c r="C2122" s="246" t="s">
        <v>20</v>
      </c>
      <c r="D2122" s="245" t="s">
        <v>21</v>
      </c>
      <c r="E2122" s="247">
        <v>10.5</v>
      </c>
      <c r="F2122" s="242" t="s">
        <v>507</v>
      </c>
      <c r="G2122" s="242">
        <v>3.9</v>
      </c>
      <c r="H2122" s="230">
        <f t="shared" si="44"/>
        <v>40.949999999999996</v>
      </c>
    </row>
    <row r="2123" spans="1:8" ht="15.75" x14ac:dyDescent="0.25">
      <c r="A2123" s="244">
        <v>1997</v>
      </c>
      <c r="B2123" s="245" t="s">
        <v>19</v>
      </c>
      <c r="C2123" s="246" t="s">
        <v>20</v>
      </c>
      <c r="D2123" s="245" t="s">
        <v>21</v>
      </c>
      <c r="E2123" s="247">
        <v>11.5</v>
      </c>
      <c r="F2123" s="242" t="s">
        <v>507</v>
      </c>
      <c r="G2123" s="242">
        <v>3.9</v>
      </c>
      <c r="H2123" s="230">
        <f t="shared" si="44"/>
        <v>44.85</v>
      </c>
    </row>
    <row r="2124" spans="1:8" ht="15.75" x14ac:dyDescent="0.25">
      <c r="A2124" s="244">
        <v>1997</v>
      </c>
      <c r="B2124" s="245" t="s">
        <v>19</v>
      </c>
      <c r="C2124" s="246" t="s">
        <v>20</v>
      </c>
      <c r="D2124" s="245" t="s">
        <v>21</v>
      </c>
      <c r="E2124" s="247">
        <v>9</v>
      </c>
      <c r="F2124" s="242" t="s">
        <v>507</v>
      </c>
      <c r="G2124" s="242">
        <v>3.9</v>
      </c>
      <c r="H2124" s="230">
        <f t="shared" si="44"/>
        <v>35.1</v>
      </c>
    </row>
    <row r="2125" spans="1:8" ht="15.75" x14ac:dyDescent="0.25">
      <c r="A2125" s="244">
        <v>1997</v>
      </c>
      <c r="B2125" s="245" t="s">
        <v>19</v>
      </c>
      <c r="C2125" s="246" t="s">
        <v>20</v>
      </c>
      <c r="D2125" s="245" t="s">
        <v>21</v>
      </c>
      <c r="E2125" s="247">
        <v>12.5</v>
      </c>
      <c r="F2125" s="242" t="s">
        <v>507</v>
      </c>
      <c r="G2125" s="242">
        <v>3.9</v>
      </c>
      <c r="H2125" s="230">
        <f t="shared" si="44"/>
        <v>48.75</v>
      </c>
    </row>
    <row r="2126" spans="1:8" ht="15.75" x14ac:dyDescent="0.25">
      <c r="A2126" s="244">
        <v>1997</v>
      </c>
      <c r="B2126" s="245" t="s">
        <v>19</v>
      </c>
      <c r="C2126" s="246" t="s">
        <v>20</v>
      </c>
      <c r="D2126" s="245" t="s">
        <v>21</v>
      </c>
      <c r="E2126" s="247">
        <v>11</v>
      </c>
      <c r="F2126" s="242" t="s">
        <v>507</v>
      </c>
      <c r="G2126" s="242">
        <v>3.9</v>
      </c>
      <c r="H2126" s="230">
        <f t="shared" si="44"/>
        <v>42.9</v>
      </c>
    </row>
    <row r="2127" spans="1:8" ht="15.75" x14ac:dyDescent="0.25">
      <c r="A2127" s="244">
        <v>1997</v>
      </c>
      <c r="B2127" s="245" t="s">
        <v>19</v>
      </c>
      <c r="C2127" s="246" t="s">
        <v>20</v>
      </c>
      <c r="D2127" s="245" t="s">
        <v>21</v>
      </c>
      <c r="E2127" s="247">
        <v>9</v>
      </c>
      <c r="F2127" s="242" t="s">
        <v>507</v>
      </c>
      <c r="G2127" s="242">
        <v>3.9</v>
      </c>
      <c r="H2127" s="230">
        <f t="shared" si="44"/>
        <v>35.1</v>
      </c>
    </row>
    <row r="2128" spans="1:8" ht="15.75" x14ac:dyDescent="0.25">
      <c r="A2128" s="244">
        <v>1997</v>
      </c>
      <c r="B2128" s="245" t="s">
        <v>19</v>
      </c>
      <c r="C2128" s="246" t="s">
        <v>20</v>
      </c>
      <c r="D2128" s="245" t="s">
        <v>21</v>
      </c>
      <c r="E2128" s="247">
        <v>12</v>
      </c>
      <c r="F2128" s="242" t="s">
        <v>507</v>
      </c>
      <c r="G2128" s="242">
        <v>3.9</v>
      </c>
      <c r="H2128" s="230">
        <f t="shared" si="44"/>
        <v>46.8</v>
      </c>
    </row>
    <row r="2129" spans="1:8" ht="15.75" x14ac:dyDescent="0.25">
      <c r="A2129" s="244">
        <v>1997</v>
      </c>
      <c r="B2129" s="245" t="s">
        <v>19</v>
      </c>
      <c r="C2129" s="246" t="s">
        <v>20</v>
      </c>
      <c r="D2129" s="245" t="s">
        <v>21</v>
      </c>
      <c r="E2129" s="247">
        <v>13.5</v>
      </c>
      <c r="F2129" s="242" t="s">
        <v>507</v>
      </c>
      <c r="G2129" s="242">
        <v>3.9</v>
      </c>
      <c r="H2129" s="230">
        <f t="shared" si="44"/>
        <v>52.65</v>
      </c>
    </row>
    <row r="2130" spans="1:8" ht="15.75" x14ac:dyDescent="0.25">
      <c r="A2130" s="244">
        <v>1997</v>
      </c>
      <c r="B2130" s="245" t="s">
        <v>19</v>
      </c>
      <c r="C2130" s="246" t="s">
        <v>20</v>
      </c>
      <c r="D2130" s="245" t="s">
        <v>21</v>
      </c>
      <c r="E2130" s="247">
        <v>7.5</v>
      </c>
      <c r="F2130" s="242" t="s">
        <v>507</v>
      </c>
      <c r="G2130" s="242">
        <v>3.9</v>
      </c>
      <c r="H2130" s="230">
        <f t="shared" si="44"/>
        <v>29.25</v>
      </c>
    </row>
    <row r="2131" spans="1:8" ht="15.75" x14ac:dyDescent="0.25">
      <c r="A2131" s="244">
        <v>1997</v>
      </c>
      <c r="B2131" s="245" t="s">
        <v>19</v>
      </c>
      <c r="C2131" s="246" t="s">
        <v>20</v>
      </c>
      <c r="D2131" s="245" t="s">
        <v>21</v>
      </c>
      <c r="E2131" s="247">
        <v>9.5</v>
      </c>
      <c r="F2131" s="242" t="s">
        <v>507</v>
      </c>
      <c r="G2131" s="242">
        <v>3.9</v>
      </c>
      <c r="H2131" s="230">
        <f t="shared" si="44"/>
        <v>37.049999999999997</v>
      </c>
    </row>
    <row r="2132" spans="1:8" ht="15.75" x14ac:dyDescent="0.25">
      <c r="A2132" s="244">
        <v>1997</v>
      </c>
      <c r="B2132" s="245" t="s">
        <v>19</v>
      </c>
      <c r="C2132" s="246" t="s">
        <v>20</v>
      </c>
      <c r="D2132" s="245" t="s">
        <v>21</v>
      </c>
      <c r="E2132" s="247">
        <v>11</v>
      </c>
      <c r="F2132" s="242" t="s">
        <v>507</v>
      </c>
      <c r="G2132" s="242">
        <v>3.9</v>
      </c>
      <c r="H2132" s="230">
        <f t="shared" si="44"/>
        <v>42.9</v>
      </c>
    </row>
    <row r="2133" spans="1:8" ht="15.75" x14ac:dyDescent="0.25">
      <c r="A2133" s="244">
        <v>1997</v>
      </c>
      <c r="B2133" s="245" t="s">
        <v>19</v>
      </c>
      <c r="C2133" s="246" t="s">
        <v>20</v>
      </c>
      <c r="D2133" s="245" t="s">
        <v>21</v>
      </c>
      <c r="E2133" s="247">
        <v>7</v>
      </c>
      <c r="F2133" s="242" t="s">
        <v>507</v>
      </c>
      <c r="G2133" s="242">
        <v>3.9</v>
      </c>
      <c r="H2133" s="230">
        <f t="shared" si="44"/>
        <v>27.3</v>
      </c>
    </row>
    <row r="2134" spans="1:8" ht="15.75" x14ac:dyDescent="0.25">
      <c r="A2134" s="244">
        <v>1997</v>
      </c>
      <c r="B2134" s="245" t="s">
        <v>19</v>
      </c>
      <c r="C2134" s="246" t="s">
        <v>20</v>
      </c>
      <c r="D2134" s="245" t="s">
        <v>21</v>
      </c>
      <c r="E2134" s="247">
        <v>10.5</v>
      </c>
      <c r="F2134" s="242" t="s">
        <v>507</v>
      </c>
      <c r="G2134" s="242">
        <v>3.9</v>
      </c>
      <c r="H2134" s="230">
        <f t="shared" si="44"/>
        <v>40.949999999999996</v>
      </c>
    </row>
    <row r="2135" spans="1:8" ht="15.75" x14ac:dyDescent="0.25">
      <c r="A2135" s="244">
        <v>1997</v>
      </c>
      <c r="B2135" s="245" t="s">
        <v>19</v>
      </c>
      <c r="C2135" s="246" t="s">
        <v>20</v>
      </c>
      <c r="D2135" s="245" t="s">
        <v>21</v>
      </c>
      <c r="E2135" s="247">
        <v>7.5</v>
      </c>
      <c r="F2135" s="242" t="s">
        <v>507</v>
      </c>
      <c r="G2135" s="242">
        <v>3.9</v>
      </c>
      <c r="H2135" s="230">
        <f t="shared" si="44"/>
        <v>29.25</v>
      </c>
    </row>
    <row r="2136" spans="1:8" ht="15.75" x14ac:dyDescent="0.25">
      <c r="A2136" s="244">
        <v>1997</v>
      </c>
      <c r="B2136" s="245" t="s">
        <v>19</v>
      </c>
      <c r="C2136" s="246" t="s">
        <v>34</v>
      </c>
      <c r="D2136" s="245" t="s">
        <v>41</v>
      </c>
      <c r="E2136" s="247">
        <v>15</v>
      </c>
      <c r="F2136" s="242" t="s">
        <v>508</v>
      </c>
      <c r="G2136" s="242">
        <v>3.8</v>
      </c>
      <c r="H2136" s="230">
        <f t="shared" si="44"/>
        <v>57</v>
      </c>
    </row>
    <row r="2137" spans="1:8" ht="15.75" x14ac:dyDescent="0.25">
      <c r="A2137" s="244">
        <v>1997</v>
      </c>
      <c r="B2137" s="245" t="s">
        <v>19</v>
      </c>
      <c r="C2137" s="246" t="s">
        <v>34</v>
      </c>
      <c r="D2137" s="245" t="s">
        <v>41</v>
      </c>
      <c r="E2137" s="247">
        <v>17</v>
      </c>
      <c r="F2137" s="242" t="s">
        <v>508</v>
      </c>
      <c r="G2137" s="242">
        <v>3.8</v>
      </c>
      <c r="H2137" s="230">
        <f t="shared" si="44"/>
        <v>64.599999999999994</v>
      </c>
    </row>
    <row r="2138" spans="1:8" ht="15.75" x14ac:dyDescent="0.25">
      <c r="A2138" s="244">
        <v>1997</v>
      </c>
      <c r="B2138" s="245" t="s">
        <v>19</v>
      </c>
      <c r="C2138" s="246" t="s">
        <v>34</v>
      </c>
      <c r="D2138" s="245" t="s">
        <v>41</v>
      </c>
      <c r="E2138" s="247">
        <v>15</v>
      </c>
      <c r="F2138" s="242" t="s">
        <v>508</v>
      </c>
      <c r="G2138" s="242">
        <v>3.8</v>
      </c>
      <c r="H2138" s="230">
        <f t="shared" si="44"/>
        <v>57</v>
      </c>
    </row>
    <row r="2139" spans="1:8" ht="15.75" x14ac:dyDescent="0.25">
      <c r="A2139" s="244">
        <v>1997</v>
      </c>
      <c r="B2139" s="245" t="s">
        <v>19</v>
      </c>
      <c r="C2139" s="246" t="s">
        <v>34</v>
      </c>
      <c r="D2139" s="245" t="s">
        <v>41</v>
      </c>
      <c r="E2139" s="247">
        <v>19</v>
      </c>
      <c r="F2139" s="242" t="s">
        <v>508</v>
      </c>
      <c r="G2139" s="242">
        <v>3.8</v>
      </c>
      <c r="H2139" s="230">
        <f t="shared" si="44"/>
        <v>72.2</v>
      </c>
    </row>
    <row r="2140" spans="1:8" ht="15.75" x14ac:dyDescent="0.25">
      <c r="A2140" s="244">
        <v>1997</v>
      </c>
      <c r="B2140" s="245" t="s">
        <v>19</v>
      </c>
      <c r="C2140" s="246" t="s">
        <v>34</v>
      </c>
      <c r="D2140" s="245" t="s">
        <v>41</v>
      </c>
      <c r="E2140" s="247">
        <v>24</v>
      </c>
      <c r="F2140" s="242" t="s">
        <v>508</v>
      </c>
      <c r="G2140" s="242">
        <v>3.8</v>
      </c>
      <c r="H2140" s="230">
        <f t="shared" si="44"/>
        <v>91.199999999999989</v>
      </c>
    </row>
    <row r="2141" spans="1:8" ht="15.75" x14ac:dyDescent="0.25">
      <c r="A2141" s="244">
        <v>1997</v>
      </c>
      <c r="B2141" s="245" t="s">
        <v>19</v>
      </c>
      <c r="C2141" s="246" t="s">
        <v>34</v>
      </c>
      <c r="D2141" s="245" t="s">
        <v>41</v>
      </c>
      <c r="E2141" s="247">
        <v>17</v>
      </c>
      <c r="F2141" s="242" t="s">
        <v>508</v>
      </c>
      <c r="G2141" s="242">
        <v>3.8</v>
      </c>
      <c r="H2141" s="230">
        <f t="shared" si="44"/>
        <v>64.599999999999994</v>
      </c>
    </row>
    <row r="2142" spans="1:8" ht="15.75" x14ac:dyDescent="0.25">
      <c r="A2142" s="244">
        <v>1997</v>
      </c>
      <c r="B2142" s="245" t="s">
        <v>19</v>
      </c>
      <c r="C2142" s="246" t="s">
        <v>34</v>
      </c>
      <c r="D2142" s="245" t="s">
        <v>41</v>
      </c>
      <c r="E2142" s="247">
        <v>24</v>
      </c>
      <c r="F2142" s="242" t="s">
        <v>508</v>
      </c>
      <c r="G2142" s="242">
        <v>3.8</v>
      </c>
      <c r="H2142" s="230">
        <f t="shared" si="44"/>
        <v>91.199999999999989</v>
      </c>
    </row>
    <row r="2143" spans="1:8" ht="15.75" x14ac:dyDescent="0.25">
      <c r="A2143" s="244">
        <v>1997</v>
      </c>
      <c r="B2143" s="245" t="s">
        <v>19</v>
      </c>
      <c r="C2143" s="246" t="s">
        <v>34</v>
      </c>
      <c r="D2143" s="245" t="s">
        <v>41</v>
      </c>
      <c r="E2143" s="247">
        <v>24</v>
      </c>
      <c r="F2143" s="242" t="s">
        <v>508</v>
      </c>
      <c r="G2143" s="242">
        <v>3.8</v>
      </c>
      <c r="H2143" s="230">
        <f t="shared" si="44"/>
        <v>91.199999999999989</v>
      </c>
    </row>
    <row r="2144" spans="1:8" ht="15.75" x14ac:dyDescent="0.25">
      <c r="A2144" s="244">
        <v>1997</v>
      </c>
      <c r="B2144" s="245" t="s">
        <v>19</v>
      </c>
      <c r="C2144" s="246" t="s">
        <v>34</v>
      </c>
      <c r="D2144" s="245" t="s">
        <v>41</v>
      </c>
      <c r="E2144" s="247">
        <v>20</v>
      </c>
      <c r="F2144" s="242" t="s">
        <v>508</v>
      </c>
      <c r="G2144" s="242">
        <v>3.8</v>
      </c>
      <c r="H2144" s="230">
        <f t="shared" si="44"/>
        <v>76</v>
      </c>
    </row>
    <row r="2145" spans="1:8" ht="15.75" x14ac:dyDescent="0.25">
      <c r="A2145" s="244">
        <v>1997</v>
      </c>
      <c r="B2145" s="245" t="s">
        <v>19</v>
      </c>
      <c r="C2145" s="246" t="s">
        <v>34</v>
      </c>
      <c r="D2145" s="245" t="s">
        <v>41</v>
      </c>
      <c r="E2145" s="247">
        <v>22.5</v>
      </c>
      <c r="F2145" s="242" t="s">
        <v>508</v>
      </c>
      <c r="G2145" s="242">
        <v>3.8</v>
      </c>
      <c r="H2145" s="230">
        <f t="shared" si="44"/>
        <v>85.5</v>
      </c>
    </row>
    <row r="2146" spans="1:8" ht="15.75" x14ac:dyDescent="0.25">
      <c r="A2146" s="244">
        <v>1997</v>
      </c>
      <c r="B2146" s="245" t="s">
        <v>19</v>
      </c>
      <c r="C2146" s="246" t="s">
        <v>34</v>
      </c>
      <c r="D2146" s="245" t="s">
        <v>41</v>
      </c>
      <c r="E2146" s="247">
        <v>13.5</v>
      </c>
      <c r="F2146" s="242" t="s">
        <v>508</v>
      </c>
      <c r="G2146" s="242">
        <v>3.8</v>
      </c>
      <c r="H2146" s="230">
        <f t="shared" si="44"/>
        <v>51.3</v>
      </c>
    </row>
    <row r="2147" spans="1:8" ht="15.75" x14ac:dyDescent="0.25">
      <c r="A2147" s="244">
        <v>1997</v>
      </c>
      <c r="B2147" s="245" t="s">
        <v>19</v>
      </c>
      <c r="C2147" s="246" t="s">
        <v>34</v>
      </c>
      <c r="D2147" s="245" t="s">
        <v>41</v>
      </c>
      <c r="E2147" s="247">
        <v>20.5</v>
      </c>
      <c r="F2147" s="242" t="s">
        <v>508</v>
      </c>
      <c r="G2147" s="242">
        <v>3.8</v>
      </c>
      <c r="H2147" s="230">
        <f t="shared" si="44"/>
        <v>77.899999999999991</v>
      </c>
    </row>
    <row r="2148" spans="1:8" ht="15.75" x14ac:dyDescent="0.25">
      <c r="A2148" s="244">
        <v>1997</v>
      </c>
      <c r="B2148" s="245" t="s">
        <v>19</v>
      </c>
      <c r="C2148" s="246" t="s">
        <v>34</v>
      </c>
      <c r="D2148" s="245" t="s">
        <v>41</v>
      </c>
      <c r="E2148" s="247">
        <v>19.5</v>
      </c>
      <c r="F2148" s="242" t="s">
        <v>508</v>
      </c>
      <c r="G2148" s="242">
        <v>3.8</v>
      </c>
      <c r="H2148" s="230">
        <f t="shared" si="44"/>
        <v>74.099999999999994</v>
      </c>
    </row>
    <row r="2149" spans="1:8" ht="15.75" x14ac:dyDescent="0.25">
      <c r="A2149" s="244">
        <v>1997</v>
      </c>
      <c r="B2149" s="245" t="s">
        <v>19</v>
      </c>
      <c r="C2149" s="246" t="s">
        <v>34</v>
      </c>
      <c r="D2149" s="245" t="s">
        <v>41</v>
      </c>
      <c r="E2149" s="247">
        <v>13</v>
      </c>
      <c r="F2149" s="242" t="s">
        <v>508</v>
      </c>
      <c r="G2149" s="242">
        <v>3.8</v>
      </c>
      <c r="H2149" s="230">
        <f t="shared" si="44"/>
        <v>49.4</v>
      </c>
    </row>
    <row r="2150" spans="1:8" ht="15.75" x14ac:dyDescent="0.25">
      <c r="A2150" s="244">
        <v>1997</v>
      </c>
      <c r="B2150" s="245" t="s">
        <v>19</v>
      </c>
      <c r="C2150" s="246" t="s">
        <v>34</v>
      </c>
      <c r="D2150" s="245" t="s">
        <v>41</v>
      </c>
      <c r="E2150" s="247">
        <v>21</v>
      </c>
      <c r="F2150" s="242" t="s">
        <v>508</v>
      </c>
      <c r="G2150" s="242">
        <v>3.8</v>
      </c>
      <c r="H2150" s="230">
        <f t="shared" si="44"/>
        <v>79.8</v>
      </c>
    </row>
    <row r="2151" spans="1:8" ht="15.75" x14ac:dyDescent="0.25">
      <c r="A2151" s="244">
        <v>1997</v>
      </c>
      <c r="B2151" s="245" t="s">
        <v>19</v>
      </c>
      <c r="C2151" s="246" t="s">
        <v>34</v>
      </c>
      <c r="D2151" s="245" t="s">
        <v>41</v>
      </c>
      <c r="E2151" s="247">
        <v>15</v>
      </c>
      <c r="F2151" s="242" t="s">
        <v>508</v>
      </c>
      <c r="G2151" s="242">
        <v>3.8</v>
      </c>
      <c r="H2151" s="230">
        <f t="shared" si="44"/>
        <v>57</v>
      </c>
    </row>
    <row r="2152" spans="1:8" ht="15.75" x14ac:dyDescent="0.25">
      <c r="A2152" s="244">
        <v>1997</v>
      </c>
      <c r="B2152" s="245" t="s">
        <v>19</v>
      </c>
      <c r="C2152" s="246" t="s">
        <v>34</v>
      </c>
      <c r="D2152" s="245" t="s">
        <v>41</v>
      </c>
      <c r="E2152" s="247">
        <v>18.5</v>
      </c>
      <c r="F2152" s="242" t="s">
        <v>508</v>
      </c>
      <c r="G2152" s="242">
        <v>3.8</v>
      </c>
      <c r="H2152" s="230">
        <f t="shared" si="44"/>
        <v>70.3</v>
      </c>
    </row>
    <row r="2153" spans="1:8" ht="15.75" x14ac:dyDescent="0.25">
      <c r="A2153" s="244">
        <v>1997</v>
      </c>
      <c r="B2153" s="245" t="s">
        <v>19</v>
      </c>
      <c r="C2153" s="246" t="s">
        <v>34</v>
      </c>
      <c r="D2153" s="245" t="s">
        <v>41</v>
      </c>
      <c r="E2153" s="247">
        <v>15.5</v>
      </c>
      <c r="F2153" s="242" t="s">
        <v>508</v>
      </c>
      <c r="G2153" s="242">
        <v>3.8</v>
      </c>
      <c r="H2153" s="230">
        <f t="shared" si="44"/>
        <v>58.9</v>
      </c>
    </row>
    <row r="2154" spans="1:8" ht="15.75" x14ac:dyDescent="0.25">
      <c r="A2154" s="244">
        <v>1997</v>
      </c>
      <c r="B2154" s="245" t="s">
        <v>19</v>
      </c>
      <c r="C2154" s="246" t="s">
        <v>34</v>
      </c>
      <c r="D2154" s="245" t="s">
        <v>41</v>
      </c>
      <c r="E2154" s="247">
        <v>25.5</v>
      </c>
      <c r="F2154" s="242" t="s">
        <v>508</v>
      </c>
      <c r="G2154" s="242">
        <v>3.8</v>
      </c>
      <c r="H2154" s="230">
        <f t="shared" si="44"/>
        <v>96.899999999999991</v>
      </c>
    </row>
    <row r="2155" spans="1:8" ht="15.75" x14ac:dyDescent="0.25">
      <c r="A2155" s="244">
        <v>1997</v>
      </c>
      <c r="B2155" s="245" t="s">
        <v>19</v>
      </c>
      <c r="C2155" s="246" t="s">
        <v>34</v>
      </c>
      <c r="D2155" s="245" t="s">
        <v>41</v>
      </c>
      <c r="E2155" s="247">
        <v>7</v>
      </c>
      <c r="F2155" s="242" t="s">
        <v>508</v>
      </c>
      <c r="G2155" s="242">
        <v>3.8</v>
      </c>
      <c r="H2155" s="230">
        <f t="shared" si="44"/>
        <v>26.599999999999998</v>
      </c>
    </row>
    <row r="2156" spans="1:8" ht="15.75" x14ac:dyDescent="0.25">
      <c r="A2156" s="244">
        <v>1997</v>
      </c>
      <c r="B2156" s="245" t="s">
        <v>19</v>
      </c>
      <c r="C2156" s="246" t="s">
        <v>34</v>
      </c>
      <c r="D2156" s="245" t="s">
        <v>41</v>
      </c>
      <c r="E2156" s="247">
        <v>14</v>
      </c>
      <c r="F2156" s="242" t="s">
        <v>508</v>
      </c>
      <c r="G2156" s="242">
        <v>3.8</v>
      </c>
      <c r="H2156" s="230">
        <f t="shared" si="44"/>
        <v>53.199999999999996</v>
      </c>
    </row>
    <row r="2157" spans="1:8" ht="15.75" x14ac:dyDescent="0.25">
      <c r="A2157" s="244">
        <v>1997</v>
      </c>
      <c r="B2157" s="245" t="s">
        <v>19</v>
      </c>
      <c r="C2157" s="246" t="s">
        <v>34</v>
      </c>
      <c r="D2157" s="245" t="s">
        <v>41</v>
      </c>
      <c r="E2157" s="247">
        <v>14</v>
      </c>
      <c r="F2157" s="242" t="s">
        <v>508</v>
      </c>
      <c r="G2157" s="242">
        <v>3.8</v>
      </c>
      <c r="H2157" s="230">
        <f t="shared" si="44"/>
        <v>53.199999999999996</v>
      </c>
    </row>
    <row r="2158" spans="1:8" ht="15.75" x14ac:dyDescent="0.25">
      <c r="A2158" s="244">
        <v>1997</v>
      </c>
      <c r="B2158" s="245" t="s">
        <v>19</v>
      </c>
      <c r="C2158" s="246" t="s">
        <v>34</v>
      </c>
      <c r="D2158" s="245" t="s">
        <v>41</v>
      </c>
      <c r="E2158" s="247">
        <v>16.5</v>
      </c>
      <c r="F2158" s="242" t="s">
        <v>508</v>
      </c>
      <c r="G2158" s="242">
        <v>3.8</v>
      </c>
      <c r="H2158" s="230">
        <f t="shared" si="44"/>
        <v>62.699999999999996</v>
      </c>
    </row>
    <row r="2159" spans="1:8" ht="15.75" x14ac:dyDescent="0.25">
      <c r="A2159" s="244">
        <v>1997</v>
      </c>
      <c r="B2159" s="245" t="s">
        <v>19</v>
      </c>
      <c r="C2159" s="246" t="s">
        <v>34</v>
      </c>
      <c r="D2159" s="245" t="s">
        <v>41</v>
      </c>
      <c r="E2159" s="247">
        <v>25.5</v>
      </c>
      <c r="F2159" s="242" t="s">
        <v>508</v>
      </c>
      <c r="G2159" s="242">
        <v>3.8</v>
      </c>
      <c r="H2159" s="230">
        <f t="shared" si="44"/>
        <v>96.899999999999991</v>
      </c>
    </row>
    <row r="2160" spans="1:8" ht="15.75" x14ac:dyDescent="0.25">
      <c r="A2160" s="244">
        <v>1997</v>
      </c>
      <c r="B2160" s="245" t="s">
        <v>19</v>
      </c>
      <c r="C2160" s="246" t="s">
        <v>34</v>
      </c>
      <c r="D2160" s="245" t="s">
        <v>41</v>
      </c>
      <c r="E2160" s="247">
        <v>22</v>
      </c>
      <c r="F2160" s="242" t="s">
        <v>508</v>
      </c>
      <c r="G2160" s="242">
        <v>3.8</v>
      </c>
      <c r="H2160" s="230">
        <f t="shared" si="44"/>
        <v>83.6</v>
      </c>
    </row>
    <row r="2161" spans="1:8" ht="15.75" x14ac:dyDescent="0.25">
      <c r="A2161" s="244">
        <v>1997</v>
      </c>
      <c r="B2161" s="245" t="s">
        <v>19</v>
      </c>
      <c r="C2161" s="246" t="s">
        <v>34</v>
      </c>
      <c r="D2161" s="245" t="s">
        <v>41</v>
      </c>
      <c r="E2161" s="247">
        <v>18.5</v>
      </c>
      <c r="F2161" s="242" t="s">
        <v>508</v>
      </c>
      <c r="G2161" s="242">
        <v>3.8</v>
      </c>
      <c r="H2161" s="230">
        <f t="shared" si="44"/>
        <v>70.3</v>
      </c>
    </row>
    <row r="2162" spans="1:8" ht="15.75" x14ac:dyDescent="0.25">
      <c r="A2162" s="244">
        <v>1997</v>
      </c>
      <c r="B2162" s="245" t="s">
        <v>19</v>
      </c>
      <c r="C2162" s="246" t="s">
        <v>34</v>
      </c>
      <c r="D2162" s="245" t="s">
        <v>41</v>
      </c>
      <c r="E2162" s="247">
        <v>19</v>
      </c>
      <c r="F2162" s="242" t="s">
        <v>508</v>
      </c>
      <c r="G2162" s="242">
        <v>3.8</v>
      </c>
      <c r="H2162" s="230">
        <f t="shared" si="44"/>
        <v>72.2</v>
      </c>
    </row>
    <row r="2163" spans="1:8" ht="15.75" x14ac:dyDescent="0.25">
      <c r="A2163" s="244">
        <v>1997</v>
      </c>
      <c r="B2163" s="245" t="s">
        <v>19</v>
      </c>
      <c r="C2163" s="246" t="s">
        <v>34</v>
      </c>
      <c r="D2163" s="245" t="s">
        <v>41</v>
      </c>
      <c r="E2163" s="247">
        <v>22</v>
      </c>
      <c r="F2163" s="242" t="s">
        <v>508</v>
      </c>
      <c r="G2163" s="242">
        <v>3.8</v>
      </c>
      <c r="H2163" s="230">
        <f t="shared" si="44"/>
        <v>83.6</v>
      </c>
    </row>
    <row r="2164" spans="1:8" ht="15.75" x14ac:dyDescent="0.25">
      <c r="A2164" s="244">
        <v>1997</v>
      </c>
      <c r="B2164" s="245" t="s">
        <v>19</v>
      </c>
      <c r="C2164" s="246" t="s">
        <v>34</v>
      </c>
      <c r="D2164" s="245" t="s">
        <v>41</v>
      </c>
      <c r="E2164" s="247">
        <v>17</v>
      </c>
      <c r="F2164" s="242" t="s">
        <v>508</v>
      </c>
      <c r="G2164" s="242">
        <v>3.8</v>
      </c>
      <c r="H2164" s="230">
        <f t="shared" si="44"/>
        <v>64.599999999999994</v>
      </c>
    </row>
    <row r="2165" spans="1:8" ht="15.75" x14ac:dyDescent="0.25">
      <c r="A2165" s="244">
        <v>1997</v>
      </c>
      <c r="B2165" s="245" t="s">
        <v>19</v>
      </c>
      <c r="C2165" s="246" t="s">
        <v>34</v>
      </c>
      <c r="D2165" s="245" t="s">
        <v>41</v>
      </c>
      <c r="E2165" s="247">
        <v>16.5</v>
      </c>
      <c r="F2165" s="242" t="s">
        <v>508</v>
      </c>
      <c r="G2165" s="242">
        <v>3.8</v>
      </c>
      <c r="H2165" s="230">
        <f t="shared" si="44"/>
        <v>62.699999999999996</v>
      </c>
    </row>
    <row r="2166" spans="1:8" ht="15.75" x14ac:dyDescent="0.25">
      <c r="A2166" s="244">
        <v>1997</v>
      </c>
      <c r="B2166" s="245" t="s">
        <v>19</v>
      </c>
      <c r="C2166" s="246" t="s">
        <v>34</v>
      </c>
      <c r="D2166" s="245" t="s">
        <v>41</v>
      </c>
      <c r="E2166" s="247">
        <v>18</v>
      </c>
      <c r="F2166" s="242" t="s">
        <v>508</v>
      </c>
      <c r="G2166" s="242">
        <v>3.8</v>
      </c>
      <c r="H2166" s="230">
        <f t="shared" si="44"/>
        <v>68.399999999999991</v>
      </c>
    </row>
    <row r="2167" spans="1:8" ht="15.75" x14ac:dyDescent="0.25">
      <c r="A2167" s="244">
        <v>1996</v>
      </c>
      <c r="B2167" s="245" t="s">
        <v>19</v>
      </c>
      <c r="C2167" s="246" t="s">
        <v>20</v>
      </c>
      <c r="D2167" s="245" t="s">
        <v>30</v>
      </c>
      <c r="E2167" s="247">
        <v>18</v>
      </c>
      <c r="F2167" s="242" t="s">
        <v>504</v>
      </c>
      <c r="G2167" s="242">
        <v>4.5999999999999996</v>
      </c>
      <c r="H2167" s="230">
        <f t="shared" si="44"/>
        <v>82.8</v>
      </c>
    </row>
    <row r="2168" spans="1:8" ht="15.75" x14ac:dyDescent="0.25">
      <c r="A2168" s="244">
        <v>1996</v>
      </c>
      <c r="B2168" s="245" t="s">
        <v>19</v>
      </c>
      <c r="C2168" s="246" t="s">
        <v>20</v>
      </c>
      <c r="D2168" s="245" t="s">
        <v>30</v>
      </c>
      <c r="E2168" s="247">
        <v>12.5</v>
      </c>
      <c r="F2168" s="242" t="s">
        <v>504</v>
      </c>
      <c r="G2168" s="242">
        <v>4.5999999999999996</v>
      </c>
      <c r="H2168" s="230">
        <f t="shared" si="44"/>
        <v>57.499999999999993</v>
      </c>
    </row>
    <row r="2169" spans="1:8" ht="15.75" x14ac:dyDescent="0.25">
      <c r="A2169" s="244">
        <v>1996</v>
      </c>
      <c r="B2169" s="245" t="s">
        <v>19</v>
      </c>
      <c r="C2169" s="246" t="s">
        <v>20</v>
      </c>
      <c r="D2169" s="245" t="s">
        <v>30</v>
      </c>
      <c r="E2169" s="247">
        <v>22</v>
      </c>
      <c r="F2169" s="242" t="s">
        <v>504</v>
      </c>
      <c r="G2169" s="242">
        <v>4.5999999999999996</v>
      </c>
      <c r="H2169" s="230">
        <f t="shared" si="44"/>
        <v>101.19999999999999</v>
      </c>
    </row>
    <row r="2170" spans="1:8" ht="15.75" x14ac:dyDescent="0.25">
      <c r="A2170" s="244">
        <v>1996</v>
      </c>
      <c r="B2170" s="245" t="s">
        <v>19</v>
      </c>
      <c r="C2170" s="246" t="s">
        <v>20</v>
      </c>
      <c r="D2170" s="245" t="s">
        <v>30</v>
      </c>
      <c r="E2170" s="247">
        <v>16</v>
      </c>
      <c r="F2170" s="242" t="s">
        <v>504</v>
      </c>
      <c r="G2170" s="242">
        <v>4.5999999999999996</v>
      </c>
      <c r="H2170" s="230">
        <f t="shared" si="44"/>
        <v>73.599999999999994</v>
      </c>
    </row>
    <row r="2171" spans="1:8" ht="15.75" x14ac:dyDescent="0.25">
      <c r="A2171" s="244">
        <v>1996</v>
      </c>
      <c r="B2171" s="245" t="s">
        <v>19</v>
      </c>
      <c r="C2171" s="246" t="s">
        <v>20</v>
      </c>
      <c r="D2171" s="245" t="s">
        <v>30</v>
      </c>
      <c r="E2171" s="247">
        <v>13</v>
      </c>
      <c r="F2171" s="242" t="s">
        <v>504</v>
      </c>
      <c r="G2171" s="242">
        <v>4.5999999999999996</v>
      </c>
      <c r="H2171" s="230">
        <f t="shared" si="44"/>
        <v>59.8</v>
      </c>
    </row>
    <row r="2172" spans="1:8" ht="15.75" x14ac:dyDescent="0.25">
      <c r="A2172" s="244">
        <v>1996</v>
      </c>
      <c r="B2172" s="245" t="s">
        <v>19</v>
      </c>
      <c r="C2172" s="246" t="s">
        <v>20</v>
      </c>
      <c r="D2172" s="245" t="s">
        <v>21</v>
      </c>
      <c r="E2172" s="247">
        <v>8.5</v>
      </c>
      <c r="F2172" s="242" t="s">
        <v>507</v>
      </c>
      <c r="G2172" s="242">
        <v>3.9</v>
      </c>
      <c r="H2172" s="230">
        <f t="shared" si="44"/>
        <v>33.15</v>
      </c>
    </row>
    <row r="2173" spans="1:8" ht="15.75" x14ac:dyDescent="0.25">
      <c r="A2173" s="244">
        <v>1996</v>
      </c>
      <c r="B2173" s="245" t="s">
        <v>19</v>
      </c>
      <c r="C2173" s="246" t="s">
        <v>20</v>
      </c>
      <c r="D2173" s="245" t="s">
        <v>21</v>
      </c>
      <c r="E2173" s="247">
        <v>13.5</v>
      </c>
      <c r="F2173" s="242" t="s">
        <v>507</v>
      </c>
      <c r="G2173" s="242">
        <v>3.9</v>
      </c>
      <c r="H2173" s="230">
        <f t="shared" si="44"/>
        <v>52.65</v>
      </c>
    </row>
    <row r="2174" spans="1:8" ht="15.75" x14ac:dyDescent="0.25">
      <c r="A2174" s="244">
        <v>1996</v>
      </c>
      <c r="B2174" s="245" t="s">
        <v>19</v>
      </c>
      <c r="C2174" s="246" t="s">
        <v>20</v>
      </c>
      <c r="D2174" s="245" t="s">
        <v>21</v>
      </c>
      <c r="E2174" s="247">
        <v>15.5</v>
      </c>
      <c r="F2174" s="242" t="s">
        <v>507</v>
      </c>
      <c r="G2174" s="242">
        <v>3.9</v>
      </c>
      <c r="H2174" s="230">
        <f t="shared" si="44"/>
        <v>60.449999999999996</v>
      </c>
    </row>
    <row r="2175" spans="1:8" ht="15.75" x14ac:dyDescent="0.25">
      <c r="A2175" s="244">
        <v>1996</v>
      </c>
      <c r="B2175" s="245" t="s">
        <v>19</v>
      </c>
      <c r="C2175" s="246" t="s">
        <v>20</v>
      </c>
      <c r="D2175" s="245" t="s">
        <v>21</v>
      </c>
      <c r="E2175" s="247">
        <v>15.5</v>
      </c>
      <c r="F2175" s="242" t="s">
        <v>507</v>
      </c>
      <c r="G2175" s="242">
        <v>3.9</v>
      </c>
      <c r="H2175" s="230">
        <f t="shared" si="44"/>
        <v>60.449999999999996</v>
      </c>
    </row>
    <row r="2176" spans="1:8" ht="15.75" x14ac:dyDescent="0.25">
      <c r="A2176" s="244">
        <v>1996</v>
      </c>
      <c r="B2176" s="245" t="s">
        <v>19</v>
      </c>
      <c r="C2176" s="246" t="s">
        <v>20</v>
      </c>
      <c r="D2176" s="245" t="s">
        <v>21</v>
      </c>
      <c r="E2176" s="247">
        <v>8</v>
      </c>
      <c r="F2176" s="242" t="s">
        <v>507</v>
      </c>
      <c r="G2176" s="242">
        <v>3.9</v>
      </c>
      <c r="H2176" s="230">
        <f t="shared" si="44"/>
        <v>31.2</v>
      </c>
    </row>
    <row r="2177" spans="1:8" ht="15.75" x14ac:dyDescent="0.25">
      <c r="A2177" s="244">
        <v>1996</v>
      </c>
      <c r="B2177" s="245" t="s">
        <v>19</v>
      </c>
      <c r="C2177" s="246" t="s">
        <v>20</v>
      </c>
      <c r="D2177" s="245" t="s">
        <v>21</v>
      </c>
      <c r="E2177" s="247">
        <v>10.5</v>
      </c>
      <c r="F2177" s="242" t="s">
        <v>507</v>
      </c>
      <c r="G2177" s="242">
        <v>3.9</v>
      </c>
      <c r="H2177" s="230">
        <f t="shared" si="44"/>
        <v>40.949999999999996</v>
      </c>
    </row>
    <row r="2178" spans="1:8" ht="15.75" x14ac:dyDescent="0.25">
      <c r="A2178" s="244">
        <v>1996</v>
      </c>
      <c r="B2178" s="245" t="s">
        <v>19</v>
      </c>
      <c r="C2178" s="246" t="s">
        <v>20</v>
      </c>
      <c r="D2178" s="245" t="s">
        <v>21</v>
      </c>
      <c r="E2178" s="247">
        <v>11</v>
      </c>
      <c r="F2178" s="242" t="s">
        <v>507</v>
      </c>
      <c r="G2178" s="242">
        <v>3.9</v>
      </c>
      <c r="H2178" s="230">
        <f t="shared" si="44"/>
        <v>42.9</v>
      </c>
    </row>
    <row r="2179" spans="1:8" ht="15.75" x14ac:dyDescent="0.25">
      <c r="A2179" s="244">
        <v>1996</v>
      </c>
      <c r="B2179" s="245" t="s">
        <v>19</v>
      </c>
      <c r="C2179" s="246" t="s">
        <v>20</v>
      </c>
      <c r="D2179" s="245" t="s">
        <v>21</v>
      </c>
      <c r="E2179" s="247">
        <v>5.5</v>
      </c>
      <c r="F2179" s="242" t="s">
        <v>507</v>
      </c>
      <c r="G2179" s="242">
        <v>3.9</v>
      </c>
      <c r="H2179" s="230">
        <f t="shared" ref="H2179:H2242" si="45">E2179*G2179</f>
        <v>21.45</v>
      </c>
    </row>
    <row r="2180" spans="1:8" ht="15.75" x14ac:dyDescent="0.25">
      <c r="A2180" s="244">
        <v>1996</v>
      </c>
      <c r="B2180" s="245" t="s">
        <v>19</v>
      </c>
      <c r="C2180" s="246" t="s">
        <v>20</v>
      </c>
      <c r="D2180" s="245" t="s">
        <v>21</v>
      </c>
      <c r="E2180" s="247">
        <v>17</v>
      </c>
      <c r="F2180" s="242" t="s">
        <v>507</v>
      </c>
      <c r="G2180" s="242">
        <v>3.9</v>
      </c>
      <c r="H2180" s="230">
        <f t="shared" si="45"/>
        <v>66.3</v>
      </c>
    </row>
    <row r="2181" spans="1:8" ht="15.75" x14ac:dyDescent="0.25">
      <c r="A2181" s="244">
        <v>1996</v>
      </c>
      <c r="B2181" s="245" t="s">
        <v>19</v>
      </c>
      <c r="C2181" s="246" t="s">
        <v>20</v>
      </c>
      <c r="D2181" s="245" t="s">
        <v>21</v>
      </c>
      <c r="E2181" s="247">
        <v>15.5</v>
      </c>
      <c r="F2181" s="242" t="s">
        <v>507</v>
      </c>
      <c r="G2181" s="242">
        <v>3.9</v>
      </c>
      <c r="H2181" s="230">
        <f t="shared" si="45"/>
        <v>60.449999999999996</v>
      </c>
    </row>
    <row r="2182" spans="1:8" ht="15.75" x14ac:dyDescent="0.25">
      <c r="A2182" s="244">
        <v>1996</v>
      </c>
      <c r="B2182" s="245" t="s">
        <v>19</v>
      </c>
      <c r="C2182" s="246" t="s">
        <v>20</v>
      </c>
      <c r="D2182" s="245" t="s">
        <v>21</v>
      </c>
      <c r="E2182" s="247">
        <v>9.5</v>
      </c>
      <c r="F2182" s="242" t="s">
        <v>507</v>
      </c>
      <c r="G2182" s="242">
        <v>3.9</v>
      </c>
      <c r="H2182" s="230">
        <f t="shared" si="45"/>
        <v>37.049999999999997</v>
      </c>
    </row>
    <row r="2183" spans="1:8" ht="15.75" x14ac:dyDescent="0.25">
      <c r="A2183" s="244">
        <v>1996</v>
      </c>
      <c r="B2183" s="245" t="s">
        <v>19</v>
      </c>
      <c r="C2183" s="246" t="s">
        <v>20</v>
      </c>
      <c r="D2183" s="245" t="s">
        <v>21</v>
      </c>
      <c r="E2183" s="247">
        <v>11</v>
      </c>
      <c r="F2183" s="242" t="s">
        <v>507</v>
      </c>
      <c r="G2183" s="242">
        <v>3.9</v>
      </c>
      <c r="H2183" s="230">
        <f t="shared" si="45"/>
        <v>42.9</v>
      </c>
    </row>
    <row r="2184" spans="1:8" ht="15.75" x14ac:dyDescent="0.25">
      <c r="A2184" s="244">
        <v>1996</v>
      </c>
      <c r="B2184" s="245" t="s">
        <v>19</v>
      </c>
      <c r="C2184" s="246" t="s">
        <v>20</v>
      </c>
      <c r="D2184" s="245" t="s">
        <v>21</v>
      </c>
      <c r="E2184" s="247">
        <v>13</v>
      </c>
      <c r="F2184" s="242" t="s">
        <v>507</v>
      </c>
      <c r="G2184" s="242">
        <v>3.9</v>
      </c>
      <c r="H2184" s="230">
        <f t="shared" si="45"/>
        <v>50.699999999999996</v>
      </c>
    </row>
    <row r="2185" spans="1:8" ht="15.75" x14ac:dyDescent="0.25">
      <c r="A2185" s="244">
        <v>1996</v>
      </c>
      <c r="B2185" s="245" t="s">
        <v>19</v>
      </c>
      <c r="C2185" s="246" t="s">
        <v>20</v>
      </c>
      <c r="D2185" s="245" t="s">
        <v>21</v>
      </c>
      <c r="E2185" s="247">
        <v>13.5</v>
      </c>
      <c r="F2185" s="242" t="s">
        <v>507</v>
      </c>
      <c r="G2185" s="242">
        <v>3.9</v>
      </c>
      <c r="H2185" s="230">
        <f t="shared" si="45"/>
        <v>52.65</v>
      </c>
    </row>
    <row r="2186" spans="1:8" ht="15.75" x14ac:dyDescent="0.25">
      <c r="A2186" s="244">
        <v>1996</v>
      </c>
      <c r="B2186" s="245" t="s">
        <v>19</v>
      </c>
      <c r="C2186" s="246" t="s">
        <v>20</v>
      </c>
      <c r="D2186" s="245" t="s">
        <v>21</v>
      </c>
      <c r="E2186" s="247">
        <v>11</v>
      </c>
      <c r="F2186" s="242" t="s">
        <v>507</v>
      </c>
      <c r="G2186" s="242">
        <v>3.9</v>
      </c>
      <c r="H2186" s="230">
        <f t="shared" si="45"/>
        <v>42.9</v>
      </c>
    </row>
    <row r="2187" spans="1:8" ht="15.75" x14ac:dyDescent="0.25">
      <c r="A2187" s="244">
        <v>1996</v>
      </c>
      <c r="B2187" s="245" t="s">
        <v>19</v>
      </c>
      <c r="C2187" s="246" t="s">
        <v>20</v>
      </c>
      <c r="D2187" s="245" t="s">
        <v>21</v>
      </c>
      <c r="E2187" s="247">
        <v>15</v>
      </c>
      <c r="F2187" s="242" t="s">
        <v>507</v>
      </c>
      <c r="G2187" s="242">
        <v>3.9</v>
      </c>
      <c r="H2187" s="230">
        <f t="shared" si="45"/>
        <v>58.5</v>
      </c>
    </row>
    <row r="2188" spans="1:8" ht="15.75" x14ac:dyDescent="0.25">
      <c r="A2188" s="244">
        <v>1996</v>
      </c>
      <c r="B2188" s="245" t="s">
        <v>19</v>
      </c>
      <c r="C2188" s="246" t="s">
        <v>20</v>
      </c>
      <c r="D2188" s="245" t="s">
        <v>21</v>
      </c>
      <c r="E2188" s="247">
        <v>13.5</v>
      </c>
      <c r="F2188" s="242" t="s">
        <v>507</v>
      </c>
      <c r="G2188" s="242">
        <v>3.9</v>
      </c>
      <c r="H2188" s="230">
        <f t="shared" si="45"/>
        <v>52.65</v>
      </c>
    </row>
    <row r="2189" spans="1:8" ht="15.75" x14ac:dyDescent="0.25">
      <c r="A2189" s="244">
        <v>1996</v>
      </c>
      <c r="B2189" s="245" t="s">
        <v>19</v>
      </c>
      <c r="C2189" s="246" t="s">
        <v>20</v>
      </c>
      <c r="D2189" s="245" t="s">
        <v>21</v>
      </c>
      <c r="E2189" s="247">
        <v>8</v>
      </c>
      <c r="F2189" s="242" t="s">
        <v>507</v>
      </c>
      <c r="G2189" s="242">
        <v>3.9</v>
      </c>
      <c r="H2189" s="230">
        <f t="shared" si="45"/>
        <v>31.2</v>
      </c>
    </row>
    <row r="2190" spans="1:8" ht="15.75" x14ac:dyDescent="0.25">
      <c r="A2190" s="244">
        <v>1996</v>
      </c>
      <c r="B2190" s="245" t="s">
        <v>19</v>
      </c>
      <c r="C2190" s="246" t="s">
        <v>20</v>
      </c>
      <c r="D2190" s="245" t="s">
        <v>21</v>
      </c>
      <c r="E2190" s="247">
        <v>11</v>
      </c>
      <c r="F2190" s="242" t="s">
        <v>507</v>
      </c>
      <c r="G2190" s="242">
        <v>3.9</v>
      </c>
      <c r="H2190" s="230">
        <f t="shared" si="45"/>
        <v>42.9</v>
      </c>
    </row>
    <row r="2191" spans="1:8" ht="15.75" x14ac:dyDescent="0.25">
      <c r="A2191" s="244">
        <v>1996</v>
      </c>
      <c r="B2191" s="245" t="s">
        <v>19</v>
      </c>
      <c r="C2191" s="246" t="s">
        <v>20</v>
      </c>
      <c r="D2191" s="245" t="s">
        <v>21</v>
      </c>
      <c r="E2191" s="247">
        <v>13.5</v>
      </c>
      <c r="F2191" s="242" t="s">
        <v>507</v>
      </c>
      <c r="G2191" s="242">
        <v>3.9</v>
      </c>
      <c r="H2191" s="230">
        <f t="shared" si="45"/>
        <v>52.65</v>
      </c>
    </row>
    <row r="2192" spans="1:8" ht="15.75" x14ac:dyDescent="0.25">
      <c r="A2192" s="244">
        <v>1996</v>
      </c>
      <c r="B2192" s="245" t="s">
        <v>19</v>
      </c>
      <c r="C2192" s="246" t="s">
        <v>20</v>
      </c>
      <c r="D2192" s="245" t="s">
        <v>21</v>
      </c>
      <c r="E2192" s="247">
        <v>14</v>
      </c>
      <c r="F2192" s="242" t="s">
        <v>507</v>
      </c>
      <c r="G2192" s="242">
        <v>3.9</v>
      </c>
      <c r="H2192" s="230">
        <f t="shared" si="45"/>
        <v>54.6</v>
      </c>
    </row>
    <row r="2193" spans="1:8" ht="15.75" x14ac:dyDescent="0.25">
      <c r="A2193" s="244">
        <v>1996</v>
      </c>
      <c r="B2193" s="245" t="s">
        <v>19</v>
      </c>
      <c r="C2193" s="246" t="s">
        <v>20</v>
      </c>
      <c r="D2193" s="245" t="s">
        <v>21</v>
      </c>
      <c r="E2193" s="247">
        <v>12</v>
      </c>
      <c r="F2193" s="242" t="s">
        <v>507</v>
      </c>
      <c r="G2193" s="242">
        <v>3.9</v>
      </c>
      <c r="H2193" s="230">
        <f t="shared" si="45"/>
        <v>46.8</v>
      </c>
    </row>
    <row r="2194" spans="1:8" ht="15.75" x14ac:dyDescent="0.25">
      <c r="A2194" s="244">
        <v>1996</v>
      </c>
      <c r="B2194" s="245" t="s">
        <v>19</v>
      </c>
      <c r="C2194" s="246" t="s">
        <v>20</v>
      </c>
      <c r="D2194" s="245" t="s">
        <v>21</v>
      </c>
      <c r="E2194" s="247">
        <v>8.5</v>
      </c>
      <c r="F2194" s="242" t="s">
        <v>507</v>
      </c>
      <c r="G2194" s="242">
        <v>3.9</v>
      </c>
      <c r="H2194" s="230">
        <f t="shared" si="45"/>
        <v>33.15</v>
      </c>
    </row>
    <row r="2195" spans="1:8" ht="15.75" x14ac:dyDescent="0.25">
      <c r="A2195" s="244">
        <v>1996</v>
      </c>
      <c r="B2195" s="245" t="s">
        <v>19</v>
      </c>
      <c r="C2195" s="246" t="s">
        <v>20</v>
      </c>
      <c r="D2195" s="245" t="s">
        <v>21</v>
      </c>
      <c r="E2195" s="247">
        <v>11.5</v>
      </c>
      <c r="F2195" s="242" t="s">
        <v>507</v>
      </c>
      <c r="G2195" s="242">
        <v>3.9</v>
      </c>
      <c r="H2195" s="230">
        <f t="shared" si="45"/>
        <v>44.85</v>
      </c>
    </row>
    <row r="2196" spans="1:8" ht="15.75" x14ac:dyDescent="0.25">
      <c r="A2196" s="244">
        <v>1996</v>
      </c>
      <c r="B2196" s="245" t="s">
        <v>19</v>
      </c>
      <c r="C2196" s="246" t="s">
        <v>20</v>
      </c>
      <c r="D2196" s="245" t="s">
        <v>21</v>
      </c>
      <c r="E2196" s="247">
        <v>10.5</v>
      </c>
      <c r="F2196" s="242" t="s">
        <v>507</v>
      </c>
      <c r="G2196" s="242">
        <v>3.9</v>
      </c>
      <c r="H2196" s="230">
        <f t="shared" si="45"/>
        <v>40.949999999999996</v>
      </c>
    </row>
    <row r="2197" spans="1:8" ht="15.75" x14ac:dyDescent="0.25">
      <c r="A2197" s="244">
        <v>1996</v>
      </c>
      <c r="B2197" s="245" t="s">
        <v>19</v>
      </c>
      <c r="C2197" s="246" t="s">
        <v>20</v>
      </c>
      <c r="D2197" s="245" t="s">
        <v>21</v>
      </c>
      <c r="E2197" s="247">
        <v>7.5</v>
      </c>
      <c r="F2197" s="242" t="s">
        <v>507</v>
      </c>
      <c r="G2197" s="242">
        <v>3.9</v>
      </c>
      <c r="H2197" s="230">
        <f t="shared" si="45"/>
        <v>29.25</v>
      </c>
    </row>
    <row r="2198" spans="1:8" ht="15.75" x14ac:dyDescent="0.25">
      <c r="A2198" s="244">
        <v>1996</v>
      </c>
      <c r="B2198" s="245" t="s">
        <v>19</v>
      </c>
      <c r="C2198" s="246" t="s">
        <v>20</v>
      </c>
      <c r="D2198" s="245" t="s">
        <v>21</v>
      </c>
      <c r="E2198" s="247">
        <v>14</v>
      </c>
      <c r="F2198" s="242" t="s">
        <v>507</v>
      </c>
      <c r="G2198" s="242">
        <v>3.9</v>
      </c>
      <c r="H2198" s="230">
        <f t="shared" si="45"/>
        <v>54.6</v>
      </c>
    </row>
    <row r="2199" spans="1:8" ht="15.75" x14ac:dyDescent="0.25">
      <c r="A2199" s="244">
        <v>1996</v>
      </c>
      <c r="B2199" s="245" t="s">
        <v>19</v>
      </c>
      <c r="C2199" s="246" t="s">
        <v>20</v>
      </c>
      <c r="D2199" s="245" t="s">
        <v>21</v>
      </c>
      <c r="E2199" s="247">
        <v>10</v>
      </c>
      <c r="F2199" s="242" t="s">
        <v>507</v>
      </c>
      <c r="G2199" s="242">
        <v>3.9</v>
      </c>
      <c r="H2199" s="230">
        <f t="shared" si="45"/>
        <v>39</v>
      </c>
    </row>
    <row r="2200" spans="1:8" ht="15.75" x14ac:dyDescent="0.25">
      <c r="A2200" s="244">
        <v>1996</v>
      </c>
      <c r="B2200" s="245" t="s">
        <v>19</v>
      </c>
      <c r="C2200" s="246" t="s">
        <v>20</v>
      </c>
      <c r="D2200" s="245" t="s">
        <v>21</v>
      </c>
      <c r="E2200" s="247">
        <v>13.5</v>
      </c>
      <c r="F2200" s="242" t="s">
        <v>507</v>
      </c>
      <c r="G2200" s="242">
        <v>3.9</v>
      </c>
      <c r="H2200" s="230">
        <f t="shared" si="45"/>
        <v>52.65</v>
      </c>
    </row>
    <row r="2201" spans="1:8" ht="15.75" x14ac:dyDescent="0.25">
      <c r="A2201" s="244">
        <v>1996</v>
      </c>
      <c r="B2201" s="245" t="s">
        <v>19</v>
      </c>
      <c r="C2201" s="246" t="s">
        <v>20</v>
      </c>
      <c r="D2201" s="245" t="s">
        <v>21</v>
      </c>
      <c r="E2201" s="247">
        <v>16</v>
      </c>
      <c r="F2201" s="242" t="s">
        <v>507</v>
      </c>
      <c r="G2201" s="242">
        <v>3.9</v>
      </c>
      <c r="H2201" s="230">
        <f t="shared" si="45"/>
        <v>62.4</v>
      </c>
    </row>
    <row r="2202" spans="1:8" ht="15.75" x14ac:dyDescent="0.25">
      <c r="A2202" s="244">
        <v>1996</v>
      </c>
      <c r="B2202" s="245" t="s">
        <v>19</v>
      </c>
      <c r="C2202" s="246" t="s">
        <v>20</v>
      </c>
      <c r="D2202" s="245" t="s">
        <v>21</v>
      </c>
      <c r="E2202" s="247">
        <v>15</v>
      </c>
      <c r="F2202" s="242" t="s">
        <v>507</v>
      </c>
      <c r="G2202" s="242">
        <v>3.9</v>
      </c>
      <c r="H2202" s="230">
        <f t="shared" si="45"/>
        <v>58.5</v>
      </c>
    </row>
    <row r="2203" spans="1:8" ht="15.75" x14ac:dyDescent="0.25">
      <c r="A2203" s="244">
        <v>1996</v>
      </c>
      <c r="B2203" s="245" t="s">
        <v>19</v>
      </c>
      <c r="C2203" s="246" t="s">
        <v>20</v>
      </c>
      <c r="D2203" s="245" t="s">
        <v>21</v>
      </c>
      <c r="E2203" s="247">
        <v>11</v>
      </c>
      <c r="F2203" s="242" t="s">
        <v>507</v>
      </c>
      <c r="G2203" s="242">
        <v>3.9</v>
      </c>
      <c r="H2203" s="230">
        <f t="shared" si="45"/>
        <v>42.9</v>
      </c>
    </row>
    <row r="2204" spans="1:8" ht="15.75" x14ac:dyDescent="0.25">
      <c r="A2204" s="244">
        <v>1996</v>
      </c>
      <c r="B2204" s="245" t="s">
        <v>19</v>
      </c>
      <c r="C2204" s="246" t="s">
        <v>20</v>
      </c>
      <c r="D2204" s="245" t="s">
        <v>21</v>
      </c>
      <c r="E2204" s="247">
        <v>15</v>
      </c>
      <c r="F2204" s="242" t="s">
        <v>507</v>
      </c>
      <c r="G2204" s="242">
        <v>3.9</v>
      </c>
      <c r="H2204" s="230">
        <f t="shared" si="45"/>
        <v>58.5</v>
      </c>
    </row>
    <row r="2205" spans="1:8" ht="15.75" x14ac:dyDescent="0.25">
      <c r="A2205" s="244">
        <v>1996</v>
      </c>
      <c r="B2205" s="245" t="s">
        <v>19</v>
      </c>
      <c r="C2205" s="246" t="s">
        <v>20</v>
      </c>
      <c r="D2205" s="245" t="s">
        <v>21</v>
      </c>
      <c r="E2205" s="247">
        <v>12</v>
      </c>
      <c r="F2205" s="242" t="s">
        <v>507</v>
      </c>
      <c r="G2205" s="242">
        <v>3.9</v>
      </c>
      <c r="H2205" s="230">
        <f t="shared" si="45"/>
        <v>46.8</v>
      </c>
    </row>
    <row r="2206" spans="1:8" ht="15.75" x14ac:dyDescent="0.25">
      <c r="A2206" s="244">
        <v>1996</v>
      </c>
      <c r="B2206" s="245" t="s">
        <v>19</v>
      </c>
      <c r="C2206" s="246" t="s">
        <v>20</v>
      </c>
      <c r="D2206" s="245" t="s">
        <v>21</v>
      </c>
      <c r="E2206" s="247">
        <v>8</v>
      </c>
      <c r="F2206" s="242" t="s">
        <v>507</v>
      </c>
      <c r="G2206" s="242">
        <v>3.9</v>
      </c>
      <c r="H2206" s="230">
        <f t="shared" si="45"/>
        <v>31.2</v>
      </c>
    </row>
    <row r="2207" spans="1:8" ht="15.75" x14ac:dyDescent="0.25">
      <c r="A2207" s="244">
        <v>1996</v>
      </c>
      <c r="B2207" s="245" t="s">
        <v>19</v>
      </c>
      <c r="C2207" s="246" t="s">
        <v>20</v>
      </c>
      <c r="D2207" s="245" t="s">
        <v>21</v>
      </c>
      <c r="E2207" s="247">
        <v>11.5</v>
      </c>
      <c r="F2207" s="242" t="s">
        <v>507</v>
      </c>
      <c r="G2207" s="242">
        <v>3.9</v>
      </c>
      <c r="H2207" s="230">
        <f t="shared" si="45"/>
        <v>44.85</v>
      </c>
    </row>
    <row r="2208" spans="1:8" ht="15.75" x14ac:dyDescent="0.25">
      <c r="A2208" s="244">
        <v>1996</v>
      </c>
      <c r="B2208" s="245" t="s">
        <v>19</v>
      </c>
      <c r="C2208" s="246" t="s">
        <v>20</v>
      </c>
      <c r="D2208" s="245" t="s">
        <v>21</v>
      </c>
      <c r="E2208" s="247">
        <v>12.5</v>
      </c>
      <c r="F2208" s="242" t="s">
        <v>507</v>
      </c>
      <c r="G2208" s="242">
        <v>3.9</v>
      </c>
      <c r="H2208" s="230">
        <f t="shared" si="45"/>
        <v>48.75</v>
      </c>
    </row>
    <row r="2209" spans="1:8" ht="15.75" x14ac:dyDescent="0.25">
      <c r="A2209" s="244">
        <v>1996</v>
      </c>
      <c r="B2209" s="245" t="s">
        <v>19</v>
      </c>
      <c r="C2209" s="246" t="s">
        <v>20</v>
      </c>
      <c r="D2209" s="245" t="s">
        <v>21</v>
      </c>
      <c r="E2209" s="247">
        <v>10</v>
      </c>
      <c r="F2209" s="242" t="s">
        <v>507</v>
      </c>
      <c r="G2209" s="242">
        <v>3.9</v>
      </c>
      <c r="H2209" s="230">
        <f t="shared" si="45"/>
        <v>39</v>
      </c>
    </row>
    <row r="2210" spans="1:8" ht="15.75" x14ac:dyDescent="0.25">
      <c r="A2210" s="244">
        <v>1996</v>
      </c>
      <c r="B2210" s="245" t="s">
        <v>19</v>
      </c>
      <c r="C2210" s="246" t="s">
        <v>20</v>
      </c>
      <c r="D2210" s="245" t="s">
        <v>21</v>
      </c>
      <c r="E2210" s="247">
        <v>11.5</v>
      </c>
      <c r="F2210" s="242" t="s">
        <v>507</v>
      </c>
      <c r="G2210" s="242">
        <v>3.9</v>
      </c>
      <c r="H2210" s="230">
        <f t="shared" si="45"/>
        <v>44.85</v>
      </c>
    </row>
    <row r="2211" spans="1:8" ht="15.75" x14ac:dyDescent="0.25">
      <c r="A2211" s="244">
        <v>1996</v>
      </c>
      <c r="B2211" s="245" t="s">
        <v>19</v>
      </c>
      <c r="C2211" s="246" t="s">
        <v>20</v>
      </c>
      <c r="D2211" s="245" t="s">
        <v>21</v>
      </c>
      <c r="E2211" s="247">
        <v>12.5</v>
      </c>
      <c r="F2211" s="242" t="s">
        <v>507</v>
      </c>
      <c r="G2211" s="242">
        <v>3.9</v>
      </c>
      <c r="H2211" s="230">
        <f t="shared" si="45"/>
        <v>48.75</v>
      </c>
    </row>
    <row r="2212" spans="1:8" ht="15.75" x14ac:dyDescent="0.25">
      <c r="A2212" s="244">
        <v>1996</v>
      </c>
      <c r="B2212" s="245" t="s">
        <v>19</v>
      </c>
      <c r="C2212" s="246" t="s">
        <v>20</v>
      </c>
      <c r="D2212" s="245" t="s">
        <v>21</v>
      </c>
      <c r="E2212" s="247">
        <v>13</v>
      </c>
      <c r="F2212" s="242" t="s">
        <v>507</v>
      </c>
      <c r="G2212" s="242">
        <v>3.9</v>
      </c>
      <c r="H2212" s="230">
        <f t="shared" si="45"/>
        <v>50.699999999999996</v>
      </c>
    </row>
    <row r="2213" spans="1:8" ht="15.75" x14ac:dyDescent="0.25">
      <c r="A2213" s="244">
        <v>1996</v>
      </c>
      <c r="B2213" s="245" t="s">
        <v>19</v>
      </c>
      <c r="C2213" s="246" t="s">
        <v>20</v>
      </c>
      <c r="D2213" s="245" t="s">
        <v>21</v>
      </c>
      <c r="E2213" s="247">
        <v>7.5</v>
      </c>
      <c r="F2213" s="242" t="s">
        <v>507</v>
      </c>
      <c r="G2213" s="242">
        <v>3.9</v>
      </c>
      <c r="H2213" s="230">
        <f t="shared" si="45"/>
        <v>29.25</v>
      </c>
    </row>
    <row r="2214" spans="1:8" ht="15.75" x14ac:dyDescent="0.25">
      <c r="A2214" s="244">
        <v>1996</v>
      </c>
      <c r="B2214" s="245" t="s">
        <v>19</v>
      </c>
      <c r="C2214" s="246" t="s">
        <v>20</v>
      </c>
      <c r="D2214" s="245" t="s">
        <v>21</v>
      </c>
      <c r="E2214" s="247">
        <v>14</v>
      </c>
      <c r="F2214" s="242" t="s">
        <v>507</v>
      </c>
      <c r="G2214" s="242">
        <v>3.9</v>
      </c>
      <c r="H2214" s="230">
        <f t="shared" si="45"/>
        <v>54.6</v>
      </c>
    </row>
    <row r="2215" spans="1:8" ht="15.75" x14ac:dyDescent="0.25">
      <c r="A2215" s="244">
        <v>1996</v>
      </c>
      <c r="B2215" s="245" t="s">
        <v>19</v>
      </c>
      <c r="C2215" s="246" t="s">
        <v>20</v>
      </c>
      <c r="D2215" s="245" t="s">
        <v>21</v>
      </c>
      <c r="E2215" s="247">
        <v>12.5</v>
      </c>
      <c r="F2215" s="242" t="s">
        <v>507</v>
      </c>
      <c r="G2215" s="242">
        <v>3.9</v>
      </c>
      <c r="H2215" s="230">
        <f t="shared" si="45"/>
        <v>48.75</v>
      </c>
    </row>
    <row r="2216" spans="1:8" ht="15.75" x14ac:dyDescent="0.25">
      <c r="A2216" s="244">
        <v>1996</v>
      </c>
      <c r="B2216" s="245" t="s">
        <v>19</v>
      </c>
      <c r="C2216" s="246" t="s">
        <v>20</v>
      </c>
      <c r="D2216" s="245" t="s">
        <v>21</v>
      </c>
      <c r="E2216" s="247">
        <v>9.5</v>
      </c>
      <c r="F2216" s="242" t="s">
        <v>507</v>
      </c>
      <c r="G2216" s="242">
        <v>3.9</v>
      </c>
      <c r="H2216" s="230">
        <f t="shared" si="45"/>
        <v>37.049999999999997</v>
      </c>
    </row>
    <row r="2217" spans="1:8" ht="15.75" x14ac:dyDescent="0.25">
      <c r="A2217" s="244">
        <v>1996</v>
      </c>
      <c r="B2217" s="245" t="s">
        <v>19</v>
      </c>
      <c r="C2217" s="246" t="s">
        <v>20</v>
      </c>
      <c r="D2217" s="245" t="s">
        <v>21</v>
      </c>
      <c r="E2217" s="247">
        <v>8</v>
      </c>
      <c r="F2217" s="242" t="s">
        <v>507</v>
      </c>
      <c r="G2217" s="242">
        <v>3.9</v>
      </c>
      <c r="H2217" s="230">
        <f t="shared" si="45"/>
        <v>31.2</v>
      </c>
    </row>
    <row r="2218" spans="1:8" ht="15.75" x14ac:dyDescent="0.25">
      <c r="A2218" s="244">
        <v>1996</v>
      </c>
      <c r="B2218" s="245" t="s">
        <v>19</v>
      </c>
      <c r="C2218" s="246" t="s">
        <v>20</v>
      </c>
      <c r="D2218" s="245" t="s">
        <v>21</v>
      </c>
      <c r="E2218" s="247">
        <v>15.5</v>
      </c>
      <c r="F2218" s="242" t="s">
        <v>507</v>
      </c>
      <c r="G2218" s="242">
        <v>3.9</v>
      </c>
      <c r="H2218" s="230">
        <f t="shared" si="45"/>
        <v>60.449999999999996</v>
      </c>
    </row>
    <row r="2219" spans="1:8" ht="15.75" x14ac:dyDescent="0.25">
      <c r="A2219" s="244">
        <v>1996</v>
      </c>
      <c r="B2219" s="245" t="s">
        <v>19</v>
      </c>
      <c r="C2219" s="246" t="s">
        <v>20</v>
      </c>
      <c r="D2219" s="245" t="s">
        <v>21</v>
      </c>
      <c r="E2219" s="247">
        <v>10.5</v>
      </c>
      <c r="F2219" s="242" t="s">
        <v>507</v>
      </c>
      <c r="G2219" s="242">
        <v>3.9</v>
      </c>
      <c r="H2219" s="230">
        <f t="shared" si="45"/>
        <v>40.949999999999996</v>
      </c>
    </row>
    <row r="2220" spans="1:8" ht="15.75" x14ac:dyDescent="0.25">
      <c r="A2220" s="244">
        <v>1996</v>
      </c>
      <c r="B2220" s="245" t="s">
        <v>19</v>
      </c>
      <c r="C2220" s="246" t="s">
        <v>20</v>
      </c>
      <c r="D2220" s="245" t="s">
        <v>21</v>
      </c>
      <c r="E2220" s="247">
        <v>18</v>
      </c>
      <c r="F2220" s="242" t="s">
        <v>507</v>
      </c>
      <c r="G2220" s="242">
        <v>3.9</v>
      </c>
      <c r="H2220" s="230">
        <f t="shared" si="45"/>
        <v>70.2</v>
      </c>
    </row>
    <row r="2221" spans="1:8" ht="15.75" x14ac:dyDescent="0.25">
      <c r="A2221" s="244">
        <v>1996</v>
      </c>
      <c r="B2221" s="245" t="s">
        <v>19</v>
      </c>
      <c r="C2221" s="246" t="s">
        <v>20</v>
      </c>
      <c r="D2221" s="245" t="s">
        <v>21</v>
      </c>
      <c r="E2221" s="247">
        <v>10</v>
      </c>
      <c r="F2221" s="242" t="s">
        <v>507</v>
      </c>
      <c r="G2221" s="242">
        <v>3.9</v>
      </c>
      <c r="H2221" s="230">
        <f t="shared" si="45"/>
        <v>39</v>
      </c>
    </row>
    <row r="2222" spans="1:8" ht="15.75" x14ac:dyDescent="0.25">
      <c r="A2222" s="244">
        <v>1996</v>
      </c>
      <c r="B2222" s="245" t="s">
        <v>19</v>
      </c>
      <c r="C2222" s="246" t="s">
        <v>20</v>
      </c>
      <c r="D2222" s="245" t="s">
        <v>21</v>
      </c>
      <c r="E2222" s="247">
        <v>12</v>
      </c>
      <c r="F2222" s="242" t="s">
        <v>507</v>
      </c>
      <c r="G2222" s="242">
        <v>3.9</v>
      </c>
      <c r="H2222" s="230">
        <f t="shared" si="45"/>
        <v>46.8</v>
      </c>
    </row>
    <row r="2223" spans="1:8" ht="15.75" x14ac:dyDescent="0.25">
      <c r="A2223" s="244">
        <v>1996</v>
      </c>
      <c r="B2223" s="245" t="s">
        <v>19</v>
      </c>
      <c r="C2223" s="246" t="s">
        <v>20</v>
      </c>
      <c r="D2223" s="245" t="s">
        <v>21</v>
      </c>
      <c r="E2223" s="247">
        <v>10</v>
      </c>
      <c r="F2223" s="242" t="s">
        <v>507</v>
      </c>
      <c r="G2223" s="242">
        <v>3.9</v>
      </c>
      <c r="H2223" s="230">
        <f t="shared" si="45"/>
        <v>39</v>
      </c>
    </row>
    <row r="2224" spans="1:8" ht="15.75" x14ac:dyDescent="0.25">
      <c r="A2224" s="244">
        <v>1996</v>
      </c>
      <c r="B2224" s="245" t="s">
        <v>19</v>
      </c>
      <c r="C2224" s="246" t="s">
        <v>20</v>
      </c>
      <c r="D2224" s="245" t="s">
        <v>21</v>
      </c>
      <c r="E2224" s="247">
        <v>11</v>
      </c>
      <c r="F2224" s="242" t="s">
        <v>507</v>
      </c>
      <c r="G2224" s="242">
        <v>3.9</v>
      </c>
      <c r="H2224" s="230">
        <f t="shared" si="45"/>
        <v>42.9</v>
      </c>
    </row>
    <row r="2225" spans="1:8" ht="15.75" x14ac:dyDescent="0.25">
      <c r="A2225" s="244">
        <v>1996</v>
      </c>
      <c r="B2225" s="245" t="s">
        <v>19</v>
      </c>
      <c r="C2225" s="246" t="s">
        <v>20</v>
      </c>
      <c r="D2225" s="245" t="s">
        <v>21</v>
      </c>
      <c r="E2225" s="247">
        <v>7</v>
      </c>
      <c r="F2225" s="242" t="s">
        <v>507</v>
      </c>
      <c r="G2225" s="242">
        <v>3.9</v>
      </c>
      <c r="H2225" s="230">
        <f t="shared" si="45"/>
        <v>27.3</v>
      </c>
    </row>
    <row r="2226" spans="1:8" ht="15.75" x14ac:dyDescent="0.25">
      <c r="A2226" s="244">
        <v>1996</v>
      </c>
      <c r="B2226" s="245" t="s">
        <v>19</v>
      </c>
      <c r="C2226" s="246" t="s">
        <v>20</v>
      </c>
      <c r="D2226" s="245" t="s">
        <v>21</v>
      </c>
      <c r="E2226" s="247">
        <v>13.5</v>
      </c>
      <c r="F2226" s="242" t="s">
        <v>507</v>
      </c>
      <c r="G2226" s="242">
        <v>3.9</v>
      </c>
      <c r="H2226" s="230">
        <f t="shared" si="45"/>
        <v>52.65</v>
      </c>
    </row>
    <row r="2227" spans="1:8" ht="15.75" x14ac:dyDescent="0.25">
      <c r="A2227" s="244">
        <v>1996</v>
      </c>
      <c r="B2227" s="245" t="s">
        <v>19</v>
      </c>
      <c r="C2227" s="246" t="s">
        <v>20</v>
      </c>
      <c r="D2227" s="245" t="s">
        <v>21</v>
      </c>
      <c r="E2227" s="247">
        <v>15</v>
      </c>
      <c r="F2227" s="242" t="s">
        <v>507</v>
      </c>
      <c r="G2227" s="242">
        <v>3.9</v>
      </c>
      <c r="H2227" s="230">
        <f t="shared" si="45"/>
        <v>58.5</v>
      </c>
    </row>
    <row r="2228" spans="1:8" ht="15.75" x14ac:dyDescent="0.25">
      <c r="A2228" s="244">
        <v>1996</v>
      </c>
      <c r="B2228" s="245" t="s">
        <v>19</v>
      </c>
      <c r="C2228" s="246" t="s">
        <v>20</v>
      </c>
      <c r="D2228" s="245" t="s">
        <v>21</v>
      </c>
      <c r="E2228" s="247">
        <v>5</v>
      </c>
      <c r="F2228" s="242" t="s">
        <v>507</v>
      </c>
      <c r="G2228" s="242">
        <v>3.9</v>
      </c>
      <c r="H2228" s="230">
        <f t="shared" si="45"/>
        <v>19.5</v>
      </c>
    </row>
    <row r="2229" spans="1:8" ht="15.75" x14ac:dyDescent="0.25">
      <c r="A2229" s="244">
        <v>1996</v>
      </c>
      <c r="B2229" s="245" t="s">
        <v>19</v>
      </c>
      <c r="C2229" s="246" t="s">
        <v>20</v>
      </c>
      <c r="D2229" s="245" t="s">
        <v>21</v>
      </c>
      <c r="E2229" s="247">
        <v>8.5</v>
      </c>
      <c r="F2229" s="242" t="s">
        <v>507</v>
      </c>
      <c r="G2229" s="242">
        <v>3.9</v>
      </c>
      <c r="H2229" s="230">
        <f t="shared" si="45"/>
        <v>33.15</v>
      </c>
    </row>
    <row r="2230" spans="1:8" ht="15.75" x14ac:dyDescent="0.25">
      <c r="A2230" s="244">
        <v>1996</v>
      </c>
      <c r="B2230" s="245" t="s">
        <v>19</v>
      </c>
      <c r="C2230" s="246" t="s">
        <v>20</v>
      </c>
      <c r="D2230" s="245" t="s">
        <v>21</v>
      </c>
      <c r="E2230" s="247">
        <v>9.5</v>
      </c>
      <c r="F2230" s="242" t="s">
        <v>507</v>
      </c>
      <c r="G2230" s="242">
        <v>3.9</v>
      </c>
      <c r="H2230" s="230">
        <f t="shared" si="45"/>
        <v>37.049999999999997</v>
      </c>
    </row>
    <row r="2231" spans="1:8" ht="15.75" x14ac:dyDescent="0.25">
      <c r="A2231" s="244">
        <v>1996</v>
      </c>
      <c r="B2231" s="245" t="s">
        <v>19</v>
      </c>
      <c r="C2231" s="246" t="s">
        <v>20</v>
      </c>
      <c r="D2231" s="245" t="s">
        <v>21</v>
      </c>
      <c r="E2231" s="247">
        <v>10.5</v>
      </c>
      <c r="F2231" s="242" t="s">
        <v>507</v>
      </c>
      <c r="G2231" s="242">
        <v>3.9</v>
      </c>
      <c r="H2231" s="230">
        <f t="shared" si="45"/>
        <v>40.949999999999996</v>
      </c>
    </row>
    <row r="2232" spans="1:8" ht="15.75" x14ac:dyDescent="0.25">
      <c r="A2232" s="244">
        <v>1996</v>
      </c>
      <c r="B2232" s="245" t="s">
        <v>19</v>
      </c>
      <c r="C2232" s="246" t="s">
        <v>20</v>
      </c>
      <c r="D2232" s="245" t="s">
        <v>21</v>
      </c>
      <c r="E2232" s="247">
        <v>11</v>
      </c>
      <c r="F2232" s="242" t="s">
        <v>507</v>
      </c>
      <c r="G2232" s="242">
        <v>3.9</v>
      </c>
      <c r="H2232" s="230">
        <f t="shared" si="45"/>
        <v>42.9</v>
      </c>
    </row>
    <row r="2233" spans="1:8" ht="15.75" x14ac:dyDescent="0.25">
      <c r="A2233" s="244">
        <v>1996</v>
      </c>
      <c r="B2233" s="245" t="s">
        <v>19</v>
      </c>
      <c r="C2233" s="246" t="s">
        <v>20</v>
      </c>
      <c r="D2233" s="245" t="s">
        <v>21</v>
      </c>
      <c r="E2233" s="247">
        <v>8.5</v>
      </c>
      <c r="F2233" s="242" t="s">
        <v>507</v>
      </c>
      <c r="G2233" s="242">
        <v>3.9</v>
      </c>
      <c r="H2233" s="230">
        <f t="shared" si="45"/>
        <v>33.15</v>
      </c>
    </row>
    <row r="2234" spans="1:8" ht="15.75" x14ac:dyDescent="0.25">
      <c r="A2234" s="244">
        <v>1996</v>
      </c>
      <c r="B2234" s="245" t="s">
        <v>19</v>
      </c>
      <c r="C2234" s="246" t="s">
        <v>20</v>
      </c>
      <c r="D2234" s="245" t="s">
        <v>21</v>
      </c>
      <c r="E2234" s="247">
        <v>11</v>
      </c>
      <c r="F2234" s="242" t="s">
        <v>507</v>
      </c>
      <c r="G2234" s="242">
        <v>3.9</v>
      </c>
      <c r="H2234" s="230">
        <f t="shared" si="45"/>
        <v>42.9</v>
      </c>
    </row>
    <row r="2235" spans="1:8" ht="15.75" x14ac:dyDescent="0.25">
      <c r="A2235" s="244">
        <v>1996</v>
      </c>
      <c r="B2235" s="245" t="s">
        <v>19</v>
      </c>
      <c r="C2235" s="246" t="s">
        <v>20</v>
      </c>
      <c r="D2235" s="245" t="s">
        <v>21</v>
      </c>
      <c r="E2235" s="247">
        <v>8.5</v>
      </c>
      <c r="F2235" s="242" t="s">
        <v>507</v>
      </c>
      <c r="G2235" s="242">
        <v>3.9</v>
      </c>
      <c r="H2235" s="230">
        <f t="shared" si="45"/>
        <v>33.15</v>
      </c>
    </row>
    <row r="2236" spans="1:8" ht="15.75" x14ac:dyDescent="0.25">
      <c r="A2236" s="244">
        <v>1996</v>
      </c>
      <c r="B2236" s="245" t="s">
        <v>19</v>
      </c>
      <c r="C2236" s="246" t="s">
        <v>20</v>
      </c>
      <c r="D2236" s="245" t="s">
        <v>21</v>
      </c>
      <c r="E2236" s="247">
        <v>13</v>
      </c>
      <c r="F2236" s="242" t="s">
        <v>507</v>
      </c>
      <c r="G2236" s="242">
        <v>3.9</v>
      </c>
      <c r="H2236" s="230">
        <f t="shared" si="45"/>
        <v>50.699999999999996</v>
      </c>
    </row>
    <row r="2237" spans="1:8" ht="15.75" x14ac:dyDescent="0.25">
      <c r="A2237" s="244">
        <v>1996</v>
      </c>
      <c r="B2237" s="245" t="s">
        <v>19</v>
      </c>
      <c r="C2237" s="246" t="s">
        <v>34</v>
      </c>
      <c r="D2237" s="245" t="s">
        <v>41</v>
      </c>
      <c r="E2237" s="247">
        <v>21</v>
      </c>
      <c r="F2237" s="242" t="s">
        <v>508</v>
      </c>
      <c r="G2237" s="242">
        <v>3.8</v>
      </c>
      <c r="H2237" s="230">
        <f t="shared" si="45"/>
        <v>79.8</v>
      </c>
    </row>
    <row r="2238" spans="1:8" ht="15.75" x14ac:dyDescent="0.25">
      <c r="A2238" s="244">
        <v>1995</v>
      </c>
      <c r="B2238" s="245" t="s">
        <v>19</v>
      </c>
      <c r="C2238" s="246" t="s">
        <v>20</v>
      </c>
      <c r="D2238" s="245" t="s">
        <v>30</v>
      </c>
      <c r="E2238" s="247">
        <v>14</v>
      </c>
      <c r="F2238" s="242" t="s">
        <v>504</v>
      </c>
      <c r="G2238" s="242">
        <v>4.5999999999999996</v>
      </c>
      <c r="H2238" s="230">
        <f t="shared" si="45"/>
        <v>64.399999999999991</v>
      </c>
    </row>
    <row r="2239" spans="1:8" ht="15.75" x14ac:dyDescent="0.25">
      <c r="A2239" s="244">
        <v>1995</v>
      </c>
      <c r="B2239" s="245" t="s">
        <v>19</v>
      </c>
      <c r="C2239" s="246" t="s">
        <v>20</v>
      </c>
      <c r="D2239" s="245" t="s">
        <v>30</v>
      </c>
      <c r="E2239" s="247">
        <v>10.5</v>
      </c>
      <c r="F2239" s="242" t="s">
        <v>504</v>
      </c>
      <c r="G2239" s="242">
        <v>4.5999999999999996</v>
      </c>
      <c r="H2239" s="230">
        <f t="shared" si="45"/>
        <v>48.3</v>
      </c>
    </row>
    <row r="2240" spans="1:8" ht="15.75" x14ac:dyDescent="0.25">
      <c r="A2240" s="244">
        <v>1995</v>
      </c>
      <c r="B2240" s="245" t="s">
        <v>19</v>
      </c>
      <c r="C2240" s="246" t="s">
        <v>20</v>
      </c>
      <c r="D2240" s="245" t="s">
        <v>30</v>
      </c>
      <c r="E2240" s="247">
        <v>7.5</v>
      </c>
      <c r="F2240" s="242" t="s">
        <v>504</v>
      </c>
      <c r="G2240" s="242">
        <v>4.5999999999999996</v>
      </c>
      <c r="H2240" s="230">
        <f t="shared" si="45"/>
        <v>34.5</v>
      </c>
    </row>
    <row r="2241" spans="1:8" ht="15.75" x14ac:dyDescent="0.25">
      <c r="A2241" s="244">
        <v>1995</v>
      </c>
      <c r="B2241" s="245" t="s">
        <v>19</v>
      </c>
      <c r="C2241" s="246" t="s">
        <v>20</v>
      </c>
      <c r="D2241" s="245" t="s">
        <v>30</v>
      </c>
      <c r="E2241" s="247">
        <v>11.5</v>
      </c>
      <c r="F2241" s="242" t="s">
        <v>504</v>
      </c>
      <c r="G2241" s="242">
        <v>4.5999999999999996</v>
      </c>
      <c r="H2241" s="230">
        <f t="shared" si="45"/>
        <v>52.9</v>
      </c>
    </row>
    <row r="2242" spans="1:8" ht="15.75" x14ac:dyDescent="0.25">
      <c r="A2242" s="244">
        <v>1995</v>
      </c>
      <c r="B2242" s="245" t="s">
        <v>19</v>
      </c>
      <c r="C2242" s="246" t="s">
        <v>20</v>
      </c>
      <c r="D2242" s="245" t="s">
        <v>30</v>
      </c>
      <c r="E2242" s="247">
        <v>11.5</v>
      </c>
      <c r="F2242" s="242" t="s">
        <v>504</v>
      </c>
      <c r="G2242" s="242">
        <v>4.5999999999999996</v>
      </c>
      <c r="H2242" s="230">
        <f t="shared" si="45"/>
        <v>52.9</v>
      </c>
    </row>
    <row r="2243" spans="1:8" ht="15.75" x14ac:dyDescent="0.25">
      <c r="A2243" s="244">
        <v>1995</v>
      </c>
      <c r="B2243" s="245" t="s">
        <v>19</v>
      </c>
      <c r="C2243" s="246" t="s">
        <v>20</v>
      </c>
      <c r="D2243" s="245" t="s">
        <v>30</v>
      </c>
      <c r="E2243" s="247">
        <v>12</v>
      </c>
      <c r="F2243" s="242" t="s">
        <v>504</v>
      </c>
      <c r="G2243" s="242">
        <v>4.5999999999999996</v>
      </c>
      <c r="H2243" s="230">
        <f t="shared" ref="H2243:H2306" si="46">E2243*G2243</f>
        <v>55.199999999999996</v>
      </c>
    </row>
    <row r="2244" spans="1:8" ht="15.75" x14ac:dyDescent="0.25">
      <c r="A2244" s="244">
        <v>1995</v>
      </c>
      <c r="B2244" s="245" t="s">
        <v>19</v>
      </c>
      <c r="C2244" s="246" t="s">
        <v>20</v>
      </c>
      <c r="D2244" s="245" t="s">
        <v>30</v>
      </c>
      <c r="E2244" s="247">
        <v>15</v>
      </c>
      <c r="F2244" s="242" t="s">
        <v>504</v>
      </c>
      <c r="G2244" s="242">
        <v>4.5999999999999996</v>
      </c>
      <c r="H2244" s="230">
        <f t="shared" si="46"/>
        <v>69</v>
      </c>
    </row>
    <row r="2245" spans="1:8" ht="15.75" x14ac:dyDescent="0.25">
      <c r="A2245" s="244">
        <v>1995</v>
      </c>
      <c r="B2245" s="245" t="s">
        <v>19</v>
      </c>
      <c r="C2245" s="246" t="s">
        <v>20</v>
      </c>
      <c r="D2245" s="245" t="s">
        <v>30</v>
      </c>
      <c r="E2245" s="247">
        <v>16</v>
      </c>
      <c r="F2245" s="242" t="s">
        <v>504</v>
      </c>
      <c r="G2245" s="242">
        <v>4.5999999999999996</v>
      </c>
      <c r="H2245" s="230">
        <f t="shared" si="46"/>
        <v>73.599999999999994</v>
      </c>
    </row>
    <row r="2246" spans="1:8" ht="15.75" x14ac:dyDescent="0.25">
      <c r="A2246" s="244">
        <v>1995</v>
      </c>
      <c r="B2246" s="245" t="s">
        <v>19</v>
      </c>
      <c r="C2246" s="246" t="s">
        <v>20</v>
      </c>
      <c r="D2246" s="245" t="s">
        <v>30</v>
      </c>
      <c r="E2246" s="247">
        <v>16</v>
      </c>
      <c r="F2246" s="242" t="s">
        <v>504</v>
      </c>
      <c r="G2246" s="242">
        <v>4.5999999999999996</v>
      </c>
      <c r="H2246" s="230">
        <f t="shared" si="46"/>
        <v>73.599999999999994</v>
      </c>
    </row>
    <row r="2247" spans="1:8" ht="15.75" x14ac:dyDescent="0.25">
      <c r="A2247" s="244">
        <v>1995</v>
      </c>
      <c r="B2247" s="245" t="s">
        <v>19</v>
      </c>
      <c r="C2247" s="246" t="s">
        <v>20</v>
      </c>
      <c r="D2247" s="245" t="s">
        <v>30</v>
      </c>
      <c r="E2247" s="247">
        <v>11</v>
      </c>
      <c r="F2247" s="242" t="s">
        <v>504</v>
      </c>
      <c r="G2247" s="242">
        <v>4.5999999999999996</v>
      </c>
      <c r="H2247" s="230">
        <f t="shared" si="46"/>
        <v>50.599999999999994</v>
      </c>
    </row>
    <row r="2248" spans="1:8" ht="15.75" x14ac:dyDescent="0.25">
      <c r="A2248" s="244">
        <v>1995</v>
      </c>
      <c r="B2248" s="245" t="s">
        <v>19</v>
      </c>
      <c r="C2248" s="246" t="s">
        <v>20</v>
      </c>
      <c r="D2248" s="245" t="s">
        <v>30</v>
      </c>
      <c r="E2248" s="247">
        <v>13.5</v>
      </c>
      <c r="F2248" s="242" t="s">
        <v>504</v>
      </c>
      <c r="G2248" s="242">
        <v>4.5999999999999996</v>
      </c>
      <c r="H2248" s="230">
        <f t="shared" si="46"/>
        <v>62.099999999999994</v>
      </c>
    </row>
    <row r="2249" spans="1:8" ht="15.75" x14ac:dyDescent="0.25">
      <c r="A2249" s="244">
        <v>1995</v>
      </c>
      <c r="B2249" s="245" t="s">
        <v>19</v>
      </c>
      <c r="C2249" s="246" t="s">
        <v>20</v>
      </c>
      <c r="D2249" s="245" t="s">
        <v>30</v>
      </c>
      <c r="E2249" s="247">
        <v>18</v>
      </c>
      <c r="F2249" s="242" t="s">
        <v>504</v>
      </c>
      <c r="G2249" s="242">
        <v>4.5999999999999996</v>
      </c>
      <c r="H2249" s="230">
        <f t="shared" si="46"/>
        <v>82.8</v>
      </c>
    </row>
    <row r="2250" spans="1:8" ht="15.75" x14ac:dyDescent="0.25">
      <c r="A2250" s="244">
        <v>1995</v>
      </c>
      <c r="B2250" s="245" t="s">
        <v>19</v>
      </c>
      <c r="C2250" s="246" t="s">
        <v>20</v>
      </c>
      <c r="D2250" s="245" t="s">
        <v>30</v>
      </c>
      <c r="E2250" s="247">
        <v>10</v>
      </c>
      <c r="F2250" s="242" t="s">
        <v>504</v>
      </c>
      <c r="G2250" s="242">
        <v>4.5999999999999996</v>
      </c>
      <c r="H2250" s="230">
        <f t="shared" si="46"/>
        <v>46</v>
      </c>
    </row>
    <row r="2251" spans="1:8" ht="15.75" x14ac:dyDescent="0.25">
      <c r="A2251" s="244">
        <v>1995</v>
      </c>
      <c r="B2251" s="245" t="s">
        <v>19</v>
      </c>
      <c r="C2251" s="246" t="s">
        <v>20</v>
      </c>
      <c r="D2251" s="245" t="s">
        <v>30</v>
      </c>
      <c r="E2251" s="247">
        <v>11</v>
      </c>
      <c r="F2251" s="242" t="s">
        <v>504</v>
      </c>
      <c r="G2251" s="242">
        <v>4.5999999999999996</v>
      </c>
      <c r="H2251" s="230">
        <f t="shared" si="46"/>
        <v>50.599999999999994</v>
      </c>
    </row>
    <row r="2252" spans="1:8" ht="15.75" x14ac:dyDescent="0.25">
      <c r="A2252" s="244">
        <v>1995</v>
      </c>
      <c r="B2252" s="245" t="s">
        <v>19</v>
      </c>
      <c r="C2252" s="246" t="s">
        <v>20</v>
      </c>
      <c r="D2252" s="245" t="s">
        <v>30</v>
      </c>
      <c r="E2252" s="247">
        <v>9</v>
      </c>
      <c r="F2252" s="242" t="s">
        <v>504</v>
      </c>
      <c r="G2252" s="242">
        <v>4.5999999999999996</v>
      </c>
      <c r="H2252" s="230">
        <f t="shared" si="46"/>
        <v>41.4</v>
      </c>
    </row>
    <row r="2253" spans="1:8" ht="15.75" x14ac:dyDescent="0.25">
      <c r="A2253" s="244">
        <v>1995</v>
      </c>
      <c r="B2253" s="245" t="s">
        <v>19</v>
      </c>
      <c r="C2253" s="246" t="s">
        <v>20</v>
      </c>
      <c r="D2253" s="245" t="s">
        <v>30</v>
      </c>
      <c r="E2253" s="247">
        <v>13</v>
      </c>
      <c r="F2253" s="242" t="s">
        <v>504</v>
      </c>
      <c r="G2253" s="242">
        <v>4.5999999999999996</v>
      </c>
      <c r="H2253" s="230">
        <f t="shared" si="46"/>
        <v>59.8</v>
      </c>
    </row>
    <row r="2254" spans="1:8" ht="15.75" x14ac:dyDescent="0.25">
      <c r="A2254" s="244">
        <v>1995</v>
      </c>
      <c r="B2254" s="245" t="s">
        <v>19</v>
      </c>
      <c r="C2254" s="246" t="s">
        <v>20</v>
      </c>
      <c r="D2254" s="245" t="s">
        <v>30</v>
      </c>
      <c r="E2254" s="247">
        <v>9.5</v>
      </c>
      <c r="F2254" s="242" t="s">
        <v>504</v>
      </c>
      <c r="G2254" s="242">
        <v>4.5999999999999996</v>
      </c>
      <c r="H2254" s="230">
        <f t="shared" si="46"/>
        <v>43.699999999999996</v>
      </c>
    </row>
    <row r="2255" spans="1:8" ht="15.75" x14ac:dyDescent="0.25">
      <c r="A2255" s="244">
        <v>1995</v>
      </c>
      <c r="B2255" s="245" t="s">
        <v>19</v>
      </c>
      <c r="C2255" s="246" t="s">
        <v>20</v>
      </c>
      <c r="D2255" s="245" t="s">
        <v>30</v>
      </c>
      <c r="E2255" s="247">
        <v>12</v>
      </c>
      <c r="F2255" s="242" t="s">
        <v>504</v>
      </c>
      <c r="G2255" s="242">
        <v>4.5999999999999996</v>
      </c>
      <c r="H2255" s="230">
        <f t="shared" si="46"/>
        <v>55.199999999999996</v>
      </c>
    </row>
    <row r="2256" spans="1:8" ht="15.75" x14ac:dyDescent="0.25">
      <c r="A2256" s="244">
        <v>1995</v>
      </c>
      <c r="B2256" s="245" t="s">
        <v>19</v>
      </c>
      <c r="C2256" s="246" t="s">
        <v>20</v>
      </c>
      <c r="D2256" s="245" t="s">
        <v>30</v>
      </c>
      <c r="E2256" s="247">
        <v>12</v>
      </c>
      <c r="F2256" s="242" t="s">
        <v>504</v>
      </c>
      <c r="G2256" s="242">
        <v>4.5999999999999996</v>
      </c>
      <c r="H2256" s="230">
        <f t="shared" si="46"/>
        <v>55.199999999999996</v>
      </c>
    </row>
    <row r="2257" spans="1:8" ht="15.75" x14ac:dyDescent="0.25">
      <c r="A2257" s="244">
        <v>1995</v>
      </c>
      <c r="B2257" s="245" t="s">
        <v>19</v>
      </c>
      <c r="C2257" s="246" t="s">
        <v>20</v>
      </c>
      <c r="D2257" s="245" t="s">
        <v>30</v>
      </c>
      <c r="E2257" s="247">
        <v>14</v>
      </c>
      <c r="F2257" s="242" t="s">
        <v>504</v>
      </c>
      <c r="G2257" s="242">
        <v>4.5999999999999996</v>
      </c>
      <c r="H2257" s="230">
        <f t="shared" si="46"/>
        <v>64.399999999999991</v>
      </c>
    </row>
    <row r="2258" spans="1:8" ht="15.75" x14ac:dyDescent="0.25">
      <c r="A2258" s="244">
        <v>1995</v>
      </c>
      <c r="B2258" s="245" t="s">
        <v>19</v>
      </c>
      <c r="C2258" s="246" t="s">
        <v>20</v>
      </c>
      <c r="D2258" s="245" t="s">
        <v>30</v>
      </c>
      <c r="E2258" s="247">
        <v>12</v>
      </c>
      <c r="F2258" s="242" t="s">
        <v>504</v>
      </c>
      <c r="G2258" s="242">
        <v>4.5999999999999996</v>
      </c>
      <c r="H2258" s="230">
        <f t="shared" si="46"/>
        <v>55.199999999999996</v>
      </c>
    </row>
    <row r="2259" spans="1:8" ht="15.75" x14ac:dyDescent="0.25">
      <c r="A2259" s="244">
        <v>1995</v>
      </c>
      <c r="B2259" s="245" t="s">
        <v>19</v>
      </c>
      <c r="C2259" s="246" t="s">
        <v>20</v>
      </c>
      <c r="D2259" s="245" t="s">
        <v>30</v>
      </c>
      <c r="E2259" s="247">
        <v>13.1</v>
      </c>
      <c r="F2259" s="242" t="s">
        <v>504</v>
      </c>
      <c r="G2259" s="242">
        <v>4.5999999999999996</v>
      </c>
      <c r="H2259" s="230">
        <f t="shared" si="46"/>
        <v>60.259999999999991</v>
      </c>
    </row>
    <row r="2260" spans="1:8" ht="15.75" x14ac:dyDescent="0.25">
      <c r="A2260" s="244">
        <v>1995</v>
      </c>
      <c r="B2260" s="245" t="s">
        <v>19</v>
      </c>
      <c r="C2260" s="246" t="s">
        <v>20</v>
      </c>
      <c r="D2260" s="245" t="s">
        <v>30</v>
      </c>
      <c r="E2260" s="247">
        <v>11.1</v>
      </c>
      <c r="F2260" s="242" t="s">
        <v>504</v>
      </c>
      <c r="G2260" s="242">
        <v>4.5999999999999996</v>
      </c>
      <c r="H2260" s="230">
        <f t="shared" si="46"/>
        <v>51.059999999999995</v>
      </c>
    </row>
    <row r="2261" spans="1:8" ht="15.75" x14ac:dyDescent="0.25">
      <c r="A2261" s="244">
        <v>1995</v>
      </c>
      <c r="B2261" s="245" t="s">
        <v>19</v>
      </c>
      <c r="C2261" s="246" t="s">
        <v>20</v>
      </c>
      <c r="D2261" s="245" t="s">
        <v>30</v>
      </c>
      <c r="E2261" s="247">
        <v>11.6</v>
      </c>
      <c r="F2261" s="242" t="s">
        <v>504</v>
      </c>
      <c r="G2261" s="242">
        <v>4.5999999999999996</v>
      </c>
      <c r="H2261" s="230">
        <f t="shared" si="46"/>
        <v>53.359999999999992</v>
      </c>
    </row>
    <row r="2262" spans="1:8" ht="15.75" x14ac:dyDescent="0.25">
      <c r="A2262" s="244">
        <v>1995</v>
      </c>
      <c r="B2262" s="245" t="s">
        <v>19</v>
      </c>
      <c r="C2262" s="246" t="s">
        <v>20</v>
      </c>
      <c r="D2262" s="245" t="s">
        <v>30</v>
      </c>
      <c r="E2262" s="247">
        <v>11.6</v>
      </c>
      <c r="F2262" s="242" t="s">
        <v>504</v>
      </c>
      <c r="G2262" s="242">
        <v>4.5999999999999996</v>
      </c>
      <c r="H2262" s="230">
        <f t="shared" si="46"/>
        <v>53.359999999999992</v>
      </c>
    </row>
    <row r="2263" spans="1:8" ht="15.75" x14ac:dyDescent="0.25">
      <c r="A2263" s="244">
        <v>1995</v>
      </c>
      <c r="B2263" s="245" t="s">
        <v>19</v>
      </c>
      <c r="C2263" s="246" t="s">
        <v>20</v>
      </c>
      <c r="D2263" s="245" t="s">
        <v>30</v>
      </c>
      <c r="E2263" s="247">
        <v>13.1</v>
      </c>
      <c r="F2263" s="242" t="s">
        <v>504</v>
      </c>
      <c r="G2263" s="242">
        <v>4.5999999999999996</v>
      </c>
      <c r="H2263" s="230">
        <f t="shared" si="46"/>
        <v>60.259999999999991</v>
      </c>
    </row>
    <row r="2264" spans="1:8" ht="15.75" x14ac:dyDescent="0.25">
      <c r="A2264" s="244">
        <v>1995</v>
      </c>
      <c r="B2264" s="245" t="s">
        <v>19</v>
      </c>
      <c r="C2264" s="246" t="s">
        <v>20</v>
      </c>
      <c r="D2264" s="245" t="s">
        <v>30</v>
      </c>
      <c r="E2264" s="247">
        <v>17.100000000000001</v>
      </c>
      <c r="F2264" s="242" t="s">
        <v>504</v>
      </c>
      <c r="G2264" s="242">
        <v>4.5999999999999996</v>
      </c>
      <c r="H2264" s="230">
        <f t="shared" si="46"/>
        <v>78.66</v>
      </c>
    </row>
    <row r="2265" spans="1:8" ht="15.75" x14ac:dyDescent="0.25">
      <c r="A2265" s="244">
        <v>1995</v>
      </c>
      <c r="B2265" s="245" t="s">
        <v>19</v>
      </c>
      <c r="C2265" s="246" t="s">
        <v>20</v>
      </c>
      <c r="D2265" s="245" t="s">
        <v>30</v>
      </c>
      <c r="E2265" s="247">
        <v>13.1</v>
      </c>
      <c r="F2265" s="242" t="s">
        <v>504</v>
      </c>
      <c r="G2265" s="242">
        <v>4.5999999999999996</v>
      </c>
      <c r="H2265" s="230">
        <f t="shared" si="46"/>
        <v>60.259999999999991</v>
      </c>
    </row>
    <row r="2266" spans="1:8" ht="15.75" x14ac:dyDescent="0.25">
      <c r="A2266" s="244">
        <v>1995</v>
      </c>
      <c r="B2266" s="245" t="s">
        <v>19</v>
      </c>
      <c r="C2266" s="246" t="s">
        <v>20</v>
      </c>
      <c r="D2266" s="245" t="s">
        <v>30</v>
      </c>
      <c r="E2266" s="247">
        <v>14.6</v>
      </c>
      <c r="F2266" s="242" t="s">
        <v>504</v>
      </c>
      <c r="G2266" s="242">
        <v>4.5999999999999996</v>
      </c>
      <c r="H2266" s="230">
        <f t="shared" si="46"/>
        <v>67.16</v>
      </c>
    </row>
    <row r="2267" spans="1:8" ht="15.75" x14ac:dyDescent="0.25">
      <c r="A2267" s="244">
        <v>1995</v>
      </c>
      <c r="B2267" s="245" t="s">
        <v>19</v>
      </c>
      <c r="C2267" s="246" t="s">
        <v>20</v>
      </c>
      <c r="D2267" s="245" t="s">
        <v>30</v>
      </c>
      <c r="E2267" s="247">
        <v>16.399999999999999</v>
      </c>
      <c r="F2267" s="242" t="s">
        <v>504</v>
      </c>
      <c r="G2267" s="242">
        <v>4.5999999999999996</v>
      </c>
      <c r="H2267" s="230">
        <f t="shared" si="46"/>
        <v>75.439999999999984</v>
      </c>
    </row>
    <row r="2268" spans="1:8" ht="15.75" x14ac:dyDescent="0.25">
      <c r="A2268" s="244">
        <v>1995</v>
      </c>
      <c r="B2268" s="245" t="s">
        <v>19</v>
      </c>
      <c r="C2268" s="246" t="s">
        <v>20</v>
      </c>
      <c r="D2268" s="245" t="s">
        <v>30</v>
      </c>
      <c r="E2268" s="247">
        <v>8.6</v>
      </c>
      <c r="F2268" s="242" t="s">
        <v>504</v>
      </c>
      <c r="G2268" s="242">
        <v>4.5999999999999996</v>
      </c>
      <c r="H2268" s="230">
        <f t="shared" si="46"/>
        <v>39.559999999999995</v>
      </c>
    </row>
    <row r="2269" spans="1:8" ht="15.75" x14ac:dyDescent="0.25">
      <c r="A2269" s="244">
        <v>1995</v>
      </c>
      <c r="B2269" s="245" t="s">
        <v>19</v>
      </c>
      <c r="C2269" s="246" t="s">
        <v>20</v>
      </c>
      <c r="D2269" s="245" t="s">
        <v>30</v>
      </c>
      <c r="E2269" s="247">
        <v>22.1</v>
      </c>
      <c r="F2269" s="242" t="s">
        <v>504</v>
      </c>
      <c r="G2269" s="242">
        <v>4.5999999999999996</v>
      </c>
      <c r="H2269" s="230">
        <f t="shared" si="46"/>
        <v>101.66</v>
      </c>
    </row>
    <row r="2270" spans="1:8" ht="15.75" x14ac:dyDescent="0.25">
      <c r="A2270" s="244">
        <v>1995</v>
      </c>
      <c r="B2270" s="245" t="s">
        <v>19</v>
      </c>
      <c r="C2270" s="246" t="s">
        <v>20</v>
      </c>
      <c r="D2270" s="245" t="s">
        <v>30</v>
      </c>
      <c r="E2270" s="247">
        <v>12.1</v>
      </c>
      <c r="F2270" s="242" t="s">
        <v>504</v>
      </c>
      <c r="G2270" s="242">
        <v>4.5999999999999996</v>
      </c>
      <c r="H2270" s="230">
        <f t="shared" si="46"/>
        <v>55.66</v>
      </c>
    </row>
    <row r="2271" spans="1:8" ht="15.75" x14ac:dyDescent="0.25">
      <c r="A2271" s="244">
        <v>1995</v>
      </c>
      <c r="B2271" s="245" t="s">
        <v>19</v>
      </c>
      <c r="C2271" s="246" t="s">
        <v>20</v>
      </c>
      <c r="D2271" s="245" t="s">
        <v>30</v>
      </c>
      <c r="E2271" s="247">
        <v>14.1</v>
      </c>
      <c r="F2271" s="242" t="s">
        <v>504</v>
      </c>
      <c r="G2271" s="242">
        <v>4.5999999999999996</v>
      </c>
      <c r="H2271" s="230">
        <f t="shared" si="46"/>
        <v>64.86</v>
      </c>
    </row>
    <row r="2272" spans="1:8" ht="15.75" x14ac:dyDescent="0.25">
      <c r="A2272" s="244">
        <v>1995</v>
      </c>
      <c r="B2272" s="245" t="s">
        <v>19</v>
      </c>
      <c r="C2272" s="246" t="s">
        <v>20</v>
      </c>
      <c r="D2272" s="245" t="s">
        <v>30</v>
      </c>
      <c r="E2272" s="247">
        <v>7.4</v>
      </c>
      <c r="F2272" s="242" t="s">
        <v>504</v>
      </c>
      <c r="G2272" s="242">
        <v>4.5999999999999996</v>
      </c>
      <c r="H2272" s="230">
        <f t="shared" si="46"/>
        <v>34.04</v>
      </c>
    </row>
    <row r="2273" spans="1:8" ht="15.75" x14ac:dyDescent="0.25">
      <c r="A2273" s="244">
        <v>1995</v>
      </c>
      <c r="B2273" s="245" t="s">
        <v>19</v>
      </c>
      <c r="C2273" s="246" t="s">
        <v>20</v>
      </c>
      <c r="D2273" s="245" t="s">
        <v>30</v>
      </c>
      <c r="E2273" s="247">
        <v>13.1</v>
      </c>
      <c r="F2273" s="242" t="s">
        <v>504</v>
      </c>
      <c r="G2273" s="242">
        <v>4.5999999999999996</v>
      </c>
      <c r="H2273" s="230">
        <f t="shared" si="46"/>
        <v>60.259999999999991</v>
      </c>
    </row>
    <row r="2274" spans="1:8" ht="15.75" x14ac:dyDescent="0.25">
      <c r="A2274" s="244">
        <v>1995</v>
      </c>
      <c r="B2274" s="245" t="s">
        <v>19</v>
      </c>
      <c r="C2274" s="246" t="s">
        <v>20</v>
      </c>
      <c r="D2274" s="245" t="s">
        <v>30</v>
      </c>
      <c r="E2274" s="247">
        <v>9.6</v>
      </c>
      <c r="F2274" s="242" t="s">
        <v>504</v>
      </c>
      <c r="G2274" s="242">
        <v>4.5999999999999996</v>
      </c>
      <c r="H2274" s="230">
        <f t="shared" si="46"/>
        <v>44.16</v>
      </c>
    </row>
    <row r="2275" spans="1:8" ht="15.75" x14ac:dyDescent="0.25">
      <c r="A2275" s="244">
        <v>1995</v>
      </c>
      <c r="B2275" s="245" t="s">
        <v>19</v>
      </c>
      <c r="C2275" s="246" t="s">
        <v>20</v>
      </c>
      <c r="D2275" s="245" t="s">
        <v>30</v>
      </c>
      <c r="E2275" s="247">
        <v>9.1</v>
      </c>
      <c r="F2275" s="242" t="s">
        <v>504</v>
      </c>
      <c r="G2275" s="242">
        <v>4.5999999999999996</v>
      </c>
      <c r="H2275" s="230">
        <f t="shared" si="46"/>
        <v>41.859999999999992</v>
      </c>
    </row>
    <row r="2276" spans="1:8" ht="15.75" x14ac:dyDescent="0.25">
      <c r="A2276" s="244">
        <v>1995</v>
      </c>
      <c r="B2276" s="245" t="s">
        <v>19</v>
      </c>
      <c r="C2276" s="246" t="s">
        <v>20</v>
      </c>
      <c r="D2276" s="245" t="s">
        <v>30</v>
      </c>
      <c r="E2276" s="247">
        <v>15.5</v>
      </c>
      <c r="F2276" s="242" t="s">
        <v>504</v>
      </c>
      <c r="G2276" s="242">
        <v>4.5999999999999996</v>
      </c>
      <c r="H2276" s="230">
        <f t="shared" si="46"/>
        <v>71.3</v>
      </c>
    </row>
    <row r="2277" spans="1:8" ht="15.75" x14ac:dyDescent="0.25">
      <c r="A2277" s="244">
        <v>1995</v>
      </c>
      <c r="B2277" s="245" t="s">
        <v>19</v>
      </c>
      <c r="C2277" s="246" t="s">
        <v>20</v>
      </c>
      <c r="D2277" s="245" t="s">
        <v>30</v>
      </c>
      <c r="E2277" s="247">
        <v>8.1999999999999993</v>
      </c>
      <c r="F2277" s="242" t="s">
        <v>504</v>
      </c>
      <c r="G2277" s="242">
        <v>4.5999999999999996</v>
      </c>
      <c r="H2277" s="230">
        <f t="shared" si="46"/>
        <v>37.719999999999992</v>
      </c>
    </row>
    <row r="2278" spans="1:8" ht="15.75" x14ac:dyDescent="0.25">
      <c r="A2278" s="244">
        <v>1995</v>
      </c>
      <c r="B2278" s="245" t="s">
        <v>19</v>
      </c>
      <c r="C2278" s="246" t="s">
        <v>20</v>
      </c>
      <c r="D2278" s="245" t="s">
        <v>30</v>
      </c>
      <c r="E2278" s="247">
        <v>12.1</v>
      </c>
      <c r="F2278" s="242" t="s">
        <v>504</v>
      </c>
      <c r="G2278" s="242">
        <v>4.5999999999999996</v>
      </c>
      <c r="H2278" s="230">
        <f t="shared" si="46"/>
        <v>55.66</v>
      </c>
    </row>
    <row r="2279" spans="1:8" ht="15.75" x14ac:dyDescent="0.25">
      <c r="A2279" s="244">
        <v>1995</v>
      </c>
      <c r="B2279" s="245" t="s">
        <v>19</v>
      </c>
      <c r="C2279" s="246" t="s">
        <v>20</v>
      </c>
      <c r="D2279" s="245" t="s">
        <v>30</v>
      </c>
      <c r="E2279" s="247">
        <v>18.100000000000001</v>
      </c>
      <c r="F2279" s="242" t="s">
        <v>504</v>
      </c>
      <c r="G2279" s="242">
        <v>4.5999999999999996</v>
      </c>
      <c r="H2279" s="230">
        <f t="shared" si="46"/>
        <v>83.26</v>
      </c>
    </row>
    <row r="2280" spans="1:8" ht="15.75" x14ac:dyDescent="0.25">
      <c r="A2280" s="244">
        <v>1995</v>
      </c>
      <c r="B2280" s="245" t="s">
        <v>19</v>
      </c>
      <c r="C2280" s="246" t="s">
        <v>20</v>
      </c>
      <c r="D2280" s="245" t="s">
        <v>30</v>
      </c>
      <c r="E2280" s="247">
        <v>11.1</v>
      </c>
      <c r="F2280" s="242" t="s">
        <v>504</v>
      </c>
      <c r="G2280" s="242">
        <v>4.5999999999999996</v>
      </c>
      <c r="H2280" s="230">
        <f t="shared" si="46"/>
        <v>51.059999999999995</v>
      </c>
    </row>
    <row r="2281" spans="1:8" ht="15.75" x14ac:dyDescent="0.25">
      <c r="A2281" s="244">
        <v>1995</v>
      </c>
      <c r="B2281" s="245" t="s">
        <v>19</v>
      </c>
      <c r="C2281" s="246" t="s">
        <v>20</v>
      </c>
      <c r="D2281" s="245" t="s">
        <v>30</v>
      </c>
      <c r="E2281" s="247">
        <v>11.1</v>
      </c>
      <c r="F2281" s="242" t="s">
        <v>504</v>
      </c>
      <c r="G2281" s="242">
        <v>4.5999999999999996</v>
      </c>
      <c r="H2281" s="230">
        <f t="shared" si="46"/>
        <v>51.059999999999995</v>
      </c>
    </row>
    <row r="2282" spans="1:8" ht="15.75" x14ac:dyDescent="0.25">
      <c r="A2282" s="244">
        <v>1995</v>
      </c>
      <c r="B2282" s="245" t="s">
        <v>19</v>
      </c>
      <c r="C2282" s="246" t="s">
        <v>20</v>
      </c>
      <c r="D2282" s="245" t="s">
        <v>30</v>
      </c>
      <c r="E2282" s="247">
        <v>12.6</v>
      </c>
      <c r="F2282" s="242" t="s">
        <v>504</v>
      </c>
      <c r="G2282" s="242">
        <v>4.5999999999999996</v>
      </c>
      <c r="H2282" s="230">
        <f t="shared" si="46"/>
        <v>57.959999999999994</v>
      </c>
    </row>
    <row r="2283" spans="1:8" ht="15.75" x14ac:dyDescent="0.25">
      <c r="A2283" s="244">
        <v>1995</v>
      </c>
      <c r="B2283" s="245" t="s">
        <v>19</v>
      </c>
      <c r="C2283" s="246" t="s">
        <v>20</v>
      </c>
      <c r="D2283" s="245" t="s">
        <v>30</v>
      </c>
      <c r="E2283" s="247">
        <v>18.100000000000001</v>
      </c>
      <c r="F2283" s="242" t="s">
        <v>504</v>
      </c>
      <c r="G2283" s="242">
        <v>4.5999999999999996</v>
      </c>
      <c r="H2283" s="230">
        <f t="shared" si="46"/>
        <v>83.26</v>
      </c>
    </row>
    <row r="2284" spans="1:8" ht="15.75" x14ac:dyDescent="0.25">
      <c r="A2284" s="244">
        <v>1995</v>
      </c>
      <c r="B2284" s="245" t="s">
        <v>19</v>
      </c>
      <c r="C2284" s="246" t="s">
        <v>20</v>
      </c>
      <c r="D2284" s="245" t="s">
        <v>30</v>
      </c>
      <c r="E2284" s="247">
        <v>13.1</v>
      </c>
      <c r="F2284" s="242" t="s">
        <v>504</v>
      </c>
      <c r="G2284" s="242">
        <v>4.5999999999999996</v>
      </c>
      <c r="H2284" s="230">
        <f t="shared" si="46"/>
        <v>60.259999999999991</v>
      </c>
    </row>
    <row r="2285" spans="1:8" ht="15.75" x14ac:dyDescent="0.25">
      <c r="A2285" s="244">
        <v>1995</v>
      </c>
      <c r="B2285" s="245" t="s">
        <v>19</v>
      </c>
      <c r="C2285" s="246" t="s">
        <v>20</v>
      </c>
      <c r="D2285" s="245" t="s">
        <v>30</v>
      </c>
      <c r="E2285" s="247">
        <v>10.1</v>
      </c>
      <c r="F2285" s="242" t="s">
        <v>504</v>
      </c>
      <c r="G2285" s="242">
        <v>4.5999999999999996</v>
      </c>
      <c r="H2285" s="230">
        <f t="shared" si="46"/>
        <v>46.459999999999994</v>
      </c>
    </row>
    <row r="2286" spans="1:8" ht="15.75" x14ac:dyDescent="0.25">
      <c r="A2286" s="244">
        <v>1995</v>
      </c>
      <c r="B2286" s="245" t="s">
        <v>19</v>
      </c>
      <c r="C2286" s="246" t="s">
        <v>20</v>
      </c>
      <c r="D2286" s="245" t="s">
        <v>30</v>
      </c>
      <c r="E2286" s="247">
        <v>13.6</v>
      </c>
      <c r="F2286" s="242" t="s">
        <v>504</v>
      </c>
      <c r="G2286" s="242">
        <v>4.5999999999999996</v>
      </c>
      <c r="H2286" s="230">
        <f t="shared" si="46"/>
        <v>62.559999999999995</v>
      </c>
    </row>
    <row r="2287" spans="1:8" ht="15.75" x14ac:dyDescent="0.25">
      <c r="A2287" s="244">
        <v>1995</v>
      </c>
      <c r="B2287" s="245" t="s">
        <v>19</v>
      </c>
      <c r="C2287" s="246" t="s">
        <v>20</v>
      </c>
      <c r="D2287" s="245" t="s">
        <v>30</v>
      </c>
      <c r="E2287" s="247">
        <v>12.6</v>
      </c>
      <c r="F2287" s="242" t="s">
        <v>504</v>
      </c>
      <c r="G2287" s="242">
        <v>4.5999999999999996</v>
      </c>
      <c r="H2287" s="230">
        <f t="shared" si="46"/>
        <v>57.959999999999994</v>
      </c>
    </row>
    <row r="2288" spans="1:8" ht="15.75" x14ac:dyDescent="0.25">
      <c r="A2288" s="244">
        <v>1995</v>
      </c>
      <c r="B2288" s="245" t="s">
        <v>19</v>
      </c>
      <c r="C2288" s="246" t="s">
        <v>20</v>
      </c>
      <c r="D2288" s="245" t="s">
        <v>30</v>
      </c>
      <c r="E2288" s="247">
        <v>15.6</v>
      </c>
      <c r="F2288" s="242" t="s">
        <v>504</v>
      </c>
      <c r="G2288" s="242">
        <v>4.5999999999999996</v>
      </c>
      <c r="H2288" s="230">
        <f t="shared" si="46"/>
        <v>71.759999999999991</v>
      </c>
    </row>
    <row r="2289" spans="1:8" ht="15.75" x14ac:dyDescent="0.25">
      <c r="A2289" s="244">
        <v>1995</v>
      </c>
      <c r="B2289" s="245" t="s">
        <v>19</v>
      </c>
      <c r="C2289" s="246" t="s">
        <v>20</v>
      </c>
      <c r="D2289" s="245" t="s">
        <v>30</v>
      </c>
      <c r="E2289" s="247">
        <v>16.600000000000001</v>
      </c>
      <c r="F2289" s="242" t="s">
        <v>504</v>
      </c>
      <c r="G2289" s="242">
        <v>4.5999999999999996</v>
      </c>
      <c r="H2289" s="230">
        <f t="shared" si="46"/>
        <v>76.36</v>
      </c>
    </row>
    <row r="2290" spans="1:8" ht="15.75" x14ac:dyDescent="0.25">
      <c r="A2290" s="244">
        <v>1995</v>
      </c>
      <c r="B2290" s="245" t="s">
        <v>19</v>
      </c>
      <c r="C2290" s="246" t="s">
        <v>20</v>
      </c>
      <c r="D2290" s="245" t="s">
        <v>30</v>
      </c>
      <c r="E2290" s="247">
        <v>20.6</v>
      </c>
      <c r="F2290" s="242" t="s">
        <v>504</v>
      </c>
      <c r="G2290" s="242">
        <v>4.5999999999999996</v>
      </c>
      <c r="H2290" s="230">
        <f t="shared" si="46"/>
        <v>94.76</v>
      </c>
    </row>
    <row r="2291" spans="1:8" ht="15.75" x14ac:dyDescent="0.25">
      <c r="A2291" s="244">
        <v>1995</v>
      </c>
      <c r="B2291" s="245" t="s">
        <v>19</v>
      </c>
      <c r="C2291" s="246" t="s">
        <v>20</v>
      </c>
      <c r="D2291" s="245" t="s">
        <v>30</v>
      </c>
      <c r="E2291" s="247">
        <v>10.1</v>
      </c>
      <c r="F2291" s="242" t="s">
        <v>504</v>
      </c>
      <c r="G2291" s="242">
        <v>4.5999999999999996</v>
      </c>
      <c r="H2291" s="230">
        <f t="shared" si="46"/>
        <v>46.459999999999994</v>
      </c>
    </row>
    <row r="2292" spans="1:8" ht="15.75" x14ac:dyDescent="0.25">
      <c r="A2292" s="244">
        <v>1995</v>
      </c>
      <c r="B2292" s="245" t="s">
        <v>19</v>
      </c>
      <c r="C2292" s="246" t="s">
        <v>20</v>
      </c>
      <c r="D2292" s="245" t="s">
        <v>30</v>
      </c>
      <c r="E2292" s="247">
        <v>11.6</v>
      </c>
      <c r="F2292" s="242" t="s">
        <v>504</v>
      </c>
      <c r="G2292" s="242">
        <v>4.5999999999999996</v>
      </c>
      <c r="H2292" s="230">
        <f t="shared" si="46"/>
        <v>53.359999999999992</v>
      </c>
    </row>
    <row r="2293" spans="1:8" ht="15.75" x14ac:dyDescent="0.25">
      <c r="A2293" s="244">
        <v>1995</v>
      </c>
      <c r="B2293" s="245" t="s">
        <v>19</v>
      </c>
      <c r="C2293" s="246" t="s">
        <v>20</v>
      </c>
      <c r="D2293" s="245" t="s">
        <v>30</v>
      </c>
      <c r="E2293" s="247">
        <v>10.6</v>
      </c>
      <c r="F2293" s="242" t="s">
        <v>504</v>
      </c>
      <c r="G2293" s="242">
        <v>4.5999999999999996</v>
      </c>
      <c r="H2293" s="230">
        <f t="shared" si="46"/>
        <v>48.76</v>
      </c>
    </row>
    <row r="2294" spans="1:8" ht="15.75" x14ac:dyDescent="0.25">
      <c r="A2294" s="244">
        <v>1995</v>
      </c>
      <c r="B2294" s="245" t="s">
        <v>19</v>
      </c>
      <c r="C2294" s="246" t="s">
        <v>20</v>
      </c>
      <c r="D2294" s="245" t="s">
        <v>30</v>
      </c>
      <c r="E2294" s="247">
        <v>12.1</v>
      </c>
      <c r="F2294" s="242" t="s">
        <v>504</v>
      </c>
      <c r="G2294" s="242">
        <v>4.5999999999999996</v>
      </c>
      <c r="H2294" s="230">
        <f t="shared" si="46"/>
        <v>55.66</v>
      </c>
    </row>
    <row r="2295" spans="1:8" ht="15.75" x14ac:dyDescent="0.25">
      <c r="A2295" s="244">
        <v>1995</v>
      </c>
      <c r="B2295" s="245" t="s">
        <v>19</v>
      </c>
      <c r="C2295" s="246" t="s">
        <v>20</v>
      </c>
      <c r="D2295" s="245" t="s">
        <v>30</v>
      </c>
      <c r="E2295" s="247">
        <v>10.1</v>
      </c>
      <c r="F2295" s="242" t="s">
        <v>504</v>
      </c>
      <c r="G2295" s="242">
        <v>4.5999999999999996</v>
      </c>
      <c r="H2295" s="230">
        <f t="shared" si="46"/>
        <v>46.459999999999994</v>
      </c>
    </row>
    <row r="2296" spans="1:8" ht="15.75" x14ac:dyDescent="0.25">
      <c r="A2296" s="244">
        <v>1995</v>
      </c>
      <c r="B2296" s="245" t="s">
        <v>19</v>
      </c>
      <c r="C2296" s="246" t="s">
        <v>20</v>
      </c>
      <c r="D2296" s="245" t="s">
        <v>30</v>
      </c>
      <c r="E2296" s="247">
        <v>9.1</v>
      </c>
      <c r="F2296" s="242" t="s">
        <v>504</v>
      </c>
      <c r="G2296" s="242">
        <v>4.5999999999999996</v>
      </c>
      <c r="H2296" s="230">
        <f t="shared" si="46"/>
        <v>41.859999999999992</v>
      </c>
    </row>
    <row r="2297" spans="1:8" ht="15.75" x14ac:dyDescent="0.25">
      <c r="A2297" s="244">
        <v>1995</v>
      </c>
      <c r="B2297" s="245" t="s">
        <v>19</v>
      </c>
      <c r="C2297" s="246" t="s">
        <v>20</v>
      </c>
      <c r="D2297" s="245" t="s">
        <v>30</v>
      </c>
      <c r="E2297" s="247">
        <v>15.1</v>
      </c>
      <c r="F2297" s="242" t="s">
        <v>504</v>
      </c>
      <c r="G2297" s="242">
        <v>4.5999999999999996</v>
      </c>
      <c r="H2297" s="230">
        <f t="shared" si="46"/>
        <v>69.459999999999994</v>
      </c>
    </row>
    <row r="2298" spans="1:8" ht="15.75" x14ac:dyDescent="0.25">
      <c r="A2298" s="244">
        <v>1995</v>
      </c>
      <c r="B2298" s="245" t="s">
        <v>19</v>
      </c>
      <c r="C2298" s="246" t="s">
        <v>20</v>
      </c>
      <c r="D2298" s="245" t="s">
        <v>30</v>
      </c>
      <c r="E2298" s="247">
        <v>11.6</v>
      </c>
      <c r="F2298" s="242" t="s">
        <v>504</v>
      </c>
      <c r="G2298" s="242">
        <v>4.5999999999999996</v>
      </c>
      <c r="H2298" s="230">
        <f t="shared" si="46"/>
        <v>53.359999999999992</v>
      </c>
    </row>
    <row r="2299" spans="1:8" ht="15.75" x14ac:dyDescent="0.25">
      <c r="A2299" s="244">
        <v>1995</v>
      </c>
      <c r="B2299" s="245" t="s">
        <v>19</v>
      </c>
      <c r="C2299" s="246" t="s">
        <v>20</v>
      </c>
      <c r="D2299" s="245" t="s">
        <v>30</v>
      </c>
      <c r="E2299" s="247">
        <v>13.1</v>
      </c>
      <c r="F2299" s="242" t="s">
        <v>504</v>
      </c>
      <c r="G2299" s="242">
        <v>4.5999999999999996</v>
      </c>
      <c r="H2299" s="230">
        <f t="shared" si="46"/>
        <v>60.259999999999991</v>
      </c>
    </row>
    <row r="2300" spans="1:8" ht="15.75" x14ac:dyDescent="0.25">
      <c r="A2300" s="244">
        <v>1995</v>
      </c>
      <c r="B2300" s="245" t="s">
        <v>19</v>
      </c>
      <c r="C2300" s="246" t="s">
        <v>20</v>
      </c>
      <c r="D2300" s="245" t="s">
        <v>30</v>
      </c>
      <c r="E2300" s="247">
        <v>14.1</v>
      </c>
      <c r="F2300" s="242" t="s">
        <v>504</v>
      </c>
      <c r="G2300" s="242">
        <v>4.5999999999999996</v>
      </c>
      <c r="H2300" s="230">
        <f t="shared" si="46"/>
        <v>64.86</v>
      </c>
    </row>
    <row r="2301" spans="1:8" ht="15.75" x14ac:dyDescent="0.25">
      <c r="A2301" s="244">
        <v>1995</v>
      </c>
      <c r="B2301" s="245" t="s">
        <v>19</v>
      </c>
      <c r="C2301" s="246" t="s">
        <v>20</v>
      </c>
      <c r="D2301" s="245" t="s">
        <v>30</v>
      </c>
      <c r="E2301" s="247">
        <v>9.6</v>
      </c>
      <c r="F2301" s="242" t="s">
        <v>504</v>
      </c>
      <c r="G2301" s="242">
        <v>4.5999999999999996</v>
      </c>
      <c r="H2301" s="230">
        <f t="shared" si="46"/>
        <v>44.16</v>
      </c>
    </row>
    <row r="2302" spans="1:8" ht="15.75" x14ac:dyDescent="0.25">
      <c r="A2302" s="244">
        <v>1995</v>
      </c>
      <c r="B2302" s="245" t="s">
        <v>19</v>
      </c>
      <c r="C2302" s="246" t="s">
        <v>20</v>
      </c>
      <c r="D2302" s="245" t="s">
        <v>30</v>
      </c>
      <c r="E2302" s="247">
        <v>9.1</v>
      </c>
      <c r="F2302" s="242" t="s">
        <v>504</v>
      </c>
      <c r="G2302" s="242">
        <v>4.5999999999999996</v>
      </c>
      <c r="H2302" s="230">
        <f t="shared" si="46"/>
        <v>41.859999999999992</v>
      </c>
    </row>
    <row r="2303" spans="1:8" ht="15.75" x14ac:dyDescent="0.25">
      <c r="A2303" s="244">
        <v>1995</v>
      </c>
      <c r="B2303" s="245" t="s">
        <v>19</v>
      </c>
      <c r="C2303" s="246" t="s">
        <v>20</v>
      </c>
      <c r="D2303" s="245" t="s">
        <v>30</v>
      </c>
      <c r="E2303" s="247">
        <v>10.1</v>
      </c>
      <c r="F2303" s="242" t="s">
        <v>504</v>
      </c>
      <c r="G2303" s="242">
        <v>4.5999999999999996</v>
      </c>
      <c r="H2303" s="230">
        <f t="shared" si="46"/>
        <v>46.459999999999994</v>
      </c>
    </row>
    <row r="2304" spans="1:8" ht="15.75" x14ac:dyDescent="0.25">
      <c r="A2304" s="244">
        <v>1995</v>
      </c>
      <c r="B2304" s="245" t="s">
        <v>19</v>
      </c>
      <c r="C2304" s="246" t="s">
        <v>20</v>
      </c>
      <c r="D2304" s="245" t="s">
        <v>35</v>
      </c>
      <c r="E2304" s="247">
        <v>9.1</v>
      </c>
      <c r="F2304" s="242" t="s">
        <v>507</v>
      </c>
      <c r="G2304" s="242">
        <v>3.9</v>
      </c>
      <c r="H2304" s="230">
        <f t="shared" si="46"/>
        <v>35.489999999999995</v>
      </c>
    </row>
    <row r="2305" spans="1:8" ht="15.75" x14ac:dyDescent="0.25">
      <c r="A2305" s="244">
        <v>1995</v>
      </c>
      <c r="B2305" s="245" t="s">
        <v>19</v>
      </c>
      <c r="C2305" s="246" t="s">
        <v>20</v>
      </c>
      <c r="D2305" s="245" t="s">
        <v>21</v>
      </c>
      <c r="E2305" s="247">
        <v>8</v>
      </c>
      <c r="F2305" s="242" t="s">
        <v>507</v>
      </c>
      <c r="G2305" s="242">
        <v>3.9</v>
      </c>
      <c r="H2305" s="230">
        <f t="shared" si="46"/>
        <v>31.2</v>
      </c>
    </row>
    <row r="2306" spans="1:8" ht="15.75" x14ac:dyDescent="0.25">
      <c r="A2306" s="244">
        <v>1995</v>
      </c>
      <c r="B2306" s="245" t="s">
        <v>19</v>
      </c>
      <c r="C2306" s="246" t="s">
        <v>20</v>
      </c>
      <c r="D2306" s="245" t="s">
        <v>21</v>
      </c>
      <c r="E2306" s="247">
        <v>8</v>
      </c>
      <c r="F2306" s="242" t="s">
        <v>507</v>
      </c>
      <c r="G2306" s="242">
        <v>3.9</v>
      </c>
      <c r="H2306" s="230">
        <f t="shared" si="46"/>
        <v>31.2</v>
      </c>
    </row>
    <row r="2307" spans="1:8" ht="15.75" x14ac:dyDescent="0.25">
      <c r="A2307" s="244">
        <v>1995</v>
      </c>
      <c r="B2307" s="245" t="s">
        <v>19</v>
      </c>
      <c r="C2307" s="246" t="s">
        <v>20</v>
      </c>
      <c r="D2307" s="245" t="s">
        <v>21</v>
      </c>
      <c r="E2307" s="247">
        <v>12</v>
      </c>
      <c r="F2307" s="242" t="s">
        <v>507</v>
      </c>
      <c r="G2307" s="242">
        <v>3.9</v>
      </c>
      <c r="H2307" s="230">
        <f t="shared" ref="H2307:H2370" si="47">E2307*G2307</f>
        <v>46.8</v>
      </c>
    </row>
    <row r="2308" spans="1:8" ht="15.75" x14ac:dyDescent="0.25">
      <c r="A2308" s="244">
        <v>1995</v>
      </c>
      <c r="B2308" s="245" t="s">
        <v>19</v>
      </c>
      <c r="C2308" s="246" t="s">
        <v>20</v>
      </c>
      <c r="D2308" s="245" t="s">
        <v>21</v>
      </c>
      <c r="E2308" s="247">
        <v>6.5</v>
      </c>
      <c r="F2308" s="242" t="s">
        <v>507</v>
      </c>
      <c r="G2308" s="242">
        <v>3.9</v>
      </c>
      <c r="H2308" s="230">
        <f t="shared" si="47"/>
        <v>25.349999999999998</v>
      </c>
    </row>
    <row r="2309" spans="1:8" ht="15.75" x14ac:dyDescent="0.25">
      <c r="A2309" s="244">
        <v>1995</v>
      </c>
      <c r="B2309" s="245" t="s">
        <v>19</v>
      </c>
      <c r="C2309" s="246" t="s">
        <v>20</v>
      </c>
      <c r="D2309" s="245" t="s">
        <v>21</v>
      </c>
      <c r="E2309" s="247">
        <v>7.3</v>
      </c>
      <c r="F2309" s="242" t="s">
        <v>507</v>
      </c>
      <c r="G2309" s="242">
        <v>3.9</v>
      </c>
      <c r="H2309" s="230">
        <f t="shared" si="47"/>
        <v>28.47</v>
      </c>
    </row>
    <row r="2310" spans="1:8" ht="15.75" x14ac:dyDescent="0.25">
      <c r="A2310" s="244">
        <v>1995</v>
      </c>
      <c r="B2310" s="245" t="s">
        <v>19</v>
      </c>
      <c r="C2310" s="246" t="s">
        <v>20</v>
      </c>
      <c r="D2310" s="245" t="s">
        <v>21</v>
      </c>
      <c r="E2310" s="247">
        <v>12.3</v>
      </c>
      <c r="F2310" s="242" t="s">
        <v>507</v>
      </c>
      <c r="G2310" s="242">
        <v>3.9</v>
      </c>
      <c r="H2310" s="230">
        <f t="shared" si="47"/>
        <v>47.97</v>
      </c>
    </row>
    <row r="2311" spans="1:8" ht="15.75" x14ac:dyDescent="0.25">
      <c r="A2311" s="244">
        <v>1995</v>
      </c>
      <c r="B2311" s="245" t="s">
        <v>19</v>
      </c>
      <c r="C2311" s="246" t="s">
        <v>20</v>
      </c>
      <c r="D2311" s="245" t="s">
        <v>21</v>
      </c>
      <c r="E2311" s="247">
        <v>12.5</v>
      </c>
      <c r="F2311" s="242" t="s">
        <v>507</v>
      </c>
      <c r="G2311" s="242">
        <v>3.9</v>
      </c>
      <c r="H2311" s="230">
        <f t="shared" si="47"/>
        <v>48.75</v>
      </c>
    </row>
    <row r="2312" spans="1:8" ht="15.75" x14ac:dyDescent="0.25">
      <c r="A2312" s="244">
        <v>1995</v>
      </c>
      <c r="B2312" s="245" t="s">
        <v>19</v>
      </c>
      <c r="C2312" s="246" t="s">
        <v>20</v>
      </c>
      <c r="D2312" s="245" t="s">
        <v>21</v>
      </c>
      <c r="E2312" s="247">
        <v>6.6</v>
      </c>
      <c r="F2312" s="242" t="s">
        <v>507</v>
      </c>
      <c r="G2312" s="242">
        <v>3.9</v>
      </c>
      <c r="H2312" s="230">
        <f t="shared" si="47"/>
        <v>25.74</v>
      </c>
    </row>
    <row r="2313" spans="1:8" ht="15.75" x14ac:dyDescent="0.25">
      <c r="A2313" s="244">
        <v>1995</v>
      </c>
      <c r="B2313" s="245" t="s">
        <v>19</v>
      </c>
      <c r="C2313" s="246" t="s">
        <v>20</v>
      </c>
      <c r="D2313" s="245" t="s">
        <v>21</v>
      </c>
      <c r="E2313" s="247">
        <v>11.6</v>
      </c>
      <c r="F2313" s="242" t="s">
        <v>507</v>
      </c>
      <c r="G2313" s="242">
        <v>3.9</v>
      </c>
      <c r="H2313" s="230">
        <f t="shared" si="47"/>
        <v>45.239999999999995</v>
      </c>
    </row>
    <row r="2314" spans="1:8" ht="15.75" x14ac:dyDescent="0.25">
      <c r="A2314" s="244">
        <v>1995</v>
      </c>
      <c r="B2314" s="245" t="s">
        <v>19</v>
      </c>
      <c r="C2314" s="246" t="s">
        <v>20</v>
      </c>
      <c r="D2314" s="245" t="s">
        <v>21</v>
      </c>
      <c r="E2314" s="247">
        <v>11.6</v>
      </c>
      <c r="F2314" s="242" t="s">
        <v>507</v>
      </c>
      <c r="G2314" s="242">
        <v>3.9</v>
      </c>
      <c r="H2314" s="230">
        <f t="shared" si="47"/>
        <v>45.239999999999995</v>
      </c>
    </row>
    <row r="2315" spans="1:8" ht="15.75" x14ac:dyDescent="0.25">
      <c r="A2315" s="244">
        <v>1995</v>
      </c>
      <c r="B2315" s="245" t="s">
        <v>19</v>
      </c>
      <c r="C2315" s="246" t="s">
        <v>20</v>
      </c>
      <c r="D2315" s="245" t="s">
        <v>21</v>
      </c>
      <c r="E2315" s="247">
        <v>10.6</v>
      </c>
      <c r="F2315" s="242" t="s">
        <v>507</v>
      </c>
      <c r="G2315" s="242">
        <v>3.9</v>
      </c>
      <c r="H2315" s="230">
        <f t="shared" si="47"/>
        <v>41.339999999999996</v>
      </c>
    </row>
    <row r="2316" spans="1:8" ht="15.75" x14ac:dyDescent="0.25">
      <c r="A2316" s="244">
        <v>1995</v>
      </c>
      <c r="B2316" s="245" t="s">
        <v>19</v>
      </c>
      <c r="C2316" s="246" t="s">
        <v>20</v>
      </c>
      <c r="D2316" s="245" t="s">
        <v>21</v>
      </c>
      <c r="E2316" s="247">
        <v>11.1</v>
      </c>
      <c r="F2316" s="242" t="s">
        <v>507</v>
      </c>
      <c r="G2316" s="242">
        <v>3.9</v>
      </c>
      <c r="H2316" s="230">
        <f t="shared" si="47"/>
        <v>43.29</v>
      </c>
    </row>
    <row r="2317" spans="1:8" ht="15.75" x14ac:dyDescent="0.25">
      <c r="A2317" s="244">
        <v>1995</v>
      </c>
      <c r="B2317" s="245" t="s">
        <v>19</v>
      </c>
      <c r="C2317" s="246" t="s">
        <v>20</v>
      </c>
      <c r="D2317" s="245" t="s">
        <v>21</v>
      </c>
      <c r="E2317" s="247">
        <v>10.1</v>
      </c>
      <c r="F2317" s="242" t="s">
        <v>507</v>
      </c>
      <c r="G2317" s="242">
        <v>3.9</v>
      </c>
      <c r="H2317" s="230">
        <f t="shared" si="47"/>
        <v>39.39</v>
      </c>
    </row>
    <row r="2318" spans="1:8" ht="15.75" x14ac:dyDescent="0.25">
      <c r="A2318" s="244">
        <v>1995</v>
      </c>
      <c r="B2318" s="245" t="s">
        <v>19</v>
      </c>
      <c r="C2318" s="246" t="s">
        <v>20</v>
      </c>
      <c r="D2318" s="245" t="s">
        <v>21</v>
      </c>
      <c r="E2318" s="247">
        <v>9.6</v>
      </c>
      <c r="F2318" s="242" t="s">
        <v>507</v>
      </c>
      <c r="G2318" s="242">
        <v>3.9</v>
      </c>
      <c r="H2318" s="230">
        <f t="shared" si="47"/>
        <v>37.44</v>
      </c>
    </row>
    <row r="2319" spans="1:8" ht="15.75" x14ac:dyDescent="0.25">
      <c r="A2319" s="244">
        <v>1995</v>
      </c>
      <c r="B2319" s="245" t="s">
        <v>19</v>
      </c>
      <c r="C2319" s="246" t="s">
        <v>20</v>
      </c>
      <c r="D2319" s="245" t="s">
        <v>21</v>
      </c>
      <c r="E2319" s="247">
        <v>6.6</v>
      </c>
      <c r="F2319" s="242" t="s">
        <v>507</v>
      </c>
      <c r="G2319" s="242">
        <v>3.9</v>
      </c>
      <c r="H2319" s="230">
        <f t="shared" si="47"/>
        <v>25.74</v>
      </c>
    </row>
    <row r="2320" spans="1:8" ht="15.75" x14ac:dyDescent="0.25">
      <c r="A2320" s="244">
        <v>1995</v>
      </c>
      <c r="B2320" s="245" t="s">
        <v>19</v>
      </c>
      <c r="C2320" s="246" t="s">
        <v>20</v>
      </c>
      <c r="D2320" s="245" t="s">
        <v>21</v>
      </c>
      <c r="E2320" s="247">
        <v>17.399999999999999</v>
      </c>
      <c r="F2320" s="242" t="s">
        <v>507</v>
      </c>
      <c r="G2320" s="242">
        <v>3.9</v>
      </c>
      <c r="H2320" s="230">
        <f t="shared" si="47"/>
        <v>67.86</v>
      </c>
    </row>
    <row r="2321" spans="1:8" ht="15.75" x14ac:dyDescent="0.25">
      <c r="A2321" s="244">
        <v>1995</v>
      </c>
      <c r="B2321" s="245" t="s">
        <v>19</v>
      </c>
      <c r="C2321" s="246" t="s">
        <v>20</v>
      </c>
      <c r="D2321" s="245" t="s">
        <v>21</v>
      </c>
      <c r="E2321" s="247">
        <v>12.6</v>
      </c>
      <c r="F2321" s="242" t="s">
        <v>507</v>
      </c>
      <c r="G2321" s="242">
        <v>3.9</v>
      </c>
      <c r="H2321" s="230">
        <f t="shared" si="47"/>
        <v>49.14</v>
      </c>
    </row>
    <row r="2322" spans="1:8" ht="15.75" x14ac:dyDescent="0.25">
      <c r="A2322" s="244">
        <v>1995</v>
      </c>
      <c r="B2322" s="245" t="s">
        <v>19</v>
      </c>
      <c r="C2322" s="246" t="s">
        <v>20</v>
      </c>
      <c r="D2322" s="245" t="s">
        <v>21</v>
      </c>
      <c r="E2322" s="247">
        <v>9.1</v>
      </c>
      <c r="F2322" s="242" t="s">
        <v>507</v>
      </c>
      <c r="G2322" s="242">
        <v>3.9</v>
      </c>
      <c r="H2322" s="230">
        <f t="shared" si="47"/>
        <v>35.489999999999995</v>
      </c>
    </row>
    <row r="2323" spans="1:8" ht="15.75" x14ac:dyDescent="0.25">
      <c r="A2323" s="244">
        <v>1995</v>
      </c>
      <c r="B2323" s="245" t="s">
        <v>19</v>
      </c>
      <c r="C2323" s="246" t="s">
        <v>20</v>
      </c>
      <c r="D2323" s="245" t="s">
        <v>21</v>
      </c>
      <c r="E2323" s="247">
        <v>8.6</v>
      </c>
      <c r="F2323" s="242" t="s">
        <v>507</v>
      </c>
      <c r="G2323" s="242">
        <v>3.9</v>
      </c>
      <c r="H2323" s="230">
        <f t="shared" si="47"/>
        <v>33.54</v>
      </c>
    </row>
    <row r="2324" spans="1:8" ht="15.75" x14ac:dyDescent="0.25">
      <c r="A2324" s="244">
        <v>1995</v>
      </c>
      <c r="B2324" s="245" t="s">
        <v>19</v>
      </c>
      <c r="C2324" s="246" t="s">
        <v>20</v>
      </c>
      <c r="D2324" s="245" t="s">
        <v>21</v>
      </c>
      <c r="E2324" s="247">
        <v>16.100000000000001</v>
      </c>
      <c r="F2324" s="242" t="s">
        <v>507</v>
      </c>
      <c r="G2324" s="242">
        <v>3.9</v>
      </c>
      <c r="H2324" s="230">
        <f t="shared" si="47"/>
        <v>62.790000000000006</v>
      </c>
    </row>
    <row r="2325" spans="1:8" ht="15.75" x14ac:dyDescent="0.25">
      <c r="A2325" s="244">
        <v>1995</v>
      </c>
      <c r="B2325" s="245" t="s">
        <v>19</v>
      </c>
      <c r="C2325" s="246" t="s">
        <v>20</v>
      </c>
      <c r="D2325" s="245" t="s">
        <v>21</v>
      </c>
      <c r="E2325" s="247">
        <v>14.1</v>
      </c>
      <c r="F2325" s="242" t="s">
        <v>507</v>
      </c>
      <c r="G2325" s="242">
        <v>3.9</v>
      </c>
      <c r="H2325" s="230">
        <f t="shared" si="47"/>
        <v>54.989999999999995</v>
      </c>
    </row>
    <row r="2326" spans="1:8" ht="15.75" x14ac:dyDescent="0.25">
      <c r="A2326" s="244">
        <v>1995</v>
      </c>
      <c r="B2326" s="245" t="s">
        <v>19</v>
      </c>
      <c r="C2326" s="246" t="s">
        <v>20</v>
      </c>
      <c r="D2326" s="245" t="s">
        <v>21</v>
      </c>
      <c r="E2326" s="247">
        <v>12.1</v>
      </c>
      <c r="F2326" s="242" t="s">
        <v>507</v>
      </c>
      <c r="G2326" s="242">
        <v>3.9</v>
      </c>
      <c r="H2326" s="230">
        <f t="shared" si="47"/>
        <v>47.19</v>
      </c>
    </row>
    <row r="2327" spans="1:8" ht="15.75" x14ac:dyDescent="0.25">
      <c r="A2327" s="244">
        <v>1995</v>
      </c>
      <c r="B2327" s="245" t="s">
        <v>19</v>
      </c>
      <c r="C2327" s="246" t="s">
        <v>20</v>
      </c>
      <c r="D2327" s="245" t="s">
        <v>21</v>
      </c>
      <c r="E2327" s="247">
        <v>11.1</v>
      </c>
      <c r="F2327" s="242" t="s">
        <v>507</v>
      </c>
      <c r="G2327" s="242">
        <v>3.9</v>
      </c>
      <c r="H2327" s="230">
        <f t="shared" si="47"/>
        <v>43.29</v>
      </c>
    </row>
    <row r="2328" spans="1:8" ht="15.75" x14ac:dyDescent="0.25">
      <c r="A2328" s="244">
        <v>1995</v>
      </c>
      <c r="B2328" s="245" t="s">
        <v>19</v>
      </c>
      <c r="C2328" s="246" t="s">
        <v>34</v>
      </c>
      <c r="D2328" s="245" t="s">
        <v>41</v>
      </c>
      <c r="E2328" s="247">
        <v>17.5</v>
      </c>
      <c r="F2328" s="242" t="s">
        <v>508</v>
      </c>
      <c r="G2328" s="242">
        <v>3.8</v>
      </c>
      <c r="H2328" s="230">
        <f t="shared" si="47"/>
        <v>66.5</v>
      </c>
    </row>
    <row r="2329" spans="1:8" ht="15.75" x14ac:dyDescent="0.25">
      <c r="A2329" s="244">
        <v>1995</v>
      </c>
      <c r="B2329" s="245" t="s">
        <v>19</v>
      </c>
      <c r="C2329" s="246" t="s">
        <v>34</v>
      </c>
      <c r="D2329" s="245" t="s">
        <v>41</v>
      </c>
      <c r="E2329" s="247">
        <v>15.1</v>
      </c>
      <c r="F2329" s="242" t="s">
        <v>508</v>
      </c>
      <c r="G2329" s="242">
        <v>3.8</v>
      </c>
      <c r="H2329" s="230">
        <f t="shared" si="47"/>
        <v>57.379999999999995</v>
      </c>
    </row>
    <row r="2330" spans="1:8" ht="15.75" x14ac:dyDescent="0.25">
      <c r="A2330" s="244">
        <v>1995</v>
      </c>
      <c r="B2330" s="245" t="s">
        <v>19</v>
      </c>
      <c r="C2330" s="246" t="s">
        <v>34</v>
      </c>
      <c r="D2330" s="245" t="s">
        <v>41</v>
      </c>
      <c r="E2330" s="247">
        <v>17.100000000000001</v>
      </c>
      <c r="F2330" s="242" t="s">
        <v>508</v>
      </c>
      <c r="G2330" s="242">
        <v>3.8</v>
      </c>
      <c r="H2330" s="230">
        <f t="shared" si="47"/>
        <v>64.98</v>
      </c>
    </row>
    <row r="2331" spans="1:8" ht="15.75" x14ac:dyDescent="0.25">
      <c r="A2331" s="244">
        <v>1995</v>
      </c>
      <c r="B2331" s="245" t="s">
        <v>19</v>
      </c>
      <c r="C2331" s="246" t="s">
        <v>34</v>
      </c>
      <c r="D2331" s="245" t="s">
        <v>41</v>
      </c>
      <c r="E2331" s="247">
        <v>17.100000000000001</v>
      </c>
      <c r="F2331" s="242" t="s">
        <v>508</v>
      </c>
      <c r="G2331" s="242">
        <v>3.8</v>
      </c>
      <c r="H2331" s="230">
        <f t="shared" si="47"/>
        <v>64.98</v>
      </c>
    </row>
    <row r="2332" spans="1:8" ht="15.75" x14ac:dyDescent="0.25">
      <c r="A2332" s="244">
        <v>1995</v>
      </c>
      <c r="B2332" s="245" t="s">
        <v>19</v>
      </c>
      <c r="C2332" s="246" t="s">
        <v>34</v>
      </c>
      <c r="D2332" s="245" t="s">
        <v>41</v>
      </c>
      <c r="E2332" s="247">
        <v>19.100000000000001</v>
      </c>
      <c r="F2332" s="242" t="s">
        <v>508</v>
      </c>
      <c r="G2332" s="242">
        <v>3.8</v>
      </c>
      <c r="H2332" s="230">
        <f t="shared" si="47"/>
        <v>72.58</v>
      </c>
    </row>
    <row r="2333" spans="1:8" ht="15.75" x14ac:dyDescent="0.25">
      <c r="A2333" s="244">
        <v>1995</v>
      </c>
      <c r="B2333" s="245" t="s">
        <v>19</v>
      </c>
      <c r="C2333" s="246" t="s">
        <v>34</v>
      </c>
      <c r="D2333" s="245" t="s">
        <v>41</v>
      </c>
      <c r="E2333" s="247">
        <v>16.5</v>
      </c>
      <c r="F2333" s="242" t="s">
        <v>508</v>
      </c>
      <c r="G2333" s="242">
        <v>3.8</v>
      </c>
      <c r="H2333" s="230">
        <f t="shared" si="47"/>
        <v>62.699999999999996</v>
      </c>
    </row>
    <row r="2334" spans="1:8" ht="15.75" x14ac:dyDescent="0.25">
      <c r="A2334" s="244">
        <v>1995</v>
      </c>
      <c r="B2334" s="245" t="s">
        <v>19</v>
      </c>
      <c r="C2334" s="246" t="s">
        <v>34</v>
      </c>
      <c r="D2334" s="245" t="s">
        <v>41</v>
      </c>
      <c r="E2334" s="247">
        <v>19.100000000000001</v>
      </c>
      <c r="F2334" s="242" t="s">
        <v>508</v>
      </c>
      <c r="G2334" s="242">
        <v>3.8</v>
      </c>
      <c r="H2334" s="230">
        <f t="shared" si="47"/>
        <v>72.58</v>
      </c>
    </row>
    <row r="2335" spans="1:8" ht="15.75" x14ac:dyDescent="0.25">
      <c r="A2335" s="244">
        <v>1995</v>
      </c>
      <c r="B2335" s="245" t="s">
        <v>19</v>
      </c>
      <c r="C2335" s="246" t="s">
        <v>34</v>
      </c>
      <c r="D2335" s="245" t="s">
        <v>41</v>
      </c>
      <c r="E2335" s="247">
        <v>13.1</v>
      </c>
      <c r="F2335" s="242" t="s">
        <v>508</v>
      </c>
      <c r="G2335" s="242">
        <v>3.8</v>
      </c>
      <c r="H2335" s="230">
        <f t="shared" si="47"/>
        <v>49.779999999999994</v>
      </c>
    </row>
    <row r="2336" spans="1:8" ht="15.75" x14ac:dyDescent="0.25">
      <c r="A2336" s="244">
        <v>1995</v>
      </c>
      <c r="B2336" s="245" t="s">
        <v>19</v>
      </c>
      <c r="C2336" s="246" t="s">
        <v>34</v>
      </c>
      <c r="D2336" s="245" t="s">
        <v>41</v>
      </c>
      <c r="E2336" s="247">
        <v>18.5</v>
      </c>
      <c r="F2336" s="242" t="s">
        <v>508</v>
      </c>
      <c r="G2336" s="242">
        <v>3.8</v>
      </c>
      <c r="H2336" s="230">
        <f t="shared" si="47"/>
        <v>70.3</v>
      </c>
    </row>
    <row r="2337" spans="1:8" ht="15.75" x14ac:dyDescent="0.25">
      <c r="A2337" s="244">
        <v>1995</v>
      </c>
      <c r="B2337" s="245" t="s">
        <v>19</v>
      </c>
      <c r="C2337" s="246" t="s">
        <v>34</v>
      </c>
      <c r="D2337" s="245" t="s">
        <v>41</v>
      </c>
      <c r="E2337" s="247">
        <v>18.600000000000001</v>
      </c>
      <c r="F2337" s="242" t="s">
        <v>508</v>
      </c>
      <c r="G2337" s="242">
        <v>3.8</v>
      </c>
      <c r="H2337" s="230">
        <f t="shared" si="47"/>
        <v>70.680000000000007</v>
      </c>
    </row>
    <row r="2338" spans="1:8" ht="15.75" x14ac:dyDescent="0.25">
      <c r="A2338" s="244">
        <v>1995</v>
      </c>
      <c r="B2338" s="245" t="s">
        <v>19</v>
      </c>
      <c r="C2338" s="246" t="s">
        <v>34</v>
      </c>
      <c r="D2338" s="245" t="s">
        <v>41</v>
      </c>
      <c r="E2338" s="247">
        <v>24.1</v>
      </c>
      <c r="F2338" s="242" t="s">
        <v>508</v>
      </c>
      <c r="G2338" s="242">
        <v>3.8</v>
      </c>
      <c r="H2338" s="230">
        <f t="shared" si="47"/>
        <v>91.58</v>
      </c>
    </row>
    <row r="2339" spans="1:8" ht="15.75" x14ac:dyDescent="0.25">
      <c r="A2339" s="244">
        <v>1995</v>
      </c>
      <c r="B2339" s="245" t="s">
        <v>19</v>
      </c>
      <c r="C2339" s="246" t="s">
        <v>34</v>
      </c>
      <c r="D2339" s="245" t="s">
        <v>41</v>
      </c>
      <c r="E2339" s="247">
        <v>17.600000000000001</v>
      </c>
      <c r="F2339" s="242" t="s">
        <v>508</v>
      </c>
      <c r="G2339" s="242">
        <v>3.8</v>
      </c>
      <c r="H2339" s="230">
        <f t="shared" si="47"/>
        <v>66.88</v>
      </c>
    </row>
    <row r="2340" spans="1:8" ht="15.75" x14ac:dyDescent="0.25">
      <c r="A2340" s="244">
        <v>1994</v>
      </c>
      <c r="B2340" s="245" t="s">
        <v>19</v>
      </c>
      <c r="C2340" s="246" t="s">
        <v>20</v>
      </c>
      <c r="D2340" s="245" t="s">
        <v>30</v>
      </c>
      <c r="E2340" s="247">
        <v>14.5</v>
      </c>
      <c r="F2340" s="242" t="s">
        <v>504</v>
      </c>
      <c r="G2340" s="242">
        <v>4.5999999999999996</v>
      </c>
      <c r="H2340" s="230">
        <f t="shared" si="47"/>
        <v>66.699999999999989</v>
      </c>
    </row>
    <row r="2341" spans="1:8" ht="15.75" x14ac:dyDescent="0.25">
      <c r="A2341" s="244">
        <v>1994</v>
      </c>
      <c r="B2341" s="245" t="s">
        <v>19</v>
      </c>
      <c r="C2341" s="246" t="s">
        <v>20</v>
      </c>
      <c r="D2341" s="245" t="s">
        <v>30</v>
      </c>
      <c r="E2341" s="247">
        <v>20</v>
      </c>
      <c r="F2341" s="242" t="s">
        <v>504</v>
      </c>
      <c r="G2341" s="242">
        <v>4.5999999999999996</v>
      </c>
      <c r="H2341" s="230">
        <f t="shared" si="47"/>
        <v>92</v>
      </c>
    </row>
    <row r="2342" spans="1:8" ht="15.75" x14ac:dyDescent="0.25">
      <c r="A2342" s="244">
        <v>1994</v>
      </c>
      <c r="B2342" s="245" t="s">
        <v>19</v>
      </c>
      <c r="C2342" s="246" t="s">
        <v>20</v>
      </c>
      <c r="D2342" s="245" t="s">
        <v>30</v>
      </c>
      <c r="E2342" s="247">
        <v>23</v>
      </c>
      <c r="F2342" s="242" t="s">
        <v>504</v>
      </c>
      <c r="G2342" s="242">
        <v>4.5999999999999996</v>
      </c>
      <c r="H2342" s="230">
        <f t="shared" si="47"/>
        <v>105.8</v>
      </c>
    </row>
    <row r="2343" spans="1:8" ht="15.75" x14ac:dyDescent="0.25">
      <c r="A2343" s="244">
        <v>1994</v>
      </c>
      <c r="B2343" s="245" t="s">
        <v>19</v>
      </c>
      <c r="C2343" s="246" t="s">
        <v>20</v>
      </c>
      <c r="D2343" s="245" t="s">
        <v>30</v>
      </c>
      <c r="E2343" s="247">
        <v>16.8</v>
      </c>
      <c r="F2343" s="242" t="s">
        <v>504</v>
      </c>
      <c r="G2343" s="242">
        <v>4.5999999999999996</v>
      </c>
      <c r="H2343" s="230">
        <f t="shared" si="47"/>
        <v>77.28</v>
      </c>
    </row>
    <row r="2344" spans="1:8" ht="15.75" x14ac:dyDescent="0.25">
      <c r="A2344" s="244">
        <v>1994</v>
      </c>
      <c r="B2344" s="245" t="s">
        <v>19</v>
      </c>
      <c r="C2344" s="246" t="s">
        <v>20</v>
      </c>
      <c r="D2344" s="245" t="s">
        <v>30</v>
      </c>
      <c r="E2344" s="247">
        <v>15.5</v>
      </c>
      <c r="F2344" s="242" t="s">
        <v>504</v>
      </c>
      <c r="G2344" s="242">
        <v>4.5999999999999996</v>
      </c>
      <c r="H2344" s="230">
        <f t="shared" si="47"/>
        <v>71.3</v>
      </c>
    </row>
    <row r="2345" spans="1:8" ht="15.75" x14ac:dyDescent="0.25">
      <c r="A2345" s="244">
        <v>1994</v>
      </c>
      <c r="B2345" s="245" t="s">
        <v>19</v>
      </c>
      <c r="C2345" s="246" t="s">
        <v>20</v>
      </c>
      <c r="D2345" s="245" t="s">
        <v>30</v>
      </c>
      <c r="E2345" s="247">
        <v>9.5</v>
      </c>
      <c r="F2345" s="242" t="s">
        <v>504</v>
      </c>
      <c r="G2345" s="242">
        <v>4.5999999999999996</v>
      </c>
      <c r="H2345" s="230">
        <f t="shared" si="47"/>
        <v>43.699999999999996</v>
      </c>
    </row>
    <row r="2346" spans="1:8" ht="15.75" x14ac:dyDescent="0.25">
      <c r="A2346" s="244">
        <v>1994</v>
      </c>
      <c r="B2346" s="245" t="s">
        <v>19</v>
      </c>
      <c r="C2346" s="246" t="s">
        <v>20</v>
      </c>
      <c r="D2346" s="245" t="s">
        <v>30</v>
      </c>
      <c r="E2346" s="247">
        <v>13.5</v>
      </c>
      <c r="F2346" s="242" t="s">
        <v>504</v>
      </c>
      <c r="G2346" s="242">
        <v>4.5999999999999996</v>
      </c>
      <c r="H2346" s="230">
        <f t="shared" si="47"/>
        <v>62.099999999999994</v>
      </c>
    </row>
    <row r="2347" spans="1:8" ht="15.75" x14ac:dyDescent="0.25">
      <c r="A2347" s="244">
        <v>1994</v>
      </c>
      <c r="B2347" s="245" t="s">
        <v>19</v>
      </c>
      <c r="C2347" s="246" t="s">
        <v>20</v>
      </c>
      <c r="D2347" s="245" t="s">
        <v>30</v>
      </c>
      <c r="E2347" s="247">
        <v>17.5</v>
      </c>
      <c r="F2347" s="242" t="s">
        <v>504</v>
      </c>
      <c r="G2347" s="242">
        <v>4.5999999999999996</v>
      </c>
      <c r="H2347" s="230">
        <f t="shared" si="47"/>
        <v>80.5</v>
      </c>
    </row>
    <row r="2348" spans="1:8" ht="15.75" x14ac:dyDescent="0.25">
      <c r="A2348" s="244">
        <v>1994</v>
      </c>
      <c r="B2348" s="245" t="s">
        <v>19</v>
      </c>
      <c r="C2348" s="246" t="s">
        <v>20</v>
      </c>
      <c r="D2348" s="245" t="s">
        <v>30</v>
      </c>
      <c r="E2348" s="247">
        <v>16</v>
      </c>
      <c r="F2348" s="242" t="s">
        <v>504</v>
      </c>
      <c r="G2348" s="242">
        <v>4.5999999999999996</v>
      </c>
      <c r="H2348" s="230">
        <f t="shared" si="47"/>
        <v>73.599999999999994</v>
      </c>
    </row>
    <row r="2349" spans="1:8" ht="15.75" x14ac:dyDescent="0.25">
      <c r="A2349" s="244">
        <v>1994</v>
      </c>
      <c r="B2349" s="245" t="s">
        <v>19</v>
      </c>
      <c r="C2349" s="246" t="s">
        <v>20</v>
      </c>
      <c r="D2349" s="245" t="s">
        <v>30</v>
      </c>
      <c r="E2349" s="247">
        <v>13</v>
      </c>
      <c r="F2349" s="242" t="s">
        <v>504</v>
      </c>
      <c r="G2349" s="242">
        <v>4.5999999999999996</v>
      </c>
      <c r="H2349" s="230">
        <f t="shared" si="47"/>
        <v>59.8</v>
      </c>
    </row>
    <row r="2350" spans="1:8" ht="15.75" x14ac:dyDescent="0.25">
      <c r="A2350" s="244">
        <v>1994</v>
      </c>
      <c r="B2350" s="245" t="s">
        <v>19</v>
      </c>
      <c r="C2350" s="246" t="s">
        <v>20</v>
      </c>
      <c r="D2350" s="245" t="s">
        <v>30</v>
      </c>
      <c r="E2350" s="247">
        <v>13</v>
      </c>
      <c r="F2350" s="242" t="s">
        <v>504</v>
      </c>
      <c r="G2350" s="242">
        <v>4.5999999999999996</v>
      </c>
      <c r="H2350" s="230">
        <f t="shared" si="47"/>
        <v>59.8</v>
      </c>
    </row>
    <row r="2351" spans="1:8" ht="15.75" x14ac:dyDescent="0.25">
      <c r="A2351" s="244">
        <v>1994</v>
      </c>
      <c r="B2351" s="245" t="s">
        <v>19</v>
      </c>
      <c r="C2351" s="246" t="s">
        <v>20</v>
      </c>
      <c r="D2351" s="245" t="s">
        <v>30</v>
      </c>
      <c r="E2351" s="247">
        <v>16</v>
      </c>
      <c r="F2351" s="242" t="s">
        <v>504</v>
      </c>
      <c r="G2351" s="242">
        <v>4.5999999999999996</v>
      </c>
      <c r="H2351" s="230">
        <f t="shared" si="47"/>
        <v>73.599999999999994</v>
      </c>
    </row>
    <row r="2352" spans="1:8" ht="15.75" x14ac:dyDescent="0.25">
      <c r="A2352" s="244">
        <v>1994</v>
      </c>
      <c r="B2352" s="245" t="s">
        <v>19</v>
      </c>
      <c r="C2352" s="246" t="s">
        <v>20</v>
      </c>
      <c r="D2352" s="245" t="s">
        <v>30</v>
      </c>
      <c r="E2352" s="247">
        <v>13</v>
      </c>
      <c r="F2352" s="242" t="s">
        <v>504</v>
      </c>
      <c r="G2352" s="242">
        <v>4.5999999999999996</v>
      </c>
      <c r="H2352" s="230">
        <f t="shared" si="47"/>
        <v>59.8</v>
      </c>
    </row>
    <row r="2353" spans="1:8" ht="15.75" x14ac:dyDescent="0.25">
      <c r="A2353" s="244">
        <v>1994</v>
      </c>
      <c r="B2353" s="245" t="s">
        <v>19</v>
      </c>
      <c r="C2353" s="246" t="s">
        <v>20</v>
      </c>
      <c r="D2353" s="245" t="s">
        <v>30</v>
      </c>
      <c r="E2353" s="247">
        <v>16.5</v>
      </c>
      <c r="F2353" s="242" t="s">
        <v>504</v>
      </c>
      <c r="G2353" s="242">
        <v>4.5999999999999996</v>
      </c>
      <c r="H2353" s="230">
        <f t="shared" si="47"/>
        <v>75.899999999999991</v>
      </c>
    </row>
    <row r="2354" spans="1:8" ht="15.75" x14ac:dyDescent="0.25">
      <c r="A2354" s="244">
        <v>1994</v>
      </c>
      <c r="B2354" s="245" t="s">
        <v>19</v>
      </c>
      <c r="C2354" s="246" t="s">
        <v>20</v>
      </c>
      <c r="D2354" s="245" t="s">
        <v>30</v>
      </c>
      <c r="E2354" s="247">
        <v>12.5</v>
      </c>
      <c r="F2354" s="242" t="s">
        <v>504</v>
      </c>
      <c r="G2354" s="242">
        <v>4.5999999999999996</v>
      </c>
      <c r="H2354" s="230">
        <f t="shared" si="47"/>
        <v>57.499999999999993</v>
      </c>
    </row>
    <row r="2355" spans="1:8" ht="15.75" x14ac:dyDescent="0.25">
      <c r="A2355" s="244">
        <v>1994</v>
      </c>
      <c r="B2355" s="245" t="s">
        <v>19</v>
      </c>
      <c r="C2355" s="246" t="s">
        <v>20</v>
      </c>
      <c r="D2355" s="245" t="s">
        <v>30</v>
      </c>
      <c r="E2355" s="247">
        <v>11.5</v>
      </c>
      <c r="F2355" s="242" t="s">
        <v>504</v>
      </c>
      <c r="G2355" s="242">
        <v>4.5999999999999996</v>
      </c>
      <c r="H2355" s="230">
        <f t="shared" si="47"/>
        <v>52.9</v>
      </c>
    </row>
    <row r="2356" spans="1:8" ht="15.75" x14ac:dyDescent="0.25">
      <c r="A2356" s="244">
        <v>1994</v>
      </c>
      <c r="B2356" s="245" t="s">
        <v>19</v>
      </c>
      <c r="C2356" s="246" t="s">
        <v>20</v>
      </c>
      <c r="D2356" s="245" t="s">
        <v>30</v>
      </c>
      <c r="E2356" s="247">
        <v>10</v>
      </c>
      <c r="F2356" s="242" t="s">
        <v>504</v>
      </c>
      <c r="G2356" s="242">
        <v>4.5999999999999996</v>
      </c>
      <c r="H2356" s="230">
        <f t="shared" si="47"/>
        <v>46</v>
      </c>
    </row>
    <row r="2357" spans="1:8" ht="15.75" x14ac:dyDescent="0.25">
      <c r="A2357" s="244">
        <v>1994</v>
      </c>
      <c r="B2357" s="245" t="s">
        <v>19</v>
      </c>
      <c r="C2357" s="246" t="s">
        <v>20</v>
      </c>
      <c r="D2357" s="245" t="s">
        <v>30</v>
      </c>
      <c r="E2357" s="247">
        <v>12</v>
      </c>
      <c r="F2357" s="242" t="s">
        <v>504</v>
      </c>
      <c r="G2357" s="242">
        <v>4.5999999999999996</v>
      </c>
      <c r="H2357" s="230">
        <f t="shared" si="47"/>
        <v>55.199999999999996</v>
      </c>
    </row>
    <row r="2358" spans="1:8" ht="15.75" x14ac:dyDescent="0.25">
      <c r="A2358" s="244">
        <v>1994</v>
      </c>
      <c r="B2358" s="245" t="s">
        <v>19</v>
      </c>
      <c r="C2358" s="246" t="s">
        <v>20</v>
      </c>
      <c r="D2358" s="245" t="s">
        <v>30</v>
      </c>
      <c r="E2358" s="247">
        <v>19.5</v>
      </c>
      <c r="F2358" s="242" t="s">
        <v>504</v>
      </c>
      <c r="G2358" s="242">
        <v>4.5999999999999996</v>
      </c>
      <c r="H2358" s="230">
        <f t="shared" si="47"/>
        <v>89.699999999999989</v>
      </c>
    </row>
    <row r="2359" spans="1:8" ht="15.75" x14ac:dyDescent="0.25">
      <c r="A2359" s="244">
        <v>1994</v>
      </c>
      <c r="B2359" s="245" t="s">
        <v>19</v>
      </c>
      <c r="C2359" s="246" t="s">
        <v>20</v>
      </c>
      <c r="D2359" s="245" t="s">
        <v>30</v>
      </c>
      <c r="E2359" s="247">
        <v>12.5</v>
      </c>
      <c r="F2359" s="242" t="s">
        <v>504</v>
      </c>
      <c r="G2359" s="242">
        <v>4.5999999999999996</v>
      </c>
      <c r="H2359" s="230">
        <f t="shared" si="47"/>
        <v>57.499999999999993</v>
      </c>
    </row>
    <row r="2360" spans="1:8" ht="15.75" x14ac:dyDescent="0.25">
      <c r="A2360" s="244">
        <v>1994</v>
      </c>
      <c r="B2360" s="245" t="s">
        <v>19</v>
      </c>
      <c r="C2360" s="246" t="s">
        <v>20</v>
      </c>
      <c r="D2360" s="245" t="s">
        <v>30</v>
      </c>
      <c r="E2360" s="247">
        <v>9.5</v>
      </c>
      <c r="F2360" s="242" t="s">
        <v>504</v>
      </c>
      <c r="G2360" s="242">
        <v>4.5999999999999996</v>
      </c>
      <c r="H2360" s="230">
        <f t="shared" si="47"/>
        <v>43.699999999999996</v>
      </c>
    </row>
    <row r="2361" spans="1:8" ht="15.75" x14ac:dyDescent="0.25">
      <c r="A2361" s="244">
        <v>1994</v>
      </c>
      <c r="B2361" s="245" t="s">
        <v>19</v>
      </c>
      <c r="C2361" s="246" t="s">
        <v>20</v>
      </c>
      <c r="D2361" s="245" t="s">
        <v>30</v>
      </c>
      <c r="E2361" s="247">
        <v>18</v>
      </c>
      <c r="F2361" s="242" t="s">
        <v>504</v>
      </c>
      <c r="G2361" s="242">
        <v>4.5999999999999996</v>
      </c>
      <c r="H2361" s="230">
        <f t="shared" si="47"/>
        <v>82.8</v>
      </c>
    </row>
    <row r="2362" spans="1:8" ht="15.75" x14ac:dyDescent="0.25">
      <c r="A2362" s="244">
        <v>1994</v>
      </c>
      <c r="B2362" s="245" t="s">
        <v>19</v>
      </c>
      <c r="C2362" s="246" t="s">
        <v>20</v>
      </c>
      <c r="D2362" s="245" t="s">
        <v>30</v>
      </c>
      <c r="E2362" s="247">
        <v>7</v>
      </c>
      <c r="F2362" s="242" t="s">
        <v>504</v>
      </c>
      <c r="G2362" s="242">
        <v>4.5999999999999996</v>
      </c>
      <c r="H2362" s="230">
        <f t="shared" si="47"/>
        <v>32.199999999999996</v>
      </c>
    </row>
    <row r="2363" spans="1:8" ht="15.75" x14ac:dyDescent="0.25">
      <c r="A2363" s="244">
        <v>1994</v>
      </c>
      <c r="B2363" s="245" t="s">
        <v>19</v>
      </c>
      <c r="C2363" s="246" t="s">
        <v>20</v>
      </c>
      <c r="D2363" s="245" t="s">
        <v>30</v>
      </c>
      <c r="E2363" s="247">
        <v>14</v>
      </c>
      <c r="F2363" s="242" t="s">
        <v>504</v>
      </c>
      <c r="G2363" s="242">
        <v>4.5999999999999996</v>
      </c>
      <c r="H2363" s="230">
        <f t="shared" si="47"/>
        <v>64.399999999999991</v>
      </c>
    </row>
    <row r="2364" spans="1:8" ht="15.75" x14ac:dyDescent="0.25">
      <c r="A2364" s="244">
        <v>1994</v>
      </c>
      <c r="B2364" s="245" t="s">
        <v>19</v>
      </c>
      <c r="C2364" s="246" t="s">
        <v>20</v>
      </c>
      <c r="D2364" s="245" t="s">
        <v>30</v>
      </c>
      <c r="E2364" s="247">
        <v>15.8</v>
      </c>
      <c r="F2364" s="242" t="s">
        <v>504</v>
      </c>
      <c r="G2364" s="242">
        <v>4.5999999999999996</v>
      </c>
      <c r="H2364" s="230">
        <f t="shared" si="47"/>
        <v>72.679999999999993</v>
      </c>
    </row>
    <row r="2365" spans="1:8" ht="15.75" x14ac:dyDescent="0.25">
      <c r="A2365" s="244">
        <v>1994</v>
      </c>
      <c r="B2365" s="245" t="s">
        <v>19</v>
      </c>
      <c r="C2365" s="246" t="s">
        <v>20</v>
      </c>
      <c r="D2365" s="245" t="s">
        <v>30</v>
      </c>
      <c r="E2365" s="247">
        <v>14</v>
      </c>
      <c r="F2365" s="242" t="s">
        <v>504</v>
      </c>
      <c r="G2365" s="242">
        <v>4.5999999999999996</v>
      </c>
      <c r="H2365" s="230">
        <f t="shared" si="47"/>
        <v>64.399999999999991</v>
      </c>
    </row>
    <row r="2366" spans="1:8" ht="15.75" x14ac:dyDescent="0.25">
      <c r="A2366" s="244">
        <v>1994</v>
      </c>
      <c r="B2366" s="245" t="s">
        <v>19</v>
      </c>
      <c r="C2366" s="246" t="s">
        <v>20</v>
      </c>
      <c r="D2366" s="245" t="s">
        <v>30</v>
      </c>
      <c r="E2366" s="247">
        <v>12.5</v>
      </c>
      <c r="F2366" s="242" t="s">
        <v>504</v>
      </c>
      <c r="G2366" s="242">
        <v>4.5999999999999996</v>
      </c>
      <c r="H2366" s="230">
        <f t="shared" si="47"/>
        <v>57.499999999999993</v>
      </c>
    </row>
    <row r="2367" spans="1:8" ht="15.75" x14ac:dyDescent="0.25">
      <c r="A2367" s="244">
        <v>1994</v>
      </c>
      <c r="B2367" s="245" t="s">
        <v>19</v>
      </c>
      <c r="C2367" s="246" t="s">
        <v>20</v>
      </c>
      <c r="D2367" s="245" t="s">
        <v>30</v>
      </c>
      <c r="E2367" s="247">
        <v>10.8</v>
      </c>
      <c r="F2367" s="242" t="s">
        <v>504</v>
      </c>
      <c r="G2367" s="242">
        <v>4.5999999999999996</v>
      </c>
      <c r="H2367" s="230">
        <f t="shared" si="47"/>
        <v>49.68</v>
      </c>
    </row>
    <row r="2368" spans="1:8" ht="15.75" x14ac:dyDescent="0.25">
      <c r="A2368" s="244">
        <v>1994</v>
      </c>
      <c r="B2368" s="245" t="s">
        <v>19</v>
      </c>
      <c r="C2368" s="246" t="s">
        <v>20</v>
      </c>
      <c r="D2368" s="245" t="s">
        <v>30</v>
      </c>
      <c r="E2368" s="247">
        <v>11.5</v>
      </c>
      <c r="F2368" s="242" t="s">
        <v>504</v>
      </c>
      <c r="G2368" s="242">
        <v>4.5999999999999996</v>
      </c>
      <c r="H2368" s="230">
        <f t="shared" si="47"/>
        <v>52.9</v>
      </c>
    </row>
    <row r="2369" spans="1:8" ht="15.75" x14ac:dyDescent="0.25">
      <c r="A2369" s="244">
        <v>1994</v>
      </c>
      <c r="B2369" s="245" t="s">
        <v>19</v>
      </c>
      <c r="C2369" s="246" t="s">
        <v>20</v>
      </c>
      <c r="D2369" s="245" t="s">
        <v>35</v>
      </c>
      <c r="E2369" s="247">
        <v>7.5</v>
      </c>
      <c r="F2369" s="242" t="s">
        <v>507</v>
      </c>
      <c r="G2369" s="242">
        <v>3.9</v>
      </c>
      <c r="H2369" s="230">
        <f t="shared" si="47"/>
        <v>29.25</v>
      </c>
    </row>
    <row r="2370" spans="1:8" ht="15.75" x14ac:dyDescent="0.25">
      <c r="A2370" s="244">
        <v>1994</v>
      </c>
      <c r="B2370" s="245" t="s">
        <v>19</v>
      </c>
      <c r="C2370" s="246" t="s">
        <v>20</v>
      </c>
      <c r="D2370" s="245" t="s">
        <v>35</v>
      </c>
      <c r="E2370" s="247">
        <v>8</v>
      </c>
      <c r="F2370" s="242" t="s">
        <v>507</v>
      </c>
      <c r="G2370" s="242">
        <v>3.9</v>
      </c>
      <c r="H2370" s="230">
        <f t="shared" si="47"/>
        <v>31.2</v>
      </c>
    </row>
    <row r="2371" spans="1:8" ht="15.75" x14ac:dyDescent="0.25">
      <c r="A2371" s="244">
        <v>1994</v>
      </c>
      <c r="B2371" s="245" t="s">
        <v>19</v>
      </c>
      <c r="C2371" s="246" t="s">
        <v>20</v>
      </c>
      <c r="D2371" s="245" t="s">
        <v>35</v>
      </c>
      <c r="E2371" s="247">
        <v>6.5</v>
      </c>
      <c r="F2371" s="242" t="s">
        <v>507</v>
      </c>
      <c r="G2371" s="242">
        <v>3.9</v>
      </c>
      <c r="H2371" s="230">
        <f t="shared" ref="H2371:H2434" si="48">E2371*G2371</f>
        <v>25.349999999999998</v>
      </c>
    </row>
    <row r="2372" spans="1:8" ht="15.75" x14ac:dyDescent="0.25">
      <c r="A2372" s="244">
        <v>1994</v>
      </c>
      <c r="B2372" s="245" t="s">
        <v>19</v>
      </c>
      <c r="C2372" s="246" t="s">
        <v>20</v>
      </c>
      <c r="D2372" s="245" t="s">
        <v>35</v>
      </c>
      <c r="E2372" s="247">
        <v>10.5</v>
      </c>
      <c r="F2372" s="242" t="s">
        <v>507</v>
      </c>
      <c r="G2372" s="242">
        <v>3.9</v>
      </c>
      <c r="H2372" s="230">
        <f t="shared" si="48"/>
        <v>40.949999999999996</v>
      </c>
    </row>
    <row r="2373" spans="1:8" ht="15.75" x14ac:dyDescent="0.25">
      <c r="A2373" s="244">
        <v>1994</v>
      </c>
      <c r="B2373" s="245" t="s">
        <v>19</v>
      </c>
      <c r="C2373" s="246" t="s">
        <v>20</v>
      </c>
      <c r="D2373" s="245" t="s">
        <v>21</v>
      </c>
      <c r="E2373" s="247">
        <v>9</v>
      </c>
      <c r="F2373" s="242" t="s">
        <v>507</v>
      </c>
      <c r="G2373" s="242">
        <v>3.9</v>
      </c>
      <c r="H2373" s="230">
        <f t="shared" si="48"/>
        <v>35.1</v>
      </c>
    </row>
    <row r="2374" spans="1:8" ht="15.75" x14ac:dyDescent="0.25">
      <c r="A2374" s="244">
        <v>1994</v>
      </c>
      <c r="B2374" s="245" t="s">
        <v>19</v>
      </c>
      <c r="C2374" s="246" t="s">
        <v>20</v>
      </c>
      <c r="D2374" s="245" t="s">
        <v>21</v>
      </c>
      <c r="E2374" s="247">
        <v>7</v>
      </c>
      <c r="F2374" s="242" t="s">
        <v>507</v>
      </c>
      <c r="G2374" s="242">
        <v>3.9</v>
      </c>
      <c r="H2374" s="230">
        <f t="shared" si="48"/>
        <v>27.3</v>
      </c>
    </row>
    <row r="2375" spans="1:8" ht="15.75" x14ac:dyDescent="0.25">
      <c r="A2375" s="244">
        <v>1994</v>
      </c>
      <c r="B2375" s="245" t="s">
        <v>19</v>
      </c>
      <c r="C2375" s="246" t="s">
        <v>20</v>
      </c>
      <c r="D2375" s="245" t="s">
        <v>21</v>
      </c>
      <c r="E2375" s="247">
        <v>9.5</v>
      </c>
      <c r="F2375" s="242" t="s">
        <v>507</v>
      </c>
      <c r="G2375" s="242">
        <v>3.9</v>
      </c>
      <c r="H2375" s="230">
        <f t="shared" si="48"/>
        <v>37.049999999999997</v>
      </c>
    </row>
    <row r="2376" spans="1:8" ht="15.75" x14ac:dyDescent="0.25">
      <c r="A2376" s="244">
        <v>1994</v>
      </c>
      <c r="B2376" s="245" t="s">
        <v>19</v>
      </c>
      <c r="C2376" s="246" t="s">
        <v>20</v>
      </c>
      <c r="D2376" s="245" t="s">
        <v>21</v>
      </c>
      <c r="E2376" s="247">
        <v>5.5</v>
      </c>
      <c r="F2376" s="242" t="s">
        <v>507</v>
      </c>
      <c r="G2376" s="242">
        <v>3.9</v>
      </c>
      <c r="H2376" s="230">
        <f t="shared" si="48"/>
        <v>21.45</v>
      </c>
    </row>
    <row r="2377" spans="1:8" ht="15.75" x14ac:dyDescent="0.25">
      <c r="A2377" s="244">
        <v>1994</v>
      </c>
      <c r="B2377" s="245" t="s">
        <v>19</v>
      </c>
      <c r="C2377" s="246" t="s">
        <v>20</v>
      </c>
      <c r="D2377" s="245" t="s">
        <v>21</v>
      </c>
      <c r="E2377" s="247">
        <v>9.5</v>
      </c>
      <c r="F2377" s="242" t="s">
        <v>507</v>
      </c>
      <c r="G2377" s="242">
        <v>3.9</v>
      </c>
      <c r="H2377" s="230">
        <f t="shared" si="48"/>
        <v>37.049999999999997</v>
      </c>
    </row>
    <row r="2378" spans="1:8" ht="15.75" x14ac:dyDescent="0.25">
      <c r="A2378" s="244">
        <v>1994</v>
      </c>
      <c r="B2378" s="245" t="s">
        <v>19</v>
      </c>
      <c r="C2378" s="246" t="s">
        <v>20</v>
      </c>
      <c r="D2378" s="245" t="s">
        <v>21</v>
      </c>
      <c r="E2378" s="247">
        <v>9</v>
      </c>
      <c r="F2378" s="242" t="s">
        <v>507</v>
      </c>
      <c r="G2378" s="242">
        <v>3.9</v>
      </c>
      <c r="H2378" s="230">
        <f t="shared" si="48"/>
        <v>35.1</v>
      </c>
    </row>
    <row r="2379" spans="1:8" ht="15.75" x14ac:dyDescent="0.25">
      <c r="A2379" s="244">
        <v>1994</v>
      </c>
      <c r="B2379" s="245" t="s">
        <v>19</v>
      </c>
      <c r="C2379" s="246" t="s">
        <v>20</v>
      </c>
      <c r="D2379" s="245" t="s">
        <v>21</v>
      </c>
      <c r="E2379" s="247">
        <v>17.2</v>
      </c>
      <c r="F2379" s="242" t="s">
        <v>507</v>
      </c>
      <c r="G2379" s="242">
        <v>3.9</v>
      </c>
      <c r="H2379" s="230">
        <f t="shared" si="48"/>
        <v>67.08</v>
      </c>
    </row>
    <row r="2380" spans="1:8" ht="15.75" x14ac:dyDescent="0.25">
      <c r="A2380" s="244">
        <v>1994</v>
      </c>
      <c r="B2380" s="245" t="s">
        <v>19</v>
      </c>
      <c r="C2380" s="246" t="s">
        <v>20</v>
      </c>
      <c r="D2380" s="245" t="s">
        <v>21</v>
      </c>
      <c r="E2380" s="247">
        <v>7</v>
      </c>
      <c r="F2380" s="242" t="s">
        <v>507</v>
      </c>
      <c r="G2380" s="242">
        <v>3.9</v>
      </c>
      <c r="H2380" s="230">
        <f t="shared" si="48"/>
        <v>27.3</v>
      </c>
    </row>
    <row r="2381" spans="1:8" ht="15.75" x14ac:dyDescent="0.25">
      <c r="A2381" s="244">
        <v>1994</v>
      </c>
      <c r="B2381" s="245" t="s">
        <v>19</v>
      </c>
      <c r="C2381" s="246" t="s">
        <v>20</v>
      </c>
      <c r="D2381" s="245" t="s">
        <v>21</v>
      </c>
      <c r="E2381" s="247">
        <v>14</v>
      </c>
      <c r="F2381" s="242" t="s">
        <v>507</v>
      </c>
      <c r="G2381" s="242">
        <v>3.9</v>
      </c>
      <c r="H2381" s="230">
        <f t="shared" si="48"/>
        <v>54.6</v>
      </c>
    </row>
    <row r="2382" spans="1:8" ht="15.75" x14ac:dyDescent="0.25">
      <c r="A2382" s="244">
        <v>1994</v>
      </c>
      <c r="B2382" s="245" t="s">
        <v>19</v>
      </c>
      <c r="C2382" s="246" t="s">
        <v>20</v>
      </c>
      <c r="D2382" s="245" t="s">
        <v>21</v>
      </c>
      <c r="E2382" s="247">
        <v>15.5</v>
      </c>
      <c r="F2382" s="242" t="s">
        <v>507</v>
      </c>
      <c r="G2382" s="242">
        <v>3.9</v>
      </c>
      <c r="H2382" s="230">
        <f t="shared" si="48"/>
        <v>60.449999999999996</v>
      </c>
    </row>
    <row r="2383" spans="1:8" ht="15.75" x14ac:dyDescent="0.25">
      <c r="A2383" s="244">
        <v>1994</v>
      </c>
      <c r="B2383" s="245" t="s">
        <v>19</v>
      </c>
      <c r="C2383" s="246" t="s">
        <v>20</v>
      </c>
      <c r="D2383" s="245" t="s">
        <v>21</v>
      </c>
      <c r="E2383" s="247">
        <v>15</v>
      </c>
      <c r="F2383" s="242" t="s">
        <v>507</v>
      </c>
      <c r="G2383" s="242">
        <v>3.9</v>
      </c>
      <c r="H2383" s="230">
        <f t="shared" si="48"/>
        <v>58.5</v>
      </c>
    </row>
    <row r="2384" spans="1:8" ht="15.75" x14ac:dyDescent="0.25">
      <c r="A2384" s="244">
        <v>1994</v>
      </c>
      <c r="B2384" s="245" t="s">
        <v>19</v>
      </c>
      <c r="C2384" s="246" t="s">
        <v>20</v>
      </c>
      <c r="D2384" s="245" t="s">
        <v>21</v>
      </c>
      <c r="E2384" s="247">
        <v>14.5</v>
      </c>
      <c r="F2384" s="242" t="s">
        <v>507</v>
      </c>
      <c r="G2384" s="242">
        <v>3.9</v>
      </c>
      <c r="H2384" s="230">
        <f t="shared" si="48"/>
        <v>56.55</v>
      </c>
    </row>
    <row r="2385" spans="1:8" ht="15.75" x14ac:dyDescent="0.25">
      <c r="A2385" s="244">
        <v>1994</v>
      </c>
      <c r="B2385" s="245" t="s">
        <v>19</v>
      </c>
      <c r="C2385" s="246" t="s">
        <v>20</v>
      </c>
      <c r="D2385" s="245" t="s">
        <v>21</v>
      </c>
      <c r="E2385" s="247">
        <v>13</v>
      </c>
      <c r="F2385" s="242" t="s">
        <v>507</v>
      </c>
      <c r="G2385" s="242">
        <v>3.9</v>
      </c>
      <c r="H2385" s="230">
        <f t="shared" si="48"/>
        <v>50.699999999999996</v>
      </c>
    </row>
    <row r="2386" spans="1:8" ht="15.75" x14ac:dyDescent="0.25">
      <c r="A2386" s="244">
        <v>1994</v>
      </c>
      <c r="B2386" s="245" t="s">
        <v>19</v>
      </c>
      <c r="C2386" s="246" t="s">
        <v>20</v>
      </c>
      <c r="D2386" s="245" t="s">
        <v>21</v>
      </c>
      <c r="E2386" s="247">
        <v>13.5</v>
      </c>
      <c r="F2386" s="242" t="s">
        <v>507</v>
      </c>
      <c r="G2386" s="242">
        <v>3.9</v>
      </c>
      <c r="H2386" s="230">
        <f t="shared" si="48"/>
        <v>52.65</v>
      </c>
    </row>
    <row r="2387" spans="1:8" ht="15.75" x14ac:dyDescent="0.25">
      <c r="A2387" s="244">
        <v>1994</v>
      </c>
      <c r="B2387" s="245" t="s">
        <v>19</v>
      </c>
      <c r="C2387" s="246" t="s">
        <v>20</v>
      </c>
      <c r="D2387" s="245" t="s">
        <v>21</v>
      </c>
      <c r="E2387" s="247">
        <v>12.5</v>
      </c>
      <c r="F2387" s="242" t="s">
        <v>507</v>
      </c>
      <c r="G2387" s="242">
        <v>3.9</v>
      </c>
      <c r="H2387" s="230">
        <f t="shared" si="48"/>
        <v>48.75</v>
      </c>
    </row>
    <row r="2388" spans="1:8" ht="15.75" x14ac:dyDescent="0.25">
      <c r="A2388" s="244">
        <v>1994</v>
      </c>
      <c r="B2388" s="245" t="s">
        <v>19</v>
      </c>
      <c r="C2388" s="246" t="s">
        <v>20</v>
      </c>
      <c r="D2388" s="245" t="s">
        <v>21</v>
      </c>
      <c r="E2388" s="247">
        <v>12</v>
      </c>
      <c r="F2388" s="242" t="s">
        <v>507</v>
      </c>
      <c r="G2388" s="242">
        <v>3.9</v>
      </c>
      <c r="H2388" s="230">
        <f t="shared" si="48"/>
        <v>46.8</v>
      </c>
    </row>
    <row r="2389" spans="1:8" ht="15.75" x14ac:dyDescent="0.25">
      <c r="A2389" s="244">
        <v>1994</v>
      </c>
      <c r="B2389" s="245" t="s">
        <v>19</v>
      </c>
      <c r="C2389" s="246" t="s">
        <v>20</v>
      </c>
      <c r="D2389" s="245" t="s">
        <v>21</v>
      </c>
      <c r="E2389" s="247">
        <v>13.5</v>
      </c>
      <c r="F2389" s="242" t="s">
        <v>507</v>
      </c>
      <c r="G2389" s="242">
        <v>3.9</v>
      </c>
      <c r="H2389" s="230">
        <f t="shared" si="48"/>
        <v>52.65</v>
      </c>
    </row>
    <row r="2390" spans="1:8" ht="15.75" x14ac:dyDescent="0.25">
      <c r="A2390" s="244">
        <v>1994</v>
      </c>
      <c r="B2390" s="245" t="s">
        <v>19</v>
      </c>
      <c r="C2390" s="246" t="s">
        <v>20</v>
      </c>
      <c r="D2390" s="245" t="s">
        <v>21</v>
      </c>
      <c r="E2390" s="247">
        <v>8</v>
      </c>
      <c r="F2390" s="242" t="s">
        <v>507</v>
      </c>
      <c r="G2390" s="242">
        <v>3.9</v>
      </c>
      <c r="H2390" s="230">
        <f t="shared" si="48"/>
        <v>31.2</v>
      </c>
    </row>
    <row r="2391" spans="1:8" ht="15.75" x14ac:dyDescent="0.25">
      <c r="A2391" s="244">
        <v>1994</v>
      </c>
      <c r="B2391" s="245" t="s">
        <v>19</v>
      </c>
      <c r="C2391" s="246" t="s">
        <v>20</v>
      </c>
      <c r="D2391" s="245" t="s">
        <v>21</v>
      </c>
      <c r="E2391" s="247">
        <v>13.5</v>
      </c>
      <c r="F2391" s="242" t="s">
        <v>507</v>
      </c>
      <c r="G2391" s="242">
        <v>3.9</v>
      </c>
      <c r="H2391" s="230">
        <f t="shared" si="48"/>
        <v>52.65</v>
      </c>
    </row>
    <row r="2392" spans="1:8" ht="15.75" x14ac:dyDescent="0.25">
      <c r="A2392" s="244">
        <v>1994</v>
      </c>
      <c r="B2392" s="245" t="s">
        <v>19</v>
      </c>
      <c r="C2392" s="246" t="s">
        <v>20</v>
      </c>
      <c r="D2392" s="245" t="s">
        <v>21</v>
      </c>
      <c r="E2392" s="247">
        <v>6</v>
      </c>
      <c r="F2392" s="242" t="s">
        <v>507</v>
      </c>
      <c r="G2392" s="242">
        <v>3.9</v>
      </c>
      <c r="H2392" s="230">
        <f t="shared" si="48"/>
        <v>23.4</v>
      </c>
    </row>
    <row r="2393" spans="1:8" ht="15.75" x14ac:dyDescent="0.25">
      <c r="A2393" s="244">
        <v>1994</v>
      </c>
      <c r="B2393" s="245" t="s">
        <v>19</v>
      </c>
      <c r="C2393" s="246" t="s">
        <v>20</v>
      </c>
      <c r="D2393" s="245" t="s">
        <v>21</v>
      </c>
      <c r="E2393" s="247">
        <v>8.5</v>
      </c>
      <c r="F2393" s="242" t="s">
        <v>507</v>
      </c>
      <c r="G2393" s="242">
        <v>3.9</v>
      </c>
      <c r="H2393" s="230">
        <f t="shared" si="48"/>
        <v>33.15</v>
      </c>
    </row>
    <row r="2394" spans="1:8" ht="15.75" x14ac:dyDescent="0.25">
      <c r="A2394" s="244">
        <v>1994</v>
      </c>
      <c r="B2394" s="245" t="s">
        <v>19</v>
      </c>
      <c r="C2394" s="246" t="s">
        <v>34</v>
      </c>
      <c r="D2394" s="245" t="s">
        <v>41</v>
      </c>
      <c r="E2394" s="247">
        <v>22</v>
      </c>
      <c r="F2394" s="242" t="s">
        <v>508</v>
      </c>
      <c r="G2394" s="242">
        <v>3.8</v>
      </c>
      <c r="H2394" s="230">
        <f t="shared" si="48"/>
        <v>83.6</v>
      </c>
    </row>
    <row r="2395" spans="1:8" ht="15.75" x14ac:dyDescent="0.25">
      <c r="A2395" s="244">
        <v>1994</v>
      </c>
      <c r="B2395" s="245" t="s">
        <v>19</v>
      </c>
      <c r="C2395" s="246" t="s">
        <v>34</v>
      </c>
      <c r="D2395" s="245" t="s">
        <v>41</v>
      </c>
      <c r="E2395" s="247">
        <v>17</v>
      </c>
      <c r="F2395" s="242" t="s">
        <v>508</v>
      </c>
      <c r="G2395" s="242">
        <v>3.8</v>
      </c>
      <c r="H2395" s="230">
        <f t="shared" si="48"/>
        <v>64.599999999999994</v>
      </c>
    </row>
    <row r="2396" spans="1:8" ht="15.75" x14ac:dyDescent="0.25">
      <c r="A2396" s="244">
        <v>1994</v>
      </c>
      <c r="B2396" s="245" t="s">
        <v>19</v>
      </c>
      <c r="C2396" s="246" t="s">
        <v>34</v>
      </c>
      <c r="D2396" s="245" t="s">
        <v>41</v>
      </c>
      <c r="E2396" s="247">
        <v>15</v>
      </c>
      <c r="F2396" s="242" t="s">
        <v>508</v>
      </c>
      <c r="G2396" s="242">
        <v>3.8</v>
      </c>
      <c r="H2396" s="230">
        <f t="shared" si="48"/>
        <v>57</v>
      </c>
    </row>
    <row r="2397" spans="1:8" ht="15.75" x14ac:dyDescent="0.25">
      <c r="A2397" s="244">
        <v>1994</v>
      </c>
      <c r="B2397" s="245" t="s">
        <v>19</v>
      </c>
      <c r="C2397" s="246" t="s">
        <v>34</v>
      </c>
      <c r="D2397" s="245" t="s">
        <v>41</v>
      </c>
      <c r="E2397" s="247">
        <v>23</v>
      </c>
      <c r="F2397" s="242" t="s">
        <v>508</v>
      </c>
      <c r="G2397" s="242">
        <v>3.8</v>
      </c>
      <c r="H2397" s="230">
        <f t="shared" si="48"/>
        <v>87.399999999999991</v>
      </c>
    </row>
    <row r="2398" spans="1:8" ht="15.75" x14ac:dyDescent="0.25">
      <c r="A2398" s="244">
        <v>1994</v>
      </c>
      <c r="B2398" s="245" t="s">
        <v>19</v>
      </c>
      <c r="C2398" s="246" t="s">
        <v>34</v>
      </c>
      <c r="D2398" s="245" t="s">
        <v>41</v>
      </c>
      <c r="E2398" s="247">
        <v>26.5</v>
      </c>
      <c r="F2398" s="242" t="s">
        <v>508</v>
      </c>
      <c r="G2398" s="242">
        <v>3.8</v>
      </c>
      <c r="H2398" s="230">
        <f t="shared" si="48"/>
        <v>100.69999999999999</v>
      </c>
    </row>
    <row r="2399" spans="1:8" ht="15.75" x14ac:dyDescent="0.25">
      <c r="A2399" s="244">
        <v>1994</v>
      </c>
      <c r="B2399" s="245" t="s">
        <v>19</v>
      </c>
      <c r="C2399" s="246" t="s">
        <v>34</v>
      </c>
      <c r="D2399" s="245" t="s">
        <v>41</v>
      </c>
      <c r="E2399" s="247">
        <v>20</v>
      </c>
      <c r="F2399" s="242" t="s">
        <v>508</v>
      </c>
      <c r="G2399" s="242">
        <v>3.8</v>
      </c>
      <c r="H2399" s="230">
        <f t="shared" si="48"/>
        <v>76</v>
      </c>
    </row>
    <row r="2400" spans="1:8" ht="15.75" x14ac:dyDescent="0.25">
      <c r="A2400" s="244">
        <v>1994</v>
      </c>
      <c r="B2400" s="245" t="s">
        <v>19</v>
      </c>
      <c r="C2400" s="246" t="s">
        <v>34</v>
      </c>
      <c r="D2400" s="245" t="s">
        <v>41</v>
      </c>
      <c r="E2400" s="247">
        <v>18</v>
      </c>
      <c r="F2400" s="242" t="s">
        <v>508</v>
      </c>
      <c r="G2400" s="242">
        <v>3.8</v>
      </c>
      <c r="H2400" s="230">
        <f t="shared" si="48"/>
        <v>68.399999999999991</v>
      </c>
    </row>
    <row r="2401" spans="1:8" ht="15.75" x14ac:dyDescent="0.25">
      <c r="A2401" s="244">
        <v>1994</v>
      </c>
      <c r="B2401" s="245" t="s">
        <v>19</v>
      </c>
      <c r="C2401" s="246" t="s">
        <v>34</v>
      </c>
      <c r="D2401" s="245" t="s">
        <v>41</v>
      </c>
      <c r="E2401" s="247">
        <v>14</v>
      </c>
      <c r="F2401" s="242" t="s">
        <v>508</v>
      </c>
      <c r="G2401" s="242">
        <v>3.8</v>
      </c>
      <c r="H2401" s="230">
        <f t="shared" si="48"/>
        <v>53.199999999999996</v>
      </c>
    </row>
    <row r="2402" spans="1:8" ht="15.75" x14ac:dyDescent="0.25">
      <c r="A2402" s="244">
        <v>1994</v>
      </c>
      <c r="B2402" s="245" t="s">
        <v>19</v>
      </c>
      <c r="C2402" s="246" t="s">
        <v>34</v>
      </c>
      <c r="D2402" s="245" t="s">
        <v>41</v>
      </c>
      <c r="E2402" s="247">
        <v>21</v>
      </c>
      <c r="F2402" s="242" t="s">
        <v>508</v>
      </c>
      <c r="G2402" s="242">
        <v>3.8</v>
      </c>
      <c r="H2402" s="230">
        <f t="shared" si="48"/>
        <v>79.8</v>
      </c>
    </row>
    <row r="2403" spans="1:8" ht="15.75" x14ac:dyDescent="0.25">
      <c r="A2403" s="244">
        <v>1994</v>
      </c>
      <c r="B2403" s="245" t="s">
        <v>19</v>
      </c>
      <c r="C2403" s="246" t="s">
        <v>34</v>
      </c>
      <c r="D2403" s="245" t="s">
        <v>41</v>
      </c>
      <c r="E2403" s="247">
        <v>16</v>
      </c>
      <c r="F2403" s="242" t="s">
        <v>508</v>
      </c>
      <c r="G2403" s="242">
        <v>3.8</v>
      </c>
      <c r="H2403" s="230">
        <f t="shared" si="48"/>
        <v>60.8</v>
      </c>
    </row>
    <row r="2404" spans="1:8" ht="15.75" x14ac:dyDescent="0.25">
      <c r="A2404" s="244">
        <v>1993</v>
      </c>
      <c r="B2404" s="245" t="s">
        <v>19</v>
      </c>
      <c r="C2404" s="246" t="s">
        <v>20</v>
      </c>
      <c r="D2404" s="245" t="s">
        <v>30</v>
      </c>
      <c r="E2404" s="247">
        <v>16</v>
      </c>
      <c r="F2404" s="242" t="s">
        <v>504</v>
      </c>
      <c r="G2404" s="242">
        <v>4.5999999999999996</v>
      </c>
      <c r="H2404" s="230">
        <f t="shared" si="48"/>
        <v>73.599999999999994</v>
      </c>
    </row>
    <row r="2405" spans="1:8" ht="15.75" x14ac:dyDescent="0.25">
      <c r="A2405" s="244">
        <v>1993</v>
      </c>
      <c r="B2405" s="245" t="s">
        <v>19</v>
      </c>
      <c r="C2405" s="246" t="s">
        <v>20</v>
      </c>
      <c r="D2405" s="245" t="s">
        <v>30</v>
      </c>
      <c r="E2405" s="247">
        <v>19.5</v>
      </c>
      <c r="F2405" s="242" t="s">
        <v>504</v>
      </c>
      <c r="G2405" s="242">
        <v>4.5999999999999996</v>
      </c>
      <c r="H2405" s="230">
        <f t="shared" si="48"/>
        <v>89.699999999999989</v>
      </c>
    </row>
    <row r="2406" spans="1:8" ht="15.75" x14ac:dyDescent="0.25">
      <c r="A2406" s="244">
        <v>1993</v>
      </c>
      <c r="B2406" s="245" t="s">
        <v>19</v>
      </c>
      <c r="C2406" s="246" t="s">
        <v>20</v>
      </c>
      <c r="D2406" s="245" t="s">
        <v>30</v>
      </c>
      <c r="E2406" s="247">
        <v>17</v>
      </c>
      <c r="F2406" s="242" t="s">
        <v>504</v>
      </c>
      <c r="G2406" s="242">
        <v>4.5999999999999996</v>
      </c>
      <c r="H2406" s="230">
        <f t="shared" si="48"/>
        <v>78.199999999999989</v>
      </c>
    </row>
    <row r="2407" spans="1:8" ht="15.75" x14ac:dyDescent="0.25">
      <c r="A2407" s="244">
        <v>1993</v>
      </c>
      <c r="B2407" s="245" t="s">
        <v>19</v>
      </c>
      <c r="C2407" s="246" t="s">
        <v>20</v>
      </c>
      <c r="D2407" s="245" t="s">
        <v>30</v>
      </c>
      <c r="E2407" s="247">
        <v>17.5</v>
      </c>
      <c r="F2407" s="242" t="s">
        <v>504</v>
      </c>
      <c r="G2407" s="242">
        <v>4.5999999999999996</v>
      </c>
      <c r="H2407" s="230">
        <f t="shared" si="48"/>
        <v>80.5</v>
      </c>
    </row>
    <row r="2408" spans="1:8" ht="15.75" x14ac:dyDescent="0.25">
      <c r="A2408" s="244">
        <v>1993</v>
      </c>
      <c r="B2408" s="245" t="s">
        <v>19</v>
      </c>
      <c r="C2408" s="246" t="s">
        <v>20</v>
      </c>
      <c r="D2408" s="245" t="s">
        <v>30</v>
      </c>
      <c r="E2408" s="247">
        <v>15.5</v>
      </c>
      <c r="F2408" s="242" t="s">
        <v>504</v>
      </c>
      <c r="G2408" s="242">
        <v>4.5999999999999996</v>
      </c>
      <c r="H2408" s="230">
        <f t="shared" si="48"/>
        <v>71.3</v>
      </c>
    </row>
    <row r="2409" spans="1:8" ht="15.75" x14ac:dyDescent="0.25">
      <c r="A2409" s="244">
        <v>1993</v>
      </c>
      <c r="B2409" s="245" t="s">
        <v>19</v>
      </c>
      <c r="C2409" s="246" t="s">
        <v>20</v>
      </c>
      <c r="D2409" s="245" t="s">
        <v>30</v>
      </c>
      <c r="E2409" s="247">
        <v>13.3</v>
      </c>
      <c r="F2409" s="242" t="s">
        <v>504</v>
      </c>
      <c r="G2409" s="242">
        <v>4.5999999999999996</v>
      </c>
      <c r="H2409" s="230">
        <f t="shared" si="48"/>
        <v>61.18</v>
      </c>
    </row>
    <row r="2410" spans="1:8" ht="15.75" x14ac:dyDescent="0.25">
      <c r="A2410" s="244">
        <v>1993</v>
      </c>
      <c r="B2410" s="245" t="s">
        <v>19</v>
      </c>
      <c r="C2410" s="246" t="s">
        <v>20</v>
      </c>
      <c r="D2410" s="245" t="s">
        <v>30</v>
      </c>
      <c r="E2410" s="247">
        <v>14.3</v>
      </c>
      <c r="F2410" s="242" t="s">
        <v>504</v>
      </c>
      <c r="G2410" s="242">
        <v>4.5999999999999996</v>
      </c>
      <c r="H2410" s="230">
        <f t="shared" si="48"/>
        <v>65.78</v>
      </c>
    </row>
    <row r="2411" spans="1:8" ht="15.75" x14ac:dyDescent="0.25">
      <c r="A2411" s="244">
        <v>1993</v>
      </c>
      <c r="B2411" s="245" t="s">
        <v>19</v>
      </c>
      <c r="C2411" s="246" t="s">
        <v>20</v>
      </c>
      <c r="D2411" s="245" t="s">
        <v>30</v>
      </c>
      <c r="E2411" s="247">
        <v>19.5</v>
      </c>
      <c r="F2411" s="242" t="s">
        <v>504</v>
      </c>
      <c r="G2411" s="242">
        <v>4.5999999999999996</v>
      </c>
      <c r="H2411" s="230">
        <f t="shared" si="48"/>
        <v>89.699999999999989</v>
      </c>
    </row>
    <row r="2412" spans="1:8" ht="15.75" x14ac:dyDescent="0.25">
      <c r="A2412" s="244">
        <v>1993</v>
      </c>
      <c r="B2412" s="245" t="s">
        <v>19</v>
      </c>
      <c r="C2412" s="246" t="s">
        <v>20</v>
      </c>
      <c r="D2412" s="245" t="s">
        <v>30</v>
      </c>
      <c r="E2412" s="247">
        <v>24</v>
      </c>
      <c r="F2412" s="242" t="s">
        <v>504</v>
      </c>
      <c r="G2412" s="242">
        <v>4.5999999999999996</v>
      </c>
      <c r="H2412" s="230">
        <f t="shared" si="48"/>
        <v>110.39999999999999</v>
      </c>
    </row>
    <row r="2413" spans="1:8" ht="15.75" x14ac:dyDescent="0.25">
      <c r="A2413" s="244">
        <v>1993</v>
      </c>
      <c r="B2413" s="245" t="s">
        <v>19</v>
      </c>
      <c r="C2413" s="246" t="s">
        <v>20</v>
      </c>
      <c r="D2413" s="245" t="s">
        <v>30</v>
      </c>
      <c r="E2413" s="247">
        <v>13</v>
      </c>
      <c r="F2413" s="242" t="s">
        <v>504</v>
      </c>
      <c r="G2413" s="242">
        <v>4.5999999999999996</v>
      </c>
      <c r="H2413" s="230">
        <f t="shared" si="48"/>
        <v>59.8</v>
      </c>
    </row>
    <row r="2414" spans="1:8" ht="15.75" x14ac:dyDescent="0.25">
      <c r="A2414" s="244">
        <v>1993</v>
      </c>
      <c r="B2414" s="245" t="s">
        <v>19</v>
      </c>
      <c r="C2414" s="246" t="s">
        <v>20</v>
      </c>
      <c r="D2414" s="245" t="s">
        <v>30</v>
      </c>
      <c r="E2414" s="247">
        <v>16</v>
      </c>
      <c r="F2414" s="242" t="s">
        <v>504</v>
      </c>
      <c r="G2414" s="242">
        <v>4.5999999999999996</v>
      </c>
      <c r="H2414" s="230">
        <f t="shared" si="48"/>
        <v>73.599999999999994</v>
      </c>
    </row>
    <row r="2415" spans="1:8" ht="15.75" x14ac:dyDescent="0.25">
      <c r="A2415" s="244">
        <v>1993</v>
      </c>
      <c r="B2415" s="245" t="s">
        <v>19</v>
      </c>
      <c r="C2415" s="246" t="s">
        <v>20</v>
      </c>
      <c r="D2415" s="245" t="s">
        <v>30</v>
      </c>
      <c r="E2415" s="247">
        <v>18</v>
      </c>
      <c r="F2415" s="242" t="s">
        <v>504</v>
      </c>
      <c r="G2415" s="242">
        <v>4.5999999999999996</v>
      </c>
      <c r="H2415" s="230">
        <f t="shared" si="48"/>
        <v>82.8</v>
      </c>
    </row>
    <row r="2416" spans="1:8" ht="15.75" x14ac:dyDescent="0.25">
      <c r="A2416" s="244">
        <v>1993</v>
      </c>
      <c r="B2416" s="245" t="s">
        <v>19</v>
      </c>
      <c r="C2416" s="246" t="s">
        <v>20</v>
      </c>
      <c r="D2416" s="245" t="s">
        <v>30</v>
      </c>
      <c r="E2416" s="247">
        <v>17</v>
      </c>
      <c r="F2416" s="242" t="s">
        <v>504</v>
      </c>
      <c r="G2416" s="242">
        <v>4.5999999999999996</v>
      </c>
      <c r="H2416" s="230">
        <f t="shared" si="48"/>
        <v>78.199999999999989</v>
      </c>
    </row>
    <row r="2417" spans="1:8" ht="15.75" x14ac:dyDescent="0.25">
      <c r="A2417" s="244">
        <v>1993</v>
      </c>
      <c r="B2417" s="245" t="s">
        <v>19</v>
      </c>
      <c r="C2417" s="246" t="s">
        <v>20</v>
      </c>
      <c r="D2417" s="245" t="s">
        <v>30</v>
      </c>
      <c r="E2417" s="247">
        <v>19</v>
      </c>
      <c r="F2417" s="242" t="s">
        <v>504</v>
      </c>
      <c r="G2417" s="242">
        <v>4.5999999999999996</v>
      </c>
      <c r="H2417" s="230">
        <f t="shared" si="48"/>
        <v>87.399999999999991</v>
      </c>
    </row>
    <row r="2418" spans="1:8" ht="15.75" x14ac:dyDescent="0.25">
      <c r="A2418" s="244">
        <v>1993</v>
      </c>
      <c r="B2418" s="245" t="s">
        <v>19</v>
      </c>
      <c r="C2418" s="246" t="s">
        <v>20</v>
      </c>
      <c r="D2418" s="245" t="s">
        <v>30</v>
      </c>
      <c r="E2418" s="247">
        <v>16.5</v>
      </c>
      <c r="F2418" s="242" t="s">
        <v>504</v>
      </c>
      <c r="G2418" s="242">
        <v>4.5999999999999996</v>
      </c>
      <c r="H2418" s="230">
        <f t="shared" si="48"/>
        <v>75.899999999999991</v>
      </c>
    </row>
    <row r="2419" spans="1:8" ht="15.75" x14ac:dyDescent="0.25">
      <c r="A2419" s="244">
        <v>1993</v>
      </c>
      <c r="B2419" s="245" t="s">
        <v>19</v>
      </c>
      <c r="C2419" s="246" t="s">
        <v>20</v>
      </c>
      <c r="D2419" s="245" t="s">
        <v>30</v>
      </c>
      <c r="E2419" s="247">
        <v>14</v>
      </c>
      <c r="F2419" s="242" t="s">
        <v>504</v>
      </c>
      <c r="G2419" s="242">
        <v>4.5999999999999996</v>
      </c>
      <c r="H2419" s="230">
        <f t="shared" si="48"/>
        <v>64.399999999999991</v>
      </c>
    </row>
    <row r="2420" spans="1:8" ht="15.75" x14ac:dyDescent="0.25">
      <c r="A2420" s="244">
        <v>1993</v>
      </c>
      <c r="B2420" s="245" t="s">
        <v>19</v>
      </c>
      <c r="C2420" s="246" t="s">
        <v>20</v>
      </c>
      <c r="D2420" s="245" t="s">
        <v>30</v>
      </c>
      <c r="E2420" s="247">
        <v>18.5</v>
      </c>
      <c r="F2420" s="242" t="s">
        <v>504</v>
      </c>
      <c r="G2420" s="242">
        <v>4.5999999999999996</v>
      </c>
      <c r="H2420" s="230">
        <f t="shared" si="48"/>
        <v>85.1</v>
      </c>
    </row>
    <row r="2421" spans="1:8" ht="15.75" x14ac:dyDescent="0.25">
      <c r="A2421" s="244">
        <v>1993</v>
      </c>
      <c r="B2421" s="245" t="s">
        <v>19</v>
      </c>
      <c r="C2421" s="246" t="s">
        <v>20</v>
      </c>
      <c r="D2421" s="245" t="s">
        <v>30</v>
      </c>
      <c r="E2421" s="247">
        <v>19.5</v>
      </c>
      <c r="F2421" s="242" t="s">
        <v>504</v>
      </c>
      <c r="G2421" s="242">
        <v>4.5999999999999996</v>
      </c>
      <c r="H2421" s="230">
        <f t="shared" si="48"/>
        <v>89.699999999999989</v>
      </c>
    </row>
    <row r="2422" spans="1:8" ht="15.75" x14ac:dyDescent="0.25">
      <c r="A2422" s="244">
        <v>1993</v>
      </c>
      <c r="B2422" s="245" t="s">
        <v>19</v>
      </c>
      <c r="C2422" s="246" t="s">
        <v>20</v>
      </c>
      <c r="D2422" s="245" t="s">
        <v>30</v>
      </c>
      <c r="E2422" s="247">
        <v>19</v>
      </c>
      <c r="F2422" s="242" t="s">
        <v>504</v>
      </c>
      <c r="G2422" s="242">
        <v>4.5999999999999996</v>
      </c>
      <c r="H2422" s="230">
        <f t="shared" si="48"/>
        <v>87.399999999999991</v>
      </c>
    </row>
    <row r="2423" spans="1:8" ht="15.75" x14ac:dyDescent="0.25">
      <c r="A2423" s="244">
        <v>1993</v>
      </c>
      <c r="B2423" s="245" t="s">
        <v>19</v>
      </c>
      <c r="C2423" s="246" t="s">
        <v>20</v>
      </c>
      <c r="D2423" s="245" t="s">
        <v>30</v>
      </c>
      <c r="E2423" s="247">
        <v>16</v>
      </c>
      <c r="F2423" s="242" t="s">
        <v>504</v>
      </c>
      <c r="G2423" s="242">
        <v>4.5999999999999996</v>
      </c>
      <c r="H2423" s="230">
        <f t="shared" si="48"/>
        <v>73.599999999999994</v>
      </c>
    </row>
    <row r="2424" spans="1:8" ht="15.75" x14ac:dyDescent="0.25">
      <c r="A2424" s="244">
        <v>1993</v>
      </c>
      <c r="B2424" s="245" t="s">
        <v>19</v>
      </c>
      <c r="C2424" s="246" t="s">
        <v>20</v>
      </c>
      <c r="D2424" s="245" t="s">
        <v>30</v>
      </c>
      <c r="E2424" s="247">
        <v>15.5</v>
      </c>
      <c r="F2424" s="242" t="s">
        <v>504</v>
      </c>
      <c r="G2424" s="242">
        <v>4.5999999999999996</v>
      </c>
      <c r="H2424" s="230">
        <f t="shared" si="48"/>
        <v>71.3</v>
      </c>
    </row>
    <row r="2425" spans="1:8" ht="15.75" x14ac:dyDescent="0.25">
      <c r="A2425" s="244">
        <v>1993</v>
      </c>
      <c r="B2425" s="245" t="s">
        <v>19</v>
      </c>
      <c r="C2425" s="246" t="s">
        <v>20</v>
      </c>
      <c r="D2425" s="245" t="s">
        <v>30</v>
      </c>
      <c r="E2425" s="247">
        <v>17.5</v>
      </c>
      <c r="F2425" s="242" t="s">
        <v>504</v>
      </c>
      <c r="G2425" s="242">
        <v>4.5999999999999996</v>
      </c>
      <c r="H2425" s="230">
        <f t="shared" si="48"/>
        <v>80.5</v>
      </c>
    </row>
    <row r="2426" spans="1:8" ht="15.75" x14ac:dyDescent="0.25">
      <c r="A2426" s="244">
        <v>1993</v>
      </c>
      <c r="B2426" s="245" t="s">
        <v>19</v>
      </c>
      <c r="C2426" s="246" t="s">
        <v>20</v>
      </c>
      <c r="D2426" s="245" t="s">
        <v>30</v>
      </c>
      <c r="E2426" s="247">
        <v>14.5</v>
      </c>
      <c r="F2426" s="242" t="s">
        <v>504</v>
      </c>
      <c r="G2426" s="242">
        <v>4.5999999999999996</v>
      </c>
      <c r="H2426" s="230">
        <f t="shared" si="48"/>
        <v>66.699999999999989</v>
      </c>
    </row>
    <row r="2427" spans="1:8" ht="15.75" x14ac:dyDescent="0.25">
      <c r="A2427" s="244">
        <v>1993</v>
      </c>
      <c r="B2427" s="245" t="s">
        <v>19</v>
      </c>
      <c r="C2427" s="246" t="s">
        <v>20</v>
      </c>
      <c r="D2427" s="245" t="s">
        <v>30</v>
      </c>
      <c r="E2427" s="247">
        <v>15</v>
      </c>
      <c r="F2427" s="242" t="s">
        <v>504</v>
      </c>
      <c r="G2427" s="242">
        <v>4.5999999999999996</v>
      </c>
      <c r="H2427" s="230">
        <f t="shared" si="48"/>
        <v>69</v>
      </c>
    </row>
    <row r="2428" spans="1:8" ht="15.75" x14ac:dyDescent="0.25">
      <c r="A2428" s="244">
        <v>1993</v>
      </c>
      <c r="B2428" s="245" t="s">
        <v>19</v>
      </c>
      <c r="C2428" s="246" t="s">
        <v>20</v>
      </c>
      <c r="D2428" s="245" t="s">
        <v>30</v>
      </c>
      <c r="E2428" s="247">
        <v>14.5</v>
      </c>
      <c r="F2428" s="242" t="s">
        <v>504</v>
      </c>
      <c r="G2428" s="242">
        <v>4.5999999999999996</v>
      </c>
      <c r="H2428" s="230">
        <f t="shared" si="48"/>
        <v>66.699999999999989</v>
      </c>
    </row>
    <row r="2429" spans="1:8" ht="15.75" x14ac:dyDescent="0.25">
      <c r="A2429" s="244">
        <v>1993</v>
      </c>
      <c r="B2429" s="245" t="s">
        <v>19</v>
      </c>
      <c r="C2429" s="246" t="s">
        <v>20</v>
      </c>
      <c r="D2429" s="245" t="s">
        <v>30</v>
      </c>
      <c r="E2429" s="247">
        <v>12.5</v>
      </c>
      <c r="F2429" s="242" t="s">
        <v>504</v>
      </c>
      <c r="G2429" s="242">
        <v>4.5999999999999996</v>
      </c>
      <c r="H2429" s="230">
        <f t="shared" si="48"/>
        <v>57.499999999999993</v>
      </c>
    </row>
    <row r="2430" spans="1:8" ht="15.75" x14ac:dyDescent="0.25">
      <c r="A2430" s="244">
        <v>1993</v>
      </c>
      <c r="B2430" s="245" t="s">
        <v>19</v>
      </c>
      <c r="C2430" s="246" t="s">
        <v>20</v>
      </c>
      <c r="D2430" s="245" t="s">
        <v>30</v>
      </c>
      <c r="E2430" s="247">
        <v>15</v>
      </c>
      <c r="F2430" s="242" t="s">
        <v>504</v>
      </c>
      <c r="G2430" s="242">
        <v>4.5999999999999996</v>
      </c>
      <c r="H2430" s="230">
        <f t="shared" si="48"/>
        <v>69</v>
      </c>
    </row>
    <row r="2431" spans="1:8" ht="15.75" x14ac:dyDescent="0.25">
      <c r="A2431" s="244">
        <v>1993</v>
      </c>
      <c r="B2431" s="245" t="s">
        <v>19</v>
      </c>
      <c r="C2431" s="246" t="s">
        <v>20</v>
      </c>
      <c r="D2431" s="245" t="s">
        <v>30</v>
      </c>
      <c r="E2431" s="247">
        <v>20.5</v>
      </c>
      <c r="F2431" s="242" t="s">
        <v>504</v>
      </c>
      <c r="G2431" s="242">
        <v>4.5999999999999996</v>
      </c>
      <c r="H2431" s="230">
        <f t="shared" si="48"/>
        <v>94.3</v>
      </c>
    </row>
    <row r="2432" spans="1:8" ht="15.75" x14ac:dyDescent="0.25">
      <c r="A2432" s="244">
        <v>1993</v>
      </c>
      <c r="B2432" s="245" t="s">
        <v>19</v>
      </c>
      <c r="C2432" s="246" t="s">
        <v>20</v>
      </c>
      <c r="D2432" s="245" t="s">
        <v>30</v>
      </c>
      <c r="E2432" s="247">
        <v>14</v>
      </c>
      <c r="F2432" s="242" t="s">
        <v>504</v>
      </c>
      <c r="G2432" s="242">
        <v>4.5999999999999996</v>
      </c>
      <c r="H2432" s="230">
        <f t="shared" si="48"/>
        <v>64.399999999999991</v>
      </c>
    </row>
    <row r="2433" spans="1:8" ht="15.75" x14ac:dyDescent="0.25">
      <c r="A2433" s="244">
        <v>1993</v>
      </c>
      <c r="B2433" s="245" t="s">
        <v>19</v>
      </c>
      <c r="C2433" s="246" t="s">
        <v>20</v>
      </c>
      <c r="D2433" s="245" t="s">
        <v>30</v>
      </c>
      <c r="E2433" s="247">
        <v>21</v>
      </c>
      <c r="F2433" s="242" t="s">
        <v>504</v>
      </c>
      <c r="G2433" s="242">
        <v>4.5999999999999996</v>
      </c>
      <c r="H2433" s="230">
        <f t="shared" si="48"/>
        <v>96.6</v>
      </c>
    </row>
    <row r="2434" spans="1:8" ht="15.75" x14ac:dyDescent="0.25">
      <c r="A2434" s="244">
        <v>1993</v>
      </c>
      <c r="B2434" s="245" t="s">
        <v>19</v>
      </c>
      <c r="C2434" s="246" t="s">
        <v>20</v>
      </c>
      <c r="D2434" s="245" t="s">
        <v>30</v>
      </c>
      <c r="E2434" s="247">
        <v>16</v>
      </c>
      <c r="F2434" s="242" t="s">
        <v>504</v>
      </c>
      <c r="G2434" s="242">
        <v>4.5999999999999996</v>
      </c>
      <c r="H2434" s="230">
        <f t="shared" si="48"/>
        <v>73.599999999999994</v>
      </c>
    </row>
    <row r="2435" spans="1:8" ht="15.75" x14ac:dyDescent="0.25">
      <c r="A2435" s="244">
        <v>1993</v>
      </c>
      <c r="B2435" s="245" t="s">
        <v>19</v>
      </c>
      <c r="C2435" s="246" t="s">
        <v>20</v>
      </c>
      <c r="D2435" s="245" t="s">
        <v>30</v>
      </c>
      <c r="E2435" s="247">
        <v>17.5</v>
      </c>
      <c r="F2435" s="242" t="s">
        <v>504</v>
      </c>
      <c r="G2435" s="242">
        <v>4.5999999999999996</v>
      </c>
      <c r="H2435" s="230">
        <f t="shared" ref="H2435:H2498" si="49">E2435*G2435</f>
        <v>80.5</v>
      </c>
    </row>
    <row r="2436" spans="1:8" ht="15.75" x14ac:dyDescent="0.25">
      <c r="A2436" s="244">
        <v>1993</v>
      </c>
      <c r="B2436" s="245" t="s">
        <v>19</v>
      </c>
      <c r="C2436" s="246" t="s">
        <v>20</v>
      </c>
      <c r="D2436" s="245" t="s">
        <v>30</v>
      </c>
      <c r="E2436" s="247">
        <v>12.5</v>
      </c>
      <c r="F2436" s="242" t="s">
        <v>504</v>
      </c>
      <c r="G2436" s="242">
        <v>4.5999999999999996</v>
      </c>
      <c r="H2436" s="230">
        <f t="shared" si="49"/>
        <v>57.499999999999993</v>
      </c>
    </row>
    <row r="2437" spans="1:8" ht="15.75" x14ac:dyDescent="0.25">
      <c r="A2437" s="244">
        <v>1993</v>
      </c>
      <c r="B2437" s="245" t="s">
        <v>19</v>
      </c>
      <c r="C2437" s="246" t="s">
        <v>20</v>
      </c>
      <c r="D2437" s="245" t="s">
        <v>30</v>
      </c>
      <c r="E2437" s="247">
        <v>16.5</v>
      </c>
      <c r="F2437" s="242" t="s">
        <v>504</v>
      </c>
      <c r="G2437" s="242">
        <v>4.5999999999999996</v>
      </c>
      <c r="H2437" s="230">
        <f t="shared" si="49"/>
        <v>75.899999999999991</v>
      </c>
    </row>
    <row r="2438" spans="1:8" ht="15.75" x14ac:dyDescent="0.25">
      <c r="A2438" s="244">
        <v>1993</v>
      </c>
      <c r="B2438" s="245" t="s">
        <v>19</v>
      </c>
      <c r="C2438" s="246" t="s">
        <v>20</v>
      </c>
      <c r="D2438" s="245" t="s">
        <v>30</v>
      </c>
      <c r="E2438" s="247">
        <v>14</v>
      </c>
      <c r="F2438" s="242" t="s">
        <v>504</v>
      </c>
      <c r="G2438" s="242">
        <v>4.5999999999999996</v>
      </c>
      <c r="H2438" s="230">
        <f t="shared" si="49"/>
        <v>64.399999999999991</v>
      </c>
    </row>
    <row r="2439" spans="1:8" ht="15.75" x14ac:dyDescent="0.25">
      <c r="A2439" s="244">
        <v>1993</v>
      </c>
      <c r="B2439" s="245" t="s">
        <v>19</v>
      </c>
      <c r="C2439" s="246" t="s">
        <v>20</v>
      </c>
      <c r="D2439" s="245" t="s">
        <v>30</v>
      </c>
      <c r="E2439" s="247">
        <v>17</v>
      </c>
      <c r="F2439" s="242" t="s">
        <v>504</v>
      </c>
      <c r="G2439" s="242">
        <v>4.5999999999999996</v>
      </c>
      <c r="H2439" s="230">
        <f t="shared" si="49"/>
        <v>78.199999999999989</v>
      </c>
    </row>
    <row r="2440" spans="1:8" ht="15.75" x14ac:dyDescent="0.25">
      <c r="A2440" s="244">
        <v>1993</v>
      </c>
      <c r="B2440" s="245" t="s">
        <v>19</v>
      </c>
      <c r="C2440" s="246" t="s">
        <v>20</v>
      </c>
      <c r="D2440" s="245" t="s">
        <v>30</v>
      </c>
      <c r="E2440" s="247">
        <v>15</v>
      </c>
      <c r="F2440" s="242" t="s">
        <v>504</v>
      </c>
      <c r="G2440" s="242">
        <v>4.5999999999999996</v>
      </c>
      <c r="H2440" s="230">
        <f t="shared" si="49"/>
        <v>69</v>
      </c>
    </row>
    <row r="2441" spans="1:8" ht="15.75" x14ac:dyDescent="0.25">
      <c r="A2441" s="244">
        <v>1993</v>
      </c>
      <c r="B2441" s="245" t="s">
        <v>19</v>
      </c>
      <c r="C2441" s="246" t="s">
        <v>20</v>
      </c>
      <c r="D2441" s="245" t="s">
        <v>30</v>
      </c>
      <c r="E2441" s="247">
        <v>17</v>
      </c>
      <c r="F2441" s="242" t="s">
        <v>504</v>
      </c>
      <c r="G2441" s="242">
        <v>4.5999999999999996</v>
      </c>
      <c r="H2441" s="230">
        <f t="shared" si="49"/>
        <v>78.199999999999989</v>
      </c>
    </row>
    <row r="2442" spans="1:8" ht="15.75" x14ac:dyDescent="0.25">
      <c r="A2442" s="244">
        <v>1993</v>
      </c>
      <c r="B2442" s="245" t="s">
        <v>19</v>
      </c>
      <c r="C2442" s="246" t="s">
        <v>20</v>
      </c>
      <c r="D2442" s="245" t="s">
        <v>30</v>
      </c>
      <c r="E2442" s="247">
        <v>15</v>
      </c>
      <c r="F2442" s="242" t="s">
        <v>504</v>
      </c>
      <c r="G2442" s="242">
        <v>4.5999999999999996</v>
      </c>
      <c r="H2442" s="230">
        <f t="shared" si="49"/>
        <v>69</v>
      </c>
    </row>
    <row r="2443" spans="1:8" ht="15.75" x14ac:dyDescent="0.25">
      <c r="A2443" s="244">
        <v>1993</v>
      </c>
      <c r="B2443" s="245" t="s">
        <v>19</v>
      </c>
      <c r="C2443" s="246" t="s">
        <v>20</v>
      </c>
      <c r="D2443" s="245" t="s">
        <v>30</v>
      </c>
      <c r="E2443" s="247">
        <v>12</v>
      </c>
      <c r="F2443" s="242" t="s">
        <v>504</v>
      </c>
      <c r="G2443" s="242">
        <v>4.5999999999999996</v>
      </c>
      <c r="H2443" s="230">
        <f t="shared" si="49"/>
        <v>55.199999999999996</v>
      </c>
    </row>
    <row r="2444" spans="1:8" ht="15.75" x14ac:dyDescent="0.25">
      <c r="A2444" s="244">
        <v>1993</v>
      </c>
      <c r="B2444" s="245" t="s">
        <v>19</v>
      </c>
      <c r="C2444" s="246" t="s">
        <v>20</v>
      </c>
      <c r="D2444" s="245" t="s">
        <v>30</v>
      </c>
      <c r="E2444" s="247">
        <v>14</v>
      </c>
      <c r="F2444" s="242" t="s">
        <v>504</v>
      </c>
      <c r="G2444" s="242">
        <v>4.5999999999999996</v>
      </c>
      <c r="H2444" s="230">
        <f t="shared" si="49"/>
        <v>64.399999999999991</v>
      </c>
    </row>
    <row r="2445" spans="1:8" ht="15.75" x14ac:dyDescent="0.25">
      <c r="A2445" s="244">
        <v>1993</v>
      </c>
      <c r="B2445" s="245" t="s">
        <v>19</v>
      </c>
      <c r="C2445" s="246" t="s">
        <v>20</v>
      </c>
      <c r="D2445" s="245" t="s">
        <v>30</v>
      </c>
      <c r="E2445" s="247">
        <v>16</v>
      </c>
      <c r="F2445" s="242" t="s">
        <v>504</v>
      </c>
      <c r="G2445" s="242">
        <v>4.5999999999999996</v>
      </c>
      <c r="H2445" s="230">
        <f t="shared" si="49"/>
        <v>73.599999999999994</v>
      </c>
    </row>
    <row r="2446" spans="1:8" ht="15.75" x14ac:dyDescent="0.25">
      <c r="A2446" s="244">
        <v>1993</v>
      </c>
      <c r="B2446" s="245" t="s">
        <v>19</v>
      </c>
      <c r="C2446" s="246" t="s">
        <v>20</v>
      </c>
      <c r="D2446" s="245" t="s">
        <v>30</v>
      </c>
      <c r="E2446" s="247">
        <v>16</v>
      </c>
      <c r="F2446" s="242" t="s">
        <v>504</v>
      </c>
      <c r="G2446" s="242">
        <v>4.5999999999999996</v>
      </c>
      <c r="H2446" s="230">
        <f t="shared" si="49"/>
        <v>73.599999999999994</v>
      </c>
    </row>
    <row r="2447" spans="1:8" ht="15.75" x14ac:dyDescent="0.25">
      <c r="A2447" s="244">
        <v>1993</v>
      </c>
      <c r="B2447" s="245" t="s">
        <v>19</v>
      </c>
      <c r="C2447" s="246" t="s">
        <v>20</v>
      </c>
      <c r="D2447" s="245" t="s">
        <v>30</v>
      </c>
      <c r="E2447" s="247">
        <v>15</v>
      </c>
      <c r="F2447" s="242" t="s">
        <v>504</v>
      </c>
      <c r="G2447" s="242">
        <v>4.5999999999999996</v>
      </c>
      <c r="H2447" s="230">
        <f t="shared" si="49"/>
        <v>69</v>
      </c>
    </row>
    <row r="2448" spans="1:8" ht="15.75" x14ac:dyDescent="0.25">
      <c r="A2448" s="244">
        <v>1993</v>
      </c>
      <c r="B2448" s="245" t="s">
        <v>19</v>
      </c>
      <c r="C2448" s="246" t="s">
        <v>20</v>
      </c>
      <c r="D2448" s="245" t="s">
        <v>30</v>
      </c>
      <c r="E2448" s="247">
        <v>16</v>
      </c>
      <c r="F2448" s="242" t="s">
        <v>504</v>
      </c>
      <c r="G2448" s="242">
        <v>4.5999999999999996</v>
      </c>
      <c r="H2448" s="230">
        <f t="shared" si="49"/>
        <v>73.599999999999994</v>
      </c>
    </row>
    <row r="2449" spans="1:8" ht="15.75" x14ac:dyDescent="0.25">
      <c r="A2449" s="244">
        <v>1993</v>
      </c>
      <c r="B2449" s="245" t="s">
        <v>19</v>
      </c>
      <c r="C2449" s="246" t="s">
        <v>20</v>
      </c>
      <c r="D2449" s="245" t="s">
        <v>30</v>
      </c>
      <c r="E2449" s="247">
        <v>15.5</v>
      </c>
      <c r="F2449" s="242" t="s">
        <v>504</v>
      </c>
      <c r="G2449" s="242">
        <v>4.5999999999999996</v>
      </c>
      <c r="H2449" s="230">
        <f t="shared" si="49"/>
        <v>71.3</v>
      </c>
    </row>
    <row r="2450" spans="1:8" ht="15.75" x14ac:dyDescent="0.25">
      <c r="A2450" s="244">
        <v>1993</v>
      </c>
      <c r="B2450" s="245" t="s">
        <v>19</v>
      </c>
      <c r="C2450" s="246" t="s">
        <v>20</v>
      </c>
      <c r="D2450" s="245" t="s">
        <v>30</v>
      </c>
      <c r="E2450" s="247">
        <v>12</v>
      </c>
      <c r="F2450" s="242" t="s">
        <v>504</v>
      </c>
      <c r="G2450" s="242">
        <v>4.5999999999999996</v>
      </c>
      <c r="H2450" s="230">
        <f t="shared" si="49"/>
        <v>55.199999999999996</v>
      </c>
    </row>
    <row r="2451" spans="1:8" ht="15.75" x14ac:dyDescent="0.25">
      <c r="A2451" s="244">
        <v>1993</v>
      </c>
      <c r="B2451" s="245" t="s">
        <v>19</v>
      </c>
      <c r="C2451" s="246" t="s">
        <v>20</v>
      </c>
      <c r="D2451" s="245" t="s">
        <v>30</v>
      </c>
      <c r="E2451" s="247">
        <v>15</v>
      </c>
      <c r="F2451" s="242" t="s">
        <v>504</v>
      </c>
      <c r="G2451" s="242">
        <v>4.5999999999999996</v>
      </c>
      <c r="H2451" s="230">
        <f t="shared" si="49"/>
        <v>69</v>
      </c>
    </row>
    <row r="2452" spans="1:8" ht="15.75" x14ac:dyDescent="0.25">
      <c r="A2452" s="244">
        <v>1993</v>
      </c>
      <c r="B2452" s="245" t="s">
        <v>19</v>
      </c>
      <c r="C2452" s="246" t="s">
        <v>20</v>
      </c>
      <c r="D2452" s="245" t="s">
        <v>30</v>
      </c>
      <c r="E2452" s="247">
        <v>19</v>
      </c>
      <c r="F2452" s="242" t="s">
        <v>504</v>
      </c>
      <c r="G2452" s="242">
        <v>4.5999999999999996</v>
      </c>
      <c r="H2452" s="230">
        <f t="shared" si="49"/>
        <v>87.399999999999991</v>
      </c>
    </row>
    <row r="2453" spans="1:8" ht="15.75" x14ac:dyDescent="0.25">
      <c r="A2453" s="244">
        <v>1993</v>
      </c>
      <c r="B2453" s="245" t="s">
        <v>19</v>
      </c>
      <c r="C2453" s="246" t="s">
        <v>20</v>
      </c>
      <c r="D2453" s="245" t="s">
        <v>30</v>
      </c>
      <c r="E2453" s="247">
        <v>17</v>
      </c>
      <c r="F2453" s="242" t="s">
        <v>504</v>
      </c>
      <c r="G2453" s="242">
        <v>4.5999999999999996</v>
      </c>
      <c r="H2453" s="230">
        <f t="shared" si="49"/>
        <v>78.199999999999989</v>
      </c>
    </row>
    <row r="2454" spans="1:8" ht="15.75" x14ac:dyDescent="0.25">
      <c r="A2454" s="244">
        <v>1993</v>
      </c>
      <c r="B2454" s="245" t="s">
        <v>19</v>
      </c>
      <c r="C2454" s="246" t="s">
        <v>20</v>
      </c>
      <c r="D2454" s="245" t="s">
        <v>30</v>
      </c>
      <c r="E2454" s="247">
        <v>15</v>
      </c>
      <c r="F2454" s="242" t="s">
        <v>504</v>
      </c>
      <c r="G2454" s="242">
        <v>4.5999999999999996</v>
      </c>
      <c r="H2454" s="230">
        <f t="shared" si="49"/>
        <v>69</v>
      </c>
    </row>
    <row r="2455" spans="1:8" ht="15.75" x14ac:dyDescent="0.25">
      <c r="A2455" s="244">
        <v>1993</v>
      </c>
      <c r="B2455" s="245" t="s">
        <v>19</v>
      </c>
      <c r="C2455" s="246" t="s">
        <v>20</v>
      </c>
      <c r="D2455" s="245" t="s">
        <v>30</v>
      </c>
      <c r="E2455" s="247">
        <v>18.3</v>
      </c>
      <c r="F2455" s="242" t="s">
        <v>504</v>
      </c>
      <c r="G2455" s="242">
        <v>4.5999999999999996</v>
      </c>
      <c r="H2455" s="230">
        <f t="shared" si="49"/>
        <v>84.179999999999993</v>
      </c>
    </row>
    <row r="2456" spans="1:8" ht="15.75" x14ac:dyDescent="0.25">
      <c r="A2456" s="244">
        <v>1993</v>
      </c>
      <c r="B2456" s="245" t="s">
        <v>19</v>
      </c>
      <c r="C2456" s="246" t="s">
        <v>20</v>
      </c>
      <c r="D2456" s="245" t="s">
        <v>30</v>
      </c>
      <c r="E2456" s="247">
        <v>19</v>
      </c>
      <c r="F2456" s="242" t="s">
        <v>504</v>
      </c>
      <c r="G2456" s="242">
        <v>4.5999999999999996</v>
      </c>
      <c r="H2456" s="230">
        <f t="shared" si="49"/>
        <v>87.399999999999991</v>
      </c>
    </row>
    <row r="2457" spans="1:8" ht="15.75" x14ac:dyDescent="0.25">
      <c r="A2457" s="244">
        <v>1993</v>
      </c>
      <c r="B2457" s="245" t="s">
        <v>19</v>
      </c>
      <c r="C2457" s="246" t="s">
        <v>20</v>
      </c>
      <c r="D2457" s="245" t="s">
        <v>30</v>
      </c>
      <c r="E2457" s="247">
        <v>17.5</v>
      </c>
      <c r="F2457" s="242" t="s">
        <v>504</v>
      </c>
      <c r="G2457" s="242">
        <v>4.5999999999999996</v>
      </c>
      <c r="H2457" s="230">
        <f t="shared" si="49"/>
        <v>80.5</v>
      </c>
    </row>
    <row r="2458" spans="1:8" ht="15.75" x14ac:dyDescent="0.25">
      <c r="A2458" s="244">
        <v>1993</v>
      </c>
      <c r="B2458" s="245" t="s">
        <v>19</v>
      </c>
      <c r="C2458" s="246" t="s">
        <v>20</v>
      </c>
      <c r="D2458" s="245" t="s">
        <v>30</v>
      </c>
      <c r="E2458" s="247">
        <v>20.5</v>
      </c>
      <c r="F2458" s="242" t="s">
        <v>504</v>
      </c>
      <c r="G2458" s="242">
        <v>4.5999999999999996</v>
      </c>
      <c r="H2458" s="230">
        <f t="shared" si="49"/>
        <v>94.3</v>
      </c>
    </row>
    <row r="2459" spans="1:8" ht="15.75" x14ac:dyDescent="0.25">
      <c r="A2459" s="244">
        <v>1993</v>
      </c>
      <c r="B2459" s="245" t="s">
        <v>19</v>
      </c>
      <c r="C2459" s="246" t="s">
        <v>20</v>
      </c>
      <c r="D2459" s="245" t="s">
        <v>30</v>
      </c>
      <c r="E2459" s="247">
        <v>13</v>
      </c>
      <c r="F2459" s="242" t="s">
        <v>504</v>
      </c>
      <c r="G2459" s="242">
        <v>4.5999999999999996</v>
      </c>
      <c r="H2459" s="230">
        <f t="shared" si="49"/>
        <v>59.8</v>
      </c>
    </row>
    <row r="2460" spans="1:8" ht="15.75" x14ac:dyDescent="0.25">
      <c r="A2460" s="244">
        <v>1993</v>
      </c>
      <c r="B2460" s="245" t="s">
        <v>19</v>
      </c>
      <c r="C2460" s="246" t="s">
        <v>20</v>
      </c>
      <c r="D2460" s="245" t="s">
        <v>30</v>
      </c>
      <c r="E2460" s="247">
        <v>19</v>
      </c>
      <c r="F2460" s="242" t="s">
        <v>504</v>
      </c>
      <c r="G2460" s="242">
        <v>4.5999999999999996</v>
      </c>
      <c r="H2460" s="230">
        <f t="shared" si="49"/>
        <v>87.399999999999991</v>
      </c>
    </row>
    <row r="2461" spans="1:8" ht="15.75" x14ac:dyDescent="0.25">
      <c r="A2461" s="244">
        <v>1993</v>
      </c>
      <c r="B2461" s="245" t="s">
        <v>19</v>
      </c>
      <c r="C2461" s="246" t="s">
        <v>20</v>
      </c>
      <c r="D2461" s="245" t="s">
        <v>30</v>
      </c>
      <c r="E2461" s="247">
        <v>11.5</v>
      </c>
      <c r="F2461" s="242" t="s">
        <v>504</v>
      </c>
      <c r="G2461" s="242">
        <v>4.5999999999999996</v>
      </c>
      <c r="H2461" s="230">
        <f t="shared" si="49"/>
        <v>52.9</v>
      </c>
    </row>
    <row r="2462" spans="1:8" ht="15.75" x14ac:dyDescent="0.25">
      <c r="A2462" s="244">
        <v>1993</v>
      </c>
      <c r="B2462" s="245" t="s">
        <v>19</v>
      </c>
      <c r="C2462" s="246" t="s">
        <v>20</v>
      </c>
      <c r="D2462" s="245" t="s">
        <v>30</v>
      </c>
      <c r="E2462" s="247">
        <v>15.3</v>
      </c>
      <c r="F2462" s="242" t="s">
        <v>504</v>
      </c>
      <c r="G2462" s="242">
        <v>4.5999999999999996</v>
      </c>
      <c r="H2462" s="230">
        <f t="shared" si="49"/>
        <v>70.38</v>
      </c>
    </row>
    <row r="2463" spans="1:8" ht="15.75" x14ac:dyDescent="0.25">
      <c r="A2463" s="244">
        <v>1993</v>
      </c>
      <c r="B2463" s="245" t="s">
        <v>19</v>
      </c>
      <c r="C2463" s="246" t="s">
        <v>20</v>
      </c>
      <c r="D2463" s="245" t="s">
        <v>30</v>
      </c>
      <c r="E2463" s="247">
        <v>9.5</v>
      </c>
      <c r="F2463" s="242" t="s">
        <v>504</v>
      </c>
      <c r="G2463" s="242">
        <v>4.5999999999999996</v>
      </c>
      <c r="H2463" s="230">
        <f t="shared" si="49"/>
        <v>43.699999999999996</v>
      </c>
    </row>
    <row r="2464" spans="1:8" ht="15.75" x14ac:dyDescent="0.25">
      <c r="A2464" s="244">
        <v>1993</v>
      </c>
      <c r="B2464" s="245" t="s">
        <v>19</v>
      </c>
      <c r="C2464" s="246" t="s">
        <v>20</v>
      </c>
      <c r="D2464" s="245" t="s">
        <v>30</v>
      </c>
      <c r="E2464" s="247">
        <v>17.5</v>
      </c>
      <c r="F2464" s="242" t="s">
        <v>504</v>
      </c>
      <c r="G2464" s="242">
        <v>4.5999999999999996</v>
      </c>
      <c r="H2464" s="230">
        <f t="shared" si="49"/>
        <v>80.5</v>
      </c>
    </row>
    <row r="2465" spans="1:8" ht="15.75" x14ac:dyDescent="0.25">
      <c r="A2465" s="244">
        <v>1993</v>
      </c>
      <c r="B2465" s="245" t="s">
        <v>19</v>
      </c>
      <c r="C2465" s="246" t="s">
        <v>20</v>
      </c>
      <c r="D2465" s="245" t="s">
        <v>30</v>
      </c>
      <c r="E2465" s="247">
        <v>19.5</v>
      </c>
      <c r="F2465" s="242" t="s">
        <v>504</v>
      </c>
      <c r="G2465" s="242">
        <v>4.5999999999999996</v>
      </c>
      <c r="H2465" s="230">
        <f t="shared" si="49"/>
        <v>89.699999999999989</v>
      </c>
    </row>
    <row r="2466" spans="1:8" ht="15.75" x14ac:dyDescent="0.25">
      <c r="A2466" s="244">
        <v>1993</v>
      </c>
      <c r="B2466" s="245" t="s">
        <v>19</v>
      </c>
      <c r="C2466" s="246" t="s">
        <v>20</v>
      </c>
      <c r="D2466" s="245" t="s">
        <v>30</v>
      </c>
      <c r="E2466" s="247">
        <v>17</v>
      </c>
      <c r="F2466" s="242" t="s">
        <v>504</v>
      </c>
      <c r="G2466" s="242">
        <v>4.5999999999999996</v>
      </c>
      <c r="H2466" s="230">
        <f t="shared" si="49"/>
        <v>78.199999999999989</v>
      </c>
    </row>
    <row r="2467" spans="1:8" ht="12" customHeight="1" x14ac:dyDescent="0.25">
      <c r="A2467" s="244">
        <v>1993</v>
      </c>
      <c r="B2467" s="245" t="s">
        <v>19</v>
      </c>
      <c r="C2467" s="246" t="s">
        <v>20</v>
      </c>
      <c r="D2467" s="245" t="s">
        <v>30</v>
      </c>
      <c r="E2467" s="247">
        <v>10</v>
      </c>
      <c r="F2467" s="242" t="s">
        <v>504</v>
      </c>
      <c r="G2467" s="242">
        <v>4.5999999999999996</v>
      </c>
      <c r="H2467" s="230">
        <f t="shared" si="49"/>
        <v>46</v>
      </c>
    </row>
    <row r="2468" spans="1:8" ht="12" customHeight="1" x14ac:dyDescent="0.25">
      <c r="A2468" s="244">
        <v>1993</v>
      </c>
      <c r="B2468" s="245" t="s">
        <v>19</v>
      </c>
      <c r="C2468" s="246" t="s">
        <v>20</v>
      </c>
      <c r="D2468" s="245" t="s">
        <v>30</v>
      </c>
      <c r="E2468" s="247">
        <v>14</v>
      </c>
      <c r="F2468" s="242" t="s">
        <v>504</v>
      </c>
      <c r="G2468" s="242">
        <v>4.5999999999999996</v>
      </c>
      <c r="H2468" s="230">
        <f t="shared" si="49"/>
        <v>64.399999999999991</v>
      </c>
    </row>
    <row r="2469" spans="1:8" ht="12" customHeight="1" x14ac:dyDescent="0.25">
      <c r="A2469" s="244">
        <v>1993</v>
      </c>
      <c r="B2469" s="245" t="s">
        <v>19</v>
      </c>
      <c r="C2469" s="246" t="s">
        <v>20</v>
      </c>
      <c r="D2469" s="245" t="s">
        <v>30</v>
      </c>
      <c r="E2469" s="247">
        <v>13.5</v>
      </c>
      <c r="F2469" s="242" t="s">
        <v>504</v>
      </c>
      <c r="G2469" s="242">
        <v>4.5999999999999996</v>
      </c>
      <c r="H2469" s="230">
        <f t="shared" si="49"/>
        <v>62.099999999999994</v>
      </c>
    </row>
    <row r="2470" spans="1:8" ht="12" customHeight="1" x14ac:dyDescent="0.25">
      <c r="A2470" s="244">
        <v>1993</v>
      </c>
      <c r="B2470" s="245" t="s">
        <v>19</v>
      </c>
      <c r="C2470" s="246" t="s">
        <v>20</v>
      </c>
      <c r="D2470" s="245" t="s">
        <v>30</v>
      </c>
      <c r="E2470" s="247">
        <v>17</v>
      </c>
      <c r="F2470" s="242" t="s">
        <v>504</v>
      </c>
      <c r="G2470" s="242">
        <v>4.5999999999999996</v>
      </c>
      <c r="H2470" s="230">
        <f t="shared" si="49"/>
        <v>78.199999999999989</v>
      </c>
    </row>
    <row r="2471" spans="1:8" ht="12" customHeight="1" x14ac:dyDescent="0.25">
      <c r="A2471" s="244">
        <v>1993</v>
      </c>
      <c r="B2471" s="245" t="s">
        <v>19</v>
      </c>
      <c r="C2471" s="246" t="s">
        <v>20</v>
      </c>
      <c r="D2471" s="245" t="s">
        <v>30</v>
      </c>
      <c r="E2471" s="247">
        <v>17</v>
      </c>
      <c r="F2471" s="242" t="s">
        <v>504</v>
      </c>
      <c r="G2471" s="242">
        <v>4.5999999999999996</v>
      </c>
      <c r="H2471" s="230">
        <f t="shared" si="49"/>
        <v>78.199999999999989</v>
      </c>
    </row>
    <row r="2472" spans="1:8" ht="12" customHeight="1" x14ac:dyDescent="0.25">
      <c r="A2472" s="244">
        <v>1993</v>
      </c>
      <c r="B2472" s="245" t="s">
        <v>19</v>
      </c>
      <c r="C2472" s="246" t="s">
        <v>20</v>
      </c>
      <c r="D2472" s="245" t="s">
        <v>30</v>
      </c>
      <c r="E2472" s="247">
        <v>15.5</v>
      </c>
      <c r="F2472" s="242" t="s">
        <v>504</v>
      </c>
      <c r="G2472" s="242">
        <v>4.5999999999999996</v>
      </c>
      <c r="H2472" s="230">
        <f t="shared" si="49"/>
        <v>71.3</v>
      </c>
    </row>
    <row r="2473" spans="1:8" ht="12" customHeight="1" x14ac:dyDescent="0.25">
      <c r="A2473" s="244">
        <v>1993</v>
      </c>
      <c r="B2473" s="245" t="s">
        <v>19</v>
      </c>
      <c r="C2473" s="246" t="s">
        <v>20</v>
      </c>
      <c r="D2473" s="245" t="s">
        <v>30</v>
      </c>
      <c r="E2473" s="247">
        <v>18</v>
      </c>
      <c r="F2473" s="242" t="s">
        <v>504</v>
      </c>
      <c r="G2473" s="242">
        <v>4.5999999999999996</v>
      </c>
      <c r="H2473" s="230">
        <f t="shared" si="49"/>
        <v>82.8</v>
      </c>
    </row>
    <row r="2474" spans="1:8" ht="12" customHeight="1" x14ac:dyDescent="0.25">
      <c r="A2474" s="244">
        <v>1993</v>
      </c>
      <c r="B2474" s="245" t="s">
        <v>19</v>
      </c>
      <c r="C2474" s="246" t="s">
        <v>20</v>
      </c>
      <c r="D2474" s="245" t="s">
        <v>30</v>
      </c>
      <c r="E2474" s="247">
        <v>15</v>
      </c>
      <c r="F2474" s="242" t="s">
        <v>504</v>
      </c>
      <c r="G2474" s="242">
        <v>4.5999999999999996</v>
      </c>
      <c r="H2474" s="230">
        <f t="shared" si="49"/>
        <v>69</v>
      </c>
    </row>
    <row r="2475" spans="1:8" ht="12" customHeight="1" x14ac:dyDescent="0.25">
      <c r="A2475" s="244">
        <v>1993</v>
      </c>
      <c r="B2475" s="245" t="s">
        <v>19</v>
      </c>
      <c r="C2475" s="246" t="s">
        <v>20</v>
      </c>
      <c r="D2475" s="245" t="s">
        <v>30</v>
      </c>
      <c r="E2475" s="247">
        <v>14</v>
      </c>
      <c r="F2475" s="242" t="s">
        <v>504</v>
      </c>
      <c r="G2475" s="242">
        <v>4.5999999999999996</v>
      </c>
      <c r="H2475" s="230">
        <f t="shared" si="49"/>
        <v>64.399999999999991</v>
      </c>
    </row>
    <row r="2476" spans="1:8" ht="12" customHeight="1" x14ac:dyDescent="0.25">
      <c r="A2476" s="244">
        <v>1993</v>
      </c>
      <c r="B2476" s="245" t="s">
        <v>19</v>
      </c>
      <c r="C2476" s="246" t="s">
        <v>20</v>
      </c>
      <c r="D2476" s="245" t="s">
        <v>30</v>
      </c>
      <c r="E2476" s="247">
        <v>15.5</v>
      </c>
      <c r="F2476" s="242" t="s">
        <v>504</v>
      </c>
      <c r="G2476" s="242">
        <v>4.5999999999999996</v>
      </c>
      <c r="H2476" s="230">
        <f t="shared" si="49"/>
        <v>71.3</v>
      </c>
    </row>
    <row r="2477" spans="1:8" ht="12" customHeight="1" x14ac:dyDescent="0.25">
      <c r="A2477" s="244">
        <v>1993</v>
      </c>
      <c r="B2477" s="245" t="s">
        <v>19</v>
      </c>
      <c r="C2477" s="246" t="s">
        <v>20</v>
      </c>
      <c r="D2477" s="245" t="s">
        <v>30</v>
      </c>
      <c r="E2477" s="247">
        <v>14.5</v>
      </c>
      <c r="F2477" s="242" t="s">
        <v>504</v>
      </c>
      <c r="G2477" s="242">
        <v>4.5999999999999996</v>
      </c>
      <c r="H2477" s="230">
        <f t="shared" si="49"/>
        <v>66.699999999999989</v>
      </c>
    </row>
    <row r="2478" spans="1:8" ht="12" customHeight="1" x14ac:dyDescent="0.25">
      <c r="A2478" s="244">
        <v>1993</v>
      </c>
      <c r="B2478" s="245" t="s">
        <v>19</v>
      </c>
      <c r="C2478" s="246" t="s">
        <v>20</v>
      </c>
      <c r="D2478" s="245" t="s">
        <v>30</v>
      </c>
      <c r="E2478" s="247">
        <v>17</v>
      </c>
      <c r="F2478" s="242" t="s">
        <v>504</v>
      </c>
      <c r="G2478" s="242">
        <v>4.5999999999999996</v>
      </c>
      <c r="H2478" s="230">
        <f t="shared" si="49"/>
        <v>78.199999999999989</v>
      </c>
    </row>
    <row r="2479" spans="1:8" ht="12" customHeight="1" x14ac:dyDescent="0.25">
      <c r="A2479" s="244">
        <v>1993</v>
      </c>
      <c r="B2479" s="245" t="s">
        <v>19</v>
      </c>
      <c r="C2479" s="246" t="s">
        <v>20</v>
      </c>
      <c r="D2479" s="245" t="s">
        <v>30</v>
      </c>
      <c r="E2479" s="247">
        <v>20</v>
      </c>
      <c r="F2479" s="242" t="s">
        <v>504</v>
      </c>
      <c r="G2479" s="242">
        <v>4.5999999999999996</v>
      </c>
      <c r="H2479" s="230">
        <f t="shared" si="49"/>
        <v>92</v>
      </c>
    </row>
    <row r="2480" spans="1:8" ht="12" customHeight="1" x14ac:dyDescent="0.25">
      <c r="A2480" s="244">
        <v>1993</v>
      </c>
      <c r="B2480" s="245" t="s">
        <v>19</v>
      </c>
      <c r="C2480" s="246" t="s">
        <v>20</v>
      </c>
      <c r="D2480" s="245" t="s">
        <v>30</v>
      </c>
      <c r="E2480" s="247">
        <v>14.5</v>
      </c>
      <c r="F2480" s="242" t="s">
        <v>504</v>
      </c>
      <c r="G2480" s="242">
        <v>4.5999999999999996</v>
      </c>
      <c r="H2480" s="230">
        <f t="shared" si="49"/>
        <v>66.699999999999989</v>
      </c>
    </row>
    <row r="2481" spans="1:8" ht="12" customHeight="1" x14ac:dyDescent="0.25">
      <c r="A2481" s="244">
        <v>1993</v>
      </c>
      <c r="B2481" s="245" t="s">
        <v>19</v>
      </c>
      <c r="C2481" s="246" t="s">
        <v>20</v>
      </c>
      <c r="D2481" s="245" t="s">
        <v>30</v>
      </c>
      <c r="E2481" s="247">
        <v>20.5</v>
      </c>
      <c r="F2481" s="242" t="s">
        <v>504</v>
      </c>
      <c r="G2481" s="242">
        <v>4.5999999999999996</v>
      </c>
      <c r="H2481" s="230">
        <f t="shared" si="49"/>
        <v>94.3</v>
      </c>
    </row>
    <row r="2482" spans="1:8" ht="12" customHeight="1" x14ac:dyDescent="0.25">
      <c r="A2482" s="244">
        <v>1993</v>
      </c>
      <c r="B2482" s="245" t="s">
        <v>19</v>
      </c>
      <c r="C2482" s="246" t="s">
        <v>20</v>
      </c>
      <c r="D2482" s="245" t="s">
        <v>30</v>
      </c>
      <c r="E2482" s="247">
        <v>17</v>
      </c>
      <c r="F2482" s="242" t="s">
        <v>504</v>
      </c>
      <c r="G2482" s="242">
        <v>4.5999999999999996</v>
      </c>
      <c r="H2482" s="230">
        <f t="shared" si="49"/>
        <v>78.199999999999989</v>
      </c>
    </row>
    <row r="2483" spans="1:8" ht="12" customHeight="1" x14ac:dyDescent="0.25">
      <c r="A2483" s="244">
        <v>1993</v>
      </c>
      <c r="B2483" s="245" t="s">
        <v>19</v>
      </c>
      <c r="C2483" s="246" t="s">
        <v>20</v>
      </c>
      <c r="D2483" s="245" t="s">
        <v>30</v>
      </c>
      <c r="E2483" s="247">
        <v>13.5</v>
      </c>
      <c r="F2483" s="242" t="s">
        <v>504</v>
      </c>
      <c r="G2483" s="242">
        <v>4.5999999999999996</v>
      </c>
      <c r="H2483" s="230">
        <f t="shared" si="49"/>
        <v>62.099999999999994</v>
      </c>
    </row>
    <row r="2484" spans="1:8" ht="12" customHeight="1" x14ac:dyDescent="0.25">
      <c r="A2484" s="244">
        <v>1993</v>
      </c>
      <c r="B2484" s="245" t="s">
        <v>19</v>
      </c>
      <c r="C2484" s="246" t="s">
        <v>20</v>
      </c>
      <c r="D2484" s="245" t="s">
        <v>30</v>
      </c>
      <c r="E2484" s="247">
        <v>14.5</v>
      </c>
      <c r="F2484" s="242" t="s">
        <v>504</v>
      </c>
      <c r="G2484" s="242">
        <v>4.5999999999999996</v>
      </c>
      <c r="H2484" s="230">
        <f t="shared" si="49"/>
        <v>66.699999999999989</v>
      </c>
    </row>
    <row r="2485" spans="1:8" ht="12" customHeight="1" x14ac:dyDescent="0.25">
      <c r="A2485" s="244">
        <v>1993</v>
      </c>
      <c r="B2485" s="245" t="s">
        <v>19</v>
      </c>
      <c r="C2485" s="246" t="s">
        <v>20</v>
      </c>
      <c r="D2485" s="245" t="s">
        <v>30</v>
      </c>
      <c r="E2485" s="247">
        <v>18.5</v>
      </c>
      <c r="F2485" s="242" t="s">
        <v>504</v>
      </c>
      <c r="G2485" s="242">
        <v>4.5999999999999996</v>
      </c>
      <c r="H2485" s="230">
        <f t="shared" si="49"/>
        <v>85.1</v>
      </c>
    </row>
    <row r="2486" spans="1:8" ht="12" customHeight="1" x14ac:dyDescent="0.25">
      <c r="A2486" s="244">
        <v>1993</v>
      </c>
      <c r="B2486" s="245" t="s">
        <v>19</v>
      </c>
      <c r="C2486" s="246" t="s">
        <v>20</v>
      </c>
      <c r="D2486" s="245" t="s">
        <v>30</v>
      </c>
      <c r="E2486" s="247">
        <v>19</v>
      </c>
      <c r="F2486" s="242" t="s">
        <v>504</v>
      </c>
      <c r="G2486" s="242">
        <v>4.5999999999999996</v>
      </c>
      <c r="H2486" s="230">
        <f t="shared" si="49"/>
        <v>87.399999999999991</v>
      </c>
    </row>
    <row r="2487" spans="1:8" ht="12" customHeight="1" x14ac:dyDescent="0.25">
      <c r="A2487" s="244">
        <v>1993</v>
      </c>
      <c r="B2487" s="245" t="s">
        <v>19</v>
      </c>
      <c r="C2487" s="246" t="s">
        <v>20</v>
      </c>
      <c r="D2487" s="245" t="s">
        <v>30</v>
      </c>
      <c r="E2487" s="247">
        <v>14.3</v>
      </c>
      <c r="F2487" s="242" t="s">
        <v>504</v>
      </c>
      <c r="G2487" s="242">
        <v>4.5999999999999996</v>
      </c>
      <c r="H2487" s="230">
        <f t="shared" si="49"/>
        <v>65.78</v>
      </c>
    </row>
    <row r="2488" spans="1:8" ht="12" customHeight="1" x14ac:dyDescent="0.25">
      <c r="A2488" s="244">
        <v>1993</v>
      </c>
      <c r="B2488" s="245" t="s">
        <v>19</v>
      </c>
      <c r="C2488" s="246" t="s">
        <v>20</v>
      </c>
      <c r="D2488" s="245" t="s">
        <v>30</v>
      </c>
      <c r="E2488" s="247">
        <v>9</v>
      </c>
      <c r="F2488" s="242" t="s">
        <v>504</v>
      </c>
      <c r="G2488" s="242">
        <v>4.5999999999999996</v>
      </c>
      <c r="H2488" s="230">
        <f t="shared" si="49"/>
        <v>41.4</v>
      </c>
    </row>
    <row r="2489" spans="1:8" ht="12" customHeight="1" x14ac:dyDescent="0.25">
      <c r="A2489" s="244">
        <v>1993</v>
      </c>
      <c r="B2489" s="245" t="s">
        <v>19</v>
      </c>
      <c r="C2489" s="246" t="s">
        <v>20</v>
      </c>
      <c r="D2489" s="245" t="s">
        <v>30</v>
      </c>
      <c r="E2489" s="247">
        <v>12</v>
      </c>
      <c r="F2489" s="242" t="s">
        <v>504</v>
      </c>
      <c r="G2489" s="242">
        <v>4.5999999999999996</v>
      </c>
      <c r="H2489" s="230">
        <f t="shared" si="49"/>
        <v>55.199999999999996</v>
      </c>
    </row>
    <row r="2490" spans="1:8" ht="12" customHeight="1" x14ac:dyDescent="0.25">
      <c r="A2490" s="244">
        <v>1993</v>
      </c>
      <c r="B2490" s="245" t="s">
        <v>19</v>
      </c>
      <c r="C2490" s="246" t="s">
        <v>20</v>
      </c>
      <c r="D2490" s="245" t="s">
        <v>30</v>
      </c>
      <c r="E2490" s="247">
        <v>12</v>
      </c>
      <c r="F2490" s="242" t="s">
        <v>504</v>
      </c>
      <c r="G2490" s="242">
        <v>4.5999999999999996</v>
      </c>
      <c r="H2490" s="230">
        <f t="shared" si="49"/>
        <v>55.199999999999996</v>
      </c>
    </row>
    <row r="2491" spans="1:8" ht="12" customHeight="1" x14ac:dyDescent="0.25">
      <c r="A2491" s="244">
        <v>1993</v>
      </c>
      <c r="B2491" s="245" t="s">
        <v>19</v>
      </c>
      <c r="C2491" s="246" t="s">
        <v>20</v>
      </c>
      <c r="D2491" s="245" t="s">
        <v>30</v>
      </c>
      <c r="E2491" s="247">
        <v>13</v>
      </c>
      <c r="F2491" s="242" t="s">
        <v>504</v>
      </c>
      <c r="G2491" s="242">
        <v>4.5999999999999996</v>
      </c>
      <c r="H2491" s="230">
        <f t="shared" si="49"/>
        <v>59.8</v>
      </c>
    </row>
    <row r="2492" spans="1:8" ht="12" customHeight="1" x14ac:dyDescent="0.25">
      <c r="A2492" s="244">
        <v>1993</v>
      </c>
      <c r="B2492" s="245" t="s">
        <v>19</v>
      </c>
      <c r="C2492" s="246" t="s">
        <v>20</v>
      </c>
      <c r="D2492" s="245" t="s">
        <v>30</v>
      </c>
      <c r="E2492" s="247">
        <v>13</v>
      </c>
      <c r="F2492" s="242" t="s">
        <v>504</v>
      </c>
      <c r="G2492" s="242">
        <v>4.5999999999999996</v>
      </c>
      <c r="H2492" s="230">
        <f t="shared" si="49"/>
        <v>59.8</v>
      </c>
    </row>
    <row r="2493" spans="1:8" ht="12" customHeight="1" x14ac:dyDescent="0.25">
      <c r="A2493" s="244">
        <v>1993</v>
      </c>
      <c r="B2493" s="245" t="s">
        <v>19</v>
      </c>
      <c r="C2493" s="246" t="s">
        <v>20</v>
      </c>
      <c r="D2493" s="245" t="s">
        <v>30</v>
      </c>
      <c r="E2493" s="247">
        <v>12.5</v>
      </c>
      <c r="F2493" s="242" t="s">
        <v>504</v>
      </c>
      <c r="G2493" s="242">
        <v>4.5999999999999996</v>
      </c>
      <c r="H2493" s="230">
        <f t="shared" si="49"/>
        <v>57.499999999999993</v>
      </c>
    </row>
    <row r="2494" spans="1:8" ht="12" customHeight="1" x14ac:dyDescent="0.25">
      <c r="A2494" s="244">
        <v>1993</v>
      </c>
      <c r="B2494" s="245" t="s">
        <v>19</v>
      </c>
      <c r="C2494" s="246" t="s">
        <v>20</v>
      </c>
      <c r="D2494" s="245" t="s">
        <v>30</v>
      </c>
      <c r="E2494" s="247">
        <v>11</v>
      </c>
      <c r="F2494" s="242" t="s">
        <v>504</v>
      </c>
      <c r="G2494" s="242">
        <v>4.5999999999999996</v>
      </c>
      <c r="H2494" s="230">
        <f t="shared" si="49"/>
        <v>50.599999999999994</v>
      </c>
    </row>
    <row r="2495" spans="1:8" ht="12" customHeight="1" x14ac:dyDescent="0.25">
      <c r="A2495" s="244">
        <v>1993</v>
      </c>
      <c r="B2495" s="245" t="s">
        <v>19</v>
      </c>
      <c r="C2495" s="246" t="s">
        <v>20</v>
      </c>
      <c r="D2495" s="245" t="s">
        <v>30</v>
      </c>
      <c r="E2495" s="247">
        <v>14.5</v>
      </c>
      <c r="F2495" s="242" t="s">
        <v>504</v>
      </c>
      <c r="G2495" s="242">
        <v>4.5999999999999996</v>
      </c>
      <c r="H2495" s="230">
        <f t="shared" si="49"/>
        <v>66.699999999999989</v>
      </c>
    </row>
    <row r="2496" spans="1:8" ht="12" customHeight="1" x14ac:dyDescent="0.25">
      <c r="A2496" s="244">
        <v>1993</v>
      </c>
      <c r="B2496" s="245" t="s">
        <v>19</v>
      </c>
      <c r="C2496" s="246" t="s">
        <v>20</v>
      </c>
      <c r="D2496" s="245" t="s">
        <v>30</v>
      </c>
      <c r="E2496" s="247">
        <v>11</v>
      </c>
      <c r="F2496" s="242" t="s">
        <v>504</v>
      </c>
      <c r="G2496" s="242">
        <v>4.5999999999999996</v>
      </c>
      <c r="H2496" s="230">
        <f t="shared" si="49"/>
        <v>50.599999999999994</v>
      </c>
    </row>
    <row r="2497" spans="1:8" ht="12" customHeight="1" x14ac:dyDescent="0.25">
      <c r="A2497" s="244">
        <v>1993</v>
      </c>
      <c r="B2497" s="245" t="s">
        <v>19</v>
      </c>
      <c r="C2497" s="246" t="s">
        <v>20</v>
      </c>
      <c r="D2497" s="245" t="s">
        <v>30</v>
      </c>
      <c r="E2497" s="247">
        <v>11</v>
      </c>
      <c r="F2497" s="242" t="s">
        <v>504</v>
      </c>
      <c r="G2497" s="242">
        <v>4.5999999999999996</v>
      </c>
      <c r="H2497" s="230">
        <f t="shared" si="49"/>
        <v>50.599999999999994</v>
      </c>
    </row>
    <row r="2498" spans="1:8" ht="12" customHeight="1" x14ac:dyDescent="0.25">
      <c r="A2498" s="244">
        <v>1993</v>
      </c>
      <c r="B2498" s="245" t="s">
        <v>19</v>
      </c>
      <c r="C2498" s="246" t="s">
        <v>20</v>
      </c>
      <c r="D2498" s="245" t="s">
        <v>30</v>
      </c>
      <c r="E2498" s="247">
        <v>13.5</v>
      </c>
      <c r="F2498" s="242" t="s">
        <v>504</v>
      </c>
      <c r="G2498" s="242">
        <v>4.5999999999999996</v>
      </c>
      <c r="H2498" s="230">
        <f t="shared" si="49"/>
        <v>62.099999999999994</v>
      </c>
    </row>
    <row r="2499" spans="1:8" ht="12" customHeight="1" x14ac:dyDescent="0.25">
      <c r="A2499" s="244">
        <v>1993</v>
      </c>
      <c r="B2499" s="245" t="s">
        <v>19</v>
      </c>
      <c r="C2499" s="246" t="s">
        <v>20</v>
      </c>
      <c r="D2499" s="245" t="s">
        <v>30</v>
      </c>
      <c r="E2499" s="247">
        <v>14.8</v>
      </c>
      <c r="F2499" s="242" t="s">
        <v>504</v>
      </c>
      <c r="G2499" s="242">
        <v>4.5999999999999996</v>
      </c>
      <c r="H2499" s="230">
        <f t="shared" ref="H2499:H2562" si="50">E2499*G2499</f>
        <v>68.08</v>
      </c>
    </row>
    <row r="2500" spans="1:8" ht="12" customHeight="1" x14ac:dyDescent="0.25">
      <c r="A2500" s="244">
        <v>1993</v>
      </c>
      <c r="B2500" s="245" t="s">
        <v>19</v>
      </c>
      <c r="C2500" s="246" t="s">
        <v>20</v>
      </c>
      <c r="D2500" s="245" t="s">
        <v>30</v>
      </c>
      <c r="E2500" s="247">
        <v>17</v>
      </c>
      <c r="F2500" s="242" t="s">
        <v>504</v>
      </c>
      <c r="G2500" s="242">
        <v>4.5999999999999996</v>
      </c>
      <c r="H2500" s="230">
        <f t="shared" si="50"/>
        <v>78.199999999999989</v>
      </c>
    </row>
    <row r="2501" spans="1:8" ht="12" customHeight="1" x14ac:dyDescent="0.25">
      <c r="A2501" s="244">
        <v>1993</v>
      </c>
      <c r="B2501" s="245" t="s">
        <v>19</v>
      </c>
      <c r="C2501" s="246" t="s">
        <v>20</v>
      </c>
      <c r="D2501" s="245" t="s">
        <v>30</v>
      </c>
      <c r="E2501" s="247">
        <v>10</v>
      </c>
      <c r="F2501" s="242" t="s">
        <v>504</v>
      </c>
      <c r="G2501" s="242">
        <v>4.5999999999999996</v>
      </c>
      <c r="H2501" s="230">
        <f t="shared" si="50"/>
        <v>46</v>
      </c>
    </row>
    <row r="2502" spans="1:8" ht="12" customHeight="1" x14ac:dyDescent="0.25">
      <c r="A2502" s="244">
        <v>1993</v>
      </c>
      <c r="B2502" s="245" t="s">
        <v>19</v>
      </c>
      <c r="C2502" s="246" t="s">
        <v>20</v>
      </c>
      <c r="D2502" s="245" t="s">
        <v>30</v>
      </c>
      <c r="E2502" s="247">
        <v>14.5</v>
      </c>
      <c r="F2502" s="242" t="s">
        <v>504</v>
      </c>
      <c r="G2502" s="242">
        <v>4.5999999999999996</v>
      </c>
      <c r="H2502" s="230">
        <f t="shared" si="50"/>
        <v>66.699999999999989</v>
      </c>
    </row>
    <row r="2503" spans="1:8" ht="12" customHeight="1" x14ac:dyDescent="0.25">
      <c r="A2503" s="244">
        <v>1993</v>
      </c>
      <c r="B2503" s="245" t="s">
        <v>19</v>
      </c>
      <c r="C2503" s="246" t="s">
        <v>20</v>
      </c>
      <c r="D2503" s="245" t="s">
        <v>30</v>
      </c>
      <c r="E2503" s="247">
        <v>18.5</v>
      </c>
      <c r="F2503" s="242" t="s">
        <v>504</v>
      </c>
      <c r="G2503" s="242">
        <v>4.5999999999999996</v>
      </c>
      <c r="H2503" s="230">
        <f t="shared" si="50"/>
        <v>85.1</v>
      </c>
    </row>
    <row r="2504" spans="1:8" ht="12" customHeight="1" x14ac:dyDescent="0.25">
      <c r="A2504" s="244">
        <v>1993</v>
      </c>
      <c r="B2504" s="245" t="s">
        <v>19</v>
      </c>
      <c r="C2504" s="246" t="s">
        <v>20</v>
      </c>
      <c r="D2504" s="245" t="s">
        <v>30</v>
      </c>
      <c r="E2504" s="247">
        <v>19</v>
      </c>
      <c r="F2504" s="242" t="s">
        <v>504</v>
      </c>
      <c r="G2504" s="242">
        <v>4.5999999999999996</v>
      </c>
      <c r="H2504" s="230">
        <f t="shared" si="50"/>
        <v>87.399999999999991</v>
      </c>
    </row>
    <row r="2505" spans="1:8" ht="12" customHeight="1" x14ac:dyDescent="0.25">
      <c r="A2505" s="244">
        <v>1993</v>
      </c>
      <c r="B2505" s="245" t="s">
        <v>19</v>
      </c>
      <c r="C2505" s="246" t="s">
        <v>20</v>
      </c>
      <c r="D2505" s="245" t="s">
        <v>30</v>
      </c>
      <c r="E2505" s="247">
        <v>14.5</v>
      </c>
      <c r="F2505" s="242" t="s">
        <v>504</v>
      </c>
      <c r="G2505" s="242">
        <v>4.5999999999999996</v>
      </c>
      <c r="H2505" s="230">
        <f t="shared" si="50"/>
        <v>66.699999999999989</v>
      </c>
    </row>
    <row r="2506" spans="1:8" ht="12" customHeight="1" x14ac:dyDescent="0.25">
      <c r="A2506" s="244">
        <v>1993</v>
      </c>
      <c r="B2506" s="245" t="s">
        <v>19</v>
      </c>
      <c r="C2506" s="246" t="s">
        <v>20</v>
      </c>
      <c r="D2506" s="245" t="s">
        <v>30</v>
      </c>
      <c r="E2506" s="247">
        <v>15</v>
      </c>
      <c r="F2506" s="242" t="s">
        <v>504</v>
      </c>
      <c r="G2506" s="242">
        <v>4.5999999999999996</v>
      </c>
      <c r="H2506" s="230">
        <f t="shared" si="50"/>
        <v>69</v>
      </c>
    </row>
    <row r="2507" spans="1:8" ht="12" customHeight="1" x14ac:dyDescent="0.25">
      <c r="A2507" s="244">
        <v>1993</v>
      </c>
      <c r="B2507" s="245" t="s">
        <v>19</v>
      </c>
      <c r="C2507" s="246" t="s">
        <v>20</v>
      </c>
      <c r="D2507" s="245" t="s">
        <v>30</v>
      </c>
      <c r="E2507" s="247">
        <v>13.5</v>
      </c>
      <c r="F2507" s="242" t="s">
        <v>504</v>
      </c>
      <c r="G2507" s="242">
        <v>4.5999999999999996</v>
      </c>
      <c r="H2507" s="230">
        <f t="shared" si="50"/>
        <v>62.099999999999994</v>
      </c>
    </row>
    <row r="2508" spans="1:8" ht="12" customHeight="1" x14ac:dyDescent="0.25">
      <c r="A2508" s="244">
        <v>1993</v>
      </c>
      <c r="B2508" s="245" t="s">
        <v>19</v>
      </c>
      <c r="C2508" s="246" t="s">
        <v>20</v>
      </c>
      <c r="D2508" s="245" t="s">
        <v>21</v>
      </c>
      <c r="E2508" s="247">
        <v>17</v>
      </c>
      <c r="F2508" s="242" t="s">
        <v>507</v>
      </c>
      <c r="G2508" s="242">
        <v>3.9</v>
      </c>
      <c r="H2508" s="230">
        <f t="shared" si="50"/>
        <v>66.3</v>
      </c>
    </row>
    <row r="2509" spans="1:8" ht="12" customHeight="1" x14ac:dyDescent="0.25">
      <c r="A2509" s="244">
        <v>1993</v>
      </c>
      <c r="B2509" s="245" t="s">
        <v>19</v>
      </c>
      <c r="C2509" s="246" t="s">
        <v>20</v>
      </c>
      <c r="D2509" s="245" t="s">
        <v>21</v>
      </c>
      <c r="E2509" s="247">
        <v>20.5</v>
      </c>
      <c r="F2509" s="242" t="s">
        <v>507</v>
      </c>
      <c r="G2509" s="242">
        <v>3.9</v>
      </c>
      <c r="H2509" s="230">
        <f t="shared" si="50"/>
        <v>79.95</v>
      </c>
    </row>
    <row r="2510" spans="1:8" ht="12" customHeight="1" x14ac:dyDescent="0.25">
      <c r="A2510" s="244">
        <v>1993</v>
      </c>
      <c r="B2510" s="245" t="s">
        <v>19</v>
      </c>
      <c r="C2510" s="246" t="s">
        <v>20</v>
      </c>
      <c r="D2510" s="245" t="s">
        <v>21</v>
      </c>
      <c r="E2510" s="247">
        <v>14.8</v>
      </c>
      <c r="F2510" s="242" t="s">
        <v>507</v>
      </c>
      <c r="G2510" s="242">
        <v>3.9</v>
      </c>
      <c r="H2510" s="230">
        <f t="shared" si="50"/>
        <v>57.72</v>
      </c>
    </row>
    <row r="2511" spans="1:8" ht="12" customHeight="1" x14ac:dyDescent="0.25">
      <c r="A2511" s="244">
        <v>1993</v>
      </c>
      <c r="B2511" s="245" t="s">
        <v>19</v>
      </c>
      <c r="C2511" s="246" t="s">
        <v>20</v>
      </c>
      <c r="D2511" s="245" t="s">
        <v>21</v>
      </c>
      <c r="E2511" s="247">
        <v>11.5</v>
      </c>
      <c r="F2511" s="242" t="s">
        <v>507</v>
      </c>
      <c r="G2511" s="242">
        <v>3.9</v>
      </c>
      <c r="H2511" s="230">
        <f t="shared" si="50"/>
        <v>44.85</v>
      </c>
    </row>
    <row r="2512" spans="1:8" ht="12" customHeight="1" x14ac:dyDescent="0.25">
      <c r="A2512" s="244">
        <v>1993</v>
      </c>
      <c r="B2512" s="245" t="s">
        <v>19</v>
      </c>
      <c r="C2512" s="246" t="s">
        <v>20</v>
      </c>
      <c r="D2512" s="245" t="s">
        <v>21</v>
      </c>
      <c r="E2512" s="247">
        <v>12</v>
      </c>
      <c r="F2512" s="242" t="s">
        <v>507</v>
      </c>
      <c r="G2512" s="242">
        <v>3.9</v>
      </c>
      <c r="H2512" s="230">
        <f t="shared" si="50"/>
        <v>46.8</v>
      </c>
    </row>
    <row r="2513" spans="1:8" ht="12" customHeight="1" x14ac:dyDescent="0.25">
      <c r="A2513" s="244">
        <v>1993</v>
      </c>
      <c r="B2513" s="245" t="s">
        <v>19</v>
      </c>
      <c r="C2513" s="246" t="s">
        <v>20</v>
      </c>
      <c r="D2513" s="245" t="s">
        <v>21</v>
      </c>
      <c r="E2513" s="247">
        <v>10</v>
      </c>
      <c r="F2513" s="242" t="s">
        <v>507</v>
      </c>
      <c r="G2513" s="242">
        <v>3.9</v>
      </c>
      <c r="H2513" s="230">
        <f t="shared" si="50"/>
        <v>39</v>
      </c>
    </row>
    <row r="2514" spans="1:8" ht="12" customHeight="1" x14ac:dyDescent="0.25">
      <c r="A2514" s="244">
        <v>1993</v>
      </c>
      <c r="B2514" s="245" t="s">
        <v>19</v>
      </c>
      <c r="C2514" s="246" t="s">
        <v>20</v>
      </c>
      <c r="D2514" s="245" t="s">
        <v>21</v>
      </c>
      <c r="E2514" s="247">
        <v>13</v>
      </c>
      <c r="F2514" s="242" t="s">
        <v>507</v>
      </c>
      <c r="G2514" s="242">
        <v>3.9</v>
      </c>
      <c r="H2514" s="230">
        <f t="shared" si="50"/>
        <v>50.699999999999996</v>
      </c>
    </row>
    <row r="2515" spans="1:8" ht="12" customHeight="1" x14ac:dyDescent="0.25">
      <c r="A2515" s="244">
        <v>1993</v>
      </c>
      <c r="B2515" s="245" t="s">
        <v>19</v>
      </c>
      <c r="C2515" s="246" t="s">
        <v>20</v>
      </c>
      <c r="D2515" s="245" t="s">
        <v>21</v>
      </c>
      <c r="E2515" s="247">
        <v>16</v>
      </c>
      <c r="F2515" s="242" t="s">
        <v>507</v>
      </c>
      <c r="G2515" s="242">
        <v>3.9</v>
      </c>
      <c r="H2515" s="230">
        <f t="shared" si="50"/>
        <v>62.4</v>
      </c>
    </row>
    <row r="2516" spans="1:8" ht="12" customHeight="1" x14ac:dyDescent="0.25">
      <c r="A2516" s="244">
        <v>1993</v>
      </c>
      <c r="B2516" s="245" t="s">
        <v>19</v>
      </c>
      <c r="C2516" s="246" t="s">
        <v>20</v>
      </c>
      <c r="D2516" s="245" t="s">
        <v>21</v>
      </c>
      <c r="E2516" s="247">
        <v>7</v>
      </c>
      <c r="F2516" s="242" t="s">
        <v>507</v>
      </c>
      <c r="G2516" s="242">
        <v>3.9</v>
      </c>
      <c r="H2516" s="230">
        <f t="shared" si="50"/>
        <v>27.3</v>
      </c>
    </row>
    <row r="2517" spans="1:8" ht="12" customHeight="1" x14ac:dyDescent="0.25">
      <c r="A2517" s="244">
        <v>1993</v>
      </c>
      <c r="B2517" s="245" t="s">
        <v>19</v>
      </c>
      <c r="C2517" s="246" t="s">
        <v>20</v>
      </c>
      <c r="D2517" s="245" t="s">
        <v>21</v>
      </c>
      <c r="E2517" s="247">
        <v>17</v>
      </c>
      <c r="F2517" s="242" t="s">
        <v>507</v>
      </c>
      <c r="G2517" s="242">
        <v>3.9</v>
      </c>
      <c r="H2517" s="230">
        <f t="shared" si="50"/>
        <v>66.3</v>
      </c>
    </row>
    <row r="2518" spans="1:8" ht="12" customHeight="1" x14ac:dyDescent="0.25">
      <c r="A2518" s="244">
        <v>1993</v>
      </c>
      <c r="B2518" s="245" t="s">
        <v>19</v>
      </c>
      <c r="C2518" s="246" t="s">
        <v>20</v>
      </c>
      <c r="D2518" s="245" t="s">
        <v>21</v>
      </c>
      <c r="E2518" s="247">
        <v>9.5</v>
      </c>
      <c r="F2518" s="242" t="s">
        <v>507</v>
      </c>
      <c r="G2518" s="242">
        <v>3.9</v>
      </c>
      <c r="H2518" s="230">
        <f t="shared" si="50"/>
        <v>37.049999999999997</v>
      </c>
    </row>
    <row r="2519" spans="1:8" ht="12" customHeight="1" x14ac:dyDescent="0.25">
      <c r="A2519" s="244">
        <v>1993</v>
      </c>
      <c r="B2519" s="245" t="s">
        <v>19</v>
      </c>
      <c r="C2519" s="246" t="s">
        <v>20</v>
      </c>
      <c r="D2519" s="245" t="s">
        <v>21</v>
      </c>
      <c r="E2519" s="247">
        <v>9</v>
      </c>
      <c r="F2519" s="242" t="s">
        <v>507</v>
      </c>
      <c r="G2519" s="242">
        <v>3.9</v>
      </c>
      <c r="H2519" s="230">
        <f t="shared" si="50"/>
        <v>35.1</v>
      </c>
    </row>
    <row r="2520" spans="1:8" ht="12" customHeight="1" x14ac:dyDescent="0.25">
      <c r="A2520" s="244">
        <v>1993</v>
      </c>
      <c r="B2520" s="245" t="s">
        <v>19</v>
      </c>
      <c r="C2520" s="246" t="s">
        <v>20</v>
      </c>
      <c r="D2520" s="245" t="s">
        <v>21</v>
      </c>
      <c r="E2520" s="247">
        <v>11.5</v>
      </c>
      <c r="F2520" s="242" t="s">
        <v>507</v>
      </c>
      <c r="G2520" s="242">
        <v>3.9</v>
      </c>
      <c r="H2520" s="230">
        <f t="shared" si="50"/>
        <v>44.85</v>
      </c>
    </row>
    <row r="2521" spans="1:8" ht="12" customHeight="1" x14ac:dyDescent="0.25">
      <c r="A2521" s="244">
        <v>1993</v>
      </c>
      <c r="B2521" s="245" t="s">
        <v>19</v>
      </c>
      <c r="C2521" s="246" t="s">
        <v>34</v>
      </c>
      <c r="D2521" s="245" t="s">
        <v>41</v>
      </c>
      <c r="E2521" s="247">
        <v>21.5</v>
      </c>
      <c r="F2521" s="242" t="s">
        <v>508</v>
      </c>
      <c r="G2521" s="242">
        <v>3.8</v>
      </c>
      <c r="H2521" s="230">
        <f t="shared" si="50"/>
        <v>81.7</v>
      </c>
    </row>
    <row r="2522" spans="1:8" ht="12" customHeight="1" x14ac:dyDescent="0.25">
      <c r="A2522" s="244">
        <v>1993</v>
      </c>
      <c r="B2522" s="245" t="s">
        <v>19</v>
      </c>
      <c r="C2522" s="246" t="s">
        <v>34</v>
      </c>
      <c r="D2522" s="245" t="s">
        <v>41</v>
      </c>
      <c r="E2522" s="247">
        <v>26</v>
      </c>
      <c r="F2522" s="242" t="s">
        <v>508</v>
      </c>
      <c r="G2522" s="242">
        <v>3.8</v>
      </c>
      <c r="H2522" s="230">
        <f t="shared" si="50"/>
        <v>98.8</v>
      </c>
    </row>
    <row r="2523" spans="1:8" ht="12" customHeight="1" x14ac:dyDescent="0.25">
      <c r="A2523" s="244">
        <v>1993</v>
      </c>
      <c r="B2523" s="245" t="s">
        <v>19</v>
      </c>
      <c r="C2523" s="246" t="s">
        <v>34</v>
      </c>
      <c r="D2523" s="245" t="s">
        <v>41</v>
      </c>
      <c r="E2523" s="247">
        <v>26</v>
      </c>
      <c r="F2523" s="242" t="s">
        <v>508</v>
      </c>
      <c r="G2523" s="242">
        <v>3.8</v>
      </c>
      <c r="H2523" s="230">
        <f t="shared" si="50"/>
        <v>98.8</v>
      </c>
    </row>
    <row r="2524" spans="1:8" ht="12" customHeight="1" x14ac:dyDescent="0.25">
      <c r="A2524" s="244">
        <v>1993</v>
      </c>
      <c r="B2524" s="245" t="s">
        <v>19</v>
      </c>
      <c r="C2524" s="246" t="s">
        <v>34</v>
      </c>
      <c r="D2524" s="245" t="s">
        <v>41</v>
      </c>
      <c r="E2524" s="247">
        <v>16.3</v>
      </c>
      <c r="F2524" s="242" t="s">
        <v>508</v>
      </c>
      <c r="G2524" s="242">
        <v>3.8</v>
      </c>
      <c r="H2524" s="230">
        <f t="shared" si="50"/>
        <v>61.94</v>
      </c>
    </row>
    <row r="2525" spans="1:8" ht="12" customHeight="1" x14ac:dyDescent="0.25">
      <c r="A2525" s="244">
        <v>1993</v>
      </c>
      <c r="B2525" s="245" t="s">
        <v>19</v>
      </c>
      <c r="C2525" s="246" t="s">
        <v>34</v>
      </c>
      <c r="D2525" s="245" t="s">
        <v>41</v>
      </c>
      <c r="E2525" s="247">
        <v>21</v>
      </c>
      <c r="F2525" s="242" t="s">
        <v>508</v>
      </c>
      <c r="G2525" s="242">
        <v>3.8</v>
      </c>
      <c r="H2525" s="230">
        <f t="shared" si="50"/>
        <v>79.8</v>
      </c>
    </row>
    <row r="2526" spans="1:8" ht="12" customHeight="1" x14ac:dyDescent="0.25">
      <c r="A2526" s="244">
        <v>1993</v>
      </c>
      <c r="B2526" s="245" t="s">
        <v>19</v>
      </c>
      <c r="C2526" s="246" t="s">
        <v>34</v>
      </c>
      <c r="D2526" s="245" t="s">
        <v>41</v>
      </c>
      <c r="E2526" s="247">
        <v>19.3</v>
      </c>
      <c r="F2526" s="242" t="s">
        <v>508</v>
      </c>
      <c r="G2526" s="242">
        <v>3.8</v>
      </c>
      <c r="H2526" s="230">
        <f t="shared" si="50"/>
        <v>73.34</v>
      </c>
    </row>
    <row r="2527" spans="1:8" ht="12" customHeight="1" x14ac:dyDescent="0.25">
      <c r="A2527" s="244">
        <v>1993</v>
      </c>
      <c r="B2527" s="245" t="s">
        <v>19</v>
      </c>
      <c r="C2527" s="246" t="s">
        <v>34</v>
      </c>
      <c r="D2527" s="245" t="s">
        <v>41</v>
      </c>
      <c r="E2527" s="247">
        <v>22</v>
      </c>
      <c r="F2527" s="242" t="s">
        <v>508</v>
      </c>
      <c r="G2527" s="242">
        <v>3.8</v>
      </c>
      <c r="H2527" s="230">
        <f t="shared" si="50"/>
        <v>83.6</v>
      </c>
    </row>
    <row r="2528" spans="1:8" ht="12" customHeight="1" x14ac:dyDescent="0.25">
      <c r="A2528" s="244">
        <v>1993</v>
      </c>
      <c r="B2528" s="245" t="s">
        <v>19</v>
      </c>
      <c r="C2528" s="246" t="s">
        <v>34</v>
      </c>
      <c r="D2528" s="245" t="s">
        <v>41</v>
      </c>
      <c r="E2528" s="247">
        <v>21.5</v>
      </c>
      <c r="F2528" s="242" t="s">
        <v>508</v>
      </c>
      <c r="G2528" s="242">
        <v>3.8</v>
      </c>
      <c r="H2528" s="230">
        <f t="shared" si="50"/>
        <v>81.7</v>
      </c>
    </row>
    <row r="2529" spans="1:8" ht="12" customHeight="1" x14ac:dyDescent="0.25">
      <c r="A2529" s="244">
        <v>1993</v>
      </c>
      <c r="B2529" s="245" t="s">
        <v>19</v>
      </c>
      <c r="C2529" s="246" t="s">
        <v>34</v>
      </c>
      <c r="D2529" s="245" t="s">
        <v>41</v>
      </c>
      <c r="E2529" s="247">
        <v>22</v>
      </c>
      <c r="F2529" s="242" t="s">
        <v>508</v>
      </c>
      <c r="G2529" s="242">
        <v>3.8</v>
      </c>
      <c r="H2529" s="230">
        <f t="shared" si="50"/>
        <v>83.6</v>
      </c>
    </row>
    <row r="2530" spans="1:8" ht="12" customHeight="1" x14ac:dyDescent="0.25">
      <c r="A2530" s="244">
        <v>1993</v>
      </c>
      <c r="B2530" s="245" t="s">
        <v>19</v>
      </c>
      <c r="C2530" s="246" t="s">
        <v>34</v>
      </c>
      <c r="D2530" s="245" t="s">
        <v>41</v>
      </c>
      <c r="E2530" s="247">
        <v>20.5</v>
      </c>
      <c r="F2530" s="242" t="s">
        <v>508</v>
      </c>
      <c r="G2530" s="242">
        <v>3.8</v>
      </c>
      <c r="H2530" s="230">
        <f t="shared" si="50"/>
        <v>77.899999999999991</v>
      </c>
    </row>
    <row r="2531" spans="1:8" ht="12" customHeight="1" x14ac:dyDescent="0.25">
      <c r="A2531" s="244">
        <v>1993</v>
      </c>
      <c r="B2531" s="245" t="s">
        <v>19</v>
      </c>
      <c r="C2531" s="246" t="s">
        <v>34</v>
      </c>
      <c r="D2531" s="245" t="s">
        <v>41</v>
      </c>
      <c r="E2531" s="247">
        <v>20.5</v>
      </c>
      <c r="F2531" s="242" t="s">
        <v>508</v>
      </c>
      <c r="G2531" s="242">
        <v>3.8</v>
      </c>
      <c r="H2531" s="230">
        <f t="shared" si="50"/>
        <v>77.899999999999991</v>
      </c>
    </row>
    <row r="2532" spans="1:8" ht="12" customHeight="1" x14ac:dyDescent="0.25">
      <c r="A2532" s="244">
        <v>1992</v>
      </c>
      <c r="B2532" s="245" t="s">
        <v>19</v>
      </c>
      <c r="C2532" s="253" t="s">
        <v>20</v>
      </c>
      <c r="D2532" s="254" t="s">
        <v>30</v>
      </c>
      <c r="E2532" s="255">
        <v>7.1</v>
      </c>
      <c r="F2532" s="242" t="s">
        <v>504</v>
      </c>
      <c r="G2532" s="242">
        <v>4.5999999999999996</v>
      </c>
      <c r="H2532" s="230">
        <f t="shared" si="50"/>
        <v>32.659999999999997</v>
      </c>
    </row>
    <row r="2533" spans="1:8" ht="12" customHeight="1" x14ac:dyDescent="0.25">
      <c r="A2533" s="244">
        <v>1992</v>
      </c>
      <c r="B2533" s="245" t="s">
        <v>19</v>
      </c>
      <c r="C2533" s="253" t="s">
        <v>20</v>
      </c>
      <c r="D2533" s="254" t="s">
        <v>30</v>
      </c>
      <c r="E2533" s="255">
        <v>10.4</v>
      </c>
      <c r="F2533" s="242" t="s">
        <v>504</v>
      </c>
      <c r="G2533" s="242">
        <v>4.5999999999999996</v>
      </c>
      <c r="H2533" s="230">
        <f t="shared" si="50"/>
        <v>47.839999999999996</v>
      </c>
    </row>
    <row r="2534" spans="1:8" ht="12" customHeight="1" x14ac:dyDescent="0.25">
      <c r="A2534" s="244">
        <v>1992</v>
      </c>
      <c r="B2534" s="245" t="s">
        <v>19</v>
      </c>
      <c r="C2534" s="253" t="s">
        <v>20</v>
      </c>
      <c r="D2534" s="254" t="s">
        <v>30</v>
      </c>
      <c r="E2534" s="255">
        <v>14.5</v>
      </c>
      <c r="F2534" s="242" t="s">
        <v>504</v>
      </c>
      <c r="G2534" s="242">
        <v>4.5999999999999996</v>
      </c>
      <c r="H2534" s="230">
        <f t="shared" si="50"/>
        <v>66.699999999999989</v>
      </c>
    </row>
    <row r="2535" spans="1:8" ht="12" customHeight="1" x14ac:dyDescent="0.25">
      <c r="A2535" s="244">
        <v>1992</v>
      </c>
      <c r="B2535" s="245" t="s">
        <v>19</v>
      </c>
      <c r="C2535" s="253" t="s">
        <v>20</v>
      </c>
      <c r="D2535" s="254" t="s">
        <v>30</v>
      </c>
      <c r="E2535" s="255">
        <v>14</v>
      </c>
      <c r="F2535" s="242" t="s">
        <v>504</v>
      </c>
      <c r="G2535" s="242">
        <v>4.5999999999999996</v>
      </c>
      <c r="H2535" s="230">
        <f t="shared" si="50"/>
        <v>64.399999999999991</v>
      </c>
    </row>
    <row r="2536" spans="1:8" ht="12" customHeight="1" x14ac:dyDescent="0.25">
      <c r="A2536" s="244">
        <v>1992</v>
      </c>
      <c r="B2536" s="245" t="s">
        <v>19</v>
      </c>
      <c r="C2536" s="253" t="s">
        <v>20</v>
      </c>
      <c r="D2536" s="254" t="s">
        <v>30</v>
      </c>
      <c r="E2536" s="255">
        <v>10.5</v>
      </c>
      <c r="F2536" s="242" t="s">
        <v>504</v>
      </c>
      <c r="G2536" s="242">
        <v>4.5999999999999996</v>
      </c>
      <c r="H2536" s="230">
        <f t="shared" si="50"/>
        <v>48.3</v>
      </c>
    </row>
    <row r="2537" spans="1:8" ht="12" customHeight="1" x14ac:dyDescent="0.25">
      <c r="A2537" s="244">
        <v>1992</v>
      </c>
      <c r="B2537" s="245" t="s">
        <v>19</v>
      </c>
      <c r="C2537" s="253" t="s">
        <v>20</v>
      </c>
      <c r="D2537" s="254" t="s">
        <v>30</v>
      </c>
      <c r="E2537" s="255">
        <v>9.5</v>
      </c>
      <c r="F2537" s="242" t="s">
        <v>504</v>
      </c>
      <c r="G2537" s="242">
        <v>4.5999999999999996</v>
      </c>
      <c r="H2537" s="230">
        <f t="shared" si="50"/>
        <v>43.699999999999996</v>
      </c>
    </row>
    <row r="2538" spans="1:8" ht="12" customHeight="1" x14ac:dyDescent="0.25">
      <c r="A2538" s="244">
        <v>1992</v>
      </c>
      <c r="B2538" s="245" t="s">
        <v>19</v>
      </c>
      <c r="C2538" s="253" t="s">
        <v>20</v>
      </c>
      <c r="D2538" s="254" t="s">
        <v>30</v>
      </c>
      <c r="E2538" s="255">
        <v>13.5</v>
      </c>
      <c r="F2538" s="242" t="s">
        <v>504</v>
      </c>
      <c r="G2538" s="242">
        <v>4.5999999999999996</v>
      </c>
      <c r="H2538" s="230">
        <f t="shared" si="50"/>
        <v>62.099999999999994</v>
      </c>
    </row>
    <row r="2539" spans="1:8" ht="12" customHeight="1" x14ac:dyDescent="0.25">
      <c r="A2539" s="244">
        <v>1992</v>
      </c>
      <c r="B2539" s="245" t="s">
        <v>19</v>
      </c>
      <c r="C2539" s="253" t="s">
        <v>20</v>
      </c>
      <c r="D2539" s="254" t="s">
        <v>30</v>
      </c>
      <c r="E2539" s="255">
        <v>9.9</v>
      </c>
      <c r="F2539" s="242" t="s">
        <v>504</v>
      </c>
      <c r="G2539" s="242">
        <v>4.5999999999999996</v>
      </c>
      <c r="H2539" s="230">
        <f t="shared" si="50"/>
        <v>45.54</v>
      </c>
    </row>
    <row r="2540" spans="1:8" ht="12" customHeight="1" x14ac:dyDescent="0.25">
      <c r="A2540" s="244">
        <v>1992</v>
      </c>
      <c r="B2540" s="245" t="s">
        <v>19</v>
      </c>
      <c r="C2540" s="253" t="s">
        <v>20</v>
      </c>
      <c r="D2540" s="254" t="s">
        <v>30</v>
      </c>
      <c r="E2540" s="255">
        <v>16</v>
      </c>
      <c r="F2540" s="242" t="s">
        <v>504</v>
      </c>
      <c r="G2540" s="242">
        <v>4.5999999999999996</v>
      </c>
      <c r="H2540" s="230">
        <f t="shared" si="50"/>
        <v>73.599999999999994</v>
      </c>
    </row>
    <row r="2541" spans="1:8" ht="12" customHeight="1" x14ac:dyDescent="0.25">
      <c r="A2541" s="244">
        <v>1992</v>
      </c>
      <c r="B2541" s="245" t="s">
        <v>19</v>
      </c>
      <c r="C2541" s="253" t="s">
        <v>20</v>
      </c>
      <c r="D2541" s="254" t="s">
        <v>30</v>
      </c>
      <c r="E2541" s="255">
        <v>12.4</v>
      </c>
      <c r="F2541" s="242" t="s">
        <v>504</v>
      </c>
      <c r="G2541" s="242">
        <v>4.5999999999999996</v>
      </c>
      <c r="H2541" s="230">
        <f t="shared" si="50"/>
        <v>57.04</v>
      </c>
    </row>
    <row r="2542" spans="1:8" ht="12" customHeight="1" x14ac:dyDescent="0.25">
      <c r="A2542" s="244">
        <v>1992</v>
      </c>
      <c r="B2542" s="245" t="s">
        <v>19</v>
      </c>
      <c r="C2542" s="253" t="s">
        <v>20</v>
      </c>
      <c r="D2542" s="254" t="s">
        <v>30</v>
      </c>
      <c r="E2542" s="255">
        <v>9</v>
      </c>
      <c r="F2542" s="242" t="s">
        <v>504</v>
      </c>
      <c r="G2542" s="242">
        <v>4.5999999999999996</v>
      </c>
      <c r="H2542" s="230">
        <f t="shared" si="50"/>
        <v>41.4</v>
      </c>
    </row>
    <row r="2543" spans="1:8" ht="12" customHeight="1" x14ac:dyDescent="0.25">
      <c r="A2543" s="244">
        <v>1992</v>
      </c>
      <c r="B2543" s="245" t="s">
        <v>19</v>
      </c>
      <c r="C2543" s="253" t="s">
        <v>20</v>
      </c>
      <c r="D2543" s="254" t="s">
        <v>30</v>
      </c>
      <c r="E2543" s="255">
        <v>9.5</v>
      </c>
      <c r="F2543" s="242" t="s">
        <v>504</v>
      </c>
      <c r="G2543" s="242">
        <v>4.5999999999999996</v>
      </c>
      <c r="H2543" s="230">
        <f t="shared" si="50"/>
        <v>43.699999999999996</v>
      </c>
    </row>
    <row r="2544" spans="1:8" ht="12" customHeight="1" x14ac:dyDescent="0.25">
      <c r="A2544" s="244">
        <v>1992</v>
      </c>
      <c r="B2544" s="245" t="s">
        <v>19</v>
      </c>
      <c r="C2544" s="253" t="s">
        <v>20</v>
      </c>
      <c r="D2544" s="254" t="s">
        <v>30</v>
      </c>
      <c r="E2544" s="255">
        <v>16.5</v>
      </c>
      <c r="F2544" s="242" t="s">
        <v>504</v>
      </c>
      <c r="G2544" s="242">
        <v>4.5999999999999996</v>
      </c>
      <c r="H2544" s="230">
        <f t="shared" si="50"/>
        <v>75.899999999999991</v>
      </c>
    </row>
    <row r="2545" spans="1:15" ht="12" customHeight="1" x14ac:dyDescent="0.25">
      <c r="A2545" s="244">
        <v>1992</v>
      </c>
      <c r="B2545" s="245" t="s">
        <v>19</v>
      </c>
      <c r="C2545" s="253" t="s">
        <v>20</v>
      </c>
      <c r="D2545" s="254" t="s">
        <v>30</v>
      </c>
      <c r="E2545" s="255">
        <v>18</v>
      </c>
      <c r="F2545" s="242" t="s">
        <v>504</v>
      </c>
      <c r="G2545" s="242">
        <v>4.5999999999999996</v>
      </c>
      <c r="H2545" s="230">
        <f t="shared" si="50"/>
        <v>82.8</v>
      </c>
    </row>
    <row r="2546" spans="1:15" ht="12" customHeight="1" x14ac:dyDescent="0.25">
      <c r="A2546" s="244">
        <v>1992</v>
      </c>
      <c r="B2546" s="245" t="s">
        <v>19</v>
      </c>
      <c r="C2546" s="253" t="s">
        <v>20</v>
      </c>
      <c r="D2546" s="254" t="s">
        <v>30</v>
      </c>
      <c r="E2546" s="255">
        <v>9.5</v>
      </c>
      <c r="F2546" s="242" t="s">
        <v>504</v>
      </c>
      <c r="G2546" s="242">
        <v>4.5999999999999996</v>
      </c>
      <c r="H2546" s="230">
        <f t="shared" si="50"/>
        <v>43.699999999999996</v>
      </c>
    </row>
    <row r="2547" spans="1:15" ht="12" customHeight="1" x14ac:dyDescent="0.25">
      <c r="A2547" s="244">
        <v>1992</v>
      </c>
      <c r="B2547" s="245" t="s">
        <v>19</v>
      </c>
      <c r="C2547" s="253" t="s">
        <v>20</v>
      </c>
      <c r="D2547" s="254" t="s">
        <v>30</v>
      </c>
      <c r="E2547" s="255">
        <v>13</v>
      </c>
      <c r="F2547" s="242" t="s">
        <v>504</v>
      </c>
      <c r="G2547" s="242">
        <v>4.5999999999999996</v>
      </c>
      <c r="H2547" s="230">
        <f t="shared" si="50"/>
        <v>59.8</v>
      </c>
    </row>
    <row r="2548" spans="1:15" ht="12" customHeight="1" x14ac:dyDescent="0.25">
      <c r="A2548" s="244">
        <v>1992</v>
      </c>
      <c r="B2548" s="245" t="s">
        <v>19</v>
      </c>
      <c r="C2548" s="253" t="s">
        <v>20</v>
      </c>
      <c r="D2548" s="254" t="s">
        <v>30</v>
      </c>
      <c r="E2548" s="255">
        <v>10.8</v>
      </c>
      <c r="F2548" s="242" t="s">
        <v>504</v>
      </c>
      <c r="G2548" s="242">
        <v>4.5999999999999996</v>
      </c>
      <c r="H2548" s="230">
        <f t="shared" si="50"/>
        <v>49.68</v>
      </c>
    </row>
    <row r="2549" spans="1:15" ht="12" customHeight="1" x14ac:dyDescent="0.25">
      <c r="A2549" s="244">
        <v>1992</v>
      </c>
      <c r="B2549" s="245" t="s">
        <v>19</v>
      </c>
      <c r="C2549" s="253" t="s">
        <v>20</v>
      </c>
      <c r="D2549" s="254" t="s">
        <v>30</v>
      </c>
      <c r="E2549" s="255">
        <v>18</v>
      </c>
      <c r="F2549" s="242" t="s">
        <v>504</v>
      </c>
      <c r="G2549" s="242">
        <v>4.5999999999999996</v>
      </c>
      <c r="H2549" s="230">
        <f t="shared" si="50"/>
        <v>82.8</v>
      </c>
    </row>
    <row r="2550" spans="1:15" ht="12" customHeight="1" x14ac:dyDescent="0.25">
      <c r="A2550" s="244">
        <v>1992</v>
      </c>
      <c r="B2550" s="245" t="s">
        <v>19</v>
      </c>
      <c r="C2550" s="253" t="s">
        <v>20</v>
      </c>
      <c r="D2550" s="254" t="s">
        <v>30</v>
      </c>
      <c r="E2550" s="255">
        <v>16.5</v>
      </c>
      <c r="F2550" s="242" t="s">
        <v>504</v>
      </c>
      <c r="G2550" s="242">
        <v>4.5999999999999996</v>
      </c>
      <c r="H2550" s="230">
        <f t="shared" si="50"/>
        <v>75.899999999999991</v>
      </c>
    </row>
    <row r="2551" spans="1:15" ht="12" customHeight="1" x14ac:dyDescent="0.25">
      <c r="A2551" s="244">
        <v>1992</v>
      </c>
      <c r="B2551" s="245" t="s">
        <v>19</v>
      </c>
      <c r="C2551" s="253" t="s">
        <v>20</v>
      </c>
      <c r="D2551" s="254" t="s">
        <v>30</v>
      </c>
      <c r="E2551" s="255">
        <v>10</v>
      </c>
      <c r="F2551" s="242" t="s">
        <v>504</v>
      </c>
      <c r="G2551" s="242">
        <v>4.5999999999999996</v>
      </c>
      <c r="H2551" s="230">
        <f t="shared" si="50"/>
        <v>46</v>
      </c>
    </row>
    <row r="2552" spans="1:15" ht="12" customHeight="1" x14ac:dyDescent="0.25">
      <c r="A2552" s="244">
        <v>1992</v>
      </c>
      <c r="B2552" s="245" t="s">
        <v>19</v>
      </c>
      <c r="C2552" s="253" t="s">
        <v>20</v>
      </c>
      <c r="D2552" s="254" t="s">
        <v>30</v>
      </c>
      <c r="E2552" s="255">
        <v>13</v>
      </c>
      <c r="F2552" s="242" t="s">
        <v>504</v>
      </c>
      <c r="G2552" s="242">
        <v>4.5999999999999996</v>
      </c>
      <c r="H2552" s="230">
        <f t="shared" si="50"/>
        <v>59.8</v>
      </c>
    </row>
    <row r="2553" spans="1:15" ht="12" customHeight="1" x14ac:dyDescent="0.25">
      <c r="A2553" s="244">
        <v>1992</v>
      </c>
      <c r="B2553" s="245" t="s">
        <v>19</v>
      </c>
      <c r="C2553" s="253" t="s">
        <v>20</v>
      </c>
      <c r="D2553" s="254" t="s">
        <v>30</v>
      </c>
      <c r="E2553" s="255">
        <v>14</v>
      </c>
      <c r="F2553" s="242" t="s">
        <v>504</v>
      </c>
      <c r="G2553" s="242">
        <v>4.5999999999999996</v>
      </c>
      <c r="H2553" s="230">
        <f t="shared" si="50"/>
        <v>64.399999999999991</v>
      </c>
    </row>
    <row r="2554" spans="1:15" ht="12" customHeight="1" x14ac:dyDescent="0.25">
      <c r="A2554" s="244">
        <v>1992</v>
      </c>
      <c r="B2554" s="245" t="s">
        <v>19</v>
      </c>
      <c r="C2554" s="253" t="s">
        <v>20</v>
      </c>
      <c r="D2554" s="254" t="s">
        <v>30</v>
      </c>
      <c r="E2554" s="255">
        <v>14</v>
      </c>
      <c r="F2554" s="242" t="s">
        <v>504</v>
      </c>
      <c r="G2554" s="242">
        <v>4.5999999999999996</v>
      </c>
      <c r="H2554" s="230">
        <f t="shared" si="50"/>
        <v>64.399999999999991</v>
      </c>
    </row>
    <row r="2555" spans="1:15" ht="12" customHeight="1" x14ac:dyDescent="0.25">
      <c r="A2555" s="244">
        <v>1992</v>
      </c>
      <c r="B2555" s="245" t="s">
        <v>19</v>
      </c>
      <c r="C2555" s="253" t="s">
        <v>20</v>
      </c>
      <c r="D2555" s="254" t="s">
        <v>30</v>
      </c>
      <c r="E2555" s="255">
        <v>12.5</v>
      </c>
      <c r="F2555" s="242" t="s">
        <v>504</v>
      </c>
      <c r="G2555" s="242">
        <v>4.5999999999999996</v>
      </c>
      <c r="H2555" s="230">
        <f t="shared" si="50"/>
        <v>57.499999999999993</v>
      </c>
    </row>
    <row r="2556" spans="1:15" ht="12" customHeight="1" x14ac:dyDescent="0.25">
      <c r="A2556" s="244">
        <v>1992</v>
      </c>
      <c r="B2556" s="245" t="s">
        <v>19</v>
      </c>
      <c r="C2556" s="253" t="s">
        <v>20</v>
      </c>
      <c r="D2556" s="254" t="s">
        <v>30</v>
      </c>
      <c r="E2556" s="255">
        <v>15.3</v>
      </c>
      <c r="F2556" s="242" t="s">
        <v>504</v>
      </c>
      <c r="G2556" s="242">
        <v>4.5999999999999996</v>
      </c>
      <c r="H2556" s="230">
        <f t="shared" si="50"/>
        <v>70.38</v>
      </c>
    </row>
    <row r="2557" spans="1:15" ht="12" customHeight="1" x14ac:dyDescent="0.25">
      <c r="A2557" s="244">
        <v>1992</v>
      </c>
      <c r="B2557" s="245" t="s">
        <v>19</v>
      </c>
      <c r="C2557" s="253" t="s">
        <v>20</v>
      </c>
      <c r="D2557" s="254" t="s">
        <v>30</v>
      </c>
      <c r="E2557" s="255">
        <v>15</v>
      </c>
      <c r="F2557" s="242" t="s">
        <v>504</v>
      </c>
      <c r="G2557" s="242">
        <v>4.5999999999999996</v>
      </c>
      <c r="H2557" s="230">
        <f t="shared" si="50"/>
        <v>69</v>
      </c>
    </row>
    <row r="2558" spans="1:15" ht="12" customHeight="1" x14ac:dyDescent="0.25">
      <c r="A2558" s="244">
        <v>1992</v>
      </c>
      <c r="B2558" s="245" t="s">
        <v>19</v>
      </c>
      <c r="C2558" s="253" t="s">
        <v>20</v>
      </c>
      <c r="D2558" s="254" t="s">
        <v>30</v>
      </c>
      <c r="E2558" s="255">
        <v>16</v>
      </c>
      <c r="F2558" s="242" t="s">
        <v>504</v>
      </c>
      <c r="G2558" s="242">
        <v>4.5999999999999996</v>
      </c>
      <c r="H2558" s="230">
        <f t="shared" si="50"/>
        <v>73.599999999999994</v>
      </c>
    </row>
    <row r="2559" spans="1:15" ht="12" customHeight="1" x14ac:dyDescent="0.25">
      <c r="A2559" s="244">
        <v>1992</v>
      </c>
      <c r="B2559" s="245" t="s">
        <v>19</v>
      </c>
      <c r="C2559" s="253" t="s">
        <v>20</v>
      </c>
      <c r="D2559" s="254" t="s">
        <v>30</v>
      </c>
      <c r="E2559" s="255">
        <v>17</v>
      </c>
      <c r="F2559" s="242" t="s">
        <v>504</v>
      </c>
      <c r="G2559" s="242">
        <v>4.5999999999999996</v>
      </c>
      <c r="H2559" s="230">
        <f t="shared" si="50"/>
        <v>78.199999999999989</v>
      </c>
      <c r="J2559" s="230"/>
    </row>
    <row r="2560" spans="1:15" ht="12" customHeight="1" x14ac:dyDescent="0.25">
      <c r="A2560" s="244">
        <v>1992</v>
      </c>
      <c r="B2560" s="245" t="s">
        <v>19</v>
      </c>
      <c r="C2560" s="253" t="s">
        <v>20</v>
      </c>
      <c r="D2560" s="254" t="s">
        <v>30</v>
      </c>
      <c r="E2560" s="255">
        <v>16.5</v>
      </c>
      <c r="F2560" s="242" t="s">
        <v>504</v>
      </c>
      <c r="G2560" s="242">
        <v>4.5999999999999996</v>
      </c>
      <c r="H2560" s="230">
        <f t="shared" si="50"/>
        <v>75.899999999999991</v>
      </c>
      <c r="K2560" s="230"/>
      <c r="L2560" s="230"/>
      <c r="N2560" s="230"/>
      <c r="O2560" s="230"/>
    </row>
    <row r="2561" spans="1:27" ht="12" customHeight="1" x14ac:dyDescent="0.25">
      <c r="A2561" s="244">
        <v>1992</v>
      </c>
      <c r="B2561" s="245" t="s">
        <v>19</v>
      </c>
      <c r="C2561" s="253" t="s">
        <v>20</v>
      </c>
      <c r="D2561" s="254" t="s">
        <v>30</v>
      </c>
      <c r="E2561" s="255">
        <v>22.5</v>
      </c>
      <c r="F2561" s="242" t="s">
        <v>504</v>
      </c>
      <c r="G2561" s="242">
        <v>4.5999999999999996</v>
      </c>
      <c r="H2561" s="230">
        <f t="shared" si="50"/>
        <v>103.49999999999999</v>
      </c>
      <c r="J2561" s="230"/>
      <c r="U2561" s="230"/>
      <c r="V2561" s="230"/>
      <c r="W2561" s="230"/>
    </row>
    <row r="2562" spans="1:27" ht="12" customHeight="1" x14ac:dyDescent="0.25">
      <c r="A2562" s="244">
        <v>1992</v>
      </c>
      <c r="B2562" s="245" t="s">
        <v>19</v>
      </c>
      <c r="C2562" s="253" t="s">
        <v>20</v>
      </c>
      <c r="D2562" s="254" t="s">
        <v>30</v>
      </c>
      <c r="E2562" s="255">
        <v>11.2</v>
      </c>
      <c r="F2562" s="242" t="s">
        <v>504</v>
      </c>
      <c r="G2562" s="242">
        <v>4.5999999999999996</v>
      </c>
      <c r="H2562" s="230">
        <f t="shared" si="50"/>
        <v>51.519999999999996</v>
      </c>
      <c r="J2562" s="230"/>
      <c r="K2562" s="230"/>
      <c r="L2562" s="230"/>
      <c r="N2562" s="230"/>
      <c r="O2562" s="230"/>
      <c r="Q2562" s="230"/>
      <c r="R2562" s="230"/>
    </row>
    <row r="2563" spans="1:27" ht="12" customHeight="1" x14ac:dyDescent="0.25">
      <c r="A2563" s="244">
        <v>1992</v>
      </c>
      <c r="B2563" s="245" t="s">
        <v>19</v>
      </c>
      <c r="C2563" s="253" t="s">
        <v>20</v>
      </c>
      <c r="D2563" s="254" t="s">
        <v>30</v>
      </c>
      <c r="E2563" s="255">
        <v>12.5</v>
      </c>
      <c r="F2563" s="242" t="s">
        <v>504</v>
      </c>
      <c r="G2563" s="242">
        <v>4.5999999999999996</v>
      </c>
      <c r="H2563" s="230">
        <f t="shared" ref="H2563:H2626" si="51">E2563*G2563</f>
        <v>57.499999999999993</v>
      </c>
      <c r="J2563" s="230"/>
      <c r="K2563" s="230"/>
      <c r="L2563" s="230"/>
      <c r="N2563" s="230"/>
      <c r="O2563" s="230"/>
      <c r="U2563" s="230"/>
      <c r="V2563" s="230"/>
      <c r="W2563" s="230"/>
    </row>
    <row r="2564" spans="1:27" ht="12" customHeight="1" x14ac:dyDescent="0.25">
      <c r="A2564" s="244">
        <v>1992</v>
      </c>
      <c r="B2564" s="245" t="s">
        <v>19</v>
      </c>
      <c r="C2564" s="253" t="s">
        <v>20</v>
      </c>
      <c r="D2564" s="254" t="s">
        <v>30</v>
      </c>
      <c r="E2564" s="255">
        <v>15.5</v>
      </c>
      <c r="F2564" s="242" t="s">
        <v>504</v>
      </c>
      <c r="G2564" s="242">
        <v>4.5999999999999996</v>
      </c>
      <c r="H2564" s="230">
        <f t="shared" si="51"/>
        <v>71.3</v>
      </c>
      <c r="J2564" s="230"/>
      <c r="K2564" s="230"/>
      <c r="L2564" s="230"/>
      <c r="N2564" s="230"/>
      <c r="O2564" s="230"/>
      <c r="Q2564" s="230"/>
      <c r="R2564" s="230"/>
      <c r="U2564" s="230"/>
      <c r="V2564" s="230"/>
      <c r="W2564" s="230"/>
    </row>
    <row r="2565" spans="1:27" s="230" customFormat="1" ht="15.75" x14ac:dyDescent="0.25">
      <c r="A2565" s="244">
        <v>1992</v>
      </c>
      <c r="B2565" s="245" t="s">
        <v>19</v>
      </c>
      <c r="C2565" s="253" t="s">
        <v>20</v>
      </c>
      <c r="D2565" s="254" t="s">
        <v>30</v>
      </c>
      <c r="E2565" s="255">
        <v>19.5</v>
      </c>
      <c r="F2565" s="242" t="s">
        <v>504</v>
      </c>
      <c r="G2565" s="242">
        <v>4.5999999999999996</v>
      </c>
      <c r="H2565" s="230">
        <f t="shared" si="51"/>
        <v>89.699999999999989</v>
      </c>
      <c r="M2565" s="232"/>
      <c r="P2565" s="232"/>
      <c r="S2565" s="232"/>
      <c r="T2565" s="339"/>
      <c r="AA2565" s="336"/>
    </row>
    <row r="2566" spans="1:27" ht="15.75" x14ac:dyDescent="0.25">
      <c r="A2566" s="244">
        <v>1992</v>
      </c>
      <c r="B2566" s="245" t="s">
        <v>19</v>
      </c>
      <c r="C2566" s="253" t="s">
        <v>20</v>
      </c>
      <c r="D2566" s="254" t="s">
        <v>30</v>
      </c>
      <c r="E2566" s="255">
        <v>16</v>
      </c>
      <c r="F2566" s="242" t="s">
        <v>504</v>
      </c>
      <c r="G2566" s="242">
        <v>4.5999999999999996</v>
      </c>
      <c r="H2566" s="230">
        <f t="shared" si="51"/>
        <v>73.599999999999994</v>
      </c>
      <c r="J2566" s="230"/>
      <c r="K2566" s="230"/>
      <c r="L2566" s="230"/>
      <c r="N2566" s="230"/>
      <c r="O2566" s="230"/>
      <c r="Q2566" s="230"/>
      <c r="R2566" s="230"/>
      <c r="U2566" s="230"/>
      <c r="V2566" s="230"/>
      <c r="W2566" s="230"/>
    </row>
    <row r="2567" spans="1:27" s="230" customFormat="1" ht="15" customHeight="1" x14ac:dyDescent="0.25">
      <c r="A2567" s="244">
        <v>1992</v>
      </c>
      <c r="B2567" s="245" t="s">
        <v>19</v>
      </c>
      <c r="C2567" s="253" t="s">
        <v>20</v>
      </c>
      <c r="D2567" s="254" t="s">
        <v>30</v>
      </c>
      <c r="E2567" s="255">
        <v>17</v>
      </c>
      <c r="F2567" s="242" t="s">
        <v>504</v>
      </c>
      <c r="G2567" s="242">
        <v>4.5999999999999996</v>
      </c>
      <c r="H2567" s="230">
        <f t="shared" si="51"/>
        <v>78.199999999999989</v>
      </c>
      <c r="M2567" s="232"/>
      <c r="P2567" s="232"/>
      <c r="S2567" s="232"/>
      <c r="T2567" s="339"/>
      <c r="AA2567" s="336"/>
    </row>
    <row r="2568" spans="1:27" s="230" customFormat="1" ht="15" customHeight="1" x14ac:dyDescent="0.25">
      <c r="A2568" s="244">
        <v>1992</v>
      </c>
      <c r="B2568" s="245" t="s">
        <v>19</v>
      </c>
      <c r="C2568" s="253" t="s">
        <v>20</v>
      </c>
      <c r="D2568" s="254" t="s">
        <v>30</v>
      </c>
      <c r="E2568" s="255">
        <v>10.4</v>
      </c>
      <c r="F2568" s="242" t="s">
        <v>504</v>
      </c>
      <c r="G2568" s="242">
        <v>4.5999999999999996</v>
      </c>
      <c r="H2568" s="230">
        <f t="shared" si="51"/>
        <v>47.839999999999996</v>
      </c>
      <c r="M2568" s="232"/>
      <c r="P2568" s="232"/>
      <c r="S2568" s="232"/>
      <c r="T2568" s="339"/>
      <c r="AA2568" s="336"/>
    </row>
    <row r="2569" spans="1:27" s="230" customFormat="1" ht="15.75" x14ac:dyDescent="0.25">
      <c r="A2569" s="244">
        <v>1992</v>
      </c>
      <c r="B2569" s="245" t="s">
        <v>19</v>
      </c>
      <c r="C2569" s="253" t="s">
        <v>20</v>
      </c>
      <c r="D2569" s="254" t="s">
        <v>30</v>
      </c>
      <c r="E2569" s="255">
        <v>7.8</v>
      </c>
      <c r="F2569" s="242" t="s">
        <v>504</v>
      </c>
      <c r="G2569" s="242">
        <v>4.5999999999999996</v>
      </c>
      <c r="H2569" s="230">
        <f t="shared" si="51"/>
        <v>35.879999999999995</v>
      </c>
      <c r="J2569"/>
      <c r="M2569" s="232"/>
      <c r="P2569" s="232"/>
      <c r="S2569" s="232"/>
      <c r="T2569" s="339"/>
      <c r="AA2569" s="336"/>
    </row>
    <row r="2570" spans="1:27" s="230" customFormat="1" ht="15" customHeight="1" x14ac:dyDescent="0.25">
      <c r="A2570" s="244">
        <v>1992</v>
      </c>
      <c r="B2570" s="245" t="s">
        <v>19</v>
      </c>
      <c r="C2570" s="253" t="s">
        <v>20</v>
      </c>
      <c r="D2570" s="254" t="s">
        <v>30</v>
      </c>
      <c r="E2570" s="255">
        <v>11</v>
      </c>
      <c r="F2570" s="242" t="s">
        <v>504</v>
      </c>
      <c r="G2570" s="242">
        <v>4.5999999999999996</v>
      </c>
      <c r="H2570" s="230">
        <f t="shared" si="51"/>
        <v>50.599999999999994</v>
      </c>
      <c r="J2570"/>
      <c r="K2570"/>
      <c r="L2570"/>
      <c r="M2570" s="232"/>
      <c r="N2570"/>
      <c r="O2570"/>
      <c r="P2570" s="232"/>
      <c r="S2570" s="232"/>
      <c r="T2570" s="339"/>
      <c r="AA2570" s="336"/>
    </row>
    <row r="2571" spans="1:27" s="230" customFormat="1" ht="15" customHeight="1" x14ac:dyDescent="0.25">
      <c r="A2571" s="244">
        <v>1992</v>
      </c>
      <c r="B2571" s="245" t="s">
        <v>19</v>
      </c>
      <c r="C2571" s="253" t="s">
        <v>20</v>
      </c>
      <c r="D2571" s="254" t="s">
        <v>30</v>
      </c>
      <c r="E2571" s="255">
        <v>15.3</v>
      </c>
      <c r="F2571" s="242" t="s">
        <v>504</v>
      </c>
      <c r="G2571" s="242">
        <v>4.5999999999999996</v>
      </c>
      <c r="H2571" s="230">
        <f t="shared" si="51"/>
        <v>70.38</v>
      </c>
      <c r="J2571"/>
      <c r="K2571"/>
      <c r="L2571"/>
      <c r="M2571" s="232"/>
      <c r="N2571"/>
      <c r="O2571"/>
      <c r="P2571" s="232"/>
      <c r="S2571" s="232"/>
      <c r="T2571" s="339"/>
      <c r="U2571"/>
      <c r="V2571"/>
      <c r="W2571"/>
      <c r="AA2571" s="336"/>
    </row>
    <row r="2572" spans="1:27" s="230" customFormat="1" ht="15" customHeight="1" x14ac:dyDescent="0.25">
      <c r="A2572" s="244">
        <v>1992</v>
      </c>
      <c r="B2572" s="245" t="s">
        <v>19</v>
      </c>
      <c r="C2572" s="253" t="s">
        <v>20</v>
      </c>
      <c r="D2572" s="254" t="s">
        <v>30</v>
      </c>
      <c r="E2572" s="255">
        <v>14.3</v>
      </c>
      <c r="F2572" s="242" t="s">
        <v>504</v>
      </c>
      <c r="G2572" s="242">
        <v>4.5999999999999996</v>
      </c>
      <c r="H2572" s="230">
        <f t="shared" si="51"/>
        <v>65.78</v>
      </c>
      <c r="J2572"/>
      <c r="K2572"/>
      <c r="L2572"/>
      <c r="M2572" s="232"/>
      <c r="N2572"/>
      <c r="O2572"/>
      <c r="P2572" s="232"/>
      <c r="Q2572"/>
      <c r="R2572"/>
      <c r="S2572" s="232"/>
      <c r="T2572" s="339"/>
      <c r="U2572"/>
      <c r="V2572"/>
      <c r="W2572"/>
      <c r="AA2572" s="336"/>
    </row>
    <row r="2573" spans="1:27" s="230" customFormat="1" ht="15" customHeight="1" x14ac:dyDescent="0.25">
      <c r="A2573" s="244">
        <v>1992</v>
      </c>
      <c r="B2573" s="245" t="s">
        <v>19</v>
      </c>
      <c r="C2573" s="253" t="s">
        <v>20</v>
      </c>
      <c r="D2573" s="254" t="s">
        <v>30</v>
      </c>
      <c r="E2573" s="255">
        <v>6</v>
      </c>
      <c r="F2573" s="242" t="s">
        <v>504</v>
      </c>
      <c r="G2573" s="242">
        <v>4.5999999999999996</v>
      </c>
      <c r="H2573" s="230">
        <f t="shared" si="51"/>
        <v>27.599999999999998</v>
      </c>
      <c r="J2573"/>
      <c r="K2573"/>
      <c r="L2573"/>
      <c r="M2573" s="232"/>
      <c r="N2573"/>
      <c r="O2573"/>
      <c r="P2573" s="232"/>
      <c r="Q2573"/>
      <c r="R2573"/>
      <c r="S2573" s="232"/>
      <c r="T2573" s="339"/>
      <c r="U2573"/>
      <c r="V2573"/>
      <c r="W2573"/>
      <c r="AA2573" s="336"/>
    </row>
    <row r="2574" spans="1:27" s="230" customFormat="1" ht="15" customHeight="1" x14ac:dyDescent="0.25">
      <c r="A2574" s="244">
        <v>1992</v>
      </c>
      <c r="B2574" s="245" t="s">
        <v>19</v>
      </c>
      <c r="C2574" s="253" t="s">
        <v>20</v>
      </c>
      <c r="D2574" s="254" t="s">
        <v>30</v>
      </c>
      <c r="E2574" s="255">
        <v>14</v>
      </c>
      <c r="F2574" s="242" t="s">
        <v>504</v>
      </c>
      <c r="G2574" s="242">
        <v>4.5999999999999996</v>
      </c>
      <c r="H2574" s="230">
        <f t="shared" si="51"/>
        <v>64.399999999999991</v>
      </c>
      <c r="J2574"/>
      <c r="K2574"/>
      <c r="L2574"/>
      <c r="M2574" s="232"/>
      <c r="N2574"/>
      <c r="O2574"/>
      <c r="P2574" s="232"/>
      <c r="Q2574"/>
      <c r="R2574"/>
      <c r="S2574" s="232"/>
      <c r="T2574" s="339"/>
      <c r="U2574"/>
      <c r="V2574"/>
      <c r="W2574"/>
      <c r="AA2574" s="336"/>
    </row>
    <row r="2575" spans="1:27" ht="15" customHeight="1" x14ac:dyDescent="0.25">
      <c r="A2575" s="244">
        <v>1992</v>
      </c>
      <c r="B2575" s="245" t="s">
        <v>19</v>
      </c>
      <c r="C2575" s="253" t="s">
        <v>20</v>
      </c>
      <c r="D2575" s="245" t="s">
        <v>30</v>
      </c>
      <c r="E2575" s="255">
        <v>15.7</v>
      </c>
      <c r="F2575" s="242" t="s">
        <v>504</v>
      </c>
      <c r="G2575" s="242">
        <v>4.5999999999999996</v>
      </c>
      <c r="H2575" s="230">
        <f t="shared" si="51"/>
        <v>72.219999999999985</v>
      </c>
    </row>
    <row r="2576" spans="1:27" ht="15" customHeight="1" x14ac:dyDescent="0.25">
      <c r="A2576" s="244">
        <v>1992</v>
      </c>
      <c r="B2576" s="245" t="s">
        <v>19</v>
      </c>
      <c r="C2576" s="253" t="s">
        <v>20</v>
      </c>
      <c r="D2576" s="254" t="s">
        <v>30</v>
      </c>
      <c r="E2576" s="255">
        <v>18.2</v>
      </c>
      <c r="F2576" s="242" t="s">
        <v>504</v>
      </c>
      <c r="G2576" s="242">
        <v>4.5999999999999996</v>
      </c>
      <c r="H2576" s="230">
        <f t="shared" si="51"/>
        <v>83.719999999999985</v>
      </c>
    </row>
    <row r="2577" spans="1:8" ht="15" customHeight="1" x14ac:dyDescent="0.25">
      <c r="A2577" s="244">
        <v>1992</v>
      </c>
      <c r="B2577" s="245" t="s">
        <v>19</v>
      </c>
      <c r="C2577" s="253" t="s">
        <v>20</v>
      </c>
      <c r="D2577" s="254" t="s">
        <v>30</v>
      </c>
      <c r="E2577" s="255">
        <v>9</v>
      </c>
      <c r="F2577" s="242" t="s">
        <v>504</v>
      </c>
      <c r="G2577" s="242">
        <v>4.5999999999999996</v>
      </c>
      <c r="H2577" s="230">
        <f t="shared" si="51"/>
        <v>41.4</v>
      </c>
    </row>
    <row r="2578" spans="1:8" ht="15.75" x14ac:dyDescent="0.25">
      <c r="A2578" s="244">
        <v>1992</v>
      </c>
      <c r="B2578" s="245" t="s">
        <v>19</v>
      </c>
      <c r="C2578" s="253" t="s">
        <v>20</v>
      </c>
      <c r="D2578" s="254" t="s">
        <v>30</v>
      </c>
      <c r="E2578" s="255">
        <v>8</v>
      </c>
      <c r="F2578" s="242" t="s">
        <v>504</v>
      </c>
      <c r="G2578" s="242">
        <v>4.5999999999999996</v>
      </c>
      <c r="H2578" s="230">
        <f t="shared" si="51"/>
        <v>36.799999999999997</v>
      </c>
    </row>
    <row r="2579" spans="1:8" ht="15.75" x14ac:dyDescent="0.25">
      <c r="A2579" s="244">
        <v>1992</v>
      </c>
      <c r="B2579" s="245" t="s">
        <v>19</v>
      </c>
      <c r="C2579" s="253" t="s">
        <v>20</v>
      </c>
      <c r="D2579" s="254" t="s">
        <v>30</v>
      </c>
      <c r="E2579" s="255">
        <v>14.3</v>
      </c>
      <c r="F2579" s="242" t="s">
        <v>504</v>
      </c>
      <c r="G2579" s="242">
        <v>4.5999999999999996</v>
      </c>
      <c r="H2579" s="230">
        <f t="shared" si="51"/>
        <v>65.78</v>
      </c>
    </row>
    <row r="2580" spans="1:8" ht="15.75" x14ac:dyDescent="0.25">
      <c r="A2580" s="244">
        <v>1992</v>
      </c>
      <c r="B2580" s="245" t="s">
        <v>19</v>
      </c>
      <c r="C2580" s="253" t="s">
        <v>20</v>
      </c>
      <c r="D2580" s="254" t="s">
        <v>30</v>
      </c>
      <c r="E2580" s="255">
        <v>14.5</v>
      </c>
      <c r="F2580" s="242" t="s">
        <v>504</v>
      </c>
      <c r="G2580" s="242">
        <v>4.5999999999999996</v>
      </c>
      <c r="H2580" s="230">
        <f t="shared" si="51"/>
        <v>66.699999999999989</v>
      </c>
    </row>
    <row r="2581" spans="1:8" ht="15" customHeight="1" x14ac:dyDescent="0.25">
      <c r="A2581" s="244">
        <v>1992</v>
      </c>
      <c r="B2581" s="245" t="s">
        <v>19</v>
      </c>
      <c r="C2581" s="253" t="s">
        <v>20</v>
      </c>
      <c r="D2581" s="254" t="s">
        <v>30</v>
      </c>
      <c r="E2581" s="255">
        <v>10</v>
      </c>
      <c r="F2581" s="242" t="s">
        <v>504</v>
      </c>
      <c r="G2581" s="242">
        <v>4.5999999999999996</v>
      </c>
      <c r="H2581" s="230">
        <f t="shared" si="51"/>
        <v>46</v>
      </c>
    </row>
    <row r="2582" spans="1:8" ht="15" customHeight="1" x14ac:dyDescent="0.25">
      <c r="A2582" s="244">
        <v>1992</v>
      </c>
      <c r="B2582" s="245" t="s">
        <v>19</v>
      </c>
      <c r="C2582" s="253" t="s">
        <v>20</v>
      </c>
      <c r="D2582" s="254" t="s">
        <v>30</v>
      </c>
      <c r="E2582" s="255">
        <v>12.5</v>
      </c>
      <c r="F2582" s="242" t="s">
        <v>504</v>
      </c>
      <c r="G2582" s="242">
        <v>4.5999999999999996</v>
      </c>
      <c r="H2582" s="230">
        <f t="shared" si="51"/>
        <v>57.499999999999993</v>
      </c>
    </row>
    <row r="2583" spans="1:8" ht="15" customHeight="1" x14ac:dyDescent="0.25">
      <c r="A2583" s="244">
        <v>1992</v>
      </c>
      <c r="B2583" s="245" t="s">
        <v>19</v>
      </c>
      <c r="C2583" s="253" t="s">
        <v>20</v>
      </c>
      <c r="D2583" s="254" t="s">
        <v>30</v>
      </c>
      <c r="E2583" s="255">
        <v>22.5</v>
      </c>
      <c r="F2583" s="242" t="s">
        <v>504</v>
      </c>
      <c r="G2583" s="242">
        <v>4.5999999999999996</v>
      </c>
      <c r="H2583" s="230">
        <f t="shared" si="51"/>
        <v>103.49999999999999</v>
      </c>
    </row>
    <row r="2584" spans="1:8" ht="15" customHeight="1" x14ac:dyDescent="0.25">
      <c r="A2584" s="244">
        <v>1992</v>
      </c>
      <c r="B2584" s="245" t="s">
        <v>19</v>
      </c>
      <c r="C2584" s="253" t="s">
        <v>20</v>
      </c>
      <c r="D2584" s="254" t="s">
        <v>30</v>
      </c>
      <c r="E2584" s="255">
        <v>11.3</v>
      </c>
      <c r="F2584" s="242" t="s">
        <v>504</v>
      </c>
      <c r="G2584" s="242">
        <v>4.5999999999999996</v>
      </c>
      <c r="H2584" s="230">
        <f t="shared" si="51"/>
        <v>51.98</v>
      </c>
    </row>
    <row r="2585" spans="1:8" ht="15" customHeight="1" x14ac:dyDescent="0.25">
      <c r="A2585" s="244">
        <v>1992</v>
      </c>
      <c r="B2585" s="245" t="s">
        <v>19</v>
      </c>
      <c r="C2585" s="253" t="s">
        <v>20</v>
      </c>
      <c r="D2585" s="254" t="s">
        <v>30</v>
      </c>
      <c r="E2585" s="255">
        <v>16.5</v>
      </c>
      <c r="F2585" s="242" t="s">
        <v>504</v>
      </c>
      <c r="G2585" s="242">
        <v>4.5999999999999996</v>
      </c>
      <c r="H2585" s="230">
        <f t="shared" si="51"/>
        <v>75.899999999999991</v>
      </c>
    </row>
    <row r="2586" spans="1:8" ht="15" customHeight="1" x14ac:dyDescent="0.25">
      <c r="A2586" s="244">
        <v>1992</v>
      </c>
      <c r="B2586" s="245" t="s">
        <v>19</v>
      </c>
      <c r="C2586" s="253" t="s">
        <v>20</v>
      </c>
      <c r="D2586" s="254" t="s">
        <v>30</v>
      </c>
      <c r="E2586" s="255">
        <v>18.5</v>
      </c>
      <c r="F2586" s="242" t="s">
        <v>504</v>
      </c>
      <c r="G2586" s="242">
        <v>4.5999999999999996</v>
      </c>
      <c r="H2586" s="230">
        <f t="shared" si="51"/>
        <v>85.1</v>
      </c>
    </row>
    <row r="2587" spans="1:8" ht="15" customHeight="1" x14ac:dyDescent="0.25">
      <c r="A2587" s="244">
        <v>1992</v>
      </c>
      <c r="B2587" s="245" t="s">
        <v>19</v>
      </c>
      <c r="C2587" s="253" t="s">
        <v>20</v>
      </c>
      <c r="D2587" s="254" t="s">
        <v>30</v>
      </c>
      <c r="E2587" s="255">
        <v>19.5</v>
      </c>
      <c r="F2587" s="242" t="s">
        <v>504</v>
      </c>
      <c r="G2587" s="242">
        <v>4.5999999999999996</v>
      </c>
      <c r="H2587" s="230">
        <f t="shared" si="51"/>
        <v>89.699999999999989</v>
      </c>
    </row>
    <row r="2588" spans="1:8" ht="15" customHeight="1" x14ac:dyDescent="0.25">
      <c r="A2588" s="244">
        <v>1992</v>
      </c>
      <c r="B2588" s="245" t="s">
        <v>19</v>
      </c>
      <c r="C2588" s="253" t="s">
        <v>20</v>
      </c>
      <c r="D2588" s="254" t="s">
        <v>30</v>
      </c>
      <c r="E2588" s="255">
        <v>15.1</v>
      </c>
      <c r="F2588" s="242" t="s">
        <v>504</v>
      </c>
      <c r="G2588" s="242">
        <v>4.5999999999999996</v>
      </c>
      <c r="H2588" s="230">
        <f t="shared" si="51"/>
        <v>69.459999999999994</v>
      </c>
    </row>
    <row r="2589" spans="1:8" ht="15" customHeight="1" x14ac:dyDescent="0.25">
      <c r="A2589" s="244">
        <v>1992</v>
      </c>
      <c r="B2589" s="245" t="s">
        <v>19</v>
      </c>
      <c r="C2589" s="253" t="s">
        <v>20</v>
      </c>
      <c r="D2589" s="254" t="s">
        <v>30</v>
      </c>
      <c r="E2589" s="255">
        <v>12.5</v>
      </c>
      <c r="F2589" s="242" t="s">
        <v>504</v>
      </c>
      <c r="G2589" s="242">
        <v>4.5999999999999996</v>
      </c>
      <c r="H2589" s="230">
        <f t="shared" si="51"/>
        <v>57.499999999999993</v>
      </c>
    </row>
    <row r="2590" spans="1:8" ht="15" customHeight="1" x14ac:dyDescent="0.25">
      <c r="A2590" s="244">
        <v>1992</v>
      </c>
      <c r="B2590" s="245" t="s">
        <v>19</v>
      </c>
      <c r="C2590" s="253" t="s">
        <v>20</v>
      </c>
      <c r="D2590" s="254" t="s">
        <v>30</v>
      </c>
      <c r="E2590" s="255">
        <v>17.5</v>
      </c>
      <c r="F2590" s="242" t="s">
        <v>504</v>
      </c>
      <c r="G2590" s="242">
        <v>4.5999999999999996</v>
      </c>
      <c r="H2590" s="230">
        <f t="shared" si="51"/>
        <v>80.5</v>
      </c>
    </row>
    <row r="2591" spans="1:8" ht="15" customHeight="1" x14ac:dyDescent="0.25">
      <c r="A2591" s="244">
        <v>1992</v>
      </c>
      <c r="B2591" s="245" t="s">
        <v>19</v>
      </c>
      <c r="C2591" s="253" t="s">
        <v>20</v>
      </c>
      <c r="D2591" s="254" t="s">
        <v>30</v>
      </c>
      <c r="E2591" s="255">
        <v>11.5</v>
      </c>
      <c r="F2591" s="242" t="s">
        <v>504</v>
      </c>
      <c r="G2591" s="242">
        <v>4.5999999999999996</v>
      </c>
      <c r="H2591" s="230">
        <f t="shared" si="51"/>
        <v>52.9</v>
      </c>
    </row>
    <row r="2592" spans="1:8" ht="15" customHeight="1" x14ac:dyDescent="0.25">
      <c r="A2592" s="244">
        <v>1992</v>
      </c>
      <c r="B2592" s="245" t="s">
        <v>19</v>
      </c>
      <c r="C2592" s="253" t="s">
        <v>20</v>
      </c>
      <c r="D2592" s="254" t="s">
        <v>30</v>
      </c>
      <c r="E2592" s="255">
        <v>12.5</v>
      </c>
      <c r="F2592" s="242" t="s">
        <v>504</v>
      </c>
      <c r="G2592" s="242">
        <v>4.5999999999999996</v>
      </c>
      <c r="H2592" s="230">
        <f t="shared" si="51"/>
        <v>57.499999999999993</v>
      </c>
    </row>
    <row r="2593" spans="1:8" ht="15" customHeight="1" x14ac:dyDescent="0.25">
      <c r="A2593" s="244">
        <v>1992</v>
      </c>
      <c r="B2593" s="245" t="s">
        <v>19</v>
      </c>
      <c r="C2593" s="253" t="s">
        <v>20</v>
      </c>
      <c r="D2593" s="254" t="s">
        <v>30</v>
      </c>
      <c r="E2593" s="255">
        <v>17.5</v>
      </c>
      <c r="F2593" s="242" t="s">
        <v>504</v>
      </c>
      <c r="G2593" s="242">
        <v>4.5999999999999996</v>
      </c>
      <c r="H2593" s="230">
        <f t="shared" si="51"/>
        <v>80.5</v>
      </c>
    </row>
    <row r="2594" spans="1:8" ht="15" customHeight="1" x14ac:dyDescent="0.25">
      <c r="A2594" s="244">
        <v>1992</v>
      </c>
      <c r="B2594" s="245" t="s">
        <v>19</v>
      </c>
      <c r="C2594" s="253" t="s">
        <v>20</v>
      </c>
      <c r="D2594" s="254" t="s">
        <v>30</v>
      </c>
      <c r="E2594" s="255">
        <v>13.6</v>
      </c>
      <c r="F2594" s="242" t="s">
        <v>504</v>
      </c>
      <c r="G2594" s="242">
        <v>4.5999999999999996</v>
      </c>
      <c r="H2594" s="230">
        <f t="shared" si="51"/>
        <v>62.559999999999995</v>
      </c>
    </row>
    <row r="2595" spans="1:8" ht="15.75" x14ac:dyDescent="0.25">
      <c r="A2595" s="244">
        <v>1992</v>
      </c>
      <c r="B2595" s="245" t="s">
        <v>19</v>
      </c>
      <c r="C2595" s="253" t="s">
        <v>20</v>
      </c>
      <c r="D2595" s="254" t="s">
        <v>30</v>
      </c>
      <c r="E2595" s="255">
        <v>16</v>
      </c>
      <c r="F2595" s="242" t="s">
        <v>504</v>
      </c>
      <c r="G2595" s="242">
        <v>4.5999999999999996</v>
      </c>
      <c r="H2595" s="230">
        <f t="shared" si="51"/>
        <v>73.599999999999994</v>
      </c>
    </row>
    <row r="2596" spans="1:8" ht="15.75" x14ac:dyDescent="0.25">
      <c r="A2596" s="244">
        <v>1992</v>
      </c>
      <c r="B2596" s="245" t="s">
        <v>19</v>
      </c>
      <c r="C2596" s="253" t="s">
        <v>20</v>
      </c>
      <c r="D2596" s="254" t="s">
        <v>30</v>
      </c>
      <c r="E2596" s="255">
        <v>22</v>
      </c>
      <c r="F2596" s="242" t="s">
        <v>504</v>
      </c>
      <c r="G2596" s="242">
        <v>4.5999999999999996</v>
      </c>
      <c r="H2596" s="230">
        <f t="shared" si="51"/>
        <v>101.19999999999999</v>
      </c>
    </row>
    <row r="2597" spans="1:8" ht="15.75" x14ac:dyDescent="0.25">
      <c r="A2597" s="244">
        <v>1992</v>
      </c>
      <c r="B2597" s="245" t="s">
        <v>19</v>
      </c>
      <c r="C2597" s="253" t="s">
        <v>20</v>
      </c>
      <c r="D2597" s="254" t="s">
        <v>30</v>
      </c>
      <c r="E2597" s="255">
        <v>20.5</v>
      </c>
      <c r="F2597" s="242" t="s">
        <v>504</v>
      </c>
      <c r="G2597" s="242">
        <v>4.5999999999999996</v>
      </c>
      <c r="H2597" s="230">
        <f t="shared" si="51"/>
        <v>94.3</v>
      </c>
    </row>
    <row r="2598" spans="1:8" ht="15" customHeight="1" x14ac:dyDescent="0.25">
      <c r="A2598" s="244">
        <v>1992</v>
      </c>
      <c r="B2598" s="245" t="s">
        <v>19</v>
      </c>
      <c r="C2598" s="253" t="s">
        <v>20</v>
      </c>
      <c r="D2598" s="254" t="s">
        <v>30</v>
      </c>
      <c r="E2598" s="255">
        <v>17.399999999999999</v>
      </c>
      <c r="F2598" s="242" t="s">
        <v>504</v>
      </c>
      <c r="G2598" s="242">
        <v>4.5999999999999996</v>
      </c>
      <c r="H2598" s="230">
        <f t="shared" si="51"/>
        <v>80.039999999999992</v>
      </c>
    </row>
    <row r="2599" spans="1:8" ht="15" customHeight="1" x14ac:dyDescent="0.25">
      <c r="A2599" s="244">
        <v>1992</v>
      </c>
      <c r="B2599" s="245" t="s">
        <v>19</v>
      </c>
      <c r="C2599" s="253" t="s">
        <v>20</v>
      </c>
      <c r="D2599" s="254" t="s">
        <v>30</v>
      </c>
      <c r="E2599" s="255">
        <v>18.2</v>
      </c>
      <c r="F2599" s="242" t="s">
        <v>504</v>
      </c>
      <c r="G2599" s="242">
        <v>4.5999999999999996</v>
      </c>
      <c r="H2599" s="230">
        <f t="shared" si="51"/>
        <v>83.719999999999985</v>
      </c>
    </row>
    <row r="2600" spans="1:8" ht="15.75" x14ac:dyDescent="0.25">
      <c r="A2600" s="244">
        <v>1992</v>
      </c>
      <c r="B2600" s="245" t="s">
        <v>19</v>
      </c>
      <c r="C2600" s="253" t="s">
        <v>20</v>
      </c>
      <c r="D2600" s="254" t="s">
        <v>30</v>
      </c>
      <c r="E2600" s="255">
        <v>15.7</v>
      </c>
      <c r="F2600" s="242" t="s">
        <v>504</v>
      </c>
      <c r="G2600" s="242">
        <v>4.5999999999999996</v>
      </c>
      <c r="H2600" s="230">
        <f t="shared" si="51"/>
        <v>72.219999999999985</v>
      </c>
    </row>
    <row r="2601" spans="1:8" ht="15.75" x14ac:dyDescent="0.25">
      <c r="A2601" s="244">
        <v>1992</v>
      </c>
      <c r="B2601" s="245" t="s">
        <v>19</v>
      </c>
      <c r="C2601" s="253" t="s">
        <v>20</v>
      </c>
      <c r="D2601" s="254" t="s">
        <v>30</v>
      </c>
      <c r="E2601" s="255">
        <v>16.100000000000001</v>
      </c>
      <c r="F2601" s="242" t="s">
        <v>504</v>
      </c>
      <c r="G2601" s="242">
        <v>4.5999999999999996</v>
      </c>
      <c r="H2601" s="230">
        <f t="shared" si="51"/>
        <v>74.06</v>
      </c>
    </row>
    <row r="2602" spans="1:8" ht="15.75" x14ac:dyDescent="0.25">
      <c r="A2602" s="244">
        <v>1992</v>
      </c>
      <c r="B2602" s="245" t="s">
        <v>19</v>
      </c>
      <c r="C2602" s="253" t="s">
        <v>20</v>
      </c>
      <c r="D2602" s="254" t="s">
        <v>30</v>
      </c>
      <c r="E2602" s="255">
        <v>12</v>
      </c>
      <c r="F2602" s="242" t="s">
        <v>504</v>
      </c>
      <c r="G2602" s="242">
        <v>4.5999999999999996</v>
      </c>
      <c r="H2602" s="230">
        <f t="shared" si="51"/>
        <v>55.199999999999996</v>
      </c>
    </row>
    <row r="2603" spans="1:8" ht="15.75" x14ac:dyDescent="0.25">
      <c r="A2603" s="244">
        <v>1992</v>
      </c>
      <c r="B2603" s="245" t="s">
        <v>19</v>
      </c>
      <c r="C2603" s="253" t="s">
        <v>20</v>
      </c>
      <c r="D2603" s="254" t="s">
        <v>30</v>
      </c>
      <c r="E2603" s="255">
        <v>18</v>
      </c>
      <c r="F2603" s="242" t="s">
        <v>504</v>
      </c>
      <c r="G2603" s="242">
        <v>4.5999999999999996</v>
      </c>
      <c r="H2603" s="230">
        <f t="shared" si="51"/>
        <v>82.8</v>
      </c>
    </row>
    <row r="2604" spans="1:8" ht="15.75" x14ac:dyDescent="0.25">
      <c r="A2604" s="244">
        <v>1992</v>
      </c>
      <c r="B2604" s="245" t="s">
        <v>19</v>
      </c>
      <c r="C2604" s="253" t="s">
        <v>20</v>
      </c>
      <c r="D2604" s="254" t="s">
        <v>30</v>
      </c>
      <c r="E2604" s="255">
        <v>10.3</v>
      </c>
      <c r="F2604" s="242" t="s">
        <v>504</v>
      </c>
      <c r="G2604" s="242">
        <v>4.5999999999999996</v>
      </c>
      <c r="H2604" s="230">
        <f t="shared" si="51"/>
        <v>47.38</v>
      </c>
    </row>
    <row r="2605" spans="1:8" ht="15.75" x14ac:dyDescent="0.25">
      <c r="A2605" s="244">
        <v>1992</v>
      </c>
      <c r="B2605" s="245" t="s">
        <v>19</v>
      </c>
      <c r="C2605" s="253" t="s">
        <v>20</v>
      </c>
      <c r="D2605" s="254" t="s">
        <v>30</v>
      </c>
      <c r="E2605" s="255">
        <v>20.8</v>
      </c>
      <c r="F2605" s="242" t="s">
        <v>504</v>
      </c>
      <c r="G2605" s="242">
        <v>4.5999999999999996</v>
      </c>
      <c r="H2605" s="230">
        <f t="shared" si="51"/>
        <v>95.679999999999993</v>
      </c>
    </row>
    <row r="2606" spans="1:8" ht="15.75" x14ac:dyDescent="0.25">
      <c r="A2606" s="244">
        <v>1992</v>
      </c>
      <c r="B2606" s="245" t="s">
        <v>19</v>
      </c>
      <c r="C2606" s="253" t="s">
        <v>20</v>
      </c>
      <c r="D2606" s="254" t="s">
        <v>30</v>
      </c>
      <c r="E2606" s="255">
        <v>15</v>
      </c>
      <c r="F2606" s="242" t="s">
        <v>504</v>
      </c>
      <c r="G2606" s="242">
        <v>4.5999999999999996</v>
      </c>
      <c r="H2606" s="230">
        <f t="shared" si="51"/>
        <v>69</v>
      </c>
    </row>
    <row r="2607" spans="1:8" ht="15.75" x14ac:dyDescent="0.25">
      <c r="A2607" s="244">
        <v>1992</v>
      </c>
      <c r="B2607" s="245" t="s">
        <v>19</v>
      </c>
      <c r="C2607" s="253" t="s">
        <v>20</v>
      </c>
      <c r="D2607" s="254" t="s">
        <v>30</v>
      </c>
      <c r="E2607" s="255">
        <v>15.3</v>
      </c>
      <c r="F2607" s="242" t="s">
        <v>504</v>
      </c>
      <c r="G2607" s="242">
        <v>4.5999999999999996</v>
      </c>
      <c r="H2607" s="230">
        <f t="shared" si="51"/>
        <v>70.38</v>
      </c>
    </row>
    <row r="2608" spans="1:8" ht="15.75" x14ac:dyDescent="0.25">
      <c r="A2608" s="244">
        <v>1992</v>
      </c>
      <c r="B2608" s="245" t="s">
        <v>19</v>
      </c>
      <c r="C2608" s="253" t="s">
        <v>20</v>
      </c>
      <c r="D2608" s="254" t="s">
        <v>30</v>
      </c>
      <c r="E2608" s="255">
        <v>13.5</v>
      </c>
      <c r="F2608" s="242" t="s">
        <v>504</v>
      </c>
      <c r="G2608" s="242">
        <v>4.5999999999999996</v>
      </c>
      <c r="H2608" s="230">
        <f t="shared" si="51"/>
        <v>62.099999999999994</v>
      </c>
    </row>
    <row r="2609" spans="1:8" ht="15.75" x14ac:dyDescent="0.25">
      <c r="A2609" s="244">
        <v>1992</v>
      </c>
      <c r="B2609" s="245" t="s">
        <v>19</v>
      </c>
      <c r="C2609" s="253" t="s">
        <v>20</v>
      </c>
      <c r="D2609" s="254" t="s">
        <v>30</v>
      </c>
      <c r="E2609" s="255">
        <v>16.399999999999999</v>
      </c>
      <c r="F2609" s="242" t="s">
        <v>504</v>
      </c>
      <c r="G2609" s="242">
        <v>4.5999999999999996</v>
      </c>
      <c r="H2609" s="230">
        <f t="shared" si="51"/>
        <v>75.439999999999984</v>
      </c>
    </row>
    <row r="2610" spans="1:8" ht="15.75" x14ac:dyDescent="0.25">
      <c r="A2610" s="244">
        <v>1992</v>
      </c>
      <c r="B2610" s="245" t="s">
        <v>19</v>
      </c>
      <c r="C2610" s="253" t="s">
        <v>20</v>
      </c>
      <c r="D2610" s="254" t="s">
        <v>30</v>
      </c>
      <c r="E2610" s="255">
        <v>16.5</v>
      </c>
      <c r="F2610" s="242" t="s">
        <v>504</v>
      </c>
      <c r="G2610" s="242">
        <v>4.5999999999999996</v>
      </c>
      <c r="H2610" s="230">
        <f t="shared" si="51"/>
        <v>75.899999999999991</v>
      </c>
    </row>
    <row r="2611" spans="1:8" ht="15.75" x14ac:dyDescent="0.25">
      <c r="A2611" s="244">
        <v>1992</v>
      </c>
      <c r="B2611" s="245" t="s">
        <v>19</v>
      </c>
      <c r="C2611" s="253" t="s">
        <v>20</v>
      </c>
      <c r="D2611" s="254" t="s">
        <v>30</v>
      </c>
      <c r="E2611" s="255">
        <v>6.1</v>
      </c>
      <c r="F2611" s="242" t="s">
        <v>504</v>
      </c>
      <c r="G2611" s="242">
        <v>4.5999999999999996</v>
      </c>
      <c r="H2611" s="230">
        <f t="shared" si="51"/>
        <v>28.059999999999995</v>
      </c>
    </row>
    <row r="2612" spans="1:8" ht="15.75" x14ac:dyDescent="0.25">
      <c r="A2612" s="244">
        <v>1992</v>
      </c>
      <c r="B2612" s="245" t="s">
        <v>19</v>
      </c>
      <c r="C2612" s="253" t="s">
        <v>20</v>
      </c>
      <c r="D2612" s="254" t="s">
        <v>30</v>
      </c>
      <c r="E2612" s="255">
        <v>14.9</v>
      </c>
      <c r="F2612" s="242" t="s">
        <v>504</v>
      </c>
      <c r="G2612" s="242">
        <v>4.5999999999999996</v>
      </c>
      <c r="H2612" s="230">
        <f t="shared" si="51"/>
        <v>68.539999999999992</v>
      </c>
    </row>
    <row r="2613" spans="1:8" ht="15.75" x14ac:dyDescent="0.25">
      <c r="A2613" s="244">
        <v>1992</v>
      </c>
      <c r="B2613" s="245" t="s">
        <v>19</v>
      </c>
      <c r="C2613" s="253" t="s">
        <v>20</v>
      </c>
      <c r="D2613" s="254" t="s">
        <v>30</v>
      </c>
      <c r="E2613" s="255">
        <v>14.7</v>
      </c>
      <c r="F2613" s="242" t="s">
        <v>504</v>
      </c>
      <c r="G2613" s="242">
        <v>4.5999999999999996</v>
      </c>
      <c r="H2613" s="230">
        <f t="shared" si="51"/>
        <v>67.61999999999999</v>
      </c>
    </row>
    <row r="2614" spans="1:8" ht="15.75" x14ac:dyDescent="0.25">
      <c r="A2614" s="244">
        <v>1992</v>
      </c>
      <c r="B2614" s="245" t="s">
        <v>19</v>
      </c>
      <c r="C2614" s="253" t="s">
        <v>20</v>
      </c>
      <c r="D2614" s="254" t="s">
        <v>30</v>
      </c>
      <c r="E2614" s="255">
        <v>10.8</v>
      </c>
      <c r="F2614" s="242" t="s">
        <v>504</v>
      </c>
      <c r="G2614" s="242">
        <v>4.5999999999999996</v>
      </c>
      <c r="H2614" s="230">
        <f t="shared" si="51"/>
        <v>49.68</v>
      </c>
    </row>
    <row r="2615" spans="1:8" ht="15.75" x14ac:dyDescent="0.25">
      <c r="A2615" s="244">
        <v>1992</v>
      </c>
      <c r="B2615" s="245" t="s">
        <v>19</v>
      </c>
      <c r="C2615" s="253" t="s">
        <v>20</v>
      </c>
      <c r="D2615" s="254" t="s">
        <v>30</v>
      </c>
      <c r="E2615" s="255">
        <v>20.7</v>
      </c>
      <c r="F2615" s="242" t="s">
        <v>504</v>
      </c>
      <c r="G2615" s="242">
        <v>4.5999999999999996</v>
      </c>
      <c r="H2615" s="230">
        <f t="shared" si="51"/>
        <v>95.219999999999985</v>
      </c>
    </row>
    <row r="2616" spans="1:8" ht="15.75" x14ac:dyDescent="0.25">
      <c r="A2616" s="244">
        <v>1992</v>
      </c>
      <c r="B2616" s="245" t="s">
        <v>19</v>
      </c>
      <c r="C2616" s="253" t="s">
        <v>20</v>
      </c>
      <c r="D2616" s="254" t="s">
        <v>30</v>
      </c>
      <c r="E2616" s="255">
        <v>10.5</v>
      </c>
      <c r="F2616" s="242" t="s">
        <v>504</v>
      </c>
      <c r="G2616" s="242">
        <v>4.5999999999999996</v>
      </c>
      <c r="H2616" s="230">
        <f t="shared" si="51"/>
        <v>48.3</v>
      </c>
    </row>
    <row r="2617" spans="1:8" ht="15.75" x14ac:dyDescent="0.25">
      <c r="A2617" s="244">
        <v>1992</v>
      </c>
      <c r="B2617" s="245" t="s">
        <v>19</v>
      </c>
      <c r="C2617" s="253" t="s">
        <v>20</v>
      </c>
      <c r="D2617" s="254" t="s">
        <v>30</v>
      </c>
      <c r="E2617" s="255">
        <v>12.5</v>
      </c>
      <c r="F2617" s="242" t="s">
        <v>504</v>
      </c>
      <c r="G2617" s="242">
        <v>4.5999999999999996</v>
      </c>
      <c r="H2617" s="230">
        <f t="shared" si="51"/>
        <v>57.499999999999993</v>
      </c>
    </row>
    <row r="2618" spans="1:8" ht="15.75" x14ac:dyDescent="0.25">
      <c r="A2618" s="244">
        <v>1992</v>
      </c>
      <c r="B2618" s="245" t="s">
        <v>19</v>
      </c>
      <c r="C2618" s="253" t="s">
        <v>20</v>
      </c>
      <c r="D2618" s="254" t="s">
        <v>30</v>
      </c>
      <c r="E2618" s="255">
        <v>14</v>
      </c>
      <c r="F2618" s="242" t="s">
        <v>504</v>
      </c>
      <c r="G2618" s="242">
        <v>4.5999999999999996</v>
      </c>
      <c r="H2618" s="230">
        <f t="shared" si="51"/>
        <v>64.399999999999991</v>
      </c>
    </row>
    <row r="2619" spans="1:8" ht="15.75" x14ac:dyDescent="0.25">
      <c r="A2619" s="244">
        <v>1992</v>
      </c>
      <c r="B2619" s="245" t="s">
        <v>19</v>
      </c>
      <c r="C2619" s="253" t="s">
        <v>20</v>
      </c>
      <c r="D2619" s="254" t="s">
        <v>30</v>
      </c>
      <c r="E2619" s="255">
        <v>12</v>
      </c>
      <c r="F2619" s="242" t="s">
        <v>504</v>
      </c>
      <c r="G2619" s="242">
        <v>4.5999999999999996</v>
      </c>
      <c r="H2619" s="230">
        <f t="shared" si="51"/>
        <v>55.199999999999996</v>
      </c>
    </row>
    <row r="2620" spans="1:8" ht="15.75" x14ac:dyDescent="0.25">
      <c r="A2620" s="244">
        <v>1992</v>
      </c>
      <c r="B2620" s="245" t="s">
        <v>19</v>
      </c>
      <c r="C2620" s="253" t="s">
        <v>20</v>
      </c>
      <c r="D2620" s="254" t="s">
        <v>30</v>
      </c>
      <c r="E2620" s="255">
        <v>17.5</v>
      </c>
      <c r="F2620" s="242" t="s">
        <v>504</v>
      </c>
      <c r="G2620" s="242">
        <v>4.5999999999999996</v>
      </c>
      <c r="H2620" s="230">
        <f t="shared" si="51"/>
        <v>80.5</v>
      </c>
    </row>
    <row r="2621" spans="1:8" ht="15.75" x14ac:dyDescent="0.25">
      <c r="A2621" s="244">
        <v>1992</v>
      </c>
      <c r="B2621" s="245" t="s">
        <v>19</v>
      </c>
      <c r="C2621" s="253" t="s">
        <v>20</v>
      </c>
      <c r="D2621" s="254" t="s">
        <v>30</v>
      </c>
      <c r="E2621" s="255">
        <v>16.7</v>
      </c>
      <c r="F2621" s="242" t="s">
        <v>504</v>
      </c>
      <c r="G2621" s="242">
        <v>4.5999999999999996</v>
      </c>
      <c r="H2621" s="230">
        <f t="shared" si="51"/>
        <v>76.819999999999993</v>
      </c>
    </row>
    <row r="2622" spans="1:8" ht="15.75" x14ac:dyDescent="0.25">
      <c r="A2622" s="244">
        <v>1992</v>
      </c>
      <c r="B2622" s="245" t="s">
        <v>19</v>
      </c>
      <c r="C2622" s="253" t="s">
        <v>20</v>
      </c>
      <c r="D2622" s="254" t="s">
        <v>30</v>
      </c>
      <c r="E2622" s="255">
        <v>16.3</v>
      </c>
      <c r="F2622" s="242" t="s">
        <v>504</v>
      </c>
      <c r="G2622" s="242">
        <v>4.5999999999999996</v>
      </c>
      <c r="H2622" s="230">
        <f t="shared" si="51"/>
        <v>74.98</v>
      </c>
    </row>
    <row r="2623" spans="1:8" ht="15.75" x14ac:dyDescent="0.25">
      <c r="A2623" s="244">
        <v>1992</v>
      </c>
      <c r="B2623" s="245" t="s">
        <v>19</v>
      </c>
      <c r="C2623" s="253" t="s">
        <v>20</v>
      </c>
      <c r="D2623" s="254" t="s">
        <v>30</v>
      </c>
      <c r="E2623" s="255">
        <v>14</v>
      </c>
      <c r="F2623" s="242" t="s">
        <v>504</v>
      </c>
      <c r="G2623" s="242">
        <v>4.5999999999999996</v>
      </c>
      <c r="H2623" s="230">
        <f t="shared" si="51"/>
        <v>64.399999999999991</v>
      </c>
    </row>
    <row r="2624" spans="1:8" ht="15.75" x14ac:dyDescent="0.25">
      <c r="A2624" s="244">
        <v>1992</v>
      </c>
      <c r="B2624" s="245" t="s">
        <v>19</v>
      </c>
      <c r="C2624" s="253" t="s">
        <v>20</v>
      </c>
      <c r="D2624" s="254" t="s">
        <v>30</v>
      </c>
      <c r="E2624" s="255">
        <v>17</v>
      </c>
      <c r="F2624" s="242" t="s">
        <v>504</v>
      </c>
      <c r="G2624" s="242">
        <v>4.5999999999999996</v>
      </c>
      <c r="H2624" s="230">
        <f t="shared" si="51"/>
        <v>78.199999999999989</v>
      </c>
    </row>
    <row r="2625" spans="1:8" ht="15.75" x14ac:dyDescent="0.25">
      <c r="A2625" s="244">
        <v>1992</v>
      </c>
      <c r="B2625" s="245" t="s">
        <v>19</v>
      </c>
      <c r="C2625" s="253" t="s">
        <v>20</v>
      </c>
      <c r="D2625" s="254" t="s">
        <v>30</v>
      </c>
      <c r="E2625" s="255">
        <v>10.199999999999999</v>
      </c>
      <c r="F2625" s="242" t="s">
        <v>504</v>
      </c>
      <c r="G2625" s="242">
        <v>4.5999999999999996</v>
      </c>
      <c r="H2625" s="230">
        <f t="shared" si="51"/>
        <v>46.919999999999995</v>
      </c>
    </row>
    <row r="2626" spans="1:8" ht="15.75" x14ac:dyDescent="0.25">
      <c r="A2626" s="244">
        <v>1992</v>
      </c>
      <c r="B2626" s="245" t="s">
        <v>19</v>
      </c>
      <c r="C2626" s="253" t="s">
        <v>20</v>
      </c>
      <c r="D2626" s="254" t="s">
        <v>30</v>
      </c>
      <c r="E2626" s="255">
        <v>17</v>
      </c>
      <c r="F2626" s="242" t="s">
        <v>504</v>
      </c>
      <c r="G2626" s="242">
        <v>4.5999999999999996</v>
      </c>
      <c r="H2626" s="230">
        <f t="shared" si="51"/>
        <v>78.199999999999989</v>
      </c>
    </row>
    <row r="2627" spans="1:8" ht="15.75" x14ac:dyDescent="0.25">
      <c r="A2627" s="244">
        <v>1992</v>
      </c>
      <c r="B2627" s="245" t="s">
        <v>19</v>
      </c>
      <c r="C2627" s="253" t="s">
        <v>20</v>
      </c>
      <c r="D2627" s="254" t="s">
        <v>30</v>
      </c>
      <c r="E2627" s="255">
        <v>15.4</v>
      </c>
      <c r="F2627" s="242" t="s">
        <v>504</v>
      </c>
      <c r="G2627" s="242">
        <v>4.5999999999999996</v>
      </c>
      <c r="H2627" s="230">
        <f t="shared" ref="H2627:H2690" si="52">E2627*G2627</f>
        <v>70.839999999999989</v>
      </c>
    </row>
    <row r="2628" spans="1:8" ht="15" customHeight="1" x14ac:dyDescent="0.25">
      <c r="A2628" s="244">
        <v>1992</v>
      </c>
      <c r="B2628" s="245" t="s">
        <v>19</v>
      </c>
      <c r="C2628" s="253" t="s">
        <v>20</v>
      </c>
      <c r="D2628" s="254" t="s">
        <v>30</v>
      </c>
      <c r="E2628" s="255">
        <v>19</v>
      </c>
      <c r="F2628" s="242" t="s">
        <v>504</v>
      </c>
      <c r="G2628" s="242">
        <v>4.5999999999999996</v>
      </c>
      <c r="H2628" s="230">
        <f t="shared" si="52"/>
        <v>87.399999999999991</v>
      </c>
    </row>
    <row r="2629" spans="1:8" ht="15" customHeight="1" x14ac:dyDescent="0.25">
      <c r="A2629" s="244">
        <v>1992</v>
      </c>
      <c r="B2629" s="245" t="s">
        <v>19</v>
      </c>
      <c r="C2629" s="253" t="s">
        <v>20</v>
      </c>
      <c r="D2629" s="254" t="s">
        <v>30</v>
      </c>
      <c r="E2629" s="255">
        <v>8.5</v>
      </c>
      <c r="F2629" s="242" t="s">
        <v>504</v>
      </c>
      <c r="G2629" s="242">
        <v>4.5999999999999996</v>
      </c>
      <c r="H2629" s="230">
        <f t="shared" si="52"/>
        <v>39.099999999999994</v>
      </c>
    </row>
    <row r="2630" spans="1:8" ht="15" customHeight="1" x14ac:dyDescent="0.25">
      <c r="A2630" s="244">
        <v>1992</v>
      </c>
      <c r="B2630" s="245" t="s">
        <v>19</v>
      </c>
      <c r="C2630" s="253" t="s">
        <v>20</v>
      </c>
      <c r="D2630" s="254" t="s">
        <v>30</v>
      </c>
      <c r="E2630" s="255">
        <v>16.5</v>
      </c>
      <c r="F2630" s="242" t="s">
        <v>504</v>
      </c>
      <c r="G2630" s="242">
        <v>4.5999999999999996</v>
      </c>
      <c r="H2630" s="230">
        <f t="shared" si="52"/>
        <v>75.899999999999991</v>
      </c>
    </row>
    <row r="2631" spans="1:8" ht="15" customHeight="1" x14ac:dyDescent="0.25">
      <c r="A2631" s="244">
        <v>1992</v>
      </c>
      <c r="B2631" s="245" t="s">
        <v>19</v>
      </c>
      <c r="C2631" s="253" t="s">
        <v>20</v>
      </c>
      <c r="D2631" s="254" t="s">
        <v>30</v>
      </c>
      <c r="E2631" s="255">
        <v>9.5</v>
      </c>
      <c r="F2631" s="242" t="s">
        <v>504</v>
      </c>
      <c r="G2631" s="242">
        <v>4.5999999999999996</v>
      </c>
      <c r="H2631" s="230">
        <f t="shared" si="52"/>
        <v>43.699999999999996</v>
      </c>
    </row>
    <row r="2632" spans="1:8" ht="15" customHeight="1" x14ac:dyDescent="0.25">
      <c r="A2632" s="244">
        <v>1992</v>
      </c>
      <c r="B2632" s="245" t="s">
        <v>19</v>
      </c>
      <c r="C2632" s="253" t="s">
        <v>20</v>
      </c>
      <c r="D2632" s="254" t="s">
        <v>30</v>
      </c>
      <c r="E2632" s="255">
        <v>5.2</v>
      </c>
      <c r="F2632" s="242" t="s">
        <v>504</v>
      </c>
      <c r="G2632" s="242">
        <v>4.5999999999999996</v>
      </c>
      <c r="H2632" s="230">
        <f t="shared" si="52"/>
        <v>23.919999999999998</v>
      </c>
    </row>
    <row r="2633" spans="1:8" ht="15.75" x14ac:dyDescent="0.25">
      <c r="A2633" s="244">
        <v>1992</v>
      </c>
      <c r="B2633" s="245" t="s">
        <v>19</v>
      </c>
      <c r="C2633" s="253" t="s">
        <v>20</v>
      </c>
      <c r="D2633" s="245" t="s">
        <v>21</v>
      </c>
      <c r="E2633" s="255">
        <v>10.8</v>
      </c>
      <c r="F2633" s="242" t="s">
        <v>507</v>
      </c>
      <c r="G2633" s="242">
        <v>3.9</v>
      </c>
      <c r="H2633" s="230">
        <f t="shared" si="52"/>
        <v>42.120000000000005</v>
      </c>
    </row>
    <row r="2634" spans="1:8" ht="15" customHeight="1" x14ac:dyDescent="0.25">
      <c r="A2634" s="244">
        <v>1992</v>
      </c>
      <c r="B2634" s="245" t="s">
        <v>19</v>
      </c>
      <c r="C2634" s="253" t="s">
        <v>20</v>
      </c>
      <c r="D2634" s="245" t="s">
        <v>21</v>
      </c>
      <c r="E2634" s="255">
        <v>7.5</v>
      </c>
      <c r="F2634" s="242" t="s">
        <v>507</v>
      </c>
      <c r="G2634" s="242">
        <v>3.9</v>
      </c>
      <c r="H2634" s="230">
        <f t="shared" si="52"/>
        <v>29.25</v>
      </c>
    </row>
    <row r="2635" spans="1:8" ht="15" customHeight="1" x14ac:dyDescent="0.25">
      <c r="A2635" s="244">
        <v>1992</v>
      </c>
      <c r="B2635" s="245" t="s">
        <v>19</v>
      </c>
      <c r="C2635" s="253" t="s">
        <v>20</v>
      </c>
      <c r="D2635" s="245" t="s">
        <v>21</v>
      </c>
      <c r="E2635" s="255">
        <v>14</v>
      </c>
      <c r="F2635" s="242" t="s">
        <v>507</v>
      </c>
      <c r="G2635" s="242">
        <v>3.9</v>
      </c>
      <c r="H2635" s="230">
        <f t="shared" si="52"/>
        <v>54.6</v>
      </c>
    </row>
    <row r="2636" spans="1:8" ht="15" customHeight="1" x14ac:dyDescent="0.25">
      <c r="A2636" s="244">
        <v>1992</v>
      </c>
      <c r="B2636" s="245" t="s">
        <v>19</v>
      </c>
      <c r="C2636" s="253" t="s">
        <v>20</v>
      </c>
      <c r="D2636" s="245" t="s">
        <v>21</v>
      </c>
      <c r="E2636" s="255">
        <v>9.6999999999999993</v>
      </c>
      <c r="F2636" s="242" t="s">
        <v>507</v>
      </c>
      <c r="G2636" s="242">
        <v>3.9</v>
      </c>
      <c r="H2636" s="230">
        <f t="shared" si="52"/>
        <v>37.83</v>
      </c>
    </row>
    <row r="2637" spans="1:8" ht="15" customHeight="1" x14ac:dyDescent="0.25">
      <c r="A2637" s="244">
        <v>1992</v>
      </c>
      <c r="B2637" s="245" t="s">
        <v>19</v>
      </c>
      <c r="C2637" s="253" t="s">
        <v>20</v>
      </c>
      <c r="D2637" s="245" t="s">
        <v>21</v>
      </c>
      <c r="E2637" s="255">
        <v>14</v>
      </c>
      <c r="F2637" s="242" t="s">
        <v>507</v>
      </c>
      <c r="G2637" s="242">
        <v>3.9</v>
      </c>
      <c r="H2637" s="230">
        <f t="shared" si="52"/>
        <v>54.6</v>
      </c>
    </row>
    <row r="2638" spans="1:8" ht="15" customHeight="1" x14ac:dyDescent="0.25">
      <c r="A2638" s="244">
        <v>1992</v>
      </c>
      <c r="B2638" s="245" t="s">
        <v>19</v>
      </c>
      <c r="C2638" s="253" t="s">
        <v>20</v>
      </c>
      <c r="D2638" s="245" t="s">
        <v>21</v>
      </c>
      <c r="E2638" s="255">
        <v>11</v>
      </c>
      <c r="F2638" s="242" t="s">
        <v>507</v>
      </c>
      <c r="G2638" s="242">
        <v>3.9</v>
      </c>
      <c r="H2638" s="230">
        <f t="shared" si="52"/>
        <v>42.9</v>
      </c>
    </row>
    <row r="2639" spans="1:8" ht="15" customHeight="1" x14ac:dyDescent="0.25">
      <c r="A2639" s="244">
        <v>1992</v>
      </c>
      <c r="B2639" s="245" t="s">
        <v>19</v>
      </c>
      <c r="C2639" s="253" t="s">
        <v>20</v>
      </c>
      <c r="D2639" s="245" t="s">
        <v>21</v>
      </c>
      <c r="E2639" s="255">
        <v>13.5</v>
      </c>
      <c r="F2639" s="242" t="s">
        <v>507</v>
      </c>
      <c r="G2639" s="242">
        <v>3.9</v>
      </c>
      <c r="H2639" s="230">
        <f t="shared" si="52"/>
        <v>52.65</v>
      </c>
    </row>
    <row r="2640" spans="1:8" ht="15" customHeight="1" x14ac:dyDescent="0.25">
      <c r="A2640" s="244">
        <v>1992</v>
      </c>
      <c r="B2640" s="245" t="s">
        <v>19</v>
      </c>
      <c r="C2640" s="246" t="s">
        <v>20</v>
      </c>
      <c r="D2640" s="245" t="s">
        <v>21</v>
      </c>
      <c r="E2640" s="255">
        <v>6.5</v>
      </c>
      <c r="F2640" s="242" t="s">
        <v>507</v>
      </c>
      <c r="G2640" s="242">
        <v>3.9</v>
      </c>
      <c r="H2640" s="230">
        <f t="shared" si="52"/>
        <v>25.349999999999998</v>
      </c>
    </row>
    <row r="2641" spans="1:8" ht="15.75" x14ac:dyDescent="0.25">
      <c r="A2641" s="244">
        <v>1992</v>
      </c>
      <c r="B2641" s="245" t="s">
        <v>19</v>
      </c>
      <c r="C2641" s="253" t="s">
        <v>20</v>
      </c>
      <c r="D2641" s="245" t="s">
        <v>21</v>
      </c>
      <c r="E2641" s="255">
        <v>11</v>
      </c>
      <c r="F2641" s="242" t="s">
        <v>507</v>
      </c>
      <c r="G2641" s="242">
        <v>3.9</v>
      </c>
      <c r="H2641" s="230">
        <f t="shared" si="52"/>
        <v>42.9</v>
      </c>
    </row>
    <row r="2642" spans="1:8" ht="15.75" x14ac:dyDescent="0.25">
      <c r="A2642" s="244">
        <v>1992</v>
      </c>
      <c r="B2642" s="245" t="s">
        <v>19</v>
      </c>
      <c r="C2642" s="253" t="s">
        <v>34</v>
      </c>
      <c r="D2642" s="245" t="s">
        <v>41</v>
      </c>
      <c r="E2642" s="255">
        <v>19.2</v>
      </c>
      <c r="F2642" s="242" t="s">
        <v>508</v>
      </c>
      <c r="G2642" s="242">
        <v>3.8</v>
      </c>
      <c r="H2642" s="230">
        <f t="shared" si="52"/>
        <v>72.959999999999994</v>
      </c>
    </row>
    <row r="2643" spans="1:8" ht="15.75" x14ac:dyDescent="0.25">
      <c r="A2643" s="244">
        <v>1992</v>
      </c>
      <c r="B2643" s="245" t="s">
        <v>19</v>
      </c>
      <c r="C2643" s="253" t="s">
        <v>34</v>
      </c>
      <c r="D2643" s="245" t="s">
        <v>41</v>
      </c>
      <c r="E2643" s="255">
        <v>23.5</v>
      </c>
      <c r="F2643" s="242" t="s">
        <v>508</v>
      </c>
      <c r="G2643" s="242">
        <v>3.8</v>
      </c>
      <c r="H2643" s="230">
        <f t="shared" si="52"/>
        <v>89.3</v>
      </c>
    </row>
    <row r="2644" spans="1:8" ht="15.75" x14ac:dyDescent="0.25">
      <c r="A2644" s="244">
        <v>1992</v>
      </c>
      <c r="B2644" s="245" t="s">
        <v>19</v>
      </c>
      <c r="C2644" s="253" t="s">
        <v>34</v>
      </c>
      <c r="D2644" s="245" t="s">
        <v>41</v>
      </c>
      <c r="E2644" s="255">
        <v>16</v>
      </c>
      <c r="F2644" s="242" t="s">
        <v>508</v>
      </c>
      <c r="G2644" s="242">
        <v>3.8</v>
      </c>
      <c r="H2644" s="230">
        <f t="shared" si="52"/>
        <v>60.8</v>
      </c>
    </row>
    <row r="2645" spans="1:8" ht="15.75" x14ac:dyDescent="0.25">
      <c r="A2645" s="244">
        <v>1992</v>
      </c>
      <c r="B2645" s="245" t="s">
        <v>19</v>
      </c>
      <c r="C2645" s="253" t="s">
        <v>34</v>
      </c>
      <c r="D2645" s="245" t="s">
        <v>41</v>
      </c>
      <c r="E2645" s="255">
        <v>24.5</v>
      </c>
      <c r="F2645" s="242" t="s">
        <v>508</v>
      </c>
      <c r="G2645" s="242">
        <v>3.8</v>
      </c>
      <c r="H2645" s="230">
        <f t="shared" si="52"/>
        <v>93.1</v>
      </c>
    </row>
    <row r="2646" spans="1:8" ht="15.75" x14ac:dyDescent="0.25">
      <c r="A2646" s="244">
        <v>1992</v>
      </c>
      <c r="B2646" s="245" t="s">
        <v>19</v>
      </c>
      <c r="C2646" s="253" t="s">
        <v>34</v>
      </c>
      <c r="D2646" s="245" t="s">
        <v>41</v>
      </c>
      <c r="E2646" s="255">
        <v>18.8</v>
      </c>
      <c r="F2646" s="242" t="s">
        <v>508</v>
      </c>
      <c r="G2646" s="242">
        <v>3.8</v>
      </c>
      <c r="H2646" s="230">
        <f t="shared" si="52"/>
        <v>71.44</v>
      </c>
    </row>
    <row r="2647" spans="1:8" ht="15.75" x14ac:dyDescent="0.25">
      <c r="A2647" s="244">
        <v>1992</v>
      </c>
      <c r="B2647" s="245" t="s">
        <v>19</v>
      </c>
      <c r="C2647" s="253" t="s">
        <v>34</v>
      </c>
      <c r="D2647" s="245" t="s">
        <v>41</v>
      </c>
      <c r="E2647" s="255">
        <v>22.5</v>
      </c>
      <c r="F2647" s="242" t="s">
        <v>508</v>
      </c>
      <c r="G2647" s="242">
        <v>3.8</v>
      </c>
      <c r="H2647" s="230">
        <f t="shared" si="52"/>
        <v>85.5</v>
      </c>
    </row>
    <row r="2648" spans="1:8" ht="15.75" x14ac:dyDescent="0.25">
      <c r="A2648" s="244">
        <v>1992</v>
      </c>
      <c r="B2648" s="245" t="s">
        <v>19</v>
      </c>
      <c r="C2648" s="253" t="s">
        <v>34</v>
      </c>
      <c r="D2648" s="245" t="s">
        <v>41</v>
      </c>
      <c r="E2648" s="255">
        <v>23</v>
      </c>
      <c r="F2648" s="242" t="s">
        <v>508</v>
      </c>
      <c r="G2648" s="242">
        <v>3.8</v>
      </c>
      <c r="H2648" s="230">
        <f t="shared" si="52"/>
        <v>87.399999999999991</v>
      </c>
    </row>
    <row r="2649" spans="1:8" ht="15.75" x14ac:dyDescent="0.25">
      <c r="A2649" s="244">
        <v>1992</v>
      </c>
      <c r="B2649" s="245" t="s">
        <v>19</v>
      </c>
      <c r="C2649" s="253" t="s">
        <v>34</v>
      </c>
      <c r="D2649" s="245" t="s">
        <v>41</v>
      </c>
      <c r="E2649" s="255">
        <v>16.5</v>
      </c>
      <c r="F2649" s="242" t="s">
        <v>508</v>
      </c>
      <c r="G2649" s="242">
        <v>3.8</v>
      </c>
      <c r="H2649" s="230">
        <f t="shared" si="52"/>
        <v>62.699999999999996</v>
      </c>
    </row>
    <row r="2650" spans="1:8" ht="15.75" x14ac:dyDescent="0.25">
      <c r="A2650" s="244">
        <v>1992</v>
      </c>
      <c r="B2650" s="245" t="s">
        <v>19</v>
      </c>
      <c r="C2650" s="253" t="s">
        <v>34</v>
      </c>
      <c r="D2650" s="245" t="s">
        <v>41</v>
      </c>
      <c r="E2650" s="255">
        <v>18.3</v>
      </c>
      <c r="F2650" s="242" t="s">
        <v>508</v>
      </c>
      <c r="G2650" s="242">
        <v>3.8</v>
      </c>
      <c r="H2650" s="230">
        <f t="shared" si="52"/>
        <v>69.540000000000006</v>
      </c>
    </row>
    <row r="2651" spans="1:8" ht="15.75" x14ac:dyDescent="0.25">
      <c r="A2651" s="244">
        <v>1992</v>
      </c>
      <c r="B2651" s="245" t="s">
        <v>19</v>
      </c>
      <c r="C2651" s="253" t="s">
        <v>34</v>
      </c>
      <c r="D2651" s="245" t="s">
        <v>41</v>
      </c>
      <c r="E2651" s="255">
        <v>19.8</v>
      </c>
      <c r="F2651" s="242" t="s">
        <v>508</v>
      </c>
      <c r="G2651" s="242">
        <v>3.8</v>
      </c>
      <c r="H2651" s="230">
        <f t="shared" si="52"/>
        <v>75.239999999999995</v>
      </c>
    </row>
    <row r="2652" spans="1:8" ht="15.75" x14ac:dyDescent="0.25">
      <c r="A2652" s="244">
        <v>1992</v>
      </c>
      <c r="B2652" s="245" t="s">
        <v>19</v>
      </c>
      <c r="C2652" s="253" t="s">
        <v>34</v>
      </c>
      <c r="D2652" s="245" t="s">
        <v>41</v>
      </c>
      <c r="E2652" s="255">
        <v>23.6</v>
      </c>
      <c r="F2652" s="242" t="s">
        <v>508</v>
      </c>
      <c r="G2652" s="242">
        <v>3.8</v>
      </c>
      <c r="H2652" s="230">
        <f t="shared" si="52"/>
        <v>89.68</v>
      </c>
    </row>
    <row r="2653" spans="1:8" ht="15.75" x14ac:dyDescent="0.25">
      <c r="A2653" s="244">
        <v>1992</v>
      </c>
      <c r="B2653" s="245" t="s">
        <v>19</v>
      </c>
      <c r="C2653" s="253" t="s">
        <v>34</v>
      </c>
      <c r="D2653" s="245" t="s">
        <v>41</v>
      </c>
      <c r="E2653" s="255">
        <v>21.5</v>
      </c>
      <c r="F2653" s="242" t="s">
        <v>508</v>
      </c>
      <c r="G2653" s="242">
        <v>3.8</v>
      </c>
      <c r="H2653" s="230">
        <f t="shared" si="52"/>
        <v>81.7</v>
      </c>
    </row>
    <row r="2654" spans="1:8" ht="12" customHeight="1" x14ac:dyDescent="0.25">
      <c r="A2654" s="244">
        <v>1992</v>
      </c>
      <c r="B2654" s="245" t="s">
        <v>19</v>
      </c>
      <c r="C2654" s="253" t="s">
        <v>34</v>
      </c>
      <c r="D2654" s="245" t="s">
        <v>41</v>
      </c>
      <c r="E2654" s="255">
        <v>19.5</v>
      </c>
      <c r="F2654" s="242" t="s">
        <v>508</v>
      </c>
      <c r="G2654" s="242">
        <v>3.8</v>
      </c>
      <c r="H2654" s="230">
        <f t="shared" si="52"/>
        <v>74.099999999999994</v>
      </c>
    </row>
    <row r="2655" spans="1:8" ht="15.75" x14ac:dyDescent="0.25">
      <c r="A2655" s="244">
        <v>1992</v>
      </c>
      <c r="B2655" s="245" t="s">
        <v>19</v>
      </c>
      <c r="C2655" s="253" t="s">
        <v>34</v>
      </c>
      <c r="D2655" s="245" t="s">
        <v>41</v>
      </c>
      <c r="E2655" s="255">
        <v>23.5</v>
      </c>
      <c r="F2655" s="242" t="s">
        <v>508</v>
      </c>
      <c r="G2655" s="242">
        <v>3.8</v>
      </c>
      <c r="H2655" s="230">
        <f t="shared" si="52"/>
        <v>89.3</v>
      </c>
    </row>
    <row r="2656" spans="1:8" ht="15.75" x14ac:dyDescent="0.25">
      <c r="A2656" s="244">
        <v>1992</v>
      </c>
      <c r="B2656" s="245" t="s">
        <v>19</v>
      </c>
      <c r="C2656" s="253" t="s">
        <v>34</v>
      </c>
      <c r="D2656" s="245" t="s">
        <v>41</v>
      </c>
      <c r="E2656" s="255">
        <v>20.5</v>
      </c>
      <c r="F2656" s="242" t="s">
        <v>508</v>
      </c>
      <c r="G2656" s="242">
        <v>3.8</v>
      </c>
      <c r="H2656" s="230">
        <f t="shared" si="52"/>
        <v>77.899999999999991</v>
      </c>
    </row>
    <row r="2657" spans="1:8" ht="15.75" x14ac:dyDescent="0.25">
      <c r="A2657" s="244">
        <v>1992</v>
      </c>
      <c r="B2657" s="245" t="s">
        <v>19</v>
      </c>
      <c r="C2657" s="253" t="s">
        <v>34</v>
      </c>
      <c r="D2657" s="245" t="s">
        <v>41</v>
      </c>
      <c r="E2657" s="255">
        <v>24.5</v>
      </c>
      <c r="F2657" s="242" t="s">
        <v>508</v>
      </c>
      <c r="G2657" s="242">
        <v>3.8</v>
      </c>
      <c r="H2657" s="230">
        <f t="shared" si="52"/>
        <v>93.1</v>
      </c>
    </row>
    <row r="2658" spans="1:8" ht="15.75" x14ac:dyDescent="0.25">
      <c r="A2658" s="244">
        <v>1992</v>
      </c>
      <c r="B2658" s="245" t="s">
        <v>19</v>
      </c>
      <c r="C2658" s="253" t="s">
        <v>34</v>
      </c>
      <c r="D2658" s="245" t="s">
        <v>41</v>
      </c>
      <c r="E2658" s="255">
        <v>25.3</v>
      </c>
      <c r="F2658" s="242" t="s">
        <v>508</v>
      </c>
      <c r="G2658" s="242">
        <v>3.8</v>
      </c>
      <c r="H2658" s="230">
        <f t="shared" si="52"/>
        <v>96.14</v>
      </c>
    </row>
    <row r="2659" spans="1:8" ht="15.75" x14ac:dyDescent="0.25">
      <c r="A2659" s="244">
        <v>1992</v>
      </c>
      <c r="B2659" s="245" t="s">
        <v>19</v>
      </c>
      <c r="C2659" s="253" t="s">
        <v>34</v>
      </c>
      <c r="D2659" s="245" t="s">
        <v>41</v>
      </c>
      <c r="E2659" s="255">
        <v>22.2</v>
      </c>
      <c r="F2659" s="242" t="s">
        <v>508</v>
      </c>
      <c r="G2659" s="242">
        <v>3.8</v>
      </c>
      <c r="H2659" s="230">
        <f t="shared" si="52"/>
        <v>84.36</v>
      </c>
    </row>
    <row r="2660" spans="1:8" ht="15.75" x14ac:dyDescent="0.25">
      <c r="A2660" s="244">
        <v>1992</v>
      </c>
      <c r="B2660" s="245" t="s">
        <v>19</v>
      </c>
      <c r="C2660" s="253" t="s">
        <v>34</v>
      </c>
      <c r="D2660" s="245" t="s">
        <v>41</v>
      </c>
      <c r="E2660" s="255">
        <v>15.6</v>
      </c>
      <c r="F2660" s="242" t="s">
        <v>508</v>
      </c>
      <c r="G2660" s="242">
        <v>3.8</v>
      </c>
      <c r="H2660" s="230">
        <f t="shared" si="52"/>
        <v>59.279999999999994</v>
      </c>
    </row>
    <row r="2661" spans="1:8" ht="15.75" x14ac:dyDescent="0.25">
      <c r="A2661" s="244">
        <v>1991</v>
      </c>
      <c r="B2661" s="245" t="s">
        <v>19</v>
      </c>
      <c r="C2661" s="246" t="s">
        <v>20</v>
      </c>
      <c r="D2661" s="245" t="s">
        <v>30</v>
      </c>
      <c r="E2661" s="247">
        <v>23.5</v>
      </c>
      <c r="F2661" s="242" t="s">
        <v>504</v>
      </c>
      <c r="G2661" s="242">
        <v>4.5999999999999996</v>
      </c>
      <c r="H2661" s="230">
        <f t="shared" si="52"/>
        <v>108.1</v>
      </c>
    </row>
    <row r="2662" spans="1:8" ht="15.75" x14ac:dyDescent="0.25">
      <c r="A2662" s="244">
        <v>1991</v>
      </c>
      <c r="B2662" s="245" t="s">
        <v>19</v>
      </c>
      <c r="C2662" s="246" t="s">
        <v>20</v>
      </c>
      <c r="D2662" s="245" t="s">
        <v>30</v>
      </c>
      <c r="E2662" s="247">
        <v>21.5</v>
      </c>
      <c r="F2662" s="242" t="s">
        <v>504</v>
      </c>
      <c r="G2662" s="242">
        <v>4.5999999999999996</v>
      </c>
      <c r="H2662" s="230">
        <f t="shared" si="52"/>
        <v>98.899999999999991</v>
      </c>
    </row>
    <row r="2663" spans="1:8" ht="15.75" x14ac:dyDescent="0.25">
      <c r="A2663" s="244">
        <v>1991</v>
      </c>
      <c r="B2663" s="245" t="s">
        <v>19</v>
      </c>
      <c r="C2663" s="246" t="s">
        <v>20</v>
      </c>
      <c r="D2663" s="245" t="s">
        <v>30</v>
      </c>
      <c r="E2663" s="247">
        <v>23</v>
      </c>
      <c r="F2663" s="242" t="s">
        <v>504</v>
      </c>
      <c r="G2663" s="242">
        <v>4.5999999999999996</v>
      </c>
      <c r="H2663" s="230">
        <f t="shared" si="52"/>
        <v>105.8</v>
      </c>
    </row>
    <row r="2664" spans="1:8" ht="15.75" x14ac:dyDescent="0.25">
      <c r="A2664" s="244">
        <v>1991</v>
      </c>
      <c r="B2664" s="245" t="s">
        <v>19</v>
      </c>
      <c r="C2664" s="246" t="s">
        <v>20</v>
      </c>
      <c r="D2664" s="245" t="s">
        <v>30</v>
      </c>
      <c r="E2664" s="247">
        <v>22.5</v>
      </c>
      <c r="F2664" s="242" t="s">
        <v>504</v>
      </c>
      <c r="G2664" s="242">
        <v>4.5999999999999996</v>
      </c>
      <c r="H2664" s="230">
        <f t="shared" si="52"/>
        <v>103.49999999999999</v>
      </c>
    </row>
    <row r="2665" spans="1:8" ht="15.75" x14ac:dyDescent="0.25">
      <c r="A2665" s="244">
        <v>1991</v>
      </c>
      <c r="B2665" s="245" t="s">
        <v>19</v>
      </c>
      <c r="C2665" s="246" t="s">
        <v>20</v>
      </c>
      <c r="D2665" s="245" t="s">
        <v>30</v>
      </c>
      <c r="E2665" s="247">
        <v>17</v>
      </c>
      <c r="F2665" s="242" t="s">
        <v>504</v>
      </c>
      <c r="G2665" s="242">
        <v>4.5999999999999996</v>
      </c>
      <c r="H2665" s="230">
        <f t="shared" si="52"/>
        <v>78.199999999999989</v>
      </c>
    </row>
    <row r="2666" spans="1:8" ht="15.75" x14ac:dyDescent="0.25">
      <c r="A2666" s="244">
        <v>1991</v>
      </c>
      <c r="B2666" s="245" t="s">
        <v>19</v>
      </c>
      <c r="C2666" s="246" t="s">
        <v>20</v>
      </c>
      <c r="D2666" s="245" t="s">
        <v>30</v>
      </c>
      <c r="E2666" s="247">
        <v>22.8</v>
      </c>
      <c r="F2666" s="242" t="s">
        <v>504</v>
      </c>
      <c r="G2666" s="242">
        <v>4.5999999999999996</v>
      </c>
      <c r="H2666" s="230">
        <f t="shared" si="52"/>
        <v>104.88</v>
      </c>
    </row>
    <row r="2667" spans="1:8" ht="15.75" x14ac:dyDescent="0.25">
      <c r="A2667" s="244">
        <v>1991</v>
      </c>
      <c r="B2667" s="245" t="s">
        <v>19</v>
      </c>
      <c r="C2667" s="246" t="s">
        <v>20</v>
      </c>
      <c r="D2667" s="245" t="s">
        <v>30</v>
      </c>
      <c r="E2667" s="247">
        <v>21.1</v>
      </c>
      <c r="F2667" s="242" t="s">
        <v>504</v>
      </c>
      <c r="G2667" s="242">
        <v>4.5999999999999996</v>
      </c>
      <c r="H2667" s="230">
        <f t="shared" si="52"/>
        <v>97.06</v>
      </c>
    </row>
    <row r="2668" spans="1:8" ht="15.75" x14ac:dyDescent="0.25">
      <c r="A2668" s="244">
        <v>1991</v>
      </c>
      <c r="B2668" s="245" t="s">
        <v>19</v>
      </c>
      <c r="C2668" s="246" t="s">
        <v>20</v>
      </c>
      <c r="D2668" s="245" t="s">
        <v>30</v>
      </c>
      <c r="E2668" s="247">
        <v>25.5</v>
      </c>
      <c r="F2668" s="242" t="s">
        <v>504</v>
      </c>
      <c r="G2668" s="242">
        <v>4.5999999999999996</v>
      </c>
      <c r="H2668" s="230">
        <f t="shared" si="52"/>
        <v>117.3</v>
      </c>
    </row>
    <row r="2669" spans="1:8" ht="15.75" x14ac:dyDescent="0.25">
      <c r="A2669" s="244">
        <v>1991</v>
      </c>
      <c r="B2669" s="245" t="s">
        <v>19</v>
      </c>
      <c r="C2669" s="246" t="s">
        <v>20</v>
      </c>
      <c r="D2669" s="245" t="s">
        <v>30</v>
      </c>
      <c r="E2669" s="247">
        <v>23.5</v>
      </c>
      <c r="F2669" s="242" t="s">
        <v>504</v>
      </c>
      <c r="G2669" s="242">
        <v>4.5999999999999996</v>
      </c>
      <c r="H2669" s="230">
        <f t="shared" si="52"/>
        <v>108.1</v>
      </c>
    </row>
    <row r="2670" spans="1:8" ht="15.75" x14ac:dyDescent="0.25">
      <c r="A2670" s="244">
        <v>1991</v>
      </c>
      <c r="B2670" s="245" t="s">
        <v>19</v>
      </c>
      <c r="C2670" s="246" t="s">
        <v>20</v>
      </c>
      <c r="D2670" s="245" t="s">
        <v>30</v>
      </c>
      <c r="E2670" s="247">
        <v>21.5</v>
      </c>
      <c r="F2670" s="242" t="s">
        <v>504</v>
      </c>
      <c r="G2670" s="242">
        <v>4.5999999999999996</v>
      </c>
      <c r="H2670" s="230">
        <f t="shared" si="52"/>
        <v>98.899999999999991</v>
      </c>
    </row>
    <row r="2671" spans="1:8" ht="15.75" x14ac:dyDescent="0.25">
      <c r="A2671" s="244">
        <v>1991</v>
      </c>
      <c r="B2671" s="245" t="s">
        <v>19</v>
      </c>
      <c r="C2671" s="246" t="s">
        <v>20</v>
      </c>
      <c r="D2671" s="245" t="s">
        <v>30</v>
      </c>
      <c r="E2671" s="247">
        <v>16.600000000000001</v>
      </c>
      <c r="F2671" s="242" t="s">
        <v>504</v>
      </c>
      <c r="G2671" s="242">
        <v>4.5999999999999996</v>
      </c>
      <c r="H2671" s="230">
        <f t="shared" si="52"/>
        <v>76.36</v>
      </c>
    </row>
    <row r="2672" spans="1:8" ht="15.75" x14ac:dyDescent="0.25">
      <c r="A2672" s="244">
        <v>1991</v>
      </c>
      <c r="B2672" s="245" t="s">
        <v>19</v>
      </c>
      <c r="C2672" s="246" t="s">
        <v>20</v>
      </c>
      <c r="D2672" s="245" t="s">
        <v>30</v>
      </c>
      <c r="E2672" s="247">
        <v>22</v>
      </c>
      <c r="F2672" s="242" t="s">
        <v>504</v>
      </c>
      <c r="G2672" s="242">
        <v>4.5999999999999996</v>
      </c>
      <c r="H2672" s="230">
        <f t="shared" si="52"/>
        <v>101.19999999999999</v>
      </c>
    </row>
    <row r="2673" spans="1:8" ht="15.75" x14ac:dyDescent="0.25">
      <c r="A2673" s="244">
        <v>1991</v>
      </c>
      <c r="B2673" s="245" t="s">
        <v>19</v>
      </c>
      <c r="C2673" s="246" t="s">
        <v>20</v>
      </c>
      <c r="D2673" s="245" t="s">
        <v>30</v>
      </c>
      <c r="E2673" s="247">
        <v>12.5</v>
      </c>
      <c r="F2673" s="242" t="s">
        <v>504</v>
      </c>
      <c r="G2673" s="242">
        <v>4.5999999999999996</v>
      </c>
      <c r="H2673" s="230">
        <f t="shared" si="52"/>
        <v>57.499999999999993</v>
      </c>
    </row>
    <row r="2674" spans="1:8" ht="15.75" x14ac:dyDescent="0.25">
      <c r="A2674" s="244">
        <v>1991</v>
      </c>
      <c r="B2674" s="245" t="s">
        <v>19</v>
      </c>
      <c r="C2674" s="246" t="s">
        <v>20</v>
      </c>
      <c r="D2674" s="245" t="s">
        <v>30</v>
      </c>
      <c r="E2674" s="247">
        <v>25.5</v>
      </c>
      <c r="F2674" s="242" t="s">
        <v>504</v>
      </c>
      <c r="G2674" s="242">
        <v>4.5999999999999996</v>
      </c>
      <c r="H2674" s="230">
        <f t="shared" si="52"/>
        <v>117.3</v>
      </c>
    </row>
    <row r="2675" spans="1:8" ht="15.75" x14ac:dyDescent="0.25">
      <c r="A2675" s="244">
        <v>1991</v>
      </c>
      <c r="B2675" s="245" t="s">
        <v>19</v>
      </c>
      <c r="C2675" s="246" t="s">
        <v>20</v>
      </c>
      <c r="D2675" s="245" t="s">
        <v>21</v>
      </c>
      <c r="E2675" s="247">
        <v>17.5</v>
      </c>
      <c r="F2675" s="242" t="s">
        <v>507</v>
      </c>
      <c r="G2675" s="242">
        <v>3.9</v>
      </c>
      <c r="H2675" s="230">
        <f t="shared" si="52"/>
        <v>68.25</v>
      </c>
    </row>
    <row r="2676" spans="1:8" ht="15.75" x14ac:dyDescent="0.25">
      <c r="A2676" s="244">
        <v>1991</v>
      </c>
      <c r="B2676" s="245" t="s">
        <v>19</v>
      </c>
      <c r="C2676" s="246" t="s">
        <v>20</v>
      </c>
      <c r="D2676" s="245" t="s">
        <v>21</v>
      </c>
      <c r="E2676" s="247">
        <v>13</v>
      </c>
      <c r="F2676" s="242" t="s">
        <v>507</v>
      </c>
      <c r="G2676" s="242">
        <v>3.9</v>
      </c>
      <c r="H2676" s="230">
        <f t="shared" si="52"/>
        <v>50.699999999999996</v>
      </c>
    </row>
    <row r="2677" spans="1:8" ht="15.75" x14ac:dyDescent="0.25">
      <c r="A2677" s="244">
        <v>1991</v>
      </c>
      <c r="B2677" s="245" t="s">
        <v>19</v>
      </c>
      <c r="C2677" s="246" t="s">
        <v>20</v>
      </c>
      <c r="D2677" s="245" t="s">
        <v>21</v>
      </c>
      <c r="E2677" s="247">
        <v>14</v>
      </c>
      <c r="F2677" s="242" t="s">
        <v>507</v>
      </c>
      <c r="G2677" s="242">
        <v>3.9</v>
      </c>
      <c r="H2677" s="230">
        <f t="shared" si="52"/>
        <v>54.6</v>
      </c>
    </row>
    <row r="2678" spans="1:8" ht="15.75" x14ac:dyDescent="0.25">
      <c r="A2678" s="244">
        <v>1991</v>
      </c>
      <c r="B2678" s="245" t="s">
        <v>19</v>
      </c>
      <c r="C2678" s="246" t="s">
        <v>20</v>
      </c>
      <c r="D2678" s="245" t="s">
        <v>21</v>
      </c>
      <c r="E2678" s="247">
        <v>16</v>
      </c>
      <c r="F2678" s="242" t="s">
        <v>507</v>
      </c>
      <c r="G2678" s="242">
        <v>3.9</v>
      </c>
      <c r="H2678" s="230">
        <f t="shared" si="52"/>
        <v>62.4</v>
      </c>
    </row>
    <row r="2679" spans="1:8" ht="15" customHeight="1" x14ac:dyDescent="0.25">
      <c r="A2679" s="244">
        <v>1991</v>
      </c>
      <c r="B2679" s="245" t="s">
        <v>19</v>
      </c>
      <c r="C2679" s="246" t="s">
        <v>20</v>
      </c>
      <c r="D2679" s="245" t="s">
        <v>21</v>
      </c>
      <c r="E2679" s="247">
        <v>17.2</v>
      </c>
      <c r="F2679" s="242" t="s">
        <v>507</v>
      </c>
      <c r="G2679" s="242">
        <v>3.9</v>
      </c>
      <c r="H2679" s="230">
        <f t="shared" si="52"/>
        <v>67.08</v>
      </c>
    </row>
    <row r="2680" spans="1:8" ht="15.75" x14ac:dyDescent="0.25">
      <c r="A2680" s="244">
        <v>1991</v>
      </c>
      <c r="B2680" s="245" t="s">
        <v>19</v>
      </c>
      <c r="C2680" s="246" t="s">
        <v>20</v>
      </c>
      <c r="D2680" s="245" t="s">
        <v>21</v>
      </c>
      <c r="E2680" s="247">
        <v>9.6</v>
      </c>
      <c r="F2680" s="242" t="s">
        <v>507</v>
      </c>
      <c r="G2680" s="242">
        <v>3.9</v>
      </c>
      <c r="H2680" s="230">
        <f t="shared" si="52"/>
        <v>37.44</v>
      </c>
    </row>
    <row r="2681" spans="1:8" ht="15" customHeight="1" x14ac:dyDescent="0.25">
      <c r="A2681" s="244">
        <v>1991</v>
      </c>
      <c r="B2681" s="245" t="s">
        <v>19</v>
      </c>
      <c r="C2681" s="246" t="s">
        <v>20</v>
      </c>
      <c r="D2681" s="245" t="s">
        <v>21</v>
      </c>
      <c r="E2681" s="247">
        <v>15.5</v>
      </c>
      <c r="F2681" s="242" t="s">
        <v>507</v>
      </c>
      <c r="G2681" s="242">
        <v>3.9</v>
      </c>
      <c r="H2681" s="230">
        <f t="shared" si="52"/>
        <v>60.449999999999996</v>
      </c>
    </row>
    <row r="2682" spans="1:8" ht="15" customHeight="1" x14ac:dyDescent="0.25">
      <c r="A2682" s="244">
        <v>1991</v>
      </c>
      <c r="B2682" s="245" t="s">
        <v>19</v>
      </c>
      <c r="C2682" s="246" t="s">
        <v>20</v>
      </c>
      <c r="D2682" s="245" t="s">
        <v>21</v>
      </c>
      <c r="E2682" s="247">
        <v>14.5</v>
      </c>
      <c r="F2682" s="242" t="s">
        <v>507</v>
      </c>
      <c r="G2682" s="242">
        <v>3.9</v>
      </c>
      <c r="H2682" s="230">
        <f t="shared" si="52"/>
        <v>56.55</v>
      </c>
    </row>
    <row r="2683" spans="1:8" ht="15" customHeight="1" x14ac:dyDescent="0.25">
      <c r="A2683" s="244">
        <v>1991</v>
      </c>
      <c r="B2683" s="245" t="s">
        <v>19</v>
      </c>
      <c r="C2683" s="246" t="s">
        <v>20</v>
      </c>
      <c r="D2683" s="245" t="s">
        <v>21</v>
      </c>
      <c r="E2683" s="247">
        <v>11.5</v>
      </c>
      <c r="F2683" s="242" t="s">
        <v>507</v>
      </c>
      <c r="G2683" s="242">
        <v>3.9</v>
      </c>
      <c r="H2683" s="230">
        <f t="shared" si="52"/>
        <v>44.85</v>
      </c>
    </row>
    <row r="2684" spans="1:8" ht="15" customHeight="1" x14ac:dyDescent="0.25">
      <c r="A2684" s="244">
        <v>1991</v>
      </c>
      <c r="B2684" s="245" t="s">
        <v>19</v>
      </c>
      <c r="C2684" s="246" t="s">
        <v>20</v>
      </c>
      <c r="D2684" s="245" t="s">
        <v>21</v>
      </c>
      <c r="E2684" s="247">
        <v>22.5</v>
      </c>
      <c r="F2684" s="242" t="s">
        <v>507</v>
      </c>
      <c r="G2684" s="242">
        <v>3.9</v>
      </c>
      <c r="H2684" s="230">
        <f t="shared" si="52"/>
        <v>87.75</v>
      </c>
    </row>
    <row r="2685" spans="1:8" ht="15" customHeight="1" x14ac:dyDescent="0.25">
      <c r="A2685" s="244">
        <v>1991</v>
      </c>
      <c r="B2685" s="245" t="s">
        <v>19</v>
      </c>
      <c r="C2685" s="246" t="s">
        <v>20</v>
      </c>
      <c r="D2685" s="245" t="s">
        <v>21</v>
      </c>
      <c r="E2685" s="247">
        <v>17.3</v>
      </c>
      <c r="F2685" s="242" t="s">
        <v>507</v>
      </c>
      <c r="G2685" s="242">
        <v>3.9</v>
      </c>
      <c r="H2685" s="230">
        <f t="shared" si="52"/>
        <v>67.47</v>
      </c>
    </row>
    <row r="2686" spans="1:8" ht="15" customHeight="1" x14ac:dyDescent="0.25">
      <c r="A2686" s="244">
        <v>1991</v>
      </c>
      <c r="B2686" s="245" t="s">
        <v>19</v>
      </c>
      <c r="C2686" s="246" t="s">
        <v>20</v>
      </c>
      <c r="D2686" s="245" t="s">
        <v>21</v>
      </c>
      <c r="E2686" s="247">
        <v>14</v>
      </c>
      <c r="F2686" s="242" t="s">
        <v>507</v>
      </c>
      <c r="G2686" s="242">
        <v>3.9</v>
      </c>
      <c r="H2686" s="230">
        <f t="shared" si="52"/>
        <v>54.6</v>
      </c>
    </row>
    <row r="2687" spans="1:8" ht="12" customHeight="1" x14ac:dyDescent="0.25">
      <c r="A2687" s="244">
        <v>1991</v>
      </c>
      <c r="B2687" s="245" t="s">
        <v>19</v>
      </c>
      <c r="C2687" s="246" t="s">
        <v>20</v>
      </c>
      <c r="D2687" s="245" t="s">
        <v>21</v>
      </c>
      <c r="E2687" s="247">
        <v>11</v>
      </c>
      <c r="F2687" s="242" t="s">
        <v>507</v>
      </c>
      <c r="G2687" s="242">
        <v>3.9</v>
      </c>
      <c r="H2687" s="230">
        <f t="shared" si="52"/>
        <v>42.9</v>
      </c>
    </row>
    <row r="2688" spans="1:8" ht="12" customHeight="1" x14ac:dyDescent="0.25">
      <c r="A2688" s="244">
        <v>1991</v>
      </c>
      <c r="B2688" s="245" t="s">
        <v>19</v>
      </c>
      <c r="C2688" s="246" t="s">
        <v>20</v>
      </c>
      <c r="D2688" s="245" t="s">
        <v>21</v>
      </c>
      <c r="E2688" s="247">
        <v>17.5</v>
      </c>
      <c r="F2688" s="242" t="s">
        <v>507</v>
      </c>
      <c r="G2688" s="242">
        <v>3.9</v>
      </c>
      <c r="H2688" s="230">
        <f t="shared" si="52"/>
        <v>68.25</v>
      </c>
    </row>
    <row r="2689" spans="1:8" ht="12" customHeight="1" x14ac:dyDescent="0.25">
      <c r="A2689" s="244">
        <v>1991</v>
      </c>
      <c r="B2689" s="245" t="s">
        <v>19</v>
      </c>
      <c r="C2689" s="246" t="s">
        <v>34</v>
      </c>
      <c r="D2689" s="245" t="s">
        <v>41</v>
      </c>
      <c r="E2689" s="247">
        <v>21.5</v>
      </c>
      <c r="F2689" s="242" t="s">
        <v>508</v>
      </c>
      <c r="G2689" s="242">
        <v>3.8</v>
      </c>
      <c r="H2689" s="230">
        <f t="shared" si="52"/>
        <v>81.7</v>
      </c>
    </row>
    <row r="2690" spans="1:8" ht="12" customHeight="1" x14ac:dyDescent="0.25">
      <c r="A2690" s="244">
        <v>1990</v>
      </c>
      <c r="B2690" s="245" t="s">
        <v>19</v>
      </c>
      <c r="C2690" s="246" t="s">
        <v>20</v>
      </c>
      <c r="D2690" s="245" t="s">
        <v>30</v>
      </c>
      <c r="E2690" s="247">
        <v>9</v>
      </c>
      <c r="F2690" s="242" t="s">
        <v>504</v>
      </c>
      <c r="G2690" s="242">
        <v>4.5999999999999996</v>
      </c>
      <c r="H2690" s="230">
        <f t="shared" si="52"/>
        <v>41.4</v>
      </c>
    </row>
    <row r="2691" spans="1:8" ht="12" customHeight="1" x14ac:dyDescent="0.25">
      <c r="A2691" s="244">
        <v>1990</v>
      </c>
      <c r="B2691" s="245" t="s">
        <v>19</v>
      </c>
      <c r="C2691" s="246" t="s">
        <v>34</v>
      </c>
      <c r="D2691" s="245" t="s">
        <v>41</v>
      </c>
      <c r="E2691" s="247">
        <v>10</v>
      </c>
      <c r="F2691" s="242" t="s">
        <v>508</v>
      </c>
      <c r="G2691" s="242">
        <v>3.8</v>
      </c>
      <c r="H2691" s="230">
        <f>E2691*G2691</f>
        <v>38</v>
      </c>
    </row>
    <row r="2692" spans="1:8" ht="12" customHeight="1" x14ac:dyDescent="0.25">
      <c r="A2692" s="244">
        <v>1990</v>
      </c>
      <c r="B2692" s="245" t="s">
        <v>19</v>
      </c>
      <c r="C2692" s="246" t="s">
        <v>34</v>
      </c>
      <c r="D2692" s="245" t="s">
        <v>41</v>
      </c>
      <c r="E2692" s="247">
        <v>17.8</v>
      </c>
      <c r="F2692" s="242" t="s">
        <v>508</v>
      </c>
      <c r="G2692" s="242">
        <v>3.8</v>
      </c>
      <c r="H2692" s="230">
        <f>E2692*G2692</f>
        <v>67.64</v>
      </c>
    </row>
    <row r="2693" spans="1:8" ht="12" customHeight="1" x14ac:dyDescent="0.25">
      <c r="A2693" s="244">
        <v>1990</v>
      </c>
      <c r="B2693" s="245" t="s">
        <v>19</v>
      </c>
      <c r="C2693" s="246" t="s">
        <v>34</v>
      </c>
      <c r="D2693" s="245" t="s">
        <v>41</v>
      </c>
      <c r="E2693" s="247">
        <v>14.3</v>
      </c>
      <c r="F2693" s="242" t="s">
        <v>508</v>
      </c>
      <c r="G2693" s="242">
        <v>3.8</v>
      </c>
      <c r="H2693" s="230">
        <f>E2693*G2693</f>
        <v>54.34</v>
      </c>
    </row>
    <row r="2694" spans="1:8" ht="12" customHeight="1" x14ac:dyDescent="0.2"/>
    <row r="2695" spans="1:8" ht="12" customHeight="1" x14ac:dyDescent="0.2"/>
    <row r="2696" spans="1:8" ht="12" customHeight="1" x14ac:dyDescent="0.2"/>
    <row r="2697" spans="1:8" ht="12" customHeight="1" x14ac:dyDescent="0.2"/>
    <row r="2698" spans="1:8" ht="12" customHeight="1" x14ac:dyDescent="0.2"/>
    <row r="2699" spans="1:8" ht="12" customHeight="1" x14ac:dyDescent="0.2"/>
    <row r="2700" spans="1:8" ht="12" customHeight="1" x14ac:dyDescent="0.2"/>
    <row r="2701" spans="1:8" ht="12" customHeight="1" x14ac:dyDescent="0.2"/>
    <row r="2702" spans="1:8" ht="12" customHeight="1" x14ac:dyDescent="0.2"/>
    <row r="2703" spans="1:8" ht="12" customHeight="1" x14ac:dyDescent="0.2"/>
    <row r="2704" spans="1:8" ht="12" customHeight="1" x14ac:dyDescent="0.2"/>
    <row r="2705" ht="12" customHeight="1" x14ac:dyDescent="0.2"/>
    <row r="2706" ht="12" customHeight="1" x14ac:dyDescent="0.2"/>
    <row r="2707" ht="12" customHeight="1" x14ac:dyDescent="0.2"/>
    <row r="2708" ht="12" customHeight="1" x14ac:dyDescent="0.2"/>
    <row r="2709" ht="12" customHeight="1" x14ac:dyDescent="0.2"/>
    <row r="2710" ht="12" customHeight="1" x14ac:dyDescent="0.2"/>
  </sheetData>
  <autoFilter ref="A1:F2716">
    <sortState ref="A2:F2880">
      <sortCondition descending="1" ref="A1:A2880"/>
    </sortState>
  </autoFilter>
  <sortState ref="J68:L85">
    <sortCondition descending="1" ref="J68"/>
  </sortState>
  <mergeCells count="3">
    <mergeCell ref="J1:V1"/>
    <mergeCell ref="M148:P148"/>
    <mergeCell ref="R148:T148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"/>
  <sheetViews>
    <sheetView topLeftCell="G1" zoomScale="75" zoomScaleNormal="75" zoomScalePageLayoutView="75" workbookViewId="0">
      <selection activeCell="U24" sqref="U24"/>
    </sheetView>
  </sheetViews>
  <sheetFormatPr defaultColWidth="11" defaultRowHeight="15.75" x14ac:dyDescent="0.25"/>
  <cols>
    <col min="1" max="5" width="11" style="320"/>
    <col min="6" max="6" width="13" style="320" customWidth="1"/>
    <col min="7" max="22" width="11" style="320"/>
    <col min="23" max="23" width="32" style="320" customWidth="1"/>
    <col min="24" max="16384" width="11" style="320"/>
  </cols>
  <sheetData>
    <row r="1" spans="1:25" x14ac:dyDescent="0.25">
      <c r="V1" s="331" t="s">
        <v>243</v>
      </c>
      <c r="W1" s="331" t="s">
        <v>549</v>
      </c>
      <c r="X1" s="331" t="s">
        <v>548</v>
      </c>
      <c r="Y1" s="331" t="s">
        <v>547</v>
      </c>
    </row>
    <row r="2" spans="1:25" x14ac:dyDescent="0.25">
      <c r="V2" s="331">
        <v>1991</v>
      </c>
      <c r="W2" s="331"/>
      <c r="X2" s="331">
        <v>209</v>
      </c>
      <c r="Y2" s="324" t="s">
        <v>541</v>
      </c>
    </row>
    <row r="3" spans="1:25" x14ac:dyDescent="0.25">
      <c r="A3" s="323" t="s">
        <v>243</v>
      </c>
      <c r="B3" s="323" t="s">
        <v>546</v>
      </c>
      <c r="C3" s="323" t="s">
        <v>544</v>
      </c>
      <c r="D3" s="323" t="s">
        <v>543</v>
      </c>
      <c r="E3" s="323" t="s">
        <v>243</v>
      </c>
      <c r="F3" s="323" t="s">
        <v>546</v>
      </c>
      <c r="G3" s="323" t="s">
        <v>544</v>
      </c>
      <c r="H3" s="323" t="s">
        <v>543</v>
      </c>
      <c r="I3" s="323" t="s">
        <v>542</v>
      </c>
      <c r="J3" s="323" t="s">
        <v>243</v>
      </c>
      <c r="K3" s="323" t="s">
        <v>545</v>
      </c>
      <c r="L3" s="323" t="s">
        <v>544</v>
      </c>
      <c r="M3" s="323" t="s">
        <v>543</v>
      </c>
      <c r="N3" s="323" t="s">
        <v>542</v>
      </c>
      <c r="O3" s="323" t="s">
        <v>243</v>
      </c>
      <c r="P3" s="323" t="s">
        <v>545</v>
      </c>
      <c r="Q3" s="323" t="s">
        <v>544</v>
      </c>
      <c r="R3" s="323" t="s">
        <v>543</v>
      </c>
      <c r="S3" s="323" t="s">
        <v>542</v>
      </c>
      <c r="T3" s="323"/>
      <c r="U3" s="323"/>
      <c r="V3" s="331">
        <v>1992</v>
      </c>
      <c r="W3" s="331"/>
      <c r="X3" s="331">
        <v>205</v>
      </c>
      <c r="Y3" s="324" t="s">
        <v>541</v>
      </c>
    </row>
    <row r="4" spans="1:25" x14ac:dyDescent="0.25">
      <c r="A4" s="322">
        <v>2017</v>
      </c>
      <c r="B4" s="322">
        <v>940.4</v>
      </c>
      <c r="C4" s="322">
        <v>49.51</v>
      </c>
      <c r="D4" s="322">
        <v>216</v>
      </c>
      <c r="E4" s="322">
        <v>2017</v>
      </c>
      <c r="F4" s="322">
        <v>940.4</v>
      </c>
      <c r="G4" s="322">
        <v>49.51</v>
      </c>
      <c r="H4" s="322">
        <v>216</v>
      </c>
      <c r="I4" s="322">
        <v>217</v>
      </c>
      <c r="J4" s="322">
        <v>2017</v>
      </c>
      <c r="K4" s="322">
        <v>170.65</v>
      </c>
      <c r="L4" s="322">
        <v>49.51</v>
      </c>
      <c r="M4" s="322">
        <v>216</v>
      </c>
      <c r="N4" s="322">
        <v>217</v>
      </c>
      <c r="O4" s="322">
        <v>2017</v>
      </c>
      <c r="P4" s="322">
        <v>170.65</v>
      </c>
      <c r="Q4" s="322">
        <v>49.51</v>
      </c>
      <c r="R4" s="322">
        <v>216</v>
      </c>
      <c r="S4" s="322">
        <v>217</v>
      </c>
      <c r="T4" s="322"/>
      <c r="U4" s="322"/>
      <c r="V4" s="331">
        <v>1993</v>
      </c>
      <c r="W4" s="331"/>
      <c r="X4" s="331">
        <v>198</v>
      </c>
      <c r="Y4" s="324" t="s">
        <v>541</v>
      </c>
    </row>
    <row r="5" spans="1:25" x14ac:dyDescent="0.25">
      <c r="A5" s="322">
        <v>2016</v>
      </c>
      <c r="B5" s="322">
        <v>908.22</v>
      </c>
      <c r="C5" s="322">
        <v>22.22</v>
      </c>
      <c r="E5" s="322">
        <v>2014</v>
      </c>
      <c r="F5" s="322">
        <v>934.66</v>
      </c>
      <c r="G5" s="322">
        <v>8.89</v>
      </c>
      <c r="H5" s="322">
        <v>188</v>
      </c>
      <c r="I5" s="322">
        <v>197</v>
      </c>
      <c r="J5" s="322">
        <v>2016</v>
      </c>
      <c r="K5" s="322">
        <v>145.9</v>
      </c>
      <c r="L5" s="322">
        <v>22.22</v>
      </c>
      <c r="O5" s="322">
        <v>2014</v>
      </c>
      <c r="P5" s="322">
        <v>216.4</v>
      </c>
      <c r="Q5" s="322">
        <v>8.89</v>
      </c>
      <c r="R5" s="322">
        <v>188</v>
      </c>
      <c r="S5" s="322">
        <v>197</v>
      </c>
      <c r="T5" s="322"/>
      <c r="U5" s="322"/>
      <c r="V5" s="324">
        <v>2003</v>
      </c>
      <c r="W5" s="325">
        <v>207</v>
      </c>
      <c r="X5" s="330">
        <v>196</v>
      </c>
      <c r="Y5" s="324" t="s">
        <v>532</v>
      </c>
    </row>
    <row r="6" spans="1:25" x14ac:dyDescent="0.25">
      <c r="A6" s="322">
        <v>2014</v>
      </c>
      <c r="B6" s="322">
        <v>934.66</v>
      </c>
      <c r="C6" s="322">
        <v>8.89</v>
      </c>
      <c r="D6" s="322">
        <v>188</v>
      </c>
      <c r="E6" s="322">
        <v>2013</v>
      </c>
      <c r="F6" s="322">
        <v>920.63</v>
      </c>
      <c r="G6" s="322">
        <v>24.29</v>
      </c>
      <c r="H6" s="322">
        <v>184</v>
      </c>
      <c r="I6" s="322">
        <v>196</v>
      </c>
      <c r="J6" s="322">
        <v>2014</v>
      </c>
      <c r="K6" s="322">
        <v>216.4</v>
      </c>
      <c r="L6" s="322">
        <v>8.89</v>
      </c>
      <c r="M6" s="322">
        <v>188</v>
      </c>
      <c r="N6" s="322">
        <v>197</v>
      </c>
      <c r="O6" s="322">
        <v>2013</v>
      </c>
      <c r="P6" s="322">
        <v>166.2</v>
      </c>
      <c r="Q6" s="322">
        <v>24.29</v>
      </c>
      <c r="R6" s="322">
        <v>184</v>
      </c>
      <c r="S6" s="322">
        <v>196</v>
      </c>
      <c r="T6" s="322"/>
      <c r="U6" s="322"/>
      <c r="V6" s="324">
        <v>2004</v>
      </c>
      <c r="W6" s="325">
        <v>204</v>
      </c>
      <c r="X6" s="325">
        <v>191</v>
      </c>
      <c r="Y6" s="324" t="s">
        <v>532</v>
      </c>
    </row>
    <row r="7" spans="1:25" x14ac:dyDescent="0.25">
      <c r="A7" s="322">
        <v>2013</v>
      </c>
      <c r="B7" s="322">
        <v>920.63</v>
      </c>
      <c r="C7" s="322">
        <v>24.29</v>
      </c>
      <c r="D7" s="322">
        <v>184</v>
      </c>
      <c r="E7" s="320">
        <v>2012</v>
      </c>
      <c r="F7" s="320">
        <v>927.3</v>
      </c>
      <c r="G7" s="320">
        <v>33.65</v>
      </c>
      <c r="I7" s="320">
        <v>195</v>
      </c>
      <c r="J7" s="322">
        <v>2013</v>
      </c>
      <c r="K7" s="322">
        <v>166.2</v>
      </c>
      <c r="L7" s="322">
        <v>24.29</v>
      </c>
      <c r="M7" s="322">
        <v>184</v>
      </c>
      <c r="N7" s="322">
        <v>196</v>
      </c>
      <c r="O7" s="322">
        <v>2012</v>
      </c>
      <c r="P7" s="322">
        <v>221.9</v>
      </c>
      <c r="Q7" s="322">
        <v>33.65</v>
      </c>
      <c r="R7" s="322"/>
      <c r="S7" s="322">
        <v>195</v>
      </c>
      <c r="T7" s="322"/>
      <c r="U7" s="322"/>
      <c r="V7" s="324">
        <v>2005</v>
      </c>
      <c r="W7" s="325">
        <v>194</v>
      </c>
      <c r="X7" s="325">
        <v>184</v>
      </c>
      <c r="Y7" s="324" t="s">
        <v>532</v>
      </c>
    </row>
    <row r="8" spans="1:25" x14ac:dyDescent="0.25">
      <c r="A8" s="322">
        <v>2012</v>
      </c>
      <c r="B8" s="322">
        <v>927.3</v>
      </c>
      <c r="C8" s="322">
        <v>33.65</v>
      </c>
      <c r="E8" s="322">
        <v>2011</v>
      </c>
      <c r="F8" s="322">
        <v>936.19</v>
      </c>
      <c r="G8" s="322">
        <v>51.11</v>
      </c>
      <c r="H8" s="322">
        <v>188</v>
      </c>
      <c r="I8" s="322">
        <v>195</v>
      </c>
      <c r="J8" s="322">
        <v>2012</v>
      </c>
      <c r="K8" s="322">
        <v>221.9</v>
      </c>
      <c r="L8" s="322">
        <v>33.65</v>
      </c>
      <c r="N8" s="322">
        <v>195</v>
      </c>
      <c r="O8" s="322">
        <v>2010</v>
      </c>
      <c r="P8" s="322">
        <v>156.1</v>
      </c>
      <c r="Q8" s="322">
        <v>88.89</v>
      </c>
      <c r="R8" s="322">
        <v>194</v>
      </c>
      <c r="S8" s="322">
        <v>200</v>
      </c>
      <c r="U8" s="322"/>
      <c r="V8" s="324">
        <v>2006</v>
      </c>
      <c r="W8" s="325">
        <v>190</v>
      </c>
      <c r="X8" s="327" t="s">
        <v>539</v>
      </c>
      <c r="Y8" s="324" t="s">
        <v>532</v>
      </c>
    </row>
    <row r="9" spans="1:25" x14ac:dyDescent="0.25">
      <c r="A9" s="322">
        <v>2011</v>
      </c>
      <c r="B9" s="322">
        <v>936.19</v>
      </c>
      <c r="C9" s="322">
        <v>51.68</v>
      </c>
      <c r="D9" s="322">
        <v>188</v>
      </c>
      <c r="E9" s="322">
        <v>2010</v>
      </c>
      <c r="F9" s="322">
        <v>934.4</v>
      </c>
      <c r="G9" s="322">
        <v>88.89</v>
      </c>
      <c r="H9" s="322">
        <v>194</v>
      </c>
      <c r="I9" s="322">
        <v>200</v>
      </c>
      <c r="J9" s="322">
        <v>2010</v>
      </c>
      <c r="K9" s="322">
        <v>156.1</v>
      </c>
      <c r="L9" s="322">
        <v>88.89</v>
      </c>
      <c r="M9" s="322">
        <v>194</v>
      </c>
      <c r="N9" s="322">
        <v>200</v>
      </c>
      <c r="O9" s="322">
        <v>2009</v>
      </c>
      <c r="P9" s="322">
        <v>189.5</v>
      </c>
      <c r="Q9" s="322">
        <v>72.41</v>
      </c>
      <c r="R9" s="322">
        <v>205</v>
      </c>
      <c r="S9" s="322"/>
      <c r="T9" s="322"/>
      <c r="U9" s="322"/>
      <c r="V9" s="324">
        <v>2007</v>
      </c>
      <c r="W9" s="325">
        <v>203</v>
      </c>
      <c r="X9" s="329">
        <v>196</v>
      </c>
      <c r="Y9" s="324" t="s">
        <v>532</v>
      </c>
    </row>
    <row r="10" spans="1:25" x14ac:dyDescent="0.25">
      <c r="A10" s="322">
        <v>2010</v>
      </c>
      <c r="B10" s="322">
        <v>934.4</v>
      </c>
      <c r="C10" s="322">
        <v>88.89</v>
      </c>
      <c r="D10" s="322">
        <v>194</v>
      </c>
      <c r="E10" s="322">
        <v>2009</v>
      </c>
      <c r="F10" s="322">
        <v>937.49</v>
      </c>
      <c r="G10" s="322">
        <v>72.41</v>
      </c>
      <c r="H10" s="322">
        <v>205</v>
      </c>
      <c r="J10" s="322">
        <v>2009</v>
      </c>
      <c r="K10" s="322">
        <v>189.5</v>
      </c>
      <c r="L10" s="322">
        <v>72.41</v>
      </c>
      <c r="M10" s="322">
        <v>205</v>
      </c>
      <c r="N10" s="322"/>
      <c r="O10" s="322">
        <v>2005</v>
      </c>
      <c r="P10" s="322">
        <v>197.9</v>
      </c>
      <c r="Q10" s="322">
        <v>4.8099999999999996</v>
      </c>
      <c r="R10" s="322">
        <v>184</v>
      </c>
      <c r="S10" s="322">
        <v>194</v>
      </c>
      <c r="T10" s="322"/>
      <c r="U10" s="322"/>
      <c r="V10" s="324">
        <v>2008</v>
      </c>
      <c r="W10" s="325">
        <v>205</v>
      </c>
      <c r="X10" s="327" t="s">
        <v>539</v>
      </c>
      <c r="Y10" s="324" t="s">
        <v>532</v>
      </c>
    </row>
    <row r="11" spans="1:25" x14ac:dyDescent="0.25">
      <c r="A11" s="322">
        <v>2009</v>
      </c>
      <c r="B11" s="322">
        <v>937.49</v>
      </c>
      <c r="C11" s="322">
        <v>72.41</v>
      </c>
      <c r="D11" s="322">
        <v>205</v>
      </c>
      <c r="E11" s="322">
        <v>2007</v>
      </c>
      <c r="F11" s="322">
        <v>922.19</v>
      </c>
      <c r="G11" s="322">
        <v>32.89</v>
      </c>
      <c r="H11" s="322">
        <v>196</v>
      </c>
      <c r="I11" s="322">
        <v>203</v>
      </c>
      <c r="J11" s="322">
        <v>2005</v>
      </c>
      <c r="K11" s="322">
        <v>197.9</v>
      </c>
      <c r="L11" s="322">
        <v>4.8099999999999996</v>
      </c>
      <c r="M11" s="322">
        <v>184</v>
      </c>
      <c r="N11" s="322">
        <v>194</v>
      </c>
      <c r="O11" s="322">
        <v>2004</v>
      </c>
      <c r="P11" s="322">
        <v>216.1</v>
      </c>
      <c r="Q11" s="322">
        <v>39.24</v>
      </c>
      <c r="R11" s="322">
        <v>191</v>
      </c>
      <c r="S11" s="322">
        <v>204</v>
      </c>
      <c r="T11" s="322"/>
      <c r="U11" s="322"/>
      <c r="V11" s="324">
        <v>2009</v>
      </c>
      <c r="W11" s="328" t="s">
        <v>540</v>
      </c>
      <c r="X11" s="325">
        <v>205</v>
      </c>
      <c r="Y11" s="324" t="s">
        <v>532</v>
      </c>
    </row>
    <row r="12" spans="1:25" x14ac:dyDescent="0.25">
      <c r="A12" s="322">
        <v>2008</v>
      </c>
      <c r="B12" s="322">
        <v>928.28</v>
      </c>
      <c r="C12" s="322">
        <v>39.6</v>
      </c>
      <c r="E12" s="322">
        <v>2005</v>
      </c>
      <c r="F12" s="322">
        <v>940.8</v>
      </c>
      <c r="G12" s="322">
        <v>4.8099999999999996</v>
      </c>
      <c r="H12" s="322">
        <v>184</v>
      </c>
      <c r="I12" s="322">
        <v>194</v>
      </c>
      <c r="J12" s="322">
        <v>2004</v>
      </c>
      <c r="K12" s="322">
        <v>216.1</v>
      </c>
      <c r="L12" s="322">
        <v>39.24</v>
      </c>
      <c r="M12" s="322">
        <v>191</v>
      </c>
      <c r="N12" s="322">
        <v>204</v>
      </c>
      <c r="O12" s="322">
        <v>2003</v>
      </c>
      <c r="P12" s="322">
        <v>198.6</v>
      </c>
      <c r="Q12" s="322">
        <v>79.45</v>
      </c>
      <c r="R12" s="322">
        <v>196</v>
      </c>
      <c r="S12" s="322">
        <v>207</v>
      </c>
      <c r="T12" s="322"/>
      <c r="U12" s="322"/>
      <c r="V12" s="324">
        <v>2010</v>
      </c>
      <c r="W12" s="325">
        <v>200</v>
      </c>
      <c r="X12" s="325">
        <v>194</v>
      </c>
      <c r="Y12" s="324" t="s">
        <v>532</v>
      </c>
    </row>
    <row r="13" spans="1:25" x14ac:dyDescent="0.25">
      <c r="A13" s="322">
        <v>2007</v>
      </c>
      <c r="B13" s="322">
        <v>922.19</v>
      </c>
      <c r="C13" s="322">
        <v>32.89</v>
      </c>
      <c r="D13" s="322">
        <v>196</v>
      </c>
      <c r="H13" s="322"/>
      <c r="I13" s="322"/>
      <c r="J13" s="322">
        <v>2003</v>
      </c>
      <c r="K13" s="322">
        <v>198.6</v>
      </c>
      <c r="L13" s="322">
        <v>79.45</v>
      </c>
      <c r="M13" s="322">
        <v>196</v>
      </c>
      <c r="N13" s="322">
        <v>207</v>
      </c>
      <c r="T13" s="322"/>
      <c r="V13" s="324">
        <v>2011</v>
      </c>
      <c r="W13" s="325">
        <v>195</v>
      </c>
      <c r="X13" s="324">
        <v>188</v>
      </c>
      <c r="Y13" s="324" t="s">
        <v>532</v>
      </c>
    </row>
    <row r="14" spans="1:25" x14ac:dyDescent="0.25">
      <c r="A14" s="322">
        <v>2005</v>
      </c>
      <c r="B14" s="322">
        <v>940.8</v>
      </c>
      <c r="C14" s="322">
        <v>4.8099999999999996</v>
      </c>
      <c r="D14" s="322">
        <v>184</v>
      </c>
      <c r="H14" s="322"/>
      <c r="I14" s="322"/>
      <c r="J14" s="322">
        <v>2002</v>
      </c>
      <c r="K14" s="322">
        <v>179.5</v>
      </c>
      <c r="L14" s="322">
        <v>57.47</v>
      </c>
      <c r="U14" s="322">
        <v>217</v>
      </c>
      <c r="V14" s="324">
        <v>2012</v>
      </c>
      <c r="W14" s="325">
        <v>195</v>
      </c>
      <c r="X14" s="327" t="s">
        <v>539</v>
      </c>
      <c r="Y14" s="324" t="s">
        <v>532</v>
      </c>
    </row>
    <row r="15" spans="1:25" x14ac:dyDescent="0.25">
      <c r="D15" s="323"/>
      <c r="H15" s="322">
        <v>940.4</v>
      </c>
      <c r="I15" s="322">
        <v>217</v>
      </c>
      <c r="J15" s="322">
        <v>2001</v>
      </c>
      <c r="K15" s="322">
        <v>196.9</v>
      </c>
      <c r="L15" s="322">
        <v>18.100000000000001</v>
      </c>
      <c r="R15" s="322">
        <v>170.65</v>
      </c>
      <c r="S15" s="322">
        <v>217</v>
      </c>
      <c r="T15" s="322">
        <v>49.51</v>
      </c>
      <c r="U15" s="322">
        <v>197</v>
      </c>
      <c r="V15" s="324">
        <v>2013</v>
      </c>
      <c r="W15" s="325">
        <v>196</v>
      </c>
      <c r="X15" s="324">
        <v>184</v>
      </c>
      <c r="Y15" s="324" t="s">
        <v>532</v>
      </c>
    </row>
    <row r="16" spans="1:25" x14ac:dyDescent="0.25">
      <c r="A16" s="322" t="s">
        <v>559</v>
      </c>
      <c r="C16" s="322">
        <f>CORREL(C4:C14,B4:B14)</f>
        <v>0.27997384008941667</v>
      </c>
      <c r="D16" s="323"/>
      <c r="H16" s="322">
        <v>934.66</v>
      </c>
      <c r="I16" s="322">
        <v>197</v>
      </c>
      <c r="J16" s="322">
        <v>2000</v>
      </c>
      <c r="K16" s="322">
        <v>191.6</v>
      </c>
      <c r="L16" s="322">
        <v>6.67</v>
      </c>
      <c r="O16" s="322"/>
      <c r="P16" s="322"/>
      <c r="Q16" s="322"/>
      <c r="R16" s="322">
        <v>216.4</v>
      </c>
      <c r="S16" s="322">
        <v>197</v>
      </c>
      <c r="T16" s="322">
        <v>8.89</v>
      </c>
      <c r="U16" s="322">
        <v>196</v>
      </c>
      <c r="V16" s="324">
        <v>2014</v>
      </c>
      <c r="W16" s="325">
        <v>197</v>
      </c>
      <c r="X16" s="324">
        <v>188</v>
      </c>
      <c r="Y16" s="324" t="s">
        <v>532</v>
      </c>
    </row>
    <row r="17" spans="1:25" x14ac:dyDescent="0.25">
      <c r="D17" s="323"/>
      <c r="E17" s="320" t="s">
        <v>558</v>
      </c>
      <c r="H17" s="322">
        <v>920.63</v>
      </c>
      <c r="I17" s="322">
        <v>196</v>
      </c>
      <c r="J17" s="323" t="s">
        <v>537</v>
      </c>
      <c r="L17" s="323">
        <f>CORREL(L4:L16,K4:K16)</f>
        <v>-0.25909318963848743</v>
      </c>
      <c r="M17" s="323"/>
      <c r="N17" s="320" t="s">
        <v>557</v>
      </c>
      <c r="O17" s="322"/>
      <c r="P17" s="322"/>
      <c r="Q17" s="322"/>
      <c r="R17" s="322">
        <v>166.2</v>
      </c>
      <c r="S17" s="322">
        <v>196</v>
      </c>
      <c r="T17" s="322">
        <v>24.29</v>
      </c>
      <c r="U17" s="322">
        <v>195</v>
      </c>
      <c r="V17" s="324">
        <v>2015</v>
      </c>
      <c r="W17" s="325">
        <v>201</v>
      </c>
      <c r="X17" s="324">
        <v>203</v>
      </c>
      <c r="Y17" s="324" t="s">
        <v>532</v>
      </c>
    </row>
    <row r="18" spans="1:25" x14ac:dyDescent="0.25">
      <c r="B18" s="322"/>
      <c r="C18" s="322"/>
      <c r="E18" s="322" t="s">
        <v>538</v>
      </c>
      <c r="F18" s="323"/>
      <c r="G18" s="323">
        <f>CORREL(H15:H22,I15:I22)</f>
        <v>0.2419139876950393</v>
      </c>
      <c r="H18" s="320">
        <v>927.3</v>
      </c>
      <c r="I18" s="320">
        <v>195</v>
      </c>
      <c r="J18" s="323"/>
      <c r="N18" s="322" t="s">
        <v>556</v>
      </c>
      <c r="P18" s="322">
        <f>CORREL(R15:R22,S15:S22)</f>
        <v>-0.27606035246125582</v>
      </c>
      <c r="Q18" s="322"/>
      <c r="R18" s="322">
        <v>221.9</v>
      </c>
      <c r="S18" s="322">
        <v>195</v>
      </c>
      <c r="T18" s="322">
        <v>33.65</v>
      </c>
      <c r="U18" s="322">
        <v>200</v>
      </c>
      <c r="V18" s="324">
        <v>2016</v>
      </c>
      <c r="W18" s="326" t="s">
        <v>534</v>
      </c>
      <c r="X18" s="326" t="s">
        <v>534</v>
      </c>
      <c r="Y18" s="324" t="s">
        <v>532</v>
      </c>
    </row>
    <row r="19" spans="1:25" x14ac:dyDescent="0.25">
      <c r="B19" s="322"/>
      <c r="C19" s="322"/>
      <c r="E19" s="322" t="s">
        <v>535</v>
      </c>
      <c r="G19" s="323">
        <f>CORREL(J19:J26,K19:K26)</f>
        <v>0.33926393029981206</v>
      </c>
      <c r="H19" s="322">
        <v>936.19</v>
      </c>
      <c r="I19" s="322">
        <v>195</v>
      </c>
      <c r="J19" s="322">
        <v>940.4</v>
      </c>
      <c r="K19" s="322">
        <v>216</v>
      </c>
      <c r="N19" s="323" t="s">
        <v>535</v>
      </c>
      <c r="P19" s="323">
        <f>CORREL(P4:P12,R4:R12)</f>
        <v>-0.27766695482761522</v>
      </c>
      <c r="Q19" s="323"/>
      <c r="R19" s="322">
        <v>156.1</v>
      </c>
      <c r="S19" s="322">
        <v>200</v>
      </c>
      <c r="T19" s="322">
        <v>88.89</v>
      </c>
      <c r="U19" s="322">
        <v>194</v>
      </c>
      <c r="V19" s="324">
        <v>2017</v>
      </c>
      <c r="W19" s="325">
        <v>217</v>
      </c>
      <c r="X19" s="324">
        <v>216</v>
      </c>
      <c r="Y19" s="324" t="s">
        <v>532</v>
      </c>
    </row>
    <row r="20" spans="1:25" x14ac:dyDescent="0.25">
      <c r="B20" s="322"/>
      <c r="C20" s="322"/>
      <c r="E20" s="322" t="s">
        <v>533</v>
      </c>
      <c r="F20" s="323"/>
      <c r="G20" s="323">
        <f>CORREL(M80:M87,N80:N87)</f>
        <v>0.50391158529374902</v>
      </c>
      <c r="H20" s="322">
        <v>934.4</v>
      </c>
      <c r="I20" s="322">
        <v>200</v>
      </c>
      <c r="J20" s="322">
        <v>934.66</v>
      </c>
      <c r="K20" s="322">
        <v>188</v>
      </c>
      <c r="N20" s="323" t="s">
        <v>533</v>
      </c>
      <c r="P20" s="320">
        <f>CORREL(Q4:Q12,R4:R12)</f>
        <v>0.52630695620823031</v>
      </c>
      <c r="R20" s="322">
        <v>197.9</v>
      </c>
      <c r="S20" s="322">
        <v>194</v>
      </c>
      <c r="T20" s="322">
        <v>4.8099999999999996</v>
      </c>
      <c r="U20" s="322">
        <v>204</v>
      </c>
    </row>
    <row r="21" spans="1:25" x14ac:dyDescent="0.25">
      <c r="B21" s="322"/>
      <c r="C21" s="322"/>
      <c r="E21" s="320" t="s">
        <v>536</v>
      </c>
      <c r="G21" s="320">
        <f>CORREL(M95:M103,N95:N103)</f>
        <v>0.32639174116165698</v>
      </c>
      <c r="H21" s="322">
        <v>922.19</v>
      </c>
      <c r="I21" s="322">
        <v>203</v>
      </c>
      <c r="J21" s="322">
        <v>920.63</v>
      </c>
      <c r="K21" s="322">
        <v>184</v>
      </c>
      <c r="L21" s="321"/>
      <c r="N21" s="323" t="s">
        <v>531</v>
      </c>
      <c r="P21" s="320">
        <f>CORREL(T15:T22,U14:U21)</f>
        <v>0.49286246411124846</v>
      </c>
      <c r="R21" s="322">
        <v>216.1</v>
      </c>
      <c r="S21" s="322">
        <v>204</v>
      </c>
      <c r="T21" s="322">
        <v>39.24</v>
      </c>
      <c r="U21" s="322">
        <v>207</v>
      </c>
    </row>
    <row r="22" spans="1:25" x14ac:dyDescent="0.25">
      <c r="B22" s="322"/>
      <c r="C22" s="322"/>
      <c r="H22" s="322">
        <v>940.8</v>
      </c>
      <c r="I22" s="322">
        <v>194</v>
      </c>
      <c r="J22" s="322">
        <v>936.19</v>
      </c>
      <c r="K22" s="322">
        <v>188</v>
      </c>
      <c r="L22" s="321"/>
      <c r="R22" s="322">
        <v>198.6</v>
      </c>
      <c r="S22" s="322">
        <v>207</v>
      </c>
      <c r="T22" s="322">
        <v>79.45</v>
      </c>
    </row>
    <row r="23" spans="1:25" x14ac:dyDescent="0.25">
      <c r="B23" s="322"/>
      <c r="C23" s="322"/>
      <c r="J23" s="322">
        <v>934.4</v>
      </c>
      <c r="K23" s="322">
        <v>194</v>
      </c>
      <c r="L23" s="321"/>
      <c r="W23" s="322">
        <v>170.65</v>
      </c>
      <c r="X23" s="322">
        <v>216</v>
      </c>
    </row>
    <row r="24" spans="1:25" x14ac:dyDescent="0.25">
      <c r="B24" s="322"/>
      <c r="C24" s="322"/>
      <c r="J24" s="322">
        <v>937.49</v>
      </c>
      <c r="K24" s="322">
        <v>205</v>
      </c>
      <c r="L24" s="321"/>
      <c r="W24" s="322">
        <v>216.4</v>
      </c>
      <c r="X24" s="322">
        <v>188</v>
      </c>
    </row>
    <row r="25" spans="1:25" x14ac:dyDescent="0.25">
      <c r="J25" s="322">
        <v>922.19</v>
      </c>
      <c r="K25" s="322">
        <v>196</v>
      </c>
      <c r="W25" s="322">
        <v>166.2</v>
      </c>
      <c r="X25" s="322">
        <v>184</v>
      </c>
    </row>
    <row r="26" spans="1:25" x14ac:dyDescent="0.25">
      <c r="A26" s="321"/>
      <c r="B26" s="321"/>
      <c r="J26" s="322">
        <v>940.8</v>
      </c>
      <c r="K26" s="322">
        <v>184</v>
      </c>
      <c r="W26" s="322">
        <v>156.1</v>
      </c>
      <c r="X26" s="322">
        <v>194</v>
      </c>
    </row>
    <row r="27" spans="1:25" x14ac:dyDescent="0.25">
      <c r="A27" s="321"/>
      <c r="B27" s="321"/>
      <c r="W27" s="322">
        <v>189.5</v>
      </c>
      <c r="X27" s="322">
        <v>205</v>
      </c>
    </row>
    <row r="28" spans="1:25" x14ac:dyDescent="0.25">
      <c r="A28" s="321"/>
      <c r="B28" s="321"/>
      <c r="W28" s="322">
        <v>197.9</v>
      </c>
      <c r="X28" s="322">
        <v>184</v>
      </c>
    </row>
    <row r="29" spans="1:25" x14ac:dyDescent="0.25">
      <c r="A29" s="321"/>
      <c r="B29" s="321"/>
      <c r="W29" s="322">
        <v>216.1</v>
      </c>
      <c r="X29" s="322">
        <v>191</v>
      </c>
    </row>
    <row r="30" spans="1:25" x14ac:dyDescent="0.25">
      <c r="A30" s="321"/>
      <c r="B30" s="321"/>
      <c r="W30" s="322">
        <v>198.6</v>
      </c>
      <c r="X30" s="322">
        <v>196</v>
      </c>
    </row>
    <row r="33" spans="23:23" x14ac:dyDescent="0.25">
      <c r="W33" s="322"/>
    </row>
    <row r="34" spans="23:23" x14ac:dyDescent="0.25">
      <c r="W34" s="322"/>
    </row>
    <row r="35" spans="23:23" x14ac:dyDescent="0.25">
      <c r="W35" s="322"/>
    </row>
    <row r="79" spans="12:19" x14ac:dyDescent="0.25">
      <c r="L79" s="320" t="s">
        <v>243</v>
      </c>
      <c r="M79" s="320" t="s">
        <v>560</v>
      </c>
      <c r="N79" s="320" t="s">
        <v>561</v>
      </c>
      <c r="Q79" s="320" t="s">
        <v>563</v>
      </c>
    </row>
    <row r="80" spans="12:19" x14ac:dyDescent="0.25">
      <c r="L80" s="320">
        <v>2017</v>
      </c>
      <c r="M80" s="322">
        <v>49.51</v>
      </c>
      <c r="N80" s="322">
        <v>216</v>
      </c>
      <c r="P80" s="334"/>
      <c r="Q80" s="334"/>
      <c r="R80" s="334"/>
      <c r="S80" s="334"/>
    </row>
    <row r="81" spans="12:19" x14ac:dyDescent="0.25">
      <c r="L81" s="320">
        <v>2014</v>
      </c>
      <c r="M81" s="322">
        <v>8.89</v>
      </c>
      <c r="N81" s="322">
        <v>188</v>
      </c>
      <c r="P81" s="334"/>
      <c r="Q81" s="334"/>
      <c r="R81" s="334"/>
      <c r="S81" s="335"/>
    </row>
    <row r="82" spans="12:19" x14ac:dyDescent="0.25">
      <c r="L82" s="320">
        <v>2013</v>
      </c>
      <c r="M82" s="322">
        <v>24.29</v>
      </c>
      <c r="N82" s="322">
        <v>184</v>
      </c>
      <c r="P82" s="334"/>
      <c r="Q82" s="334"/>
      <c r="R82" s="334"/>
      <c r="S82" s="334"/>
    </row>
    <row r="83" spans="12:19" x14ac:dyDescent="0.25">
      <c r="L83" s="320">
        <v>2011</v>
      </c>
      <c r="M83" s="322">
        <v>51.68</v>
      </c>
      <c r="N83" s="322">
        <v>188</v>
      </c>
      <c r="P83" s="334"/>
      <c r="Q83" s="334"/>
      <c r="R83" s="334"/>
      <c r="S83" s="334"/>
    </row>
    <row r="84" spans="12:19" x14ac:dyDescent="0.25">
      <c r="L84" s="320">
        <v>2010</v>
      </c>
      <c r="M84" s="322">
        <v>88.89</v>
      </c>
      <c r="N84" s="322">
        <v>194</v>
      </c>
      <c r="P84" s="320" t="s">
        <v>243</v>
      </c>
      <c r="Q84" s="320" t="s">
        <v>560</v>
      </c>
      <c r="R84" s="320" t="s">
        <v>564</v>
      </c>
      <c r="S84" s="320" t="s">
        <v>565</v>
      </c>
    </row>
    <row r="85" spans="12:19" x14ac:dyDescent="0.25">
      <c r="L85" s="320">
        <v>2009</v>
      </c>
      <c r="M85" s="322">
        <v>72.41</v>
      </c>
      <c r="N85" s="322">
        <v>205</v>
      </c>
      <c r="P85" s="334">
        <v>2017</v>
      </c>
      <c r="Q85" s="334">
        <v>49.51</v>
      </c>
      <c r="R85" s="334">
        <v>216</v>
      </c>
      <c r="S85" s="320">
        <v>217</v>
      </c>
    </row>
    <row r="86" spans="12:19" x14ac:dyDescent="0.25">
      <c r="L86" s="320">
        <v>2007</v>
      </c>
      <c r="M86" s="322">
        <v>32.89</v>
      </c>
      <c r="N86" s="322">
        <v>196</v>
      </c>
      <c r="P86" s="334">
        <v>2016</v>
      </c>
      <c r="Q86" s="334">
        <v>22.22</v>
      </c>
      <c r="R86" s="335"/>
    </row>
    <row r="87" spans="12:19" x14ac:dyDescent="0.25">
      <c r="L87" s="320">
        <v>2005</v>
      </c>
      <c r="M87" s="322">
        <v>4.8099999999999996</v>
      </c>
      <c r="N87" s="322">
        <v>184</v>
      </c>
      <c r="P87" s="334">
        <v>2014</v>
      </c>
      <c r="Q87" s="334">
        <v>8.89</v>
      </c>
      <c r="R87" s="334">
        <v>188</v>
      </c>
      <c r="S87" s="320">
        <v>197</v>
      </c>
    </row>
    <row r="88" spans="12:19" x14ac:dyDescent="0.25">
      <c r="P88" s="334">
        <v>2013</v>
      </c>
      <c r="Q88" s="334">
        <v>24.29</v>
      </c>
      <c r="R88" s="334">
        <v>184</v>
      </c>
      <c r="S88" s="320">
        <v>196</v>
      </c>
    </row>
    <row r="89" spans="12:19" x14ac:dyDescent="0.25">
      <c r="P89" s="334">
        <v>2012</v>
      </c>
      <c r="Q89" s="334">
        <v>33.65</v>
      </c>
      <c r="R89" s="335"/>
      <c r="S89" s="320">
        <v>195</v>
      </c>
    </row>
    <row r="90" spans="12:19" x14ac:dyDescent="0.25">
      <c r="P90" s="334">
        <v>2011</v>
      </c>
      <c r="Q90" s="334">
        <v>51.68</v>
      </c>
      <c r="R90" s="334">
        <v>188</v>
      </c>
      <c r="S90" s="320">
        <v>195</v>
      </c>
    </row>
    <row r="91" spans="12:19" x14ac:dyDescent="0.25">
      <c r="P91" s="334">
        <v>2010</v>
      </c>
      <c r="Q91" s="334">
        <v>88.89</v>
      </c>
      <c r="R91" s="334">
        <v>194</v>
      </c>
      <c r="S91" s="320">
        <v>200</v>
      </c>
    </row>
    <row r="92" spans="12:19" x14ac:dyDescent="0.25">
      <c r="P92" s="334">
        <v>2009</v>
      </c>
      <c r="Q92" s="334">
        <v>72.41</v>
      </c>
      <c r="R92" s="334">
        <v>205</v>
      </c>
    </row>
    <row r="93" spans="12:19" x14ac:dyDescent="0.25">
      <c r="P93" s="334">
        <v>2008</v>
      </c>
      <c r="Q93" s="334">
        <v>39.6</v>
      </c>
      <c r="R93" s="335"/>
      <c r="S93" s="320">
        <v>205</v>
      </c>
    </row>
    <row r="94" spans="12:19" x14ac:dyDescent="0.25">
      <c r="L94" s="320" t="s">
        <v>243</v>
      </c>
      <c r="M94" s="320" t="s">
        <v>560</v>
      </c>
      <c r="N94" s="320" t="s">
        <v>562</v>
      </c>
      <c r="P94" s="334">
        <v>2007</v>
      </c>
      <c r="Q94" s="334">
        <v>32.89</v>
      </c>
      <c r="R94" s="334">
        <v>196</v>
      </c>
      <c r="S94" s="320">
        <v>203</v>
      </c>
    </row>
    <row r="95" spans="12:19" x14ac:dyDescent="0.25">
      <c r="L95" s="320">
        <v>2017</v>
      </c>
      <c r="M95" s="322">
        <v>49.51</v>
      </c>
      <c r="N95" s="322">
        <v>217</v>
      </c>
      <c r="P95" s="334">
        <v>2005</v>
      </c>
      <c r="Q95" s="334">
        <v>4.8099999999999996</v>
      </c>
      <c r="R95" s="334">
        <v>184</v>
      </c>
      <c r="S95" s="320">
        <v>194</v>
      </c>
    </row>
    <row r="96" spans="12:19" x14ac:dyDescent="0.25">
      <c r="L96" s="320">
        <v>2014</v>
      </c>
      <c r="M96" s="322">
        <v>8.89</v>
      </c>
      <c r="N96" s="322">
        <v>197</v>
      </c>
    </row>
    <row r="97" spans="12:14" x14ac:dyDescent="0.25">
      <c r="L97" s="320">
        <v>2013</v>
      </c>
      <c r="M97" s="322">
        <v>24.29</v>
      </c>
      <c r="N97" s="322">
        <v>196</v>
      </c>
    </row>
    <row r="98" spans="12:14" x14ac:dyDescent="0.25">
      <c r="L98" s="320">
        <v>2012</v>
      </c>
      <c r="M98" s="320">
        <v>33.65</v>
      </c>
      <c r="N98" s="320">
        <v>195</v>
      </c>
    </row>
    <row r="99" spans="12:14" x14ac:dyDescent="0.25">
      <c r="L99" s="320">
        <v>2011</v>
      </c>
      <c r="M99" s="322">
        <v>51.68</v>
      </c>
      <c r="N99" s="322">
        <v>195</v>
      </c>
    </row>
    <row r="100" spans="12:14" x14ac:dyDescent="0.25">
      <c r="L100" s="320">
        <v>2010</v>
      </c>
      <c r="M100" s="322">
        <v>88.89</v>
      </c>
      <c r="N100" s="322">
        <v>200</v>
      </c>
    </row>
    <row r="101" spans="12:14" x14ac:dyDescent="0.25">
      <c r="L101" s="320">
        <v>2008</v>
      </c>
      <c r="M101" s="320">
        <v>39.6</v>
      </c>
      <c r="N101" s="320">
        <v>205</v>
      </c>
    </row>
    <row r="102" spans="12:14" x14ac:dyDescent="0.25">
      <c r="L102" s="320">
        <v>2007</v>
      </c>
      <c r="M102" s="322">
        <v>32.89</v>
      </c>
      <c r="N102" s="322">
        <v>203</v>
      </c>
    </row>
    <row r="103" spans="12:14" x14ac:dyDescent="0.25">
      <c r="L103" s="320">
        <v>2005</v>
      </c>
      <c r="M103" s="322">
        <v>4.8099999999999996</v>
      </c>
      <c r="N103" s="322">
        <v>194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9"/>
  <sheetViews>
    <sheetView workbookViewId="0">
      <selection activeCell="B1" sqref="B1:D19"/>
    </sheetView>
  </sheetViews>
  <sheetFormatPr defaultColWidth="8.85546875" defaultRowHeight="15.75" x14ac:dyDescent="0.25"/>
  <cols>
    <col min="1" max="16384" width="8.85546875" style="320"/>
  </cols>
  <sheetData>
    <row r="1" spans="2:5" x14ac:dyDescent="0.25">
      <c r="C1" s="320" t="s">
        <v>550</v>
      </c>
      <c r="D1" s="320" t="s">
        <v>551</v>
      </c>
    </row>
    <row r="2" spans="2:5" x14ac:dyDescent="0.25">
      <c r="B2" s="331">
        <v>1991</v>
      </c>
      <c r="C2" s="331"/>
      <c r="D2" s="331">
        <v>209</v>
      </c>
      <c r="E2" s="324" t="s">
        <v>541</v>
      </c>
    </row>
    <row r="3" spans="2:5" x14ac:dyDescent="0.25">
      <c r="B3" s="331">
        <v>1992</v>
      </c>
      <c r="C3" s="331"/>
      <c r="D3" s="331">
        <v>205</v>
      </c>
      <c r="E3" s="324" t="s">
        <v>541</v>
      </c>
    </row>
    <row r="4" spans="2:5" x14ac:dyDescent="0.25">
      <c r="B4" s="331">
        <v>1993</v>
      </c>
      <c r="C4" s="331"/>
      <c r="D4" s="331">
        <v>198</v>
      </c>
      <c r="E4" s="324" t="s">
        <v>541</v>
      </c>
    </row>
    <row r="5" spans="2:5" x14ac:dyDescent="0.25">
      <c r="B5" s="324">
        <v>2003</v>
      </c>
      <c r="C5" s="325">
        <v>207</v>
      </c>
      <c r="D5" s="330">
        <v>196</v>
      </c>
      <c r="E5" s="324" t="s">
        <v>532</v>
      </c>
    </row>
    <row r="6" spans="2:5" x14ac:dyDescent="0.25">
      <c r="B6" s="324">
        <v>2004</v>
      </c>
      <c r="C6" s="325">
        <v>204</v>
      </c>
      <c r="D6" s="325">
        <v>191</v>
      </c>
      <c r="E6" s="324" t="s">
        <v>532</v>
      </c>
    </row>
    <row r="7" spans="2:5" x14ac:dyDescent="0.25">
      <c r="B7" s="324">
        <v>2005</v>
      </c>
      <c r="C7" s="325">
        <v>194</v>
      </c>
      <c r="D7" s="325">
        <v>184</v>
      </c>
      <c r="E7" s="324" t="s">
        <v>532</v>
      </c>
    </row>
    <row r="8" spans="2:5" x14ac:dyDescent="0.25">
      <c r="B8" s="324">
        <v>2006</v>
      </c>
      <c r="C8" s="325">
        <v>190</v>
      </c>
      <c r="D8" s="327" t="s">
        <v>539</v>
      </c>
      <c r="E8" s="324" t="s">
        <v>532</v>
      </c>
    </row>
    <row r="9" spans="2:5" x14ac:dyDescent="0.25">
      <c r="B9" s="324">
        <v>2007</v>
      </c>
      <c r="C9" s="325">
        <v>203</v>
      </c>
      <c r="D9" s="329">
        <v>196</v>
      </c>
      <c r="E9" s="324" t="s">
        <v>532</v>
      </c>
    </row>
    <row r="10" spans="2:5" x14ac:dyDescent="0.25">
      <c r="B10" s="324">
        <v>2008</v>
      </c>
      <c r="C10" s="325">
        <v>205</v>
      </c>
      <c r="D10" s="327" t="s">
        <v>539</v>
      </c>
      <c r="E10" s="324" t="s">
        <v>532</v>
      </c>
    </row>
    <row r="11" spans="2:5" x14ac:dyDescent="0.25">
      <c r="B11" s="324">
        <v>2009</v>
      </c>
      <c r="C11" s="328" t="s">
        <v>540</v>
      </c>
      <c r="D11" s="325">
        <v>205</v>
      </c>
      <c r="E11" s="324" t="s">
        <v>532</v>
      </c>
    </row>
    <row r="12" spans="2:5" x14ac:dyDescent="0.25">
      <c r="B12" s="324">
        <v>2010</v>
      </c>
      <c r="C12" s="325">
        <v>200</v>
      </c>
      <c r="D12" s="325">
        <v>194</v>
      </c>
      <c r="E12" s="324" t="s">
        <v>532</v>
      </c>
    </row>
    <row r="13" spans="2:5" x14ac:dyDescent="0.25">
      <c r="B13" s="324">
        <v>2011</v>
      </c>
      <c r="C13" s="325">
        <v>195</v>
      </c>
      <c r="D13" s="324">
        <v>188</v>
      </c>
      <c r="E13" s="324" t="s">
        <v>532</v>
      </c>
    </row>
    <row r="14" spans="2:5" x14ac:dyDescent="0.25">
      <c r="B14" s="324">
        <v>2012</v>
      </c>
      <c r="C14" s="325">
        <v>195</v>
      </c>
      <c r="D14" s="327" t="s">
        <v>539</v>
      </c>
      <c r="E14" s="324" t="s">
        <v>532</v>
      </c>
    </row>
    <row r="15" spans="2:5" x14ac:dyDescent="0.25">
      <c r="B15" s="324">
        <v>2013</v>
      </c>
      <c r="C15" s="325">
        <v>196</v>
      </c>
      <c r="D15" s="324">
        <v>184</v>
      </c>
      <c r="E15" s="324" t="s">
        <v>532</v>
      </c>
    </row>
    <row r="16" spans="2:5" x14ac:dyDescent="0.25">
      <c r="B16" s="324">
        <v>2014</v>
      </c>
      <c r="C16" s="325">
        <v>197</v>
      </c>
      <c r="D16" s="324">
        <v>188</v>
      </c>
      <c r="E16" s="324" t="s">
        <v>532</v>
      </c>
    </row>
    <row r="17" spans="2:5" x14ac:dyDescent="0.25">
      <c r="B17" s="324">
        <v>2015</v>
      </c>
      <c r="C17" s="325">
        <v>201</v>
      </c>
      <c r="D17" s="324">
        <v>203</v>
      </c>
      <c r="E17" s="324" t="s">
        <v>532</v>
      </c>
    </row>
    <row r="18" spans="2:5" x14ac:dyDescent="0.25">
      <c r="B18" s="324">
        <v>2016</v>
      </c>
      <c r="C18" s="326" t="s">
        <v>534</v>
      </c>
      <c r="D18" s="326" t="s">
        <v>534</v>
      </c>
      <c r="E18" s="324" t="s">
        <v>532</v>
      </c>
    </row>
    <row r="19" spans="2:5" x14ac:dyDescent="0.25">
      <c r="B19" s="324">
        <v>2017</v>
      </c>
      <c r="C19" s="325">
        <v>217</v>
      </c>
      <c r="D19" s="324">
        <v>216</v>
      </c>
      <c r="E19" s="324" t="s">
        <v>532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2"/>
  <sheetViews>
    <sheetView topLeftCell="A166" workbookViewId="0">
      <selection activeCell="H144" sqref="H144"/>
    </sheetView>
  </sheetViews>
  <sheetFormatPr defaultColWidth="17.28515625" defaultRowHeight="15" customHeight="1" x14ac:dyDescent="0.2"/>
  <sheetData>
    <row r="82" spans="1:1" ht="15" customHeight="1" x14ac:dyDescent="0.2">
      <c r="A82" s="55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topLeftCell="A30" workbookViewId="0">
      <selection activeCell="R32" sqref="R32"/>
    </sheetView>
  </sheetViews>
  <sheetFormatPr defaultColWidth="11" defaultRowHeight="15.75" x14ac:dyDescent="0.25"/>
  <cols>
    <col min="1" max="16384" width="11" style="275"/>
  </cols>
  <sheetData>
    <row r="1" spans="1:4" ht="16.5" x14ac:dyDescent="0.25">
      <c r="A1" s="276" t="s">
        <v>1</v>
      </c>
      <c r="B1" s="276" t="s">
        <v>525</v>
      </c>
      <c r="C1" s="276" t="s">
        <v>524</v>
      </c>
      <c r="D1" s="276"/>
    </row>
    <row r="2" spans="1:4" ht="16.5" x14ac:dyDescent="0.25">
      <c r="A2" s="276">
        <v>1990</v>
      </c>
      <c r="B2" s="276">
        <v>3.85</v>
      </c>
      <c r="C2" s="276">
        <v>0</v>
      </c>
    </row>
    <row r="3" spans="1:4" ht="16.5" x14ac:dyDescent="0.25">
      <c r="A3" s="276">
        <v>1991</v>
      </c>
      <c r="B3" s="276">
        <v>46.67</v>
      </c>
      <c r="C3" s="276">
        <v>53.33</v>
      </c>
    </row>
    <row r="4" spans="1:4" ht="16.5" x14ac:dyDescent="0.25">
      <c r="A4" s="276">
        <v>1992</v>
      </c>
      <c r="B4" s="276">
        <v>92.44</v>
      </c>
      <c r="C4" s="276">
        <v>7.56</v>
      </c>
    </row>
    <row r="5" spans="1:4" ht="16.5" x14ac:dyDescent="0.25">
      <c r="A5" s="276">
        <v>1993</v>
      </c>
      <c r="B5" s="276">
        <v>89.71</v>
      </c>
      <c r="C5" s="276">
        <v>10.29</v>
      </c>
    </row>
    <row r="6" spans="1:4" ht="16.5" x14ac:dyDescent="0.25">
      <c r="A6" s="276">
        <v>1994</v>
      </c>
      <c r="B6" s="276">
        <v>55.84</v>
      </c>
      <c r="C6" s="276">
        <v>32.47</v>
      </c>
    </row>
    <row r="7" spans="1:4" ht="16.5" x14ac:dyDescent="0.25">
      <c r="A7" s="276">
        <v>1995</v>
      </c>
      <c r="B7" s="276">
        <v>70.34</v>
      </c>
      <c r="C7" s="276">
        <v>26.27</v>
      </c>
    </row>
    <row r="8" spans="1:4" ht="16.5" x14ac:dyDescent="0.25">
      <c r="A8" s="276">
        <v>1996</v>
      </c>
      <c r="B8" s="276">
        <v>7.69</v>
      </c>
      <c r="C8" s="276">
        <v>89.74</v>
      </c>
    </row>
    <row r="9" spans="1:4" ht="16.5" x14ac:dyDescent="0.25">
      <c r="A9" s="276">
        <v>1997</v>
      </c>
      <c r="B9" s="276">
        <v>78.97</v>
      </c>
      <c r="C9" s="276">
        <v>19.309999999999999</v>
      </c>
    </row>
    <row r="10" spans="1:4" ht="16.5" x14ac:dyDescent="0.25">
      <c r="A10" s="276">
        <v>1998</v>
      </c>
      <c r="B10" s="276">
        <v>24.14</v>
      </c>
      <c r="C10" s="276">
        <v>58.62</v>
      </c>
    </row>
    <row r="11" spans="1:4" ht="16.5" x14ac:dyDescent="0.25">
      <c r="A11" s="276">
        <v>1999</v>
      </c>
      <c r="B11" s="276">
        <v>16.670000000000002</v>
      </c>
      <c r="C11" s="276">
        <v>83.33</v>
      </c>
    </row>
    <row r="12" spans="1:4" ht="16.5" x14ac:dyDescent="0.25">
      <c r="A12" s="276">
        <v>2000</v>
      </c>
      <c r="B12" s="276">
        <v>6.67</v>
      </c>
      <c r="C12" s="276">
        <v>87.41</v>
      </c>
    </row>
    <row r="13" spans="1:4" ht="16.5" x14ac:dyDescent="0.25">
      <c r="A13" s="276">
        <v>2001</v>
      </c>
      <c r="B13" s="276">
        <v>18.100000000000001</v>
      </c>
      <c r="C13" s="276">
        <v>80.17</v>
      </c>
    </row>
    <row r="14" spans="1:4" ht="16.5" x14ac:dyDescent="0.25">
      <c r="A14" s="276">
        <v>2002</v>
      </c>
      <c r="B14" s="276">
        <v>57.47</v>
      </c>
      <c r="C14" s="276">
        <v>39.46</v>
      </c>
    </row>
    <row r="15" spans="1:4" ht="16.5" x14ac:dyDescent="0.25">
      <c r="A15" s="276">
        <v>2003</v>
      </c>
      <c r="B15" s="276">
        <v>79.45</v>
      </c>
      <c r="C15" s="276">
        <v>20.55</v>
      </c>
    </row>
    <row r="16" spans="1:4" ht="16.5" x14ac:dyDescent="0.25">
      <c r="A16" s="276">
        <v>2004</v>
      </c>
      <c r="B16" s="276">
        <v>39.24</v>
      </c>
      <c r="C16" s="276">
        <v>50.63</v>
      </c>
    </row>
    <row r="17" spans="1:3" ht="16.5" x14ac:dyDescent="0.25">
      <c r="A17" s="276">
        <v>2005</v>
      </c>
      <c r="B17" s="276">
        <v>4.8099999999999996</v>
      </c>
      <c r="C17" s="276">
        <v>73.08</v>
      </c>
    </row>
    <row r="18" spans="1:3" ht="16.5" x14ac:dyDescent="0.25">
      <c r="A18" s="276">
        <v>2006</v>
      </c>
      <c r="B18" s="276">
        <v>4.17</v>
      </c>
      <c r="C18" s="276">
        <v>79.17</v>
      </c>
    </row>
    <row r="19" spans="1:3" ht="16.5" x14ac:dyDescent="0.25">
      <c r="A19" s="276">
        <v>2007</v>
      </c>
      <c r="B19" s="276">
        <v>32.89</v>
      </c>
      <c r="C19" s="276">
        <v>57.72</v>
      </c>
    </row>
    <row r="20" spans="1:3" ht="16.5" x14ac:dyDescent="0.25">
      <c r="A20" s="276">
        <v>2008</v>
      </c>
      <c r="B20" s="276">
        <v>39.6</v>
      </c>
      <c r="C20" s="276">
        <v>59.41</v>
      </c>
    </row>
    <row r="21" spans="1:3" ht="16.5" x14ac:dyDescent="0.25">
      <c r="A21" s="276">
        <v>2009</v>
      </c>
      <c r="B21" s="276">
        <v>72.41</v>
      </c>
      <c r="C21" s="276">
        <v>27.59</v>
      </c>
    </row>
    <row r="22" spans="1:3" ht="16.5" x14ac:dyDescent="0.25">
      <c r="A22" s="276">
        <v>2010</v>
      </c>
      <c r="B22" s="276">
        <v>88.89</v>
      </c>
      <c r="C22" s="276">
        <v>11.11</v>
      </c>
    </row>
    <row r="23" spans="1:3" ht="16.5" x14ac:dyDescent="0.25">
      <c r="A23" s="276">
        <v>2011</v>
      </c>
      <c r="B23" s="276">
        <v>51.69</v>
      </c>
      <c r="C23" s="276">
        <v>46.07</v>
      </c>
    </row>
    <row r="24" spans="1:3" ht="16.5" x14ac:dyDescent="0.25">
      <c r="A24" s="276">
        <v>2012</v>
      </c>
      <c r="B24" s="276">
        <v>33.65</v>
      </c>
      <c r="C24" s="276">
        <v>51.92</v>
      </c>
    </row>
    <row r="25" spans="1:3" ht="16.5" x14ac:dyDescent="0.25">
      <c r="A25" s="276">
        <v>2013</v>
      </c>
      <c r="B25" s="276">
        <v>24.286000000000001</v>
      </c>
      <c r="C25" s="276">
        <v>72.86</v>
      </c>
    </row>
    <row r="26" spans="1:3" ht="16.5" x14ac:dyDescent="0.25">
      <c r="A26" s="276">
        <v>2014</v>
      </c>
      <c r="B26" s="276">
        <v>8.89</v>
      </c>
      <c r="C26" s="276">
        <v>90</v>
      </c>
    </row>
    <row r="27" spans="1:3" ht="16.5" x14ac:dyDescent="0.25">
      <c r="A27" s="276">
        <v>2016</v>
      </c>
      <c r="B27" s="276">
        <v>22.22</v>
      </c>
      <c r="C27" s="276">
        <v>77.78</v>
      </c>
    </row>
    <row r="28" spans="1:3" ht="16.5" x14ac:dyDescent="0.25">
      <c r="A28" s="276">
        <v>2017</v>
      </c>
      <c r="B28" s="276">
        <v>49.51</v>
      </c>
      <c r="C28" s="276">
        <v>48.53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D13" sqref="D13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4" t="s">
        <v>528</v>
      </c>
    </row>
    <row r="2" spans="1:3" ht="16.5" x14ac:dyDescent="0.25">
      <c r="A2" s="276">
        <v>1990</v>
      </c>
      <c r="B2" s="313">
        <v>4.5</v>
      </c>
      <c r="C2" s="313"/>
    </row>
    <row r="3" spans="1:3" ht="16.5" x14ac:dyDescent="0.25">
      <c r="A3" s="276">
        <v>1991</v>
      </c>
      <c r="B3" s="313">
        <v>7.2153846153846155</v>
      </c>
      <c r="C3" s="313">
        <v>0.95025097899288158</v>
      </c>
    </row>
    <row r="4" spans="1:3" ht="16.5" x14ac:dyDescent="0.25">
      <c r="A4" s="276">
        <v>1992</v>
      </c>
      <c r="B4" s="313">
        <v>6.5777894736842093</v>
      </c>
      <c r="C4" s="313">
        <v>0.7971801085199941</v>
      </c>
    </row>
    <row r="5" spans="1:3" ht="16.5" x14ac:dyDescent="0.25">
      <c r="A5" s="276">
        <v>1993</v>
      </c>
      <c r="B5" s="313">
        <v>5.7496590909090921</v>
      </c>
      <c r="C5" s="313">
        <v>0.59465908104982312</v>
      </c>
    </row>
    <row r="6" spans="1:3" ht="16.5" x14ac:dyDescent="0.25">
      <c r="A6" s="276">
        <v>1994</v>
      </c>
      <c r="B6" s="313">
        <v>5.0250000000000004</v>
      </c>
      <c r="C6" s="313">
        <v>0.93087132761269342</v>
      </c>
    </row>
    <row r="7" spans="1:3" ht="16.5" x14ac:dyDescent="0.25">
      <c r="A7" s="276">
        <v>1995</v>
      </c>
      <c r="B7" s="313">
        <v>5.9446938775510212</v>
      </c>
      <c r="C7" s="313">
        <v>0.57899014830714912</v>
      </c>
    </row>
    <row r="8" spans="1:3" ht="16.5" x14ac:dyDescent="0.25">
      <c r="A8" s="276">
        <v>1996</v>
      </c>
      <c r="B8" s="313">
        <v>6.8233333333333333</v>
      </c>
      <c r="C8" s="313">
        <v>0.4113797920818828</v>
      </c>
    </row>
    <row r="9" spans="1:3" ht="16.5" x14ac:dyDescent="0.25">
      <c r="A9" s="276">
        <v>1997</v>
      </c>
      <c r="B9" s="313">
        <v>5.8396045197740118</v>
      </c>
      <c r="C9" s="313">
        <v>1.0310119486025617</v>
      </c>
    </row>
    <row r="10" spans="1:3" ht="16.5" x14ac:dyDescent="0.25">
      <c r="A10" s="276">
        <v>1998</v>
      </c>
      <c r="B10" s="313">
        <v>5.7692307692307692</v>
      </c>
      <c r="C10" s="313">
        <v>0.6634940534581768</v>
      </c>
    </row>
    <row r="11" spans="1:3" ht="16.5" x14ac:dyDescent="0.25">
      <c r="A11" s="276">
        <v>1999</v>
      </c>
      <c r="B11" s="313">
        <v>5.7112499999999997</v>
      </c>
      <c r="C11" s="313">
        <v>0.71877748394657726</v>
      </c>
    </row>
    <row r="12" spans="1:3" ht="16.5" x14ac:dyDescent="0.25">
      <c r="A12" s="276">
        <v>2000</v>
      </c>
      <c r="B12" s="313">
        <v>6.7399999999999993</v>
      </c>
      <c r="C12" s="313">
        <v>0.20952326839756963</v>
      </c>
    </row>
    <row r="13" spans="1:3" ht="16.5" x14ac:dyDescent="0.25">
      <c r="A13" s="276">
        <v>2001</v>
      </c>
      <c r="B13" s="313">
        <v>6.2305882352941175</v>
      </c>
      <c r="C13" s="313">
        <v>0.64327745363329891</v>
      </c>
    </row>
    <row r="14" spans="1:3" ht="16.5" x14ac:dyDescent="0.25">
      <c r="A14" s="276">
        <v>2002</v>
      </c>
      <c r="B14" s="313">
        <v>5.9376595744680865</v>
      </c>
      <c r="C14" s="313">
        <v>0.90674465058192211</v>
      </c>
    </row>
    <row r="15" spans="1:3" ht="16.5" x14ac:dyDescent="0.25">
      <c r="A15" s="276">
        <v>2003</v>
      </c>
      <c r="B15" s="313">
        <v>6.4569090909090896</v>
      </c>
      <c r="C15" s="313">
        <v>2.083646974370831</v>
      </c>
    </row>
    <row r="16" spans="1:3" ht="16.5" x14ac:dyDescent="0.25">
      <c r="A16" s="276">
        <v>2004</v>
      </c>
      <c r="B16" s="313">
        <v>5.2648571428571422</v>
      </c>
      <c r="C16" s="313">
        <v>0.81158295371226097</v>
      </c>
    </row>
    <row r="17" spans="1:3" ht="16.5" x14ac:dyDescent="0.25">
      <c r="A17" s="276">
        <v>2005</v>
      </c>
      <c r="B17" s="313">
        <v>4.54</v>
      </c>
      <c r="C17" s="313">
        <v>1.2123324626520555</v>
      </c>
    </row>
    <row r="18" spans="1:3" ht="16.5" x14ac:dyDescent="0.25">
      <c r="A18" s="276">
        <v>2006</v>
      </c>
      <c r="B18" s="313">
        <v>5.36</v>
      </c>
      <c r="C18" s="313"/>
    </row>
    <row r="19" spans="1:3" ht="16.5" x14ac:dyDescent="0.25">
      <c r="A19" s="276">
        <v>2007</v>
      </c>
      <c r="B19" s="313">
        <v>5.8477777777777762</v>
      </c>
      <c r="C19" s="313">
        <v>0.72807421564842711</v>
      </c>
    </row>
    <row r="20" spans="1:3" ht="16.5" x14ac:dyDescent="0.25">
      <c r="A20" s="276">
        <v>2008</v>
      </c>
      <c r="B20" s="313">
        <v>6.0676470588235309</v>
      </c>
      <c r="C20" s="313">
        <v>0.80944062021067498</v>
      </c>
    </row>
    <row r="21" spans="1:3" ht="16.5" x14ac:dyDescent="0.25">
      <c r="A21" s="276">
        <v>2009</v>
      </c>
      <c r="B21" s="313">
        <v>3.9506896551724129</v>
      </c>
      <c r="C21" s="313">
        <v>0.50659882010524571</v>
      </c>
    </row>
    <row r="22" spans="1:3" ht="16.5" x14ac:dyDescent="0.25">
      <c r="A22" s="276">
        <v>2010</v>
      </c>
      <c r="B22" s="313">
        <v>3.9976470588235289</v>
      </c>
      <c r="C22" s="313">
        <v>0.43923981792075967</v>
      </c>
    </row>
    <row r="23" spans="1:3" ht="16.5" x14ac:dyDescent="0.25">
      <c r="A23" s="276">
        <v>2011</v>
      </c>
      <c r="B23" s="313">
        <v>5.7744186046511627</v>
      </c>
      <c r="C23" s="313">
        <v>0.91012375486493258</v>
      </c>
    </row>
    <row r="24" spans="1:3" ht="16.5" x14ac:dyDescent="0.25">
      <c r="A24" s="276">
        <v>2012</v>
      </c>
      <c r="B24" s="313">
        <v>3.8049999999999997</v>
      </c>
      <c r="C24" s="313">
        <v>0.52100532792298659</v>
      </c>
    </row>
    <row r="25" spans="1:3" ht="16.5" x14ac:dyDescent="0.25">
      <c r="A25" s="276">
        <v>2013</v>
      </c>
      <c r="B25" s="313">
        <v>4.2442857142857138</v>
      </c>
      <c r="C25" s="313">
        <v>1.0634669269713579</v>
      </c>
    </row>
    <row r="26" spans="1:3" ht="16.5" x14ac:dyDescent="0.25">
      <c r="A26" s="276">
        <v>2014</v>
      </c>
      <c r="B26" s="313">
        <v>5.6520000000000001</v>
      </c>
      <c r="C26" s="313">
        <v>0.44807365465958837</v>
      </c>
    </row>
    <row r="27" spans="1:3" ht="16.5" x14ac:dyDescent="0.25">
      <c r="A27" s="276">
        <v>2016</v>
      </c>
      <c r="B27" s="313">
        <v>4.415</v>
      </c>
      <c r="C27" s="313">
        <v>1.0665364503850763</v>
      </c>
    </row>
    <row r="28" spans="1:3" ht="16.5" x14ac:dyDescent="0.25">
      <c r="A28" s="276">
        <v>2017</v>
      </c>
      <c r="B28" s="313">
        <v>6.2822413793103467</v>
      </c>
      <c r="C28" s="313">
        <v>1.8581041489736594</v>
      </c>
    </row>
    <row r="29" spans="1:3" x14ac:dyDescent="0.25">
      <c r="B29" s="200"/>
      <c r="C29" s="204"/>
    </row>
    <row r="30" spans="1:3" x14ac:dyDescent="0.25">
      <c r="B30" s="315"/>
      <c r="C30" s="315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1" sqref="B1:C27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2" t="s">
        <v>528</v>
      </c>
    </row>
    <row r="2" spans="1:3" ht="16.5" x14ac:dyDescent="0.25">
      <c r="A2" s="276">
        <v>1991</v>
      </c>
      <c r="B2" s="313">
        <v>5.54</v>
      </c>
      <c r="C2" s="313">
        <v>1.0939835464941856</v>
      </c>
    </row>
    <row r="3" spans="1:3" ht="16.5" x14ac:dyDescent="0.25">
      <c r="A3" s="276">
        <v>1992</v>
      </c>
      <c r="B3" s="313">
        <v>5.2824999999999998</v>
      </c>
      <c r="C3" s="313">
        <v>0.5910946262172122</v>
      </c>
    </row>
    <row r="4" spans="1:3" ht="16.5" x14ac:dyDescent="0.25">
      <c r="A4" s="276">
        <v>1993</v>
      </c>
      <c r="B4" s="313">
        <v>4.2620000000000005</v>
      </c>
      <c r="C4" s="313">
        <v>0.67998039187415571</v>
      </c>
    </row>
    <row r="5" spans="1:3" ht="16.5" x14ac:dyDescent="0.25">
      <c r="A5" s="276">
        <v>1994</v>
      </c>
      <c r="B5" s="313">
        <v>3.9274999999999998</v>
      </c>
      <c r="C5" s="313">
        <v>0.84456300337314572</v>
      </c>
    </row>
    <row r="6" spans="1:3" ht="16.5" x14ac:dyDescent="0.25">
      <c r="A6" s="276">
        <v>1995</v>
      </c>
      <c r="B6" s="313">
        <v>4.8353846153846156</v>
      </c>
      <c r="C6" s="313">
        <v>0.66554007373229773</v>
      </c>
    </row>
    <row r="7" spans="1:3" ht="16.5" x14ac:dyDescent="0.25">
      <c r="A7" s="276">
        <v>1996</v>
      </c>
      <c r="B7" s="313">
        <v>4.3195555555555574</v>
      </c>
      <c r="C7" s="313">
        <v>0.59703416818452215</v>
      </c>
    </row>
    <row r="8" spans="1:3" ht="16.5" x14ac:dyDescent="0.25">
      <c r="A8" s="276">
        <v>1997</v>
      </c>
      <c r="B8" s="313">
        <v>4.7002777777777771</v>
      </c>
      <c r="C8" s="313">
        <v>0.64433126400772345</v>
      </c>
    </row>
    <row r="9" spans="1:3" ht="16.5" x14ac:dyDescent="0.25">
      <c r="A9" s="276">
        <v>1998</v>
      </c>
      <c r="B9" s="313">
        <v>5.1683870967741923</v>
      </c>
      <c r="C9" s="313">
        <v>0.99317368999316202</v>
      </c>
    </row>
    <row r="10" spans="1:3" ht="16.5" x14ac:dyDescent="0.25">
      <c r="A10" s="276">
        <v>1999</v>
      </c>
      <c r="B10" s="313">
        <v>5.1380555555555567</v>
      </c>
      <c r="C10" s="313">
        <v>0.8396421667912799</v>
      </c>
    </row>
    <row r="11" spans="1:3" ht="16.5" x14ac:dyDescent="0.25">
      <c r="A11" s="276">
        <v>2000</v>
      </c>
      <c r="B11" s="313">
        <v>4.1159999999999988</v>
      </c>
      <c r="C11" s="313">
        <v>0.62463827370165237</v>
      </c>
    </row>
    <row r="12" spans="1:3" ht="16.5" x14ac:dyDescent="0.25">
      <c r="A12" s="276">
        <v>2001</v>
      </c>
      <c r="B12" s="313">
        <v>4.4665714285714291</v>
      </c>
      <c r="C12" s="313">
        <v>0.62855916607651185</v>
      </c>
    </row>
    <row r="13" spans="1:3" ht="16.5" x14ac:dyDescent="0.25">
      <c r="A13" s="276">
        <v>2002</v>
      </c>
      <c r="B13" s="313">
        <v>4.5291891891891911</v>
      </c>
      <c r="C13" s="313">
        <v>0.65269254075576399</v>
      </c>
    </row>
    <row r="14" spans="1:3" ht="16.5" x14ac:dyDescent="0.25">
      <c r="A14" s="276">
        <v>2003</v>
      </c>
      <c r="B14" s="313">
        <v>4.4353846153846153</v>
      </c>
      <c r="C14" s="313">
        <v>0.64949487276158913</v>
      </c>
    </row>
    <row r="15" spans="1:3" ht="16.5" x14ac:dyDescent="0.25">
      <c r="A15" s="276">
        <v>2004</v>
      </c>
      <c r="B15" s="313">
        <v>5.1919607843137259</v>
      </c>
      <c r="C15" s="313">
        <v>0.79073388597641714</v>
      </c>
    </row>
    <row r="16" spans="1:3" ht="16.5" x14ac:dyDescent="0.25">
      <c r="A16" s="276">
        <v>2005</v>
      </c>
      <c r="B16" s="313">
        <v>4.0230645161290326</v>
      </c>
      <c r="C16" s="313">
        <v>0.86680984491688962</v>
      </c>
    </row>
    <row r="17" spans="1:3" ht="16.5" x14ac:dyDescent="0.25">
      <c r="A17" s="276">
        <v>2006</v>
      </c>
      <c r="B17" s="313">
        <v>3.6335294117647057</v>
      </c>
      <c r="C17" s="313">
        <v>0.50461546221442943</v>
      </c>
    </row>
    <row r="18" spans="1:3" ht="16.5" x14ac:dyDescent="0.25">
      <c r="A18" s="276">
        <v>2007</v>
      </c>
      <c r="B18" s="313">
        <v>4.7831428571428578</v>
      </c>
      <c r="C18" s="313">
        <v>0.49747345091825923</v>
      </c>
    </row>
    <row r="19" spans="1:3" ht="16.5" x14ac:dyDescent="0.25">
      <c r="A19" s="276">
        <v>2008</v>
      </c>
      <c r="B19" s="313">
        <v>4.538484848484849</v>
      </c>
      <c r="C19" s="313">
        <v>0.70075013919068174</v>
      </c>
    </row>
    <row r="20" spans="1:3" ht="16.5" x14ac:dyDescent="0.25">
      <c r="A20" s="276">
        <v>2009</v>
      </c>
      <c r="B20" s="313">
        <v>3.2936363636363635</v>
      </c>
      <c r="C20" s="313">
        <v>0.62055253971396873</v>
      </c>
    </row>
    <row r="21" spans="1:3" ht="16.5" x14ac:dyDescent="0.25">
      <c r="A21" s="276">
        <v>2010</v>
      </c>
      <c r="B21" s="313">
        <v>2.87</v>
      </c>
      <c r="C21" s="313">
        <v>0.24041630560342606</v>
      </c>
    </row>
    <row r="22" spans="1:3" ht="16.5" x14ac:dyDescent="0.25">
      <c r="A22" s="276">
        <v>2011</v>
      </c>
      <c r="B22" s="313">
        <v>3.7753125000000001</v>
      </c>
      <c r="C22" s="313">
        <v>0.7155777470665039</v>
      </c>
    </row>
    <row r="23" spans="1:3" ht="16.5" x14ac:dyDescent="0.25">
      <c r="A23" s="276">
        <v>2012</v>
      </c>
      <c r="B23" s="313">
        <v>3.1223076923076922</v>
      </c>
      <c r="C23" s="313">
        <v>0.53613363190072427</v>
      </c>
    </row>
    <row r="24" spans="1:3" ht="16.5" x14ac:dyDescent="0.25">
      <c r="A24" s="276">
        <v>2013</v>
      </c>
      <c r="B24" s="313">
        <v>3.6512499999999997</v>
      </c>
      <c r="C24" s="313">
        <v>0.498547569934085</v>
      </c>
    </row>
    <row r="25" spans="1:3" ht="16.5" x14ac:dyDescent="0.25">
      <c r="A25" s="276">
        <v>2014</v>
      </c>
      <c r="B25" s="313">
        <v>4.1112068965517237</v>
      </c>
      <c r="C25" s="313">
        <v>0.82394659507188761</v>
      </c>
    </row>
    <row r="26" spans="1:3" ht="16.5" x14ac:dyDescent="0.25">
      <c r="A26" s="276">
        <v>2016</v>
      </c>
      <c r="B26" s="313">
        <v>3.9352941176470591</v>
      </c>
      <c r="C26" s="313">
        <v>0.49862457880476702</v>
      </c>
    </row>
    <row r="27" spans="1:3" ht="16.5" x14ac:dyDescent="0.25">
      <c r="A27" s="276">
        <v>2017</v>
      </c>
      <c r="B27" s="313">
        <v>5.0263999999999989</v>
      </c>
      <c r="C27" s="313">
        <v>0.70829130407522278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1" sqref="B1:C28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2" t="s">
        <v>528</v>
      </c>
    </row>
    <row r="2" spans="1:3" ht="16.5" x14ac:dyDescent="0.25">
      <c r="A2" s="276">
        <v>1990</v>
      </c>
      <c r="B2" s="313">
        <v>4.8217647058823525</v>
      </c>
      <c r="C2" s="313">
        <v>0.67565926410910981</v>
      </c>
    </row>
    <row r="3" spans="1:3" ht="16.5" x14ac:dyDescent="0.25">
      <c r="A3" s="276">
        <v>1991</v>
      </c>
      <c r="B3" s="313">
        <v>6.3466666666666676</v>
      </c>
      <c r="C3" s="313">
        <v>1.3201806403204486</v>
      </c>
    </row>
    <row r="4" spans="1:3" ht="16.5" x14ac:dyDescent="0.25">
      <c r="A4" s="276">
        <v>1992</v>
      </c>
      <c r="B4" s="313">
        <v>6.4771844660194171</v>
      </c>
      <c r="C4" s="313">
        <v>0.85498585870168797</v>
      </c>
    </row>
    <row r="5" spans="1:3" ht="16.5" x14ac:dyDescent="0.25">
      <c r="A5" s="276">
        <v>1993</v>
      </c>
      <c r="B5" s="313">
        <v>5.5978571428571424</v>
      </c>
      <c r="C5" s="313">
        <v>0.75162538651212651</v>
      </c>
    </row>
    <row r="6" spans="1:3" ht="16.5" x14ac:dyDescent="0.25">
      <c r="A6" s="276">
        <v>1994</v>
      </c>
      <c r="B6" s="313">
        <v>4.4416666666666655</v>
      </c>
      <c r="C6" s="313">
        <v>1.0644016220431767</v>
      </c>
    </row>
    <row r="7" spans="1:3" ht="16.5" x14ac:dyDescent="0.25">
      <c r="A7" s="276">
        <v>1995</v>
      </c>
      <c r="B7" s="313">
        <v>5.6969841269841277</v>
      </c>
      <c r="C7" s="313">
        <v>0.7507150030957187</v>
      </c>
    </row>
    <row r="8" spans="1:3" ht="16.5" x14ac:dyDescent="0.25">
      <c r="A8" s="276">
        <v>1996</v>
      </c>
      <c r="B8" s="313">
        <v>4.476041666666668</v>
      </c>
      <c r="C8" s="313">
        <v>0.84618729274147575</v>
      </c>
    </row>
    <row r="9" spans="1:3" ht="16.5" x14ac:dyDescent="0.25">
      <c r="A9" s="276">
        <v>1997</v>
      </c>
      <c r="B9" s="313">
        <v>5.6303703703703709</v>
      </c>
      <c r="C9" s="313">
        <v>1.0686230444010481</v>
      </c>
    </row>
    <row r="10" spans="1:3" ht="16.5" x14ac:dyDescent="0.25">
      <c r="A10" s="276">
        <v>1998</v>
      </c>
      <c r="B10" s="313">
        <v>5.3015094339622646</v>
      </c>
      <c r="C10" s="313">
        <v>0.97128858942527285</v>
      </c>
    </row>
    <row r="11" spans="1:3" ht="16.5" x14ac:dyDescent="0.25">
      <c r="A11" s="276">
        <v>1999</v>
      </c>
      <c r="B11" s="313">
        <v>5.2422727272727281</v>
      </c>
      <c r="C11" s="313">
        <v>0.84139934283466811</v>
      </c>
    </row>
    <row r="12" spans="1:3" ht="16.5" x14ac:dyDescent="0.25">
      <c r="A12" s="276">
        <v>2000</v>
      </c>
      <c r="B12" s="313">
        <v>4.2052499999999995</v>
      </c>
      <c r="C12" s="313">
        <v>0.79334570337482391</v>
      </c>
    </row>
    <row r="13" spans="1:3" ht="16.5" x14ac:dyDescent="0.25">
      <c r="A13" s="276">
        <v>2001</v>
      </c>
      <c r="B13" s="313">
        <v>4.8112643678160927</v>
      </c>
      <c r="C13" s="313">
        <v>0.94281222648693652</v>
      </c>
    </row>
    <row r="14" spans="1:3" ht="16.5" x14ac:dyDescent="0.25">
      <c r="A14" s="276">
        <v>2002</v>
      </c>
      <c r="B14" s="313">
        <v>5.2906395348837201</v>
      </c>
      <c r="C14" s="313">
        <v>1.0677150266231952</v>
      </c>
    </row>
    <row r="15" spans="1:3" ht="16.5" x14ac:dyDescent="0.25">
      <c r="A15" s="276">
        <v>2003</v>
      </c>
      <c r="B15" s="313">
        <v>6.0704411764705872</v>
      </c>
      <c r="C15" s="313">
        <v>2.0533070768182844</v>
      </c>
    </row>
    <row r="16" spans="1:3" ht="16.5" x14ac:dyDescent="0.25">
      <c r="A16" s="276">
        <v>2004</v>
      </c>
      <c r="B16" s="313">
        <v>5.2363333333333335</v>
      </c>
      <c r="C16" s="313">
        <v>0.83214552800292907</v>
      </c>
    </row>
    <row r="17" spans="1:3" ht="16.5" x14ac:dyDescent="0.25">
      <c r="A17" s="276">
        <v>2005</v>
      </c>
      <c r="B17" s="313">
        <v>4.0510344827586211</v>
      </c>
      <c r="C17" s="313">
        <v>0.85629411715611925</v>
      </c>
    </row>
    <row r="18" spans="1:3" ht="16.5" x14ac:dyDescent="0.25">
      <c r="A18" s="276">
        <v>2006</v>
      </c>
      <c r="B18" s="313">
        <v>3.7065000000000006</v>
      </c>
      <c r="C18" s="313">
        <v>0.60798437479921663</v>
      </c>
    </row>
    <row r="19" spans="1:3" ht="16.5" x14ac:dyDescent="0.25">
      <c r="A19" s="276">
        <v>2007</v>
      </c>
      <c r="B19" s="313">
        <v>5.2099090909090924</v>
      </c>
      <c r="C19" s="313">
        <v>0.99868123635281469</v>
      </c>
    </row>
    <row r="20" spans="1:3" ht="16.5" x14ac:dyDescent="0.25">
      <c r="A20" s="276">
        <v>2008</v>
      </c>
      <c r="B20" s="313">
        <v>5.0584000000000007</v>
      </c>
      <c r="C20" s="313">
        <v>1.0344363741888116</v>
      </c>
    </row>
    <row r="21" spans="1:3" ht="16.5" x14ac:dyDescent="0.25">
      <c r="A21" s="276">
        <v>2009</v>
      </c>
      <c r="B21" s="313">
        <v>3.7700000000000005</v>
      </c>
      <c r="C21" s="313">
        <v>0.60932497329169022</v>
      </c>
    </row>
    <row r="22" spans="1:3" ht="16.5" x14ac:dyDescent="0.25">
      <c r="A22" s="276">
        <v>2010</v>
      </c>
      <c r="B22" s="313">
        <v>3.8789473684210529</v>
      </c>
      <c r="C22" s="313">
        <v>0.54874497959578505</v>
      </c>
    </row>
    <row r="23" spans="1:3" ht="16.5" x14ac:dyDescent="0.25">
      <c r="A23" s="276">
        <v>2011</v>
      </c>
      <c r="B23" s="313">
        <v>4.8469642857142858</v>
      </c>
      <c r="C23" s="313">
        <v>1.3794820103513916</v>
      </c>
    </row>
    <row r="24" spans="1:3" ht="16.5" x14ac:dyDescent="0.25">
      <c r="A24" s="276">
        <v>2012</v>
      </c>
      <c r="B24" s="313">
        <v>3.3535443037974693</v>
      </c>
      <c r="C24" s="313">
        <v>0.63577539570294261</v>
      </c>
    </row>
    <row r="25" spans="1:3" ht="16.5" x14ac:dyDescent="0.25">
      <c r="A25" s="276">
        <v>2013</v>
      </c>
      <c r="B25" s="313">
        <v>3.7395744680851055</v>
      </c>
      <c r="C25" s="313">
        <v>0.63544560690428276</v>
      </c>
    </row>
    <row r="26" spans="1:3" ht="16.5" x14ac:dyDescent="0.25">
      <c r="A26" s="276">
        <v>2014</v>
      </c>
      <c r="B26" s="313">
        <v>4.2334920634920632</v>
      </c>
      <c r="C26" s="313">
        <v>0.9018603688687078</v>
      </c>
    </row>
    <row r="27" spans="1:3" ht="16.5" x14ac:dyDescent="0.25">
      <c r="A27" s="276">
        <v>2016</v>
      </c>
      <c r="B27" s="313">
        <v>4.0266666666666664</v>
      </c>
      <c r="C27" s="313">
        <v>0.63779568306264012</v>
      </c>
    </row>
    <row r="28" spans="1:3" ht="16.5" x14ac:dyDescent="0.25">
      <c r="A28" s="276">
        <v>2017</v>
      </c>
      <c r="B28" s="313">
        <v>5.7008333333333336</v>
      </c>
      <c r="C28" s="313">
        <v>1.5699473918205367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B3" sqref="B3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2" t="s">
        <v>528</v>
      </c>
    </row>
    <row r="2" spans="1:3" ht="16.5" x14ac:dyDescent="0.25">
      <c r="A2" s="276">
        <v>1990</v>
      </c>
      <c r="B2" s="313">
        <v>5.0100000000000007</v>
      </c>
      <c r="C2" s="313">
        <v>0.3051229260478473</v>
      </c>
    </row>
    <row r="3" spans="1:3" ht="16.5" x14ac:dyDescent="0.25">
      <c r="A3" s="276">
        <v>1991</v>
      </c>
      <c r="B3" s="313"/>
      <c r="C3" s="313"/>
    </row>
    <row r="4" spans="1:3" ht="16.5" x14ac:dyDescent="0.25">
      <c r="A4" s="276">
        <v>1992</v>
      </c>
      <c r="B4" s="313">
        <v>7.6406666666666654</v>
      </c>
      <c r="C4" s="313">
        <v>1.4596744581616572</v>
      </c>
    </row>
    <row r="5" spans="1:3" ht="16.5" x14ac:dyDescent="0.25">
      <c r="A5" s="276">
        <v>1993</v>
      </c>
      <c r="B5" s="313">
        <v>5.9711111111111101</v>
      </c>
      <c r="C5" s="313">
        <v>0.9157434745118922</v>
      </c>
    </row>
    <row r="6" spans="1:3" ht="16.5" x14ac:dyDescent="0.25">
      <c r="A6" s="276">
        <v>1994</v>
      </c>
      <c r="B6" s="313">
        <v>5.9466666666666663</v>
      </c>
      <c r="C6" s="313">
        <v>0.56666274508446957</v>
      </c>
    </row>
    <row r="7" spans="1:3" ht="16.5" x14ac:dyDescent="0.25">
      <c r="A7" s="276">
        <v>1995</v>
      </c>
      <c r="B7" s="313">
        <v>6.2530000000000001</v>
      </c>
      <c r="C7" s="313">
        <v>0.86098199748891668</v>
      </c>
    </row>
    <row r="8" spans="1:3" ht="16.5" x14ac:dyDescent="0.25">
      <c r="A8" s="276">
        <v>1996</v>
      </c>
      <c r="B8" s="313">
        <v>6.2</v>
      </c>
      <c r="C8" s="313"/>
    </row>
    <row r="9" spans="1:3" ht="16.5" x14ac:dyDescent="0.25">
      <c r="A9" s="276">
        <v>1997</v>
      </c>
      <c r="B9" s="313">
        <v>6.4284210526315801</v>
      </c>
      <c r="C9" s="313">
        <v>0.90585909597154435</v>
      </c>
    </row>
    <row r="10" spans="1:3" ht="16.5" x14ac:dyDescent="0.25">
      <c r="A10" s="276">
        <v>1998</v>
      </c>
      <c r="B10" s="313">
        <v>4.5433333333333339</v>
      </c>
      <c r="C10" s="313">
        <v>0.9314683748433582</v>
      </c>
    </row>
    <row r="11" spans="1:3" ht="16.5" x14ac:dyDescent="0.25">
      <c r="A11" s="276">
        <v>2000</v>
      </c>
      <c r="B11" s="313">
        <v>5.46</v>
      </c>
      <c r="C11" s="313">
        <v>0.62225396744416239</v>
      </c>
    </row>
    <row r="12" spans="1:3" ht="16.5" x14ac:dyDescent="0.25">
      <c r="A12" s="276">
        <v>2001</v>
      </c>
      <c r="B12" s="313">
        <v>5.0599999999999996</v>
      </c>
      <c r="C12" s="313"/>
    </row>
    <row r="13" spans="1:3" ht="16.5" x14ac:dyDescent="0.25">
      <c r="A13" s="276">
        <v>2002</v>
      </c>
      <c r="B13" s="313">
        <v>6.2349999999999994</v>
      </c>
      <c r="C13" s="313">
        <v>0.48320359506704247</v>
      </c>
    </row>
    <row r="14" spans="1:3" ht="16.5" x14ac:dyDescent="0.25">
      <c r="A14" s="276">
        <v>2003</v>
      </c>
      <c r="B14" s="313">
        <v>5.75</v>
      </c>
      <c r="C14" s="313">
        <v>1.7799297738955875</v>
      </c>
    </row>
    <row r="15" spans="1:3" ht="16.5" x14ac:dyDescent="0.25">
      <c r="A15" s="276">
        <v>2004</v>
      </c>
      <c r="B15" s="313">
        <v>7.08</v>
      </c>
      <c r="C15" s="313"/>
    </row>
    <row r="16" spans="1:3" ht="16.5" x14ac:dyDescent="0.25">
      <c r="A16" s="276">
        <v>2005</v>
      </c>
      <c r="B16" s="313">
        <v>4.333333333333333</v>
      </c>
      <c r="C16" s="313">
        <v>0.47521924764610829</v>
      </c>
    </row>
    <row r="17" spans="1:3" ht="16.5" x14ac:dyDescent="0.25">
      <c r="A17" s="276">
        <v>2006</v>
      </c>
      <c r="B17" s="313">
        <v>5.63</v>
      </c>
      <c r="C17" s="313"/>
    </row>
    <row r="18" spans="1:3" ht="16.5" x14ac:dyDescent="0.25">
      <c r="A18" s="276">
        <v>2007</v>
      </c>
      <c r="B18" s="313">
        <v>5.79</v>
      </c>
      <c r="C18" s="313"/>
    </row>
    <row r="19" spans="1:3" ht="16.5" x14ac:dyDescent="0.25">
      <c r="A19" s="276">
        <v>2010</v>
      </c>
      <c r="B19" s="313">
        <v>4.9400000000000004</v>
      </c>
      <c r="C19" s="313">
        <v>0.3122498999199198</v>
      </c>
    </row>
    <row r="20" spans="1:3" ht="16.5" x14ac:dyDescent="0.25">
      <c r="A20" s="276">
        <v>2011</v>
      </c>
      <c r="B20" s="313">
        <v>5.23</v>
      </c>
      <c r="C20" s="313">
        <v>1.3585144601591617</v>
      </c>
    </row>
    <row r="21" spans="1:3" ht="16.5" x14ac:dyDescent="0.25">
      <c r="A21" s="276">
        <v>2012</v>
      </c>
      <c r="B21" s="313">
        <v>4.26</v>
      </c>
      <c r="C21" s="313"/>
    </row>
    <row r="22" spans="1:3" ht="16.5" x14ac:dyDescent="0.25">
      <c r="A22" s="276">
        <v>2013</v>
      </c>
      <c r="B22" s="313">
        <v>5.61</v>
      </c>
      <c r="C22" s="313"/>
    </row>
    <row r="23" spans="1:3" ht="16.5" x14ac:dyDescent="0.25">
      <c r="A23" s="276">
        <v>2016</v>
      </c>
      <c r="B23" s="313">
        <v>5.63</v>
      </c>
      <c r="C23" s="313"/>
    </row>
    <row r="24" spans="1:3" ht="16.5" x14ac:dyDescent="0.25">
      <c r="A24" s="276">
        <v>2017</v>
      </c>
      <c r="B24" s="313">
        <v>6.81</v>
      </c>
      <c r="C24" s="313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28" sqref="C27:C28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6" t="s">
        <v>527</v>
      </c>
      <c r="C1" s="277" t="s">
        <v>499</v>
      </c>
    </row>
    <row r="2" spans="1:3" ht="16.5" x14ac:dyDescent="0.25">
      <c r="A2" s="276">
        <v>1990</v>
      </c>
      <c r="B2" s="279">
        <v>126</v>
      </c>
    </row>
    <row r="3" spans="1:3" ht="16.5" x14ac:dyDescent="0.25">
      <c r="A3" s="276">
        <v>1991</v>
      </c>
      <c r="B3" s="279">
        <v>144.26666666666668</v>
      </c>
      <c r="C3" s="281">
        <v>7.9773488853186825</v>
      </c>
    </row>
    <row r="4" spans="1:3" ht="16.5" x14ac:dyDescent="0.25">
      <c r="A4" s="276">
        <v>1992</v>
      </c>
      <c r="B4" s="279">
        <v>128.53125</v>
      </c>
      <c r="C4" s="281">
        <v>10.603825650257205</v>
      </c>
    </row>
    <row r="5" spans="1:3" ht="16.5" x14ac:dyDescent="0.25">
      <c r="A5" s="276">
        <v>1993</v>
      </c>
      <c r="B5" s="279">
        <v>138.65934065934067</v>
      </c>
      <c r="C5" s="281">
        <v>7.809139631397418</v>
      </c>
    </row>
    <row r="6" spans="1:3" ht="16.5" x14ac:dyDescent="0.25">
      <c r="A6" s="276">
        <v>1994</v>
      </c>
      <c r="B6" s="279">
        <v>137.21428571428572</v>
      </c>
      <c r="C6" s="281">
        <v>15.237276763733224</v>
      </c>
    </row>
    <row r="7" spans="1:3" ht="16.5" x14ac:dyDescent="0.25">
      <c r="A7" s="276">
        <v>1995</v>
      </c>
      <c r="B7" s="279">
        <v>128.9795918367347</v>
      </c>
      <c r="C7" s="281">
        <v>10.71309517195032</v>
      </c>
    </row>
    <row r="8" spans="1:3" ht="16.5" x14ac:dyDescent="0.25">
      <c r="A8" s="276">
        <v>1996</v>
      </c>
      <c r="B8" s="279">
        <v>139.33333333333334</v>
      </c>
      <c r="C8" s="281">
        <v>7.5055534994651349</v>
      </c>
    </row>
    <row r="9" spans="1:3" ht="16.5" x14ac:dyDescent="0.25">
      <c r="A9" s="276">
        <v>1997</v>
      </c>
      <c r="B9" s="279">
        <v>130.4180790960452</v>
      </c>
      <c r="C9" s="281">
        <v>12.763375815130328</v>
      </c>
    </row>
    <row r="10" spans="1:3" ht="16.5" x14ac:dyDescent="0.25">
      <c r="A10" s="276">
        <v>1998</v>
      </c>
      <c r="B10" s="279">
        <v>127</v>
      </c>
      <c r="C10" s="281">
        <v>5.7445626465380286</v>
      </c>
    </row>
    <row r="11" spans="1:3" ht="16.5" x14ac:dyDescent="0.25">
      <c r="A11" s="276">
        <v>1999</v>
      </c>
      <c r="B11" s="279">
        <v>133.375</v>
      </c>
      <c r="C11" s="281">
        <v>9.7824551402717184</v>
      </c>
    </row>
    <row r="12" spans="1:3" ht="16.5" x14ac:dyDescent="0.25">
      <c r="A12" s="276">
        <v>2000</v>
      </c>
      <c r="B12" s="279">
        <v>131</v>
      </c>
      <c r="C12" s="281">
        <v>9.1651513899116797</v>
      </c>
    </row>
    <row r="13" spans="1:3" ht="16.5" x14ac:dyDescent="0.25">
      <c r="A13" s="276">
        <v>2001</v>
      </c>
      <c r="B13" s="279">
        <v>130.94117647058823</v>
      </c>
      <c r="C13" s="281">
        <v>9.915080611342086</v>
      </c>
    </row>
    <row r="14" spans="1:3" ht="16.5" x14ac:dyDescent="0.25">
      <c r="A14" s="276">
        <v>2002</v>
      </c>
      <c r="B14" s="279">
        <v>129.39361702127658</v>
      </c>
      <c r="C14" s="281">
        <v>10.122070089932869</v>
      </c>
    </row>
    <row r="15" spans="1:3" ht="16.5" x14ac:dyDescent="0.25">
      <c r="A15" s="276">
        <v>2003</v>
      </c>
      <c r="B15" s="279">
        <v>128.56363636363636</v>
      </c>
      <c r="C15" s="281">
        <v>11.393246271632185</v>
      </c>
    </row>
    <row r="16" spans="1:3" ht="16.5" x14ac:dyDescent="0.25">
      <c r="A16" s="276">
        <v>2004</v>
      </c>
      <c r="B16" s="279">
        <v>131.01942857142859</v>
      </c>
      <c r="C16" s="281">
        <v>10.12327369244262</v>
      </c>
    </row>
    <row r="17" spans="1:3" ht="16.5" x14ac:dyDescent="0.25">
      <c r="A17" s="276">
        <v>2005</v>
      </c>
      <c r="B17" s="279">
        <v>133.23199999999997</v>
      </c>
      <c r="C17" s="281">
        <v>13.25176101505004</v>
      </c>
    </row>
    <row r="18" spans="1:3" ht="16.5" x14ac:dyDescent="0.25">
      <c r="A18" s="276">
        <v>2006</v>
      </c>
      <c r="B18" s="279">
        <v>127.82</v>
      </c>
      <c r="C18" s="281"/>
    </row>
    <row r="19" spans="1:3" ht="16.5" x14ac:dyDescent="0.25">
      <c r="A19" s="276">
        <v>2007</v>
      </c>
      <c r="B19" s="279">
        <v>131.55416666666667</v>
      </c>
      <c r="C19" s="281">
        <v>11.628877202894524</v>
      </c>
    </row>
    <row r="20" spans="1:3" ht="16.5" x14ac:dyDescent="0.25">
      <c r="A20" s="276">
        <v>2008</v>
      </c>
      <c r="B20" s="279">
        <v>134.35235294117646</v>
      </c>
      <c r="C20" s="281">
        <v>9.3752410165097668</v>
      </c>
    </row>
    <row r="21" spans="1:3" ht="16.5" x14ac:dyDescent="0.25">
      <c r="A21" s="276">
        <v>2009</v>
      </c>
      <c r="B21" s="279">
        <v>150.4848387096774</v>
      </c>
      <c r="C21" s="281">
        <v>12.370769814625589</v>
      </c>
    </row>
    <row r="22" spans="1:3" ht="16.5" x14ac:dyDescent="0.25">
      <c r="A22" s="276">
        <v>2010</v>
      </c>
      <c r="B22" s="279">
        <v>145.93176470588233</v>
      </c>
      <c r="C22" s="281">
        <v>7.1976769128084985</v>
      </c>
    </row>
    <row r="23" spans="1:3" ht="16.5" x14ac:dyDescent="0.25">
      <c r="A23" s="276">
        <v>2011</v>
      </c>
      <c r="B23" s="279">
        <v>126.63137931034485</v>
      </c>
      <c r="C23" s="281">
        <v>11.277878069204437</v>
      </c>
    </row>
    <row r="24" spans="1:3" ht="16.5" x14ac:dyDescent="0.25">
      <c r="A24" s="276">
        <v>2012</v>
      </c>
      <c r="B24" s="279">
        <v>141.6</v>
      </c>
      <c r="C24" s="281">
        <v>11.450623533692164</v>
      </c>
    </row>
    <row r="25" spans="1:3" ht="16.5" x14ac:dyDescent="0.25">
      <c r="A25" s="276">
        <v>2013</v>
      </c>
      <c r="B25" s="280">
        <v>136.04874999999998</v>
      </c>
      <c r="C25" s="281">
        <v>12.203739985875526</v>
      </c>
    </row>
    <row r="26" spans="1:3" ht="16.5" x14ac:dyDescent="0.25">
      <c r="A26" s="276">
        <v>2014</v>
      </c>
      <c r="B26" s="279">
        <v>125.89000000000001</v>
      </c>
      <c r="C26" s="277">
        <v>4.91</v>
      </c>
    </row>
    <row r="27" spans="1:3" ht="16.5" x14ac:dyDescent="0.25">
      <c r="A27" s="276">
        <v>2016</v>
      </c>
      <c r="B27" s="279">
        <v>134.5</v>
      </c>
      <c r="C27" s="281">
        <v>12.609520212918492</v>
      </c>
    </row>
    <row r="28" spans="1:3" ht="16.5" x14ac:dyDescent="0.25">
      <c r="A28" s="276">
        <v>2017</v>
      </c>
      <c r="B28" s="279">
        <v>122.76</v>
      </c>
      <c r="C28" s="281">
        <v>13.063204351344487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26" sqref="C26:C28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6" t="s">
        <v>289</v>
      </c>
      <c r="C1" s="277" t="s">
        <v>499</v>
      </c>
    </row>
    <row r="2" spans="1:3" ht="16.5" x14ac:dyDescent="0.25">
      <c r="A2" s="276">
        <v>1991</v>
      </c>
      <c r="B2" s="279">
        <v>133.73684210526315</v>
      </c>
      <c r="C2" s="281">
        <v>19.874165545761905</v>
      </c>
    </row>
    <row r="3" spans="1:3" ht="16.5" x14ac:dyDescent="0.25">
      <c r="A3" s="276">
        <v>1992</v>
      </c>
      <c r="B3" s="279">
        <v>125.375</v>
      </c>
      <c r="C3" s="281">
        <v>12.489281118508897</v>
      </c>
    </row>
    <row r="4" spans="1:3" ht="16.5" x14ac:dyDescent="0.25">
      <c r="A4" s="276">
        <v>1993</v>
      </c>
      <c r="B4" s="279">
        <v>142.69999999999999</v>
      </c>
      <c r="C4" s="281">
        <v>10.975224624378107</v>
      </c>
    </row>
    <row r="5" spans="1:3" ht="16.5" x14ac:dyDescent="0.25">
      <c r="A5" s="276">
        <v>1994</v>
      </c>
      <c r="B5" s="279">
        <v>141.94444444444446</v>
      </c>
      <c r="C5" s="281">
        <v>13.427242817242957</v>
      </c>
    </row>
    <row r="6" spans="1:3" ht="16.5" x14ac:dyDescent="0.25">
      <c r="A6" s="276">
        <v>1995</v>
      </c>
      <c r="B6" s="279">
        <v>132.69230769230768</v>
      </c>
      <c r="C6" s="281">
        <v>8.9478546347212493</v>
      </c>
    </row>
    <row r="7" spans="1:3" ht="16.5" x14ac:dyDescent="0.25">
      <c r="A7" s="276">
        <v>1996</v>
      </c>
      <c r="B7" s="279">
        <v>141.17391304347825</v>
      </c>
      <c r="C7" s="281">
        <v>7.3008503243757303</v>
      </c>
    </row>
    <row r="8" spans="1:3" ht="16.5" x14ac:dyDescent="0.25">
      <c r="A8" s="276">
        <v>1997</v>
      </c>
      <c r="B8" s="279">
        <v>128.13513513513513</v>
      </c>
      <c r="C8" s="281">
        <v>9.333815946338353</v>
      </c>
    </row>
    <row r="9" spans="1:3" ht="16.5" x14ac:dyDescent="0.25">
      <c r="A9" s="276">
        <v>1998</v>
      </c>
      <c r="B9" s="279">
        <v>134.48387096774192</v>
      </c>
      <c r="C9" s="281">
        <v>10.686037518625056</v>
      </c>
    </row>
    <row r="10" spans="1:3" ht="16.5" x14ac:dyDescent="0.25">
      <c r="A10" s="276">
        <v>1999</v>
      </c>
      <c r="B10" s="279">
        <v>136.38461538461539</v>
      </c>
      <c r="C10" s="281">
        <v>11.259184285250454</v>
      </c>
    </row>
    <row r="11" spans="1:3" ht="16.5" x14ac:dyDescent="0.25">
      <c r="A11" s="276">
        <v>2000</v>
      </c>
      <c r="B11" s="279">
        <v>147.05479452054794</v>
      </c>
      <c r="C11" s="281">
        <v>11.429603875413109</v>
      </c>
    </row>
    <row r="12" spans="1:3" ht="16.5" x14ac:dyDescent="0.25">
      <c r="A12" s="276">
        <v>2001</v>
      </c>
      <c r="B12" s="279">
        <v>139.69999999999999</v>
      </c>
      <c r="C12" s="281">
        <v>10.188584120318762</v>
      </c>
    </row>
    <row r="13" spans="1:3" ht="16.5" x14ac:dyDescent="0.25">
      <c r="A13" s="276">
        <v>2002</v>
      </c>
      <c r="B13" s="279">
        <v>138.81081081081081</v>
      </c>
      <c r="C13" s="281">
        <v>11.269641211334562</v>
      </c>
    </row>
    <row r="14" spans="1:3" ht="16.5" x14ac:dyDescent="0.25">
      <c r="A14" s="276">
        <v>2003</v>
      </c>
      <c r="B14" s="279">
        <v>133.42857142857142</v>
      </c>
      <c r="C14" s="281">
        <v>7.6128867032186918</v>
      </c>
    </row>
    <row r="15" spans="1:3" ht="16.5" x14ac:dyDescent="0.25">
      <c r="A15" s="276">
        <v>2004</v>
      </c>
      <c r="B15" s="279">
        <v>133.96882352941176</v>
      </c>
      <c r="C15" s="281">
        <v>10.074988565166477</v>
      </c>
    </row>
    <row r="16" spans="1:3" ht="16.5" x14ac:dyDescent="0.25">
      <c r="A16" s="276">
        <v>2005</v>
      </c>
      <c r="B16" s="279">
        <v>136.23307692307685</v>
      </c>
      <c r="C16" s="281">
        <v>10.427562623145228</v>
      </c>
    </row>
    <row r="17" spans="1:3" ht="16.5" x14ac:dyDescent="0.25">
      <c r="A17" s="276">
        <v>2006</v>
      </c>
      <c r="B17" s="279">
        <v>136.76764705882351</v>
      </c>
      <c r="C17" s="281">
        <v>9.515485753110406</v>
      </c>
    </row>
    <row r="18" spans="1:3" ht="16.5" x14ac:dyDescent="0.25">
      <c r="A18" s="276">
        <v>2007</v>
      </c>
      <c r="B18" s="279">
        <v>136.33338028169015</v>
      </c>
      <c r="C18" s="281">
        <v>11.677727267099042</v>
      </c>
    </row>
    <row r="19" spans="1:3" ht="16.5" x14ac:dyDescent="0.25">
      <c r="A19" s="276">
        <v>2008</v>
      </c>
      <c r="B19" s="279">
        <v>140.60030303030308</v>
      </c>
      <c r="C19" s="281">
        <v>9.0527970418154773</v>
      </c>
    </row>
    <row r="20" spans="1:3" ht="16.5" x14ac:dyDescent="0.25">
      <c r="A20" s="276">
        <v>2009</v>
      </c>
      <c r="B20" s="279">
        <v>144.38166666666669</v>
      </c>
      <c r="C20" s="281">
        <v>11.174657068834852</v>
      </c>
    </row>
    <row r="21" spans="1:3" ht="16.5" x14ac:dyDescent="0.25">
      <c r="A21" s="276">
        <v>2010</v>
      </c>
      <c r="B21" s="279">
        <v>153.94499999999999</v>
      </c>
      <c r="C21" s="281">
        <v>2.6375082938258148</v>
      </c>
    </row>
    <row r="22" spans="1:3" ht="16.5" x14ac:dyDescent="0.25">
      <c r="A22" s="276">
        <v>2011</v>
      </c>
      <c r="B22" s="279">
        <v>136.95791666666665</v>
      </c>
      <c r="C22" s="281">
        <v>10.363741132121316</v>
      </c>
    </row>
    <row r="23" spans="1:3" ht="16.5" x14ac:dyDescent="0.25">
      <c r="A23" s="276">
        <v>2012</v>
      </c>
      <c r="B23" s="279">
        <v>147.70128205128208</v>
      </c>
      <c r="C23" s="281">
        <v>12.374515658674262</v>
      </c>
    </row>
    <row r="24" spans="1:3" ht="16.5" x14ac:dyDescent="0.25">
      <c r="A24" s="276">
        <v>2013</v>
      </c>
      <c r="B24" s="279">
        <v>144.35849999999999</v>
      </c>
      <c r="C24" s="281">
        <v>14.706974893322569</v>
      </c>
    </row>
    <row r="25" spans="1:3" ht="16.5" x14ac:dyDescent="0.25">
      <c r="A25" s="276">
        <v>2014</v>
      </c>
      <c r="B25" s="279">
        <v>138.33353658536586</v>
      </c>
      <c r="C25" s="277">
        <v>17.920000000000002</v>
      </c>
    </row>
    <row r="26" spans="1:3" ht="16.5" x14ac:dyDescent="0.25">
      <c r="A26" s="276">
        <v>2016</v>
      </c>
      <c r="B26" s="279">
        <v>141.88</v>
      </c>
      <c r="C26" s="281">
        <v>8.0224867789013565</v>
      </c>
    </row>
    <row r="27" spans="1:3" ht="16.5" x14ac:dyDescent="0.25">
      <c r="A27" s="276">
        <v>2017</v>
      </c>
      <c r="B27" s="279">
        <v>126.59</v>
      </c>
      <c r="C27" s="281">
        <v>8.2599599742075185</v>
      </c>
    </row>
    <row r="28" spans="1:3" x14ac:dyDescent="0.25">
      <c r="C28" s="27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27" sqref="C27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6" t="s">
        <v>527</v>
      </c>
      <c r="C1" s="277" t="s">
        <v>499</v>
      </c>
    </row>
    <row r="2" spans="1:3" ht="16.5" x14ac:dyDescent="0.25">
      <c r="A2" s="276">
        <v>1990</v>
      </c>
      <c r="B2" s="279">
        <v>133.86956521739131</v>
      </c>
      <c r="C2" s="281">
        <v>10.826332997188288</v>
      </c>
    </row>
    <row r="3" spans="1:3" ht="16.5" x14ac:dyDescent="0.25">
      <c r="A3" s="276">
        <v>1991</v>
      </c>
      <c r="B3" s="279">
        <v>138.38235294117646</v>
      </c>
      <c r="C3" s="281">
        <v>16.450135314691412</v>
      </c>
    </row>
    <row r="4" spans="1:3" ht="16.5" x14ac:dyDescent="0.25">
      <c r="A4" s="276">
        <v>1992</v>
      </c>
      <c r="B4" s="279">
        <v>128.28846153846155</v>
      </c>
      <c r="C4" s="281">
        <v>10.724867280888894</v>
      </c>
    </row>
    <row r="5" spans="1:3" ht="16.5" x14ac:dyDescent="0.25">
      <c r="A5" s="276">
        <v>1993</v>
      </c>
      <c r="B5" s="279">
        <v>139.05940594059405</v>
      </c>
      <c r="C5" s="281">
        <v>8.1973432064031773</v>
      </c>
    </row>
    <row r="6" spans="1:3" ht="16.5" x14ac:dyDescent="0.25">
      <c r="A6" s="276">
        <v>1994</v>
      </c>
      <c r="B6" s="279">
        <v>137.62264150943398</v>
      </c>
      <c r="C6" s="281">
        <v>14.928324156415313</v>
      </c>
    </row>
    <row r="7" spans="1:3" ht="16.5" x14ac:dyDescent="0.25">
      <c r="A7" s="276">
        <v>1995</v>
      </c>
      <c r="B7" s="279">
        <v>129.66666666666666</v>
      </c>
      <c r="C7" s="281">
        <v>10.35187375901487</v>
      </c>
    </row>
    <row r="8" spans="1:3" ht="16.5" x14ac:dyDescent="0.25">
      <c r="A8" s="276">
        <v>1996</v>
      </c>
      <c r="B8" s="279">
        <v>141.0612244897959</v>
      </c>
      <c r="C8" s="281">
        <v>7.2468618589511635</v>
      </c>
    </row>
    <row r="9" spans="1:3" ht="16.5" x14ac:dyDescent="0.25">
      <c r="A9" s="276">
        <v>1997</v>
      </c>
      <c r="B9" s="279">
        <v>129.87557603686636</v>
      </c>
      <c r="C9" s="281">
        <v>12.305080355697147</v>
      </c>
    </row>
    <row r="10" spans="1:3" ht="16.5" x14ac:dyDescent="0.25">
      <c r="A10" s="276">
        <v>1998</v>
      </c>
      <c r="B10" s="279">
        <v>130.20754716981133</v>
      </c>
      <c r="C10" s="281">
        <v>11.042502661162038</v>
      </c>
    </row>
    <row r="11" spans="1:3" ht="16.5" x14ac:dyDescent="0.25">
      <c r="A11" s="276">
        <v>1999</v>
      </c>
      <c r="B11" s="279">
        <v>135.87234042553192</v>
      </c>
      <c r="C11" s="281">
        <v>10.981440907427872</v>
      </c>
    </row>
    <row r="12" spans="1:3" ht="16.5" x14ac:dyDescent="0.25">
      <c r="A12" s="276">
        <v>2000</v>
      </c>
      <c r="B12" s="279">
        <v>145.82499999999999</v>
      </c>
      <c r="C12" s="281">
        <v>11.74494235345904</v>
      </c>
    </row>
    <row r="13" spans="1:3" ht="16.5" x14ac:dyDescent="0.25">
      <c r="A13" s="276">
        <v>2001</v>
      </c>
      <c r="B13" s="279">
        <v>137.98850574712642</v>
      </c>
      <c r="C13" s="281">
        <v>10.666720963507887</v>
      </c>
    </row>
    <row r="14" spans="1:3" ht="16.5" x14ac:dyDescent="0.25">
      <c r="A14" s="276">
        <v>2002</v>
      </c>
      <c r="B14" s="279">
        <v>133.22674418604652</v>
      </c>
      <c r="C14" s="281">
        <v>11.793088712651535</v>
      </c>
    </row>
    <row r="15" spans="1:3" ht="16.5" x14ac:dyDescent="0.25">
      <c r="A15" s="276">
        <v>2003</v>
      </c>
      <c r="B15" s="279">
        <v>129.55072463768116</v>
      </c>
      <c r="C15" s="281">
        <v>10.864860021680336</v>
      </c>
    </row>
    <row r="16" spans="1:3" ht="16.5" x14ac:dyDescent="0.25">
      <c r="A16" s="276">
        <v>2004</v>
      </c>
      <c r="B16" s="279">
        <v>132.7248888888889</v>
      </c>
      <c r="C16" s="281">
        <v>10.015359467758236</v>
      </c>
    </row>
    <row r="17" spans="1:3" ht="16.5" x14ac:dyDescent="0.25">
      <c r="A17" s="276">
        <v>2005</v>
      </c>
      <c r="B17" s="279">
        <v>134.70522222222215</v>
      </c>
      <c r="C17" s="281">
        <v>12.071708519479582</v>
      </c>
    </row>
    <row r="18" spans="1:3" ht="16.5" x14ac:dyDescent="0.25">
      <c r="A18" s="276">
        <v>2006</v>
      </c>
      <c r="B18" s="279">
        <v>134.44599999999997</v>
      </c>
      <c r="C18" s="281">
        <v>10.624859330338152</v>
      </c>
    </row>
    <row r="19" spans="1:3" ht="16.5" x14ac:dyDescent="0.25">
      <c r="A19" s="276">
        <v>2007</v>
      </c>
      <c r="B19" s="279">
        <v>134.37576576576581</v>
      </c>
      <c r="C19" s="281">
        <v>11.92275940830276</v>
      </c>
    </row>
    <row r="20" spans="1:3" ht="16.5" x14ac:dyDescent="0.25">
      <c r="A20" s="276">
        <v>2008</v>
      </c>
      <c r="B20" s="279">
        <v>138.47600000000003</v>
      </c>
      <c r="C20" s="281">
        <v>9.5477493875440089</v>
      </c>
    </row>
    <row r="21" spans="1:3" ht="16.5" x14ac:dyDescent="0.25">
      <c r="A21" s="276">
        <v>2009</v>
      </c>
      <c r="B21" s="279">
        <v>148.78162790697669</v>
      </c>
      <c r="C21" s="281">
        <v>12.234733525078463</v>
      </c>
    </row>
    <row r="22" spans="1:3" ht="16.5" x14ac:dyDescent="0.25">
      <c r="A22" s="276">
        <v>2010</v>
      </c>
      <c r="B22" s="279">
        <v>146.77526315789473</v>
      </c>
      <c r="C22" s="281">
        <v>7.2677631958770537</v>
      </c>
    </row>
    <row r="23" spans="1:3" ht="16.5" x14ac:dyDescent="0.25">
      <c r="A23" s="276">
        <v>2011</v>
      </c>
      <c r="B23" s="279">
        <v>131.6373214285714</v>
      </c>
      <c r="C23" s="281">
        <v>12.545366474022687</v>
      </c>
    </row>
    <row r="24" spans="1:3" ht="16.5" x14ac:dyDescent="0.25">
      <c r="A24" s="276">
        <v>2012</v>
      </c>
      <c r="B24" s="279">
        <v>143.83632911392408</v>
      </c>
      <c r="C24" s="281">
        <v>13.152096369626262</v>
      </c>
    </row>
    <row r="25" spans="1:3" ht="16.5" x14ac:dyDescent="0.25">
      <c r="A25" s="276">
        <v>2013</v>
      </c>
      <c r="B25" s="279">
        <v>142.97354166666665</v>
      </c>
      <c r="C25" s="281">
        <v>14.541484674936939</v>
      </c>
    </row>
    <row r="26" spans="1:3" ht="16.5" x14ac:dyDescent="0.25">
      <c r="A26" s="276">
        <v>2014</v>
      </c>
      <c r="B26" s="279">
        <v>137.51</v>
      </c>
      <c r="C26" s="277">
        <v>17.53</v>
      </c>
    </row>
    <row r="27" spans="1:3" ht="16.5" x14ac:dyDescent="0.25">
      <c r="A27" s="276">
        <v>2016</v>
      </c>
      <c r="B27" s="279">
        <v>140.47999999999999</v>
      </c>
      <c r="C27" s="281">
        <v>9.1739797668135683</v>
      </c>
    </row>
    <row r="28" spans="1:3" ht="16.5" x14ac:dyDescent="0.25">
      <c r="A28" s="276">
        <v>2017</v>
      </c>
      <c r="B28" s="279">
        <v>127.96</v>
      </c>
      <c r="C28" s="281">
        <v>13.146557502860242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20" sqref="C20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8" t="s">
        <v>526</v>
      </c>
      <c r="C1" s="277" t="s">
        <v>499</v>
      </c>
    </row>
    <row r="2" spans="1:3" ht="16.5" x14ac:dyDescent="0.25">
      <c r="A2" s="276">
        <v>1990</v>
      </c>
      <c r="B2" s="280">
        <v>128.19999999999999</v>
      </c>
      <c r="C2" s="282">
        <v>19.728152473052329</v>
      </c>
    </row>
    <row r="3" spans="1:3" ht="16.5" x14ac:dyDescent="0.25">
      <c r="A3" s="276">
        <v>1991</v>
      </c>
      <c r="B3" s="280">
        <v>146</v>
      </c>
      <c r="C3" s="282"/>
    </row>
    <row r="4" spans="1:3" ht="16.5" x14ac:dyDescent="0.25">
      <c r="A4" s="276">
        <v>1992</v>
      </c>
      <c r="B4" s="280">
        <v>141.4</v>
      </c>
      <c r="C4" s="282">
        <v>12.528823910145301</v>
      </c>
    </row>
    <row r="5" spans="1:3" ht="16.5" x14ac:dyDescent="0.25">
      <c r="A5" s="276">
        <v>1993</v>
      </c>
      <c r="B5" s="280">
        <v>153.22222222222223</v>
      </c>
      <c r="C5" s="282">
        <v>5.2625511346156486</v>
      </c>
    </row>
    <row r="6" spans="1:3" ht="16.5" x14ac:dyDescent="0.25">
      <c r="A6" s="276">
        <v>1994</v>
      </c>
      <c r="B6" s="280">
        <v>152.28571428571428</v>
      </c>
      <c r="C6" s="282">
        <v>6.5246784266681335</v>
      </c>
    </row>
    <row r="7" spans="1:3" ht="16.5" x14ac:dyDescent="0.25">
      <c r="A7" s="276">
        <v>1995</v>
      </c>
      <c r="B7" s="280">
        <v>142</v>
      </c>
      <c r="C7" s="282">
        <v>9.7638790105845388</v>
      </c>
    </row>
    <row r="8" spans="1:3" ht="16.5" x14ac:dyDescent="0.25">
      <c r="A8" s="276">
        <v>1996</v>
      </c>
      <c r="B8" s="280">
        <v>150</v>
      </c>
      <c r="C8" s="282"/>
    </row>
    <row r="9" spans="1:3" ht="16.5" x14ac:dyDescent="0.25">
      <c r="A9" s="276">
        <v>1997</v>
      </c>
      <c r="B9" s="280">
        <v>145.10526315789474</v>
      </c>
      <c r="C9" s="282">
        <v>7.03873991912777</v>
      </c>
    </row>
    <row r="10" spans="1:3" ht="16.5" x14ac:dyDescent="0.25">
      <c r="A10" s="276">
        <v>1998</v>
      </c>
      <c r="B10" s="280">
        <v>145</v>
      </c>
      <c r="C10" s="282">
        <v>8.5440037453175304</v>
      </c>
    </row>
    <row r="11" spans="1:3" ht="16.5" x14ac:dyDescent="0.25">
      <c r="A11" s="276">
        <v>2000</v>
      </c>
      <c r="B11" s="280">
        <v>150</v>
      </c>
      <c r="C11" s="282">
        <v>0</v>
      </c>
    </row>
    <row r="12" spans="1:3" ht="16.5" x14ac:dyDescent="0.25">
      <c r="A12" s="276">
        <v>2001</v>
      </c>
      <c r="B12" s="280">
        <v>157</v>
      </c>
      <c r="C12" s="282"/>
    </row>
    <row r="13" spans="1:3" ht="16.5" x14ac:dyDescent="0.25">
      <c r="A13" s="276">
        <v>2002</v>
      </c>
      <c r="B13" s="280">
        <v>141.5</v>
      </c>
      <c r="C13" s="282">
        <v>9.5767575783396399</v>
      </c>
    </row>
    <row r="14" spans="1:3" ht="16.5" x14ac:dyDescent="0.25">
      <c r="A14" s="276">
        <v>2003</v>
      </c>
      <c r="B14" s="280">
        <v>152.4</v>
      </c>
      <c r="C14" s="282">
        <v>14.99333185119305</v>
      </c>
    </row>
    <row r="15" spans="1:3" ht="16.5" x14ac:dyDescent="0.25">
      <c r="A15" s="276">
        <v>2004</v>
      </c>
      <c r="B15" s="280">
        <v>150.21</v>
      </c>
      <c r="C15" s="282"/>
    </row>
    <row r="16" spans="1:3" ht="16.5" x14ac:dyDescent="0.25">
      <c r="A16" s="276">
        <v>2005</v>
      </c>
      <c r="B16" s="280">
        <v>141.81666666666666</v>
      </c>
      <c r="C16" s="282">
        <v>15.692279418023796</v>
      </c>
    </row>
    <row r="17" spans="1:3" ht="16.5" x14ac:dyDescent="0.25">
      <c r="A17" s="276">
        <v>2006</v>
      </c>
      <c r="B17" s="280">
        <v>152.08000000000001</v>
      </c>
      <c r="C17" s="282"/>
    </row>
    <row r="18" spans="1:3" ht="16.5" x14ac:dyDescent="0.25">
      <c r="A18" s="276">
        <v>2007</v>
      </c>
      <c r="B18" s="280">
        <v>154.88</v>
      </c>
      <c r="C18" s="282"/>
    </row>
    <row r="19" spans="1:3" ht="16.5" x14ac:dyDescent="0.25">
      <c r="A19" s="276">
        <v>2010</v>
      </c>
      <c r="B19" s="280">
        <v>165.76</v>
      </c>
      <c r="C19" s="282">
        <v>6.0709389718559992</v>
      </c>
    </row>
    <row r="20" spans="1:3" ht="16.5" x14ac:dyDescent="0.25">
      <c r="A20" s="276">
        <v>2011</v>
      </c>
      <c r="B20" s="280">
        <v>136.84074074074073</v>
      </c>
      <c r="C20" s="282">
        <v>8.7408765296806763</v>
      </c>
    </row>
    <row r="21" spans="1:3" ht="16.5" x14ac:dyDescent="0.25">
      <c r="A21" s="276">
        <v>2012</v>
      </c>
      <c r="B21" s="280">
        <v>165.14</v>
      </c>
      <c r="C21" s="282"/>
    </row>
    <row r="22" spans="1:3" ht="16.5" x14ac:dyDescent="0.25">
      <c r="A22" s="276">
        <v>2013</v>
      </c>
      <c r="B22" s="280">
        <v>141.82</v>
      </c>
      <c r="C22" s="277"/>
    </row>
    <row r="23" spans="1:3" ht="16.5" x14ac:dyDescent="0.25">
      <c r="A23" s="276">
        <v>2016</v>
      </c>
      <c r="B23" s="280">
        <v>134</v>
      </c>
      <c r="C23" s="277"/>
    </row>
    <row r="24" spans="1:3" ht="16.5" x14ac:dyDescent="0.25">
      <c r="A24" s="276">
        <v>2017</v>
      </c>
      <c r="B24" s="280">
        <v>142.5</v>
      </c>
      <c r="C24" s="27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topLeftCell="A5" workbookViewId="0"/>
  </sheetViews>
  <sheetFormatPr defaultColWidth="17.28515625" defaultRowHeight="15" customHeight="1" x14ac:dyDescent="0.2"/>
  <cols>
    <col min="1" max="1" width="6.7109375" customWidth="1"/>
    <col min="2" max="2" width="5.28515625" customWidth="1"/>
    <col min="3" max="3" width="10.85546875" customWidth="1"/>
    <col min="4" max="9" width="12.85546875" customWidth="1"/>
    <col min="10" max="11" width="13.85546875" customWidth="1"/>
    <col min="12" max="13" width="10.85546875" customWidth="1"/>
    <col min="14" max="26" width="11.42578125" customWidth="1"/>
  </cols>
  <sheetData>
    <row r="1" spans="1:26" ht="12.75" customHeight="1" x14ac:dyDescent="0.2">
      <c r="A1" s="45"/>
      <c r="B1" s="10"/>
      <c r="C1" s="10" t="s">
        <v>360</v>
      </c>
      <c r="D1" s="10"/>
      <c r="E1" s="10"/>
      <c r="F1" s="10"/>
      <c r="G1" s="10"/>
      <c r="H1" s="10"/>
      <c r="I1" s="10"/>
      <c r="J1" s="10"/>
      <c r="K1" s="8"/>
      <c r="L1" s="8"/>
      <c r="M1" s="8"/>
    </row>
    <row r="2" spans="1:26" ht="12.75" customHeight="1" x14ac:dyDescent="0.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5">
      <c r="A3" s="179" t="s">
        <v>361</v>
      </c>
      <c r="B3" s="180" t="s">
        <v>362</v>
      </c>
      <c r="C3" s="180" t="s">
        <v>363</v>
      </c>
      <c r="D3" s="181" t="s">
        <v>364</v>
      </c>
      <c r="E3" s="181" t="s">
        <v>365</v>
      </c>
      <c r="F3" s="181" t="s">
        <v>366</v>
      </c>
      <c r="G3" s="181" t="s">
        <v>367</v>
      </c>
      <c r="H3" s="181" t="s">
        <v>368</v>
      </c>
      <c r="I3" s="181" t="s">
        <v>369</v>
      </c>
      <c r="J3" s="179"/>
      <c r="K3" s="179"/>
      <c r="L3" s="179"/>
      <c r="M3" s="182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</row>
    <row r="4" spans="1:26" ht="13.5" customHeight="1" x14ac:dyDescent="0.2">
      <c r="A4" s="183">
        <v>1990</v>
      </c>
      <c r="B4" s="184">
        <v>20</v>
      </c>
      <c r="C4" s="185">
        <v>-0.28585576214502628</v>
      </c>
      <c r="D4" s="186">
        <v>47.272727272727273</v>
      </c>
      <c r="E4" s="51">
        <v>3.8461538461538463</v>
      </c>
      <c r="F4" s="51">
        <v>137.4</v>
      </c>
      <c r="G4" s="51">
        <v>143.03846153846155</v>
      </c>
      <c r="H4" s="144">
        <v>14.033333333333333</v>
      </c>
      <c r="I4" s="144">
        <v>11.942105263157897</v>
      </c>
      <c r="J4" s="183"/>
      <c r="K4" s="183"/>
      <c r="L4" s="183"/>
      <c r="M4" s="182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</row>
    <row r="5" spans="1:26" ht="13.5" customHeight="1" x14ac:dyDescent="0.2">
      <c r="A5" s="183">
        <v>1991</v>
      </c>
      <c r="B5" s="184">
        <v>20</v>
      </c>
      <c r="C5" s="185">
        <v>-0.77411808357359768</v>
      </c>
      <c r="D5" s="186">
        <v>95.744680851063833</v>
      </c>
      <c r="E5" s="51">
        <v>46.666666666666664</v>
      </c>
      <c r="F5" s="51">
        <v>156</v>
      </c>
      <c r="G5" s="51">
        <v>147.97142857142856</v>
      </c>
      <c r="H5" s="144">
        <v>21.5</v>
      </c>
      <c r="I5" s="144">
        <v>18.2</v>
      </c>
      <c r="J5" s="183"/>
      <c r="K5" s="183"/>
      <c r="L5" s="183"/>
      <c r="M5" s="182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</row>
    <row r="6" spans="1:26" ht="13.5" customHeight="1" x14ac:dyDescent="0.2">
      <c r="A6" s="183">
        <v>1992</v>
      </c>
      <c r="B6" s="184">
        <v>19</v>
      </c>
      <c r="C6" s="185">
        <v>-0.40041427366154531</v>
      </c>
      <c r="D6" s="186">
        <v>75.316455696202539</v>
      </c>
      <c r="E6" s="51">
        <v>92.436974789915965</v>
      </c>
      <c r="F6" s="51">
        <v>151.31578947368422</v>
      </c>
      <c r="G6" s="51">
        <v>137.44545454545454</v>
      </c>
      <c r="H6" s="144">
        <v>20.963157894736845</v>
      </c>
      <c r="I6" s="144">
        <v>13.875454545454547</v>
      </c>
      <c r="J6" s="183"/>
      <c r="K6" s="183"/>
      <c r="L6" s="183"/>
      <c r="M6" s="182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</row>
    <row r="7" spans="1:26" ht="13.5" customHeight="1" x14ac:dyDescent="0.2">
      <c r="A7" s="183">
        <v>1993</v>
      </c>
      <c r="B7" s="184">
        <v>20</v>
      </c>
      <c r="C7" s="185">
        <v>-0.59241524131169299</v>
      </c>
      <c r="D7" s="186">
        <v>90.666666666666657</v>
      </c>
      <c r="E7" s="51">
        <v>89.705882352941174</v>
      </c>
      <c r="F7" s="51">
        <v>164.33333333333334</v>
      </c>
      <c r="G7" s="51">
        <v>149.69354838709677</v>
      </c>
      <c r="H7" s="144">
        <v>21.509090909090908</v>
      </c>
      <c r="I7" s="144">
        <v>15.338461538461537</v>
      </c>
      <c r="J7" s="183"/>
      <c r="K7" s="183"/>
      <c r="L7" s="183"/>
      <c r="M7" s="182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</row>
    <row r="8" spans="1:26" ht="13.5" customHeight="1" x14ac:dyDescent="0.2">
      <c r="A8" s="183">
        <v>1994</v>
      </c>
      <c r="B8" s="184">
        <v>20</v>
      </c>
      <c r="C8" s="185">
        <v>-0.34389701125776534</v>
      </c>
      <c r="D8" s="186">
        <v>80.208333333333343</v>
      </c>
      <c r="E8" s="51">
        <v>55.844155844155843</v>
      </c>
      <c r="F8" s="51">
        <v>160.92307692307693</v>
      </c>
      <c r="G8" s="51">
        <v>149.09722222222223</v>
      </c>
      <c r="H8" s="144">
        <v>19.25</v>
      </c>
      <c r="I8" s="144">
        <v>12.49259259259259</v>
      </c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</row>
    <row r="9" spans="1:26" ht="13.5" customHeight="1" x14ac:dyDescent="0.2">
      <c r="A9" s="183">
        <v>1995</v>
      </c>
      <c r="B9" s="184">
        <v>20</v>
      </c>
      <c r="C9" s="185">
        <v>-0.49588485936724841</v>
      </c>
      <c r="D9" s="186">
        <v>78.145695364238406</v>
      </c>
      <c r="E9" s="51">
        <v>70.33898305084746</v>
      </c>
      <c r="F9" s="51">
        <v>151</v>
      </c>
      <c r="G9" s="51">
        <v>138.67777777777778</v>
      </c>
      <c r="H9" s="144">
        <v>17.783333333333331</v>
      </c>
      <c r="I9" s="144">
        <v>11.96129032258065</v>
      </c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</row>
    <row r="10" spans="1:26" ht="13.5" customHeight="1" x14ac:dyDescent="0.2">
      <c r="A10" s="183">
        <v>1996</v>
      </c>
      <c r="B10" s="184">
        <v>19</v>
      </c>
      <c r="C10" s="185">
        <v>0.35700589465558541</v>
      </c>
      <c r="D10" s="186">
        <v>96.296296296296291</v>
      </c>
      <c r="E10" s="51">
        <v>7.6923076923076925</v>
      </c>
      <c r="F10" s="51">
        <v>161</v>
      </c>
      <c r="G10" s="51">
        <v>149.47058823529412</v>
      </c>
      <c r="H10" s="144">
        <v>21</v>
      </c>
      <c r="I10" s="144">
        <v>11.857142857142858</v>
      </c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</row>
    <row r="11" spans="1:26" ht="13.5" customHeight="1" x14ac:dyDescent="0.2">
      <c r="A11" s="183">
        <v>1997</v>
      </c>
      <c r="B11" s="184">
        <v>12</v>
      </c>
      <c r="C11" s="185">
        <v>-0.35074585822315979</v>
      </c>
      <c r="D11" s="186">
        <v>89.783281733746136</v>
      </c>
      <c r="E11" s="51">
        <v>78.965517241379317</v>
      </c>
      <c r="F11" s="51">
        <v>155.52173913043478</v>
      </c>
      <c r="G11" s="51">
        <v>139.41434262948206</v>
      </c>
      <c r="H11" s="144">
        <v>18.109375</v>
      </c>
      <c r="I11" s="144">
        <v>12.077430555555555</v>
      </c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</row>
    <row r="12" spans="1:26" ht="13.5" customHeight="1" x14ac:dyDescent="0.2">
      <c r="A12" s="183">
        <v>1998</v>
      </c>
      <c r="B12" s="184">
        <v>16</v>
      </c>
      <c r="C12" s="185">
        <v>0.26220422764679252</v>
      </c>
      <c r="D12" s="186">
        <v>90.625</v>
      </c>
      <c r="E12" s="51">
        <v>24.137931034482758</v>
      </c>
      <c r="F12" s="51">
        <v>156.5</v>
      </c>
      <c r="G12" s="51">
        <v>137.65384615384616</v>
      </c>
      <c r="H12" s="144">
        <v>16.05</v>
      </c>
      <c r="I12" s="144">
        <v>10.981176470588235</v>
      </c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</row>
    <row r="13" spans="1:26" ht="13.5" customHeight="1" x14ac:dyDescent="0.2">
      <c r="A13" s="183">
        <v>1999</v>
      </c>
      <c r="B13" s="184">
        <v>16</v>
      </c>
      <c r="C13" s="185">
        <v>0.62462580502774501</v>
      </c>
      <c r="D13" s="186">
        <v>98.360655737704917</v>
      </c>
      <c r="E13" s="51">
        <v>16.666666666666664</v>
      </c>
      <c r="F13" s="144" t="s">
        <v>29</v>
      </c>
      <c r="G13" s="51">
        <v>144.80357142857142</v>
      </c>
      <c r="H13" s="144" t="s">
        <v>29</v>
      </c>
      <c r="I13" s="144">
        <v>12.728070175438596</v>
      </c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</row>
    <row r="14" spans="1:26" ht="13.5" customHeight="1" x14ac:dyDescent="0.2">
      <c r="A14" s="183">
        <v>2000</v>
      </c>
      <c r="B14" s="184">
        <v>20</v>
      </c>
      <c r="C14" s="185">
        <v>0.24477673785497381</v>
      </c>
      <c r="D14" s="186">
        <v>84.905660377358487</v>
      </c>
      <c r="E14" s="51">
        <v>6.666666666666667</v>
      </c>
      <c r="F14" s="51">
        <v>161</v>
      </c>
      <c r="G14" s="51">
        <v>155.85714285714286</v>
      </c>
      <c r="H14" s="144">
        <v>17.5</v>
      </c>
      <c r="I14" s="144">
        <v>12.083554292929291</v>
      </c>
      <c r="J14" s="182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</row>
    <row r="15" spans="1:26" ht="13.5" customHeight="1" x14ac:dyDescent="0.2">
      <c r="A15" s="183">
        <v>2001</v>
      </c>
      <c r="B15" s="184">
        <v>20</v>
      </c>
      <c r="C15" s="185">
        <v>4.1633517746278256E-2</v>
      </c>
      <c r="D15" s="186">
        <v>99.145299145299148</v>
      </c>
      <c r="E15" s="51">
        <v>18.103448275862068</v>
      </c>
      <c r="F15" s="51">
        <v>168</v>
      </c>
      <c r="G15" s="51">
        <v>147.2882882882883</v>
      </c>
      <c r="H15" s="144">
        <v>19.5</v>
      </c>
      <c r="I15" s="144">
        <v>12.438181818181819</v>
      </c>
      <c r="J15" s="182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</row>
    <row r="16" spans="1:26" ht="13.5" customHeight="1" x14ac:dyDescent="0.2">
      <c r="A16" s="183">
        <v>2002</v>
      </c>
      <c r="B16" s="184">
        <v>16</v>
      </c>
      <c r="C16" s="185">
        <v>-4.1613047617756915E-2</v>
      </c>
      <c r="D16" s="186">
        <v>96.666666666666671</v>
      </c>
      <c r="E16" s="51">
        <v>57.47126436781609</v>
      </c>
      <c r="F16" s="51">
        <v>151.75</v>
      </c>
      <c r="G16" s="51">
        <v>141.51028806584361</v>
      </c>
      <c r="H16" s="144">
        <v>17.777777777777779</v>
      </c>
      <c r="I16" s="144">
        <v>12.021400778210117</v>
      </c>
      <c r="J16" s="182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</row>
    <row r="17" spans="1:26" ht="13.5" customHeight="1" x14ac:dyDescent="0.2">
      <c r="A17" s="183">
        <v>2003</v>
      </c>
      <c r="B17" s="184">
        <v>16</v>
      </c>
      <c r="C17" s="185">
        <v>8.3545113504554902E-2</v>
      </c>
      <c r="D17" s="186">
        <v>92.405063291139243</v>
      </c>
      <c r="E17" s="51">
        <v>79.452054794520549</v>
      </c>
      <c r="F17" s="51">
        <v>163.4</v>
      </c>
      <c r="G17" s="51">
        <v>138.89855072463769</v>
      </c>
      <c r="H17" s="144">
        <v>18.633333333333333</v>
      </c>
      <c r="I17" s="144">
        <v>12.998550724637681</v>
      </c>
      <c r="J17" s="182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</row>
    <row r="18" spans="1:26" ht="13.5" customHeight="1" x14ac:dyDescent="0.2">
      <c r="A18" s="183">
        <v>2004</v>
      </c>
      <c r="B18" s="184">
        <v>20</v>
      </c>
      <c r="C18" s="185">
        <v>0.65979831680234224</v>
      </c>
      <c r="D18" s="186">
        <v>98.136645962732914</v>
      </c>
      <c r="E18" s="51">
        <v>39.24050632911392</v>
      </c>
      <c r="F18" s="51">
        <v>161</v>
      </c>
      <c r="G18" s="51">
        <v>140.14093959731542</v>
      </c>
      <c r="H18" s="144">
        <v>24</v>
      </c>
      <c r="I18" s="144">
        <v>11.584563758389262</v>
      </c>
      <c r="J18" s="182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</row>
    <row r="19" spans="1:26" ht="13.5" customHeight="1" x14ac:dyDescent="0.2">
      <c r="A19" s="183">
        <v>2005</v>
      </c>
      <c r="B19" s="184">
        <v>20</v>
      </c>
      <c r="C19" s="185">
        <v>0.35753371176069776</v>
      </c>
      <c r="D19" s="186">
        <v>94.545454545454547</v>
      </c>
      <c r="E19" s="51">
        <v>4.8076923076923084</v>
      </c>
      <c r="F19" s="51">
        <v>152</v>
      </c>
      <c r="G19" s="51">
        <v>142.80198019801981</v>
      </c>
      <c r="H19" s="144">
        <v>12.966666666666667</v>
      </c>
      <c r="I19" s="144">
        <v>9.8848484848484848</v>
      </c>
      <c r="J19" s="182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</row>
    <row r="20" spans="1:26" ht="13.5" customHeight="1" x14ac:dyDescent="0.2">
      <c r="A20" s="183">
        <v>2006</v>
      </c>
      <c r="B20" s="184">
        <v>12</v>
      </c>
      <c r="C20" s="185">
        <v>0.87281764123343297</v>
      </c>
      <c r="D20" s="186">
        <v>85.714285714285708</v>
      </c>
      <c r="E20" s="51">
        <v>4.1666666666666661</v>
      </c>
      <c r="F20" s="51">
        <v>163</v>
      </c>
      <c r="G20" s="51">
        <v>143.5</v>
      </c>
      <c r="H20" s="144">
        <v>19.8</v>
      </c>
      <c r="I20" s="144">
        <v>9.1681818181818198</v>
      </c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</row>
    <row r="21" spans="1:26" ht="13.5" customHeight="1" x14ac:dyDescent="0.2">
      <c r="A21" s="183">
        <v>2007</v>
      </c>
      <c r="B21" s="184">
        <v>20</v>
      </c>
      <c r="C21" s="185">
        <v>-5.5818262145026186E-2</v>
      </c>
      <c r="D21" s="186">
        <v>99.333333333333329</v>
      </c>
      <c r="E21" s="51">
        <v>32.885906040268459</v>
      </c>
      <c r="F21" s="51">
        <v>166</v>
      </c>
      <c r="G21" s="51">
        <v>143.36170212765958</v>
      </c>
      <c r="H21" s="144">
        <v>21.5</v>
      </c>
      <c r="I21" s="144">
        <v>12.396071428571426</v>
      </c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</row>
    <row r="22" spans="1:26" ht="13.5" customHeight="1" x14ac:dyDescent="0.2">
      <c r="A22" s="183">
        <v>2008</v>
      </c>
      <c r="B22" s="184">
        <v>20</v>
      </c>
      <c r="C22" s="185">
        <v>-0.13128855976407375</v>
      </c>
      <c r="D22" s="186">
        <v>100</v>
      </c>
      <c r="E22" s="51">
        <v>39.603960396039604</v>
      </c>
      <c r="F22" s="144" t="s">
        <v>29</v>
      </c>
      <c r="G22" s="51">
        <v>144.58426966292134</v>
      </c>
      <c r="H22" s="144" t="s">
        <v>29</v>
      </c>
      <c r="I22" s="144">
        <v>12.388043478260871</v>
      </c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</row>
    <row r="23" spans="1:26" ht="13.5" customHeight="1" x14ac:dyDescent="0.2">
      <c r="A23" s="183">
        <v>2009</v>
      </c>
      <c r="B23" s="184">
        <v>16</v>
      </c>
      <c r="C23" s="185">
        <v>-6.3000832547043667E-3</v>
      </c>
      <c r="D23" s="186">
        <v>82.857142857142861</v>
      </c>
      <c r="E23" s="51">
        <v>72.41379310344827</v>
      </c>
      <c r="F23" s="144" t="s">
        <v>29</v>
      </c>
      <c r="G23" s="51">
        <v>159.22916666666666</v>
      </c>
      <c r="H23" s="144" t="s">
        <v>29</v>
      </c>
      <c r="I23" s="144">
        <v>12.604444444444445</v>
      </c>
      <c r="J23" s="182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</row>
    <row r="24" spans="1:26" ht="13.5" customHeight="1" x14ac:dyDescent="0.2">
      <c r="A24" s="183">
        <v>2010</v>
      </c>
      <c r="B24" s="184">
        <v>16</v>
      </c>
      <c r="C24" s="185">
        <v>1.0646809637579036</v>
      </c>
      <c r="D24" s="186">
        <v>79.411764705882348</v>
      </c>
      <c r="E24" s="51">
        <v>88.888888888888886</v>
      </c>
      <c r="F24" s="51">
        <v>172.66666666666666</v>
      </c>
      <c r="G24" s="51">
        <v>156.91666666666666</v>
      </c>
      <c r="H24" s="144">
        <v>18.916666666666668</v>
      </c>
      <c r="I24" s="144">
        <v>12.488</v>
      </c>
      <c r="J24" s="182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</row>
    <row r="25" spans="1:26" ht="13.5" customHeight="1" x14ac:dyDescent="0.2">
      <c r="A25" s="183">
        <v>2011</v>
      </c>
      <c r="B25" s="187" t="s">
        <v>29</v>
      </c>
      <c r="C25" s="187" t="s">
        <v>29</v>
      </c>
      <c r="D25" s="186">
        <v>71.428571428571431</v>
      </c>
      <c r="E25" s="51">
        <v>51.68539325842697</v>
      </c>
      <c r="F25" s="51">
        <v>146.51724137931035</v>
      </c>
      <c r="G25" s="51">
        <v>139.92207792207793</v>
      </c>
      <c r="H25" s="144">
        <v>12.969696969696969</v>
      </c>
      <c r="I25" s="144">
        <v>19.266249999999999</v>
      </c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</row>
    <row r="26" spans="1:26" ht="13.5" customHeight="1" x14ac:dyDescent="0.2">
      <c r="A26" s="183">
        <v>2012</v>
      </c>
      <c r="B26" s="187" t="s">
        <v>29</v>
      </c>
      <c r="C26" s="187" t="s">
        <v>29</v>
      </c>
      <c r="D26" s="186">
        <v>92.035398230088489</v>
      </c>
      <c r="E26" s="51">
        <v>33.653846153846153</v>
      </c>
      <c r="F26" s="51">
        <v>168.5</v>
      </c>
      <c r="G26" s="51">
        <v>152.91</v>
      </c>
      <c r="H26" s="144">
        <v>17.600000000000001</v>
      </c>
      <c r="I26" s="144">
        <v>9.8333333333333321</v>
      </c>
      <c r="J26" s="182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</row>
    <row r="27" spans="1:26" ht="14.25" customHeight="1" x14ac:dyDescent="0.2">
      <c r="A27" s="183">
        <v>2013</v>
      </c>
      <c r="B27" s="8"/>
      <c r="C27" s="8"/>
      <c r="D27" s="188">
        <v>93.33</v>
      </c>
      <c r="E27" s="49">
        <v>24.29</v>
      </c>
      <c r="F27" s="49">
        <v>168.5</v>
      </c>
      <c r="G27" s="49">
        <v>150</v>
      </c>
      <c r="H27" s="49">
        <v>20.5</v>
      </c>
      <c r="I27" s="49">
        <v>10.61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 customHeight="1" x14ac:dyDescent="0.2">
      <c r="A28" s="49">
        <v>2014</v>
      </c>
      <c r="B28" s="8"/>
      <c r="C28" s="8"/>
      <c r="D28" s="188">
        <v>97.83</v>
      </c>
      <c r="E28" s="49">
        <v>8.89</v>
      </c>
      <c r="F28" s="138" t="s">
        <v>29</v>
      </c>
      <c r="G28" s="49">
        <v>145.33000000000001</v>
      </c>
      <c r="H28" s="138" t="s">
        <v>29</v>
      </c>
      <c r="I28" s="49">
        <v>10.88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 customHeight="1" x14ac:dyDescent="0.2">
      <c r="A29" s="49">
        <v>2016</v>
      </c>
      <c r="B29" s="8"/>
      <c r="C29" s="11"/>
      <c r="D29" s="188">
        <v>90</v>
      </c>
      <c r="E29" s="49">
        <v>22.22</v>
      </c>
      <c r="F29" s="49">
        <v>122.67</v>
      </c>
      <c r="G29" s="49">
        <v>135.41999999999999</v>
      </c>
      <c r="H29" s="49">
        <v>12.33</v>
      </c>
      <c r="I29" s="49">
        <v>10.98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 customHeight="1" x14ac:dyDescent="0.2">
      <c r="A30" s="8"/>
      <c r="B30" s="8"/>
      <c r="C30" s="11"/>
      <c r="D30" s="1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 customHeight="1" x14ac:dyDescent="0.2">
      <c r="A31" s="8"/>
      <c r="B31" s="8"/>
      <c r="C31" s="11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 customHeight="1" x14ac:dyDescent="0.2">
      <c r="A32" s="8"/>
      <c r="B32" s="8"/>
      <c r="C32" s="11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 customHeight="1" x14ac:dyDescent="0.2">
      <c r="A33" s="8"/>
      <c r="B33" s="8"/>
      <c r="C33" s="11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 customHeight="1" x14ac:dyDescent="0.2">
      <c r="A34" s="8"/>
      <c r="B34" s="8"/>
      <c r="C34" s="11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 customHeight="1" x14ac:dyDescent="0.2">
      <c r="A35" s="8"/>
      <c r="B35" s="8"/>
      <c r="C35" s="11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 customHeight="1" x14ac:dyDescent="0.2">
      <c r="A36" s="8"/>
      <c r="B36" s="8"/>
      <c r="C36" s="11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 customHeight="1" x14ac:dyDescent="0.2">
      <c r="A37" s="8"/>
      <c r="B37" s="8"/>
      <c r="C37" s="11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 customHeight="1" x14ac:dyDescent="0.2">
      <c r="A38" s="8"/>
      <c r="B38" s="8"/>
      <c r="C38" s="11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 customHeight="1" x14ac:dyDescent="0.2">
      <c r="A39" s="8"/>
      <c r="B39" s="8"/>
      <c r="C39" s="11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 customHeight="1" x14ac:dyDescent="0.2">
      <c r="A40" s="8"/>
      <c r="B40" s="8"/>
      <c r="C40" s="11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 customHeight="1" x14ac:dyDescent="0.2">
      <c r="A41" s="8"/>
      <c r="B41" s="8"/>
      <c r="C41" s="11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 customHeight="1" x14ac:dyDescent="0.2">
      <c r="A42" s="8"/>
      <c r="B42" s="8"/>
      <c r="C42" s="11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 customHeight="1" x14ac:dyDescent="0.2">
      <c r="A43" s="8"/>
      <c r="B43" s="8"/>
      <c r="C43" s="11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 customHeight="1" x14ac:dyDescent="0.2">
      <c r="A44" s="8"/>
      <c r="B44" s="8"/>
      <c r="C44" s="11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 customHeight="1" x14ac:dyDescent="0.2">
      <c r="A45" s="8"/>
      <c r="B45" s="8"/>
      <c r="C45" s="11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 customHeight="1" x14ac:dyDescent="0.2">
      <c r="A46" s="8"/>
      <c r="B46" s="8"/>
      <c r="C46" s="1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 customHeight="1" x14ac:dyDescent="0.2">
      <c r="A47" s="8"/>
      <c r="B47" s="8"/>
      <c r="C47" s="11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 customHeight="1" x14ac:dyDescent="0.2">
      <c r="A48" s="8"/>
      <c r="B48" s="8"/>
      <c r="C48" s="11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 customHeight="1" x14ac:dyDescent="0.2">
      <c r="A49" s="8"/>
      <c r="B49" s="8"/>
      <c r="C49" s="11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 customHeight="1" x14ac:dyDescent="0.2">
      <c r="A50" s="8"/>
      <c r="B50" s="8"/>
      <c r="C50" s="11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 customHeight="1" x14ac:dyDescent="0.2">
      <c r="A51" s="8"/>
      <c r="B51" s="8"/>
      <c r="C51" s="11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 customHeight="1" x14ac:dyDescent="0.2">
      <c r="A52" s="8"/>
      <c r="B52" s="8"/>
      <c r="C52" s="11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 customHeight="1" x14ac:dyDescent="0.2">
      <c r="A53" s="8"/>
      <c r="B53" s="8"/>
      <c r="C53" s="11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 customHeight="1" x14ac:dyDescent="0.2">
      <c r="A54" s="8"/>
      <c r="B54" s="8"/>
      <c r="C54" s="11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</vt:lpstr>
      <vt:lpstr>SumTbl</vt:lpstr>
      <vt:lpstr>SumTblValueOnly</vt:lpstr>
      <vt:lpstr>Energy</vt:lpstr>
      <vt:lpstr>BeachDem spawn</vt:lpstr>
      <vt:lpstr>Davoren Spawn</vt:lpstr>
      <vt:lpstr>Capelin charts</vt:lpstr>
      <vt:lpstr>% Gr-Sp Grphs</vt:lpstr>
      <vt:lpstr>Gr_Cond</vt:lpstr>
      <vt:lpstr>Sp_Cond</vt:lpstr>
      <vt:lpstr>F_Cond</vt:lpstr>
      <vt:lpstr>M_Cond</vt:lpstr>
      <vt:lpstr>Gr_Lgth</vt:lpstr>
      <vt:lpstr>Sp_Lgth</vt:lpstr>
      <vt:lpstr>F_Lgth</vt:lpstr>
      <vt:lpstr>M_Lgth</vt:lpstr>
      <vt:lpstr>diet + TempSum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</dc:creator>
  <cp:lastModifiedBy>Regular, Paul</cp:lastModifiedBy>
  <dcterms:created xsi:type="dcterms:W3CDTF">2017-09-25T22:21:25Z</dcterms:created>
  <dcterms:modified xsi:type="dcterms:W3CDTF">2017-11-10T17:50:28Z</dcterms:modified>
</cp:coreProperties>
</file>