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33.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39.xml"/>
  <Override ContentType="application/vnd.openxmlformats-officedocument.spreadsheetml.pivotTable+xml" PartName="/xl/pivotTables/pivotTable11.xml"/>
  <Override ContentType="application/vnd.openxmlformats-officedocument.spreadsheetml.pivotTable+xml" PartName="/xl/pivotTables/pivotTable26.xml"/>
  <Override ContentType="application/vnd.openxmlformats-officedocument.spreadsheetml.pivotTable+xml" PartName="/xl/pivotTables/pivotTable18.xml"/>
  <Override ContentType="application/vnd.openxmlformats-officedocument.spreadsheetml.pivotTable+xml" PartName="/xl/pivotTables/pivotTable3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27.xml"/>
  <Override ContentType="application/vnd.openxmlformats-officedocument.spreadsheetml.pivotTable+xml" PartName="/xl/pivotTables/pivotTable6.xml"/>
  <Override ContentType="application/vnd.openxmlformats-officedocument.spreadsheetml.pivotTable+xml" PartName="/xl/pivotTables/pivotTable3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31.xml"/>
  <Override ContentType="application/vnd.openxmlformats-officedocument.spreadsheetml.pivotTable+xml" PartName="/xl/pivotTables/pivotTable22.xml"/>
  <Override ContentType="application/vnd.openxmlformats-officedocument.spreadsheetml.pivotTable+xml" PartName="/xl/pivotTables/pivotTable28.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35.xml"/>
  <Override ContentType="application/vnd.openxmlformats-officedocument.spreadsheetml.pivotTable+xml" PartName="/xl/pivotTables/pivotTable13.xml"/>
  <Override ContentType="application/vnd.openxmlformats-officedocument.spreadsheetml.pivotTable+xml" PartName="/xl/pivotTables/pivotTable37.xml"/>
  <Override ContentType="application/vnd.openxmlformats-officedocument.spreadsheetml.pivotTable+xml" PartName="/xl/pivotTables/pivotTable5.xml"/>
  <Override ContentType="application/vnd.openxmlformats-officedocument.spreadsheetml.pivotTable+xml" PartName="/xl/pivotTables/pivotTable30.xml"/>
  <Override ContentType="application/vnd.openxmlformats-officedocument.spreadsheetml.pivotTable+xml" PartName="/xl/pivotTables/pivotTable2.xml"/>
  <Override ContentType="application/vnd.openxmlformats-officedocument.spreadsheetml.pivotTable+xml" PartName="/xl/pivotTables/pivotTable34.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29.xml"/>
  <Override ContentType="application/vnd.openxmlformats-officedocument.spreadsheetml.pivotTable+xml" PartName="/xl/pivotTables/pivotTable38.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26.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8.xml"/>
  <Override ContentType="application/vnd.openxmlformats-officedocument.drawingml.chart+xml" PartName="/xl/charts/chart17.xml"/>
  <Override ContentType="application/vnd.openxmlformats-officedocument.drawingml.chart+xml" PartName="/xl/charts/chart25.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3.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5.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5.xml"/>
  <Override ContentType="application/vnd.openxmlformats-officedocument.drawingml.chart+xml" PartName="/xl/charts/chart2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Card" sheetId="1" r:id="rId4"/>
    <sheet state="visible" name="Introduction " sheetId="2" r:id="rId5"/>
    <sheet state="visible" name="Data" sheetId="3" r:id="rId6"/>
    <sheet state="visible" name="Derived Continent Data" sheetId="4" r:id="rId7"/>
    <sheet state="visible" name="Breakdown by Continent" sheetId="5" r:id="rId8"/>
    <sheet state="visible" name="Breakdown (Asia)" sheetId="6" r:id="rId9"/>
    <sheet state="visible" name="Breakdown (Africa)" sheetId="7" r:id="rId10"/>
    <sheet state="visible" name="Breakdown (Europe)" sheetId="8" r:id="rId11"/>
    <sheet state="visible" name="Breakdown (N. America)" sheetId="9" r:id="rId12"/>
    <sheet state="visible" name="Breakdown (Oceania)" sheetId="10" r:id="rId13"/>
    <sheet state="visible" name="Breakdown (S. America)" sheetId="11" r:id="rId14"/>
    <sheet state="visible" name="Top Countries" sheetId="12" r:id="rId15"/>
    <sheet state="visible" name="Analysis (Text Summary)" sheetId="13" r:id="rId16"/>
  </sheets>
  <definedNames/>
  <calcPr/>
  <pivotCaches>
    <pivotCache cacheId="0" r:id="rId17"/>
  </pivotCaches>
</workbook>
</file>

<file path=xl/sharedStrings.xml><?xml version="1.0" encoding="utf-8"?>
<sst xmlns="http://schemas.openxmlformats.org/spreadsheetml/2006/main" count="1477" uniqueCount="257">
  <si>
    <t>This dataset provides comprehensive insights into total passenger car sales across 141 countries from the years 2005 to 2022. Each row represents a specific country, and the columns contain data for each year's passenger car sales. With 19 columns in total, including one for the country and the rest for sales data spanning 2005 to 2022, this dataset offers valuable information for analyzing global trends, conducting market research, and gaining insights into the automotive industry's dynamics over the years.</t>
  </si>
  <si>
    <r>
      <rPr>
        <rFont val="Arial"/>
        <b/>
        <color theme="1"/>
      </rPr>
      <t xml:space="preserve">INTRODUCTION &amp; DATA CLEANING
</t>
    </r>
    <r>
      <rPr>
        <rFont val="Arial"/>
        <color theme="1"/>
      </rPr>
      <t xml:space="preserve">The data sheet contains passenger car sales across 141 countries for a period. However, I wanted to look at it from a continental basis as well thus I derived data from the internet using formulae and index matched them to the data sheet. 
Some countries were spelled differently from the internet source thus, I had a column where I remapped the countries to have the same names to assist the match. This worked for all but three countries, Hong Kong, Burma, North Caledonia and Puerto Rico. 
This is because because Hong Kong is sometimes regarded as part of China, Burma was renamed to Myanmar, North Caledonia also sometimes regarded as part of France and Puerto Rico part of the USA. Thus their continents are manually named and not matched. 
</t>
    </r>
  </si>
  <si>
    <t>Cells with the headers in this colour have been created by the analyst to help with the analysis</t>
  </si>
  <si>
    <t>Country</t>
  </si>
  <si>
    <t>Continent</t>
  </si>
  <si>
    <t>2005 Sales</t>
  </si>
  <si>
    <t>2006 Sales</t>
  </si>
  <si>
    <t>2007 Sales</t>
  </si>
  <si>
    <t>2008 Sales</t>
  </si>
  <si>
    <t>2009 Sales</t>
  </si>
  <si>
    <t>2010 Sales</t>
  </si>
  <si>
    <t>2011 Sales</t>
  </si>
  <si>
    <t>2012 Sales</t>
  </si>
  <si>
    <t>2013 Sales</t>
  </si>
  <si>
    <t>2014 Sales</t>
  </si>
  <si>
    <t>2015 Sales</t>
  </si>
  <si>
    <t>2016 Sales</t>
  </si>
  <si>
    <t>2017 Sales</t>
  </si>
  <si>
    <t>2018 Sales</t>
  </si>
  <si>
    <t>2019 Sales</t>
  </si>
  <si>
    <t>2020 Sales</t>
  </si>
  <si>
    <t>2021 Sales</t>
  </si>
  <si>
    <t>2022 Sales</t>
  </si>
  <si>
    <t>China</t>
  </si>
  <si>
    <t>India</t>
  </si>
  <si>
    <t>Japan</t>
  </si>
  <si>
    <t>USA</t>
  </si>
  <si>
    <t>Germany</t>
  </si>
  <si>
    <t>UK</t>
  </si>
  <si>
    <t>Brazil</t>
  </si>
  <si>
    <t>France</t>
  </si>
  <si>
    <t>South Korea</t>
  </si>
  <si>
    <t>Italy</t>
  </si>
  <si>
    <t>Spain</t>
  </si>
  <si>
    <t>Indonesia</t>
  </si>
  <si>
    <t>Australia</t>
  </si>
  <si>
    <t>Russia</t>
  </si>
  <si>
    <t>Turkey</t>
  </si>
  <si>
    <t>Malaysia</t>
  </si>
  <si>
    <t>Saudi Arabia</t>
  </si>
  <si>
    <t>Mexico</t>
  </si>
  <si>
    <t>Poland</t>
  </si>
  <si>
    <t>Taiwan</t>
  </si>
  <si>
    <t>Belgium</t>
  </si>
  <si>
    <t>South Africa</t>
  </si>
  <si>
    <t>Thailand</t>
  </si>
  <si>
    <t>Netherlands</t>
  </si>
  <si>
    <t>Chile</t>
  </si>
  <si>
    <t>Sweden</t>
  </si>
  <si>
    <t>Vietnam</t>
  </si>
  <si>
    <t>Argentina</t>
  </si>
  <si>
    <t>Canada</t>
  </si>
  <si>
    <t>Israel</t>
  </si>
  <si>
    <t>Philippines</t>
  </si>
  <si>
    <t>Switzerland</t>
  </si>
  <si>
    <t>Austria</t>
  </si>
  <si>
    <t>Colombia</t>
  </si>
  <si>
    <t>Czechia</t>
  </si>
  <si>
    <t>Pakistan</t>
  </si>
  <si>
    <t>Norway</t>
  </si>
  <si>
    <t>UA Emirates</t>
  </si>
  <si>
    <t>Portugal</t>
  </si>
  <si>
    <t>Uzbekistan</t>
  </si>
  <si>
    <t>Denmark</t>
  </si>
  <si>
    <t>Morocco</t>
  </si>
  <si>
    <t>Egypt</t>
  </si>
  <si>
    <t>Romania</t>
  </si>
  <si>
    <t>Peru</t>
  </si>
  <si>
    <t>New Zealand</t>
  </si>
  <si>
    <t>Hungary</t>
  </si>
  <si>
    <t>Greece</t>
  </si>
  <si>
    <t>Ireland</t>
  </si>
  <si>
    <t>Ecuador</t>
  </si>
  <si>
    <t>Kazakhstan</t>
  </si>
  <si>
    <t>Kuwait</t>
  </si>
  <si>
    <t>Finland</t>
  </si>
  <si>
    <t>Slovakia</t>
  </si>
  <si>
    <t>Croatia</t>
  </si>
  <si>
    <t>Ukraine</t>
  </si>
  <si>
    <t>Bulgaria</t>
  </si>
  <si>
    <t>Albania</t>
  </si>
  <si>
    <t>Algeria</t>
  </si>
  <si>
    <t>Angola</t>
  </si>
  <si>
    <t>Armenia</t>
  </si>
  <si>
    <t>Azerbaijan</t>
  </si>
  <si>
    <t>Bahamas</t>
  </si>
  <si>
    <t>Bahrain</t>
  </si>
  <si>
    <t>Bangladesh</t>
  </si>
  <si>
    <t>Belarus</t>
  </si>
  <si>
    <t>Belize</t>
  </si>
  <si>
    <t>Bolivia</t>
  </si>
  <si>
    <t>Bosnia &amp; Herz.</t>
  </si>
  <si>
    <t>Botswana</t>
  </si>
  <si>
    <t>Brunei</t>
  </si>
  <si>
    <t>Burkina Faso</t>
  </si>
  <si>
    <t>Burma</t>
  </si>
  <si>
    <t>Burundi</t>
  </si>
  <si>
    <t>Cambodia</t>
  </si>
  <si>
    <t>Cameroon</t>
  </si>
  <si>
    <t>Costa Rica</t>
  </si>
  <si>
    <t>Cuba</t>
  </si>
  <si>
    <t>Cyprus</t>
  </si>
  <si>
    <t>Domin. Rep.</t>
  </si>
  <si>
    <t>DR Congo</t>
  </si>
  <si>
    <t>El Salvador</t>
  </si>
  <si>
    <t>Estonia</t>
  </si>
  <si>
    <t>Gabon</t>
  </si>
  <si>
    <t>Georgia</t>
  </si>
  <si>
    <t>Ghana</t>
  </si>
  <si>
    <t>Guatemala</t>
  </si>
  <si>
    <t>Guyana</t>
  </si>
  <si>
    <t>Honduras</t>
  </si>
  <si>
    <t>Hong Kong</t>
  </si>
  <si>
    <t>Asia</t>
  </si>
  <si>
    <t>Iceland</t>
  </si>
  <si>
    <t>Iran</t>
  </si>
  <si>
    <t>Iraq</t>
  </si>
  <si>
    <t>Ivory Coast</t>
  </si>
  <si>
    <t>Jamaica</t>
  </si>
  <si>
    <t>Jordan</t>
  </si>
  <si>
    <t>Kenya</t>
  </si>
  <si>
    <t>Kyrgyzstan</t>
  </si>
  <si>
    <t>Laos</t>
  </si>
  <si>
    <t>Latvia</t>
  </si>
  <si>
    <t>Lebanon</t>
  </si>
  <si>
    <t>Liberia</t>
  </si>
  <si>
    <t>Libya</t>
  </si>
  <si>
    <t>Lithuania</t>
  </si>
  <si>
    <t>Luxembourg</t>
  </si>
  <si>
    <t>Madagascar</t>
  </si>
  <si>
    <t>Malawi</t>
  </si>
  <si>
    <t>Malta</t>
  </si>
  <si>
    <t>Mauritius</t>
  </si>
  <si>
    <t>Moldova</t>
  </si>
  <si>
    <t>Mongolia</t>
  </si>
  <si>
    <t>N. Caledonia</t>
  </si>
  <si>
    <t>Europe</t>
  </si>
  <si>
    <t>Nepal</t>
  </si>
  <si>
    <t>Nicaragua</t>
  </si>
  <si>
    <t>Nigeria</t>
  </si>
  <si>
    <t>North Macedonia</t>
  </si>
  <si>
    <t>Oman</t>
  </si>
  <si>
    <t>Palestine</t>
  </si>
  <si>
    <t>Panama</t>
  </si>
  <si>
    <t>Paraguay</t>
  </si>
  <si>
    <t>Puerto Rico</t>
  </si>
  <si>
    <t>North America</t>
  </si>
  <si>
    <t>Qatar</t>
  </si>
  <si>
    <t>R. of Congo</t>
  </si>
  <si>
    <t>Senegal</t>
  </si>
  <si>
    <t>Serbia</t>
  </si>
  <si>
    <t>Singapore</t>
  </si>
  <si>
    <t>Slovenia</t>
  </si>
  <si>
    <t>Sri Lanka</t>
  </si>
  <si>
    <t>Sudan</t>
  </si>
  <si>
    <t>Syria</t>
  </si>
  <si>
    <t>Tajikistan</t>
  </si>
  <si>
    <t>Tanzania</t>
  </si>
  <si>
    <t>Tr.&amp;Tobago</t>
  </si>
  <si>
    <t>Tunisia</t>
  </si>
  <si>
    <t>Turkmenistan</t>
  </si>
  <si>
    <t>Uganda</t>
  </si>
  <si>
    <t>Uruguay</t>
  </si>
  <si>
    <t>Venezuela</t>
  </si>
  <si>
    <t>Yemen</t>
  </si>
  <si>
    <t>Zambia</t>
  </si>
  <si>
    <t>Zimbabwe</t>
  </si>
  <si>
    <t>Derived data using from the internet using formula</t>
  </si>
  <si>
    <t>Summarised for analysis</t>
  </si>
  <si>
    <t>Country Name (Cleaned Up to Match Original Data)</t>
  </si>
  <si>
    <t>Andorra</t>
  </si>
  <si>
    <t>Kosovo</t>
  </si>
  <si>
    <t>Liechtenstein</t>
  </si>
  <si>
    <t>Monaco</t>
  </si>
  <si>
    <t>Montenegro</t>
  </si>
  <si>
    <t>San Marino</t>
  </si>
  <si>
    <t>Vatican City</t>
  </si>
  <si>
    <t>Africa</t>
  </si>
  <si>
    <t>Benin</t>
  </si>
  <si>
    <t>Cape Verde</t>
  </si>
  <si>
    <t>Central African Republic</t>
  </si>
  <si>
    <t>Chad</t>
  </si>
  <si>
    <t>Comoros</t>
  </si>
  <si>
    <t>Djibouti</t>
  </si>
  <si>
    <t>Equatorial Guinea</t>
  </si>
  <si>
    <t>Eritrea</t>
  </si>
  <si>
    <t>Eswatini</t>
  </si>
  <si>
    <t>Ethiopia</t>
  </si>
  <si>
    <t>Gambia</t>
  </si>
  <si>
    <t>Guinea</t>
  </si>
  <si>
    <t>Guinea-Bissau</t>
  </si>
  <si>
    <t>Lesotho</t>
  </si>
  <si>
    <t>Mali</t>
  </si>
  <si>
    <t>Mauritania</t>
  </si>
  <si>
    <t>Mozambique</t>
  </si>
  <si>
    <t>Namibia</t>
  </si>
  <si>
    <t>Niger</t>
  </si>
  <si>
    <t>Rwanda</t>
  </si>
  <si>
    <t>São Tomé and Príncipe</t>
  </si>
  <si>
    <t>Seychelles</t>
  </si>
  <si>
    <t>Sierra Leone</t>
  </si>
  <si>
    <t>Somalia</t>
  </si>
  <si>
    <t>South Sudan</t>
  </si>
  <si>
    <t>Togo</t>
  </si>
  <si>
    <t>Afghanistan</t>
  </si>
  <si>
    <t>Bhutan</t>
  </si>
  <si>
    <t>East Timor</t>
  </si>
  <si>
    <t>North Korea</t>
  </si>
  <si>
    <t>Maldives</t>
  </si>
  <si>
    <t>Antigua and Barbuda</t>
  </si>
  <si>
    <t>Barbados</t>
  </si>
  <si>
    <t>Dominica</t>
  </si>
  <si>
    <t>Grenada</t>
  </si>
  <si>
    <t>Haiti</t>
  </si>
  <si>
    <t>Saint Kitts and Nevis</t>
  </si>
  <si>
    <t>Saint Lucia</t>
  </si>
  <si>
    <t>Saint Vincent and the Grenadines</t>
  </si>
  <si>
    <t xml:space="preserve">South America </t>
  </si>
  <si>
    <t>Suriname</t>
  </si>
  <si>
    <t>Oceania</t>
  </si>
  <si>
    <t>Cook Islands</t>
  </si>
  <si>
    <t>Federated States of Micronesia</t>
  </si>
  <si>
    <t>Fiji</t>
  </si>
  <si>
    <t>Kiribati</t>
  </si>
  <si>
    <t>Marshall Islands</t>
  </si>
  <si>
    <t>Nauru</t>
  </si>
  <si>
    <t>Niue</t>
  </si>
  <si>
    <t>Palau</t>
  </si>
  <si>
    <t>Papua New Guinea</t>
  </si>
  <si>
    <t>Samoa</t>
  </si>
  <si>
    <t>Solomon Islands</t>
  </si>
  <si>
    <t>Tonga</t>
  </si>
  <si>
    <t>Tuvalu</t>
  </si>
  <si>
    <t>Vanuatu</t>
  </si>
  <si>
    <t>SUM of 2005 Sales</t>
  </si>
  <si>
    <t>SUM of 2006 Sales</t>
  </si>
  <si>
    <t>SUM of 2007 Sales</t>
  </si>
  <si>
    <t>SUM of 2008 Sales</t>
  </si>
  <si>
    <t>SUM of 2009 Sales</t>
  </si>
  <si>
    <t>SUM of 2010 Sales</t>
  </si>
  <si>
    <t>Grand Total</t>
  </si>
  <si>
    <t>SUM of 2011 Sales</t>
  </si>
  <si>
    <t>SUM of 2012 Sales</t>
  </si>
  <si>
    <t>SUM of 2013 Sales</t>
  </si>
  <si>
    <t>SUM of 2014 Sales</t>
  </si>
  <si>
    <t>SUM of 2015 Sales</t>
  </si>
  <si>
    <t>SUM of 2016 Sales</t>
  </si>
  <si>
    <t>SUM of 2017 Sales</t>
  </si>
  <si>
    <t>SUM of 2018 Sales</t>
  </si>
  <si>
    <t>SUM of 2019 Sales</t>
  </si>
  <si>
    <t>SUM of 2020 Sales</t>
  </si>
  <si>
    <t>SUM of 2021 Sales</t>
  </si>
  <si>
    <t>SUM of 2022 Sales</t>
  </si>
  <si>
    <t>Country Total (Period)</t>
  </si>
  <si>
    <t>Country Rank</t>
  </si>
  <si>
    <t>.</t>
  </si>
  <si>
    <r>
      <rPr>
        <rFont val="Arial"/>
        <color theme="1"/>
      </rPr>
      <t xml:space="preserve">
</t>
    </r>
    <r>
      <rPr>
        <rFont val="Arial"/>
        <b/>
        <color theme="1"/>
      </rPr>
      <t xml:space="preserve">ANALYSIS
</t>
    </r>
    <r>
      <rPr>
        <rFont val="Arial"/>
        <color theme="1"/>
      </rPr>
      <t xml:space="preserve">Thus breaking down the data using pivot tables and charts we can see the growth and decline of car purchases across the continents over a period of time. Creating new columns that sum the country totals at specific periods and ranks the totals, helps to derive the top five countries with the greatest car sales across the continents. This helps us to see standout countries with consistently high car sales, an example in Asia, is China. However, in the third period, Indonesia replaces Iran and this is because Iran does not have data for some years. 
At the end of drill down into the top 5 countries for each continent, we look at the top countries for every continent and we use line graphs to use the car sale patterns across the period. 
In </t>
    </r>
    <r>
      <rPr>
        <rFont val="Arial"/>
        <b/>
        <color theme="1"/>
      </rPr>
      <t>Asia</t>
    </r>
    <r>
      <rPr>
        <rFont val="Arial"/>
        <color theme="1"/>
      </rPr>
      <t xml:space="preserve">, using China as its top perfomer, we can see a growth with sales dipping in 2020, which we can attribute to the COVID-19 pandemic where people stayed home and there was not so much of a need to buy passenger cars. It is interesting to note that, the different between the lowest and the highest sales period is about 5 times and that is an enormous growth in a 17 year period.
In </t>
    </r>
    <r>
      <rPr>
        <rFont val="Arial"/>
        <b/>
        <color theme="1"/>
      </rPr>
      <t>North America</t>
    </r>
    <r>
      <rPr>
        <rFont val="Arial"/>
        <color theme="1"/>
      </rPr>
      <t xml:space="preserve">, using USA as its top performer, we can see an overall decline in car sales and two deep dips in 2008 and 2020. Notable events in those years are the global economic crunch and the COVID-19 pandemic. Sales do pickup around 2021, but not more than the decline it was in before the dip.
In </t>
    </r>
    <r>
      <rPr>
        <rFont val="Arial"/>
        <b/>
        <color theme="1"/>
      </rPr>
      <t>Europe</t>
    </r>
    <r>
      <rPr>
        <rFont val="Arial"/>
        <color theme="1"/>
      </rPr>
      <t xml:space="preserve">, using Germany as its top performer, car sales remained relatively stable over the period with an interesting spike in periods where the rest of the world's car sales decline; 2008 - 2009 and 2019-2020. However, after the 2019-2020 spike, there has been a dip in car sales thus, the country seeing its lowest period in the years analysed.
In </t>
    </r>
    <r>
      <rPr>
        <rFont val="Arial"/>
        <b/>
        <color theme="1"/>
      </rPr>
      <t>South America</t>
    </r>
    <r>
      <rPr>
        <rFont val="Arial"/>
        <color theme="1"/>
      </rPr>
      <t xml:space="preserve">, with a focus on Brazil, sales grew steadily and almost trippled until 2014 where a steady decline started and ended in 2016 where a new growth started, although somewhat shorter than the firist period with a decline in 2020 and then steady sales ever since. 
In </t>
    </r>
    <r>
      <rPr>
        <rFont val="Arial"/>
        <b/>
        <color theme="1"/>
      </rPr>
      <t>Africa</t>
    </r>
    <r>
      <rPr>
        <rFont val="Arial"/>
        <color theme="1"/>
      </rPr>
      <t xml:space="preserve">, using South Africa as the yard stick, there was a short lived growth earlt on until a decline deep in 2008 where the market bounced back and grew steadily in 2009. However, this was followed by a slight dip in 2015 and a great fall in 2020 much like the other continents. But since then, there has been interesting growth and it looks set to continue.
In </t>
    </r>
    <r>
      <rPr>
        <rFont val="Arial"/>
        <b/>
        <color theme="1"/>
      </rPr>
      <t>Oceania</t>
    </r>
    <r>
      <rPr>
        <rFont val="Arial"/>
        <color theme="1"/>
      </rPr>
      <t>, using Australia as its top performer, sales remained steady until 2015 where it grew by about 50% and stayed steady at that level up until 2020, where it dipped. Nonetheless, it has bounced back quickly and looks set to grow.</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</si>
</sst>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sz val="11.0"/>
      <color theme="1"/>
      <name val="Arial"/>
      <scheme val="minor"/>
    </font>
    <font>
      <color theme="1"/>
      <name val="Arial"/>
    </font>
  </fonts>
  <fills count="5">
    <fill>
      <patternFill patternType="none"/>
    </fill>
    <fill>
      <patternFill patternType="lightGray"/>
    </fill>
    <fill>
      <patternFill patternType="solid">
        <fgColor rgb="FFFFE599"/>
        <bgColor rgb="FFFFE599"/>
      </patternFill>
    </fill>
    <fill>
      <patternFill patternType="solid">
        <fgColor rgb="FFFFF2CC"/>
        <bgColor rgb="FFFFF2CC"/>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shrinkToFit="0" vertical="center" wrapText="1"/>
    </xf>
    <xf borderId="0" fillId="0" fontId="1" numFmtId="0" xfId="0" applyAlignment="1" applyFont="1">
      <alignment readingOrder="0"/>
    </xf>
    <xf borderId="0" fillId="2" fontId="1" numFmtId="0" xfId="0" applyAlignment="1" applyFill="1" applyFont="1">
      <alignment readingOrder="0"/>
    </xf>
    <xf borderId="0" fillId="0" fontId="1" numFmtId="3" xfId="0" applyAlignment="1" applyFont="1" applyNumberFormat="1">
      <alignment readingOrder="0"/>
    </xf>
    <xf borderId="0" fillId="3" fontId="1" numFmtId="3" xfId="0" applyAlignment="1" applyFill="1" applyFont="1" applyNumberFormat="1">
      <alignment readingOrder="0"/>
    </xf>
    <xf borderId="0" fillId="0" fontId="2" numFmtId="0" xfId="0" applyAlignment="1" applyFont="1">
      <alignment horizontal="center" readingOrder="0"/>
    </xf>
    <xf borderId="0" fillId="3" fontId="2" numFmtId="0" xfId="0" applyAlignment="1" applyFont="1">
      <alignment horizontal="center" readingOrder="0" shrinkToFit="0" wrapText="1"/>
    </xf>
    <xf borderId="0" fillId="0" fontId="1" numFmtId="0" xfId="0" applyFont="1"/>
    <xf borderId="0" fillId="3" fontId="1" numFmtId="0" xfId="0" applyAlignment="1" applyFont="1">
      <alignment readingOrder="0" shrinkToFit="0" wrapText="1"/>
    </xf>
    <xf borderId="0" fillId="0" fontId="1" numFmtId="3" xfId="0" applyFont="1" applyNumberFormat="1"/>
    <xf borderId="0" fillId="0" fontId="1" numFmtId="0" xfId="0" applyAlignment="1" applyFont="1">
      <alignment shrinkToFit="0" wrapText="1"/>
    </xf>
    <xf borderId="1" fillId="3" fontId="1" numFmtId="3" xfId="0" applyBorder="1" applyFont="1" applyNumberFormat="1"/>
    <xf borderId="1" fillId="3" fontId="1" numFmtId="0" xfId="0" applyAlignment="1" applyBorder="1" applyFont="1">
      <alignment readingOrder="0"/>
    </xf>
    <xf borderId="1" fillId="0" fontId="1" numFmtId="3" xfId="0" applyBorder="1" applyFont="1" applyNumberFormat="1"/>
    <xf borderId="1" fillId="0" fontId="1" numFmtId="0" xfId="0" applyBorder="1" applyFont="1"/>
    <xf borderId="0" fillId="4" fontId="1" numFmtId="0" xfId="0" applyFill="1" applyFont="1"/>
    <xf borderId="1" fillId="4" fontId="1" numFmtId="0" xfId="0" applyBorder="1" applyFont="1"/>
    <xf borderId="0" fillId="3" fontId="1" numFmtId="3" xfId="0" applyFont="1" applyNumberFormat="1"/>
    <xf borderId="0" fillId="3" fontId="1" numFmtId="0" xfId="0" applyAlignment="1" applyFont="1">
      <alignment readingOrder="0"/>
    </xf>
    <xf borderId="0" fillId="0" fontId="3" numFmtId="0" xfId="0" applyAlignment="1" applyFont="1">
      <alignment vertical="bottom"/>
    </xf>
    <xf borderId="0" fillId="0" fontId="3" numFmtId="3" xfId="0" applyAlignment="1" applyFont="1" applyNumberFormat="1">
      <alignment vertical="bottom"/>
    </xf>
    <xf borderId="0" fillId="0" fontId="3" numFmtId="3" xfId="0" applyAlignment="1" applyFont="1" applyNumberFormat="1">
      <alignment horizontal="right" vertical="bottom"/>
    </xf>
  </cellXfs>
  <cellStyles count="1">
    <cellStyle xfId="0" name="Normal" builtinId="0"/>
  </cellStyles>
  <dxfs count="1">
    <dxf>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pivotCacheDefinition" Target="pivotCache/pivotCacheDefinition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2005 to 2010 Car Sales Across Continents</a:t>
            </a:r>
          </a:p>
        </c:rich>
      </c:tx>
      <c:overlay val="0"/>
    </c:title>
    <c:plotArea>
      <c:layout/>
      <c:lineChart>
        <c:ser>
          <c:idx val="0"/>
          <c:order val="0"/>
          <c:tx>
            <c:strRef>
              <c:f>'Breakdown by Continent'!$A$4</c:f>
            </c:strRef>
          </c:tx>
          <c:spPr>
            <a:ln cmpd="sng" w="38100">
              <a:solidFill>
                <a:srgbClr val="4285F4"/>
              </a:solidFill>
            </a:ln>
          </c:spPr>
          <c:marker>
            <c:symbol val="none"/>
          </c:marker>
          <c:cat>
            <c:strRef>
              <c:f>'Breakdown by Continent'!$B$3:$G$3</c:f>
            </c:strRef>
          </c:cat>
          <c:val>
            <c:numRef>
              <c:f>'Breakdown by Continent'!$B$4:$G$4</c:f>
              <c:numCache/>
            </c:numRef>
          </c:val>
          <c:smooth val="0"/>
        </c:ser>
        <c:ser>
          <c:idx val="1"/>
          <c:order val="1"/>
          <c:tx>
            <c:strRef>
              <c:f>'Breakdown by Continent'!$A$5</c:f>
            </c:strRef>
          </c:tx>
          <c:spPr>
            <a:ln cmpd="sng" w="38100">
              <a:solidFill>
                <a:srgbClr val="EA4335"/>
              </a:solidFill>
            </a:ln>
          </c:spPr>
          <c:marker>
            <c:symbol val="none"/>
          </c:marker>
          <c:cat>
            <c:strRef>
              <c:f>'Breakdown by Continent'!$B$3:$G$3</c:f>
            </c:strRef>
          </c:cat>
          <c:val>
            <c:numRef>
              <c:f>'Breakdown by Continent'!$B$5:$G$5</c:f>
              <c:numCache/>
            </c:numRef>
          </c:val>
          <c:smooth val="0"/>
        </c:ser>
        <c:ser>
          <c:idx val="2"/>
          <c:order val="2"/>
          <c:tx>
            <c:strRef>
              <c:f>'Breakdown by Continent'!$A$6</c:f>
            </c:strRef>
          </c:tx>
          <c:spPr>
            <a:ln cmpd="sng" w="38100">
              <a:solidFill>
                <a:srgbClr val="FBBC04"/>
              </a:solidFill>
            </a:ln>
          </c:spPr>
          <c:marker>
            <c:symbol val="none"/>
          </c:marker>
          <c:cat>
            <c:strRef>
              <c:f>'Breakdown by Continent'!$B$3:$G$3</c:f>
            </c:strRef>
          </c:cat>
          <c:val>
            <c:numRef>
              <c:f>'Breakdown by Continent'!$B$6:$G$6</c:f>
              <c:numCache/>
            </c:numRef>
          </c:val>
          <c:smooth val="0"/>
        </c:ser>
        <c:ser>
          <c:idx val="3"/>
          <c:order val="3"/>
          <c:tx>
            <c:strRef>
              <c:f>'Breakdown by Continent'!$A$7</c:f>
            </c:strRef>
          </c:tx>
          <c:spPr>
            <a:ln cmpd="sng" w="38100">
              <a:solidFill>
                <a:srgbClr val="34A853"/>
              </a:solidFill>
            </a:ln>
          </c:spPr>
          <c:marker>
            <c:symbol val="none"/>
          </c:marker>
          <c:cat>
            <c:strRef>
              <c:f>'Breakdown by Continent'!$B$3:$G$3</c:f>
            </c:strRef>
          </c:cat>
          <c:val>
            <c:numRef>
              <c:f>'Breakdown by Continent'!$B$7:$G$7</c:f>
              <c:numCache/>
            </c:numRef>
          </c:val>
          <c:smooth val="0"/>
        </c:ser>
        <c:ser>
          <c:idx val="4"/>
          <c:order val="4"/>
          <c:tx>
            <c:strRef>
              <c:f>'Breakdown by Continent'!$A$8</c:f>
            </c:strRef>
          </c:tx>
          <c:spPr>
            <a:ln cmpd="sng" w="38100">
              <a:solidFill>
                <a:srgbClr val="FF6D01"/>
              </a:solidFill>
            </a:ln>
          </c:spPr>
          <c:marker>
            <c:symbol val="none"/>
          </c:marker>
          <c:cat>
            <c:strRef>
              <c:f>'Breakdown by Continent'!$B$3:$G$3</c:f>
            </c:strRef>
          </c:cat>
          <c:val>
            <c:numRef>
              <c:f>'Breakdown by Continent'!$B$8:$G$8</c:f>
              <c:numCache/>
            </c:numRef>
          </c:val>
          <c:smooth val="0"/>
        </c:ser>
        <c:ser>
          <c:idx val="5"/>
          <c:order val="5"/>
          <c:tx>
            <c:strRef>
              <c:f>'Breakdown by Continent'!$A$9</c:f>
            </c:strRef>
          </c:tx>
          <c:spPr>
            <a:ln cmpd="sng" w="38100">
              <a:solidFill>
                <a:srgbClr val="46BDC6"/>
              </a:solidFill>
            </a:ln>
          </c:spPr>
          <c:marker>
            <c:symbol val="none"/>
          </c:marker>
          <c:cat>
            <c:strRef>
              <c:f>'Breakdown by Continent'!$B$3:$G$3</c:f>
            </c:strRef>
          </c:cat>
          <c:val>
            <c:numRef>
              <c:f>'Breakdown by Continent'!$B$9:$G$9</c:f>
              <c:numCache/>
            </c:numRef>
          </c:val>
          <c:smooth val="0"/>
        </c:ser>
        <c:axId val="21142338"/>
        <c:axId val="76508945"/>
      </c:lineChart>
      <c:catAx>
        <c:axId val="211423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chemeClr val="lt1"/>
                </a:solidFill>
                <a:latin typeface="+mn-lt"/>
              </a:defRPr>
            </a:pPr>
          </a:p>
        </c:txPr>
        <c:crossAx val="76508945"/>
      </c:catAx>
      <c:valAx>
        <c:axId val="7650894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142338"/>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2011 to 2016 Car Sales Across Continents</a:t>
            </a:r>
          </a:p>
        </c:rich>
      </c:tx>
      <c:overlay val="0"/>
    </c:title>
    <c:plotArea>
      <c:layout/>
      <c:lineChart>
        <c:ser>
          <c:idx val="0"/>
          <c:order val="0"/>
          <c:tx>
            <c:strRef>
              <c:f>'Breakdown by Continent'!$A$17</c:f>
            </c:strRef>
          </c:tx>
          <c:spPr>
            <a:ln cmpd="sng" w="38100">
              <a:solidFill>
                <a:srgbClr val="4285F4"/>
              </a:solidFill>
            </a:ln>
          </c:spPr>
          <c:marker>
            <c:symbol val="none"/>
          </c:marker>
          <c:cat>
            <c:strRef>
              <c:f>'Breakdown by Continent'!$B$16:$G$16</c:f>
            </c:strRef>
          </c:cat>
          <c:val>
            <c:numRef>
              <c:f>'Breakdown by Continent'!$B$17:$G$17</c:f>
              <c:numCache/>
            </c:numRef>
          </c:val>
          <c:smooth val="0"/>
        </c:ser>
        <c:ser>
          <c:idx val="1"/>
          <c:order val="1"/>
          <c:tx>
            <c:strRef>
              <c:f>'Breakdown by Continent'!$A$18</c:f>
            </c:strRef>
          </c:tx>
          <c:spPr>
            <a:ln cmpd="sng" w="38100">
              <a:solidFill>
                <a:srgbClr val="EA4335"/>
              </a:solidFill>
            </a:ln>
          </c:spPr>
          <c:marker>
            <c:symbol val="none"/>
          </c:marker>
          <c:cat>
            <c:strRef>
              <c:f>'Breakdown by Continent'!$B$16:$G$16</c:f>
            </c:strRef>
          </c:cat>
          <c:val>
            <c:numRef>
              <c:f>'Breakdown by Continent'!$B$18:$G$18</c:f>
              <c:numCache/>
            </c:numRef>
          </c:val>
          <c:smooth val="0"/>
        </c:ser>
        <c:ser>
          <c:idx val="2"/>
          <c:order val="2"/>
          <c:tx>
            <c:strRef>
              <c:f>'Breakdown by Continent'!$A$19</c:f>
            </c:strRef>
          </c:tx>
          <c:spPr>
            <a:ln cmpd="sng" w="38100">
              <a:solidFill>
                <a:srgbClr val="FBBC04"/>
              </a:solidFill>
            </a:ln>
          </c:spPr>
          <c:marker>
            <c:symbol val="none"/>
          </c:marker>
          <c:cat>
            <c:strRef>
              <c:f>'Breakdown by Continent'!$B$16:$G$16</c:f>
            </c:strRef>
          </c:cat>
          <c:val>
            <c:numRef>
              <c:f>'Breakdown by Continent'!$B$19:$G$19</c:f>
              <c:numCache/>
            </c:numRef>
          </c:val>
          <c:smooth val="0"/>
        </c:ser>
        <c:ser>
          <c:idx val="3"/>
          <c:order val="3"/>
          <c:tx>
            <c:strRef>
              <c:f>'Breakdown by Continent'!$A$20</c:f>
            </c:strRef>
          </c:tx>
          <c:spPr>
            <a:ln cmpd="sng" w="38100">
              <a:solidFill>
                <a:srgbClr val="34A853"/>
              </a:solidFill>
            </a:ln>
          </c:spPr>
          <c:marker>
            <c:symbol val="none"/>
          </c:marker>
          <c:cat>
            <c:strRef>
              <c:f>'Breakdown by Continent'!$B$16:$G$16</c:f>
            </c:strRef>
          </c:cat>
          <c:val>
            <c:numRef>
              <c:f>'Breakdown by Continent'!$B$20:$G$20</c:f>
              <c:numCache/>
            </c:numRef>
          </c:val>
          <c:smooth val="0"/>
        </c:ser>
        <c:ser>
          <c:idx val="4"/>
          <c:order val="4"/>
          <c:tx>
            <c:strRef>
              <c:f>'Breakdown by Continent'!$A$21</c:f>
            </c:strRef>
          </c:tx>
          <c:spPr>
            <a:ln cmpd="sng" w="38100">
              <a:solidFill>
                <a:srgbClr val="FF6D01"/>
              </a:solidFill>
            </a:ln>
          </c:spPr>
          <c:marker>
            <c:symbol val="none"/>
          </c:marker>
          <c:cat>
            <c:strRef>
              <c:f>'Breakdown by Continent'!$B$16:$G$16</c:f>
            </c:strRef>
          </c:cat>
          <c:val>
            <c:numRef>
              <c:f>'Breakdown by Continent'!$B$21:$G$21</c:f>
              <c:numCache/>
            </c:numRef>
          </c:val>
          <c:smooth val="0"/>
        </c:ser>
        <c:ser>
          <c:idx val="5"/>
          <c:order val="5"/>
          <c:tx>
            <c:strRef>
              <c:f>'Breakdown by Continent'!$A$22</c:f>
            </c:strRef>
          </c:tx>
          <c:spPr>
            <a:ln cmpd="sng" w="38100">
              <a:solidFill>
                <a:srgbClr val="46BDC6"/>
              </a:solidFill>
            </a:ln>
          </c:spPr>
          <c:marker>
            <c:symbol val="none"/>
          </c:marker>
          <c:cat>
            <c:strRef>
              <c:f>'Breakdown by Continent'!$B$16:$G$16</c:f>
            </c:strRef>
          </c:cat>
          <c:val>
            <c:numRef>
              <c:f>'Breakdown by Continent'!$B$22:$G$22</c:f>
              <c:numCache/>
            </c:numRef>
          </c:val>
          <c:smooth val="0"/>
        </c:ser>
        <c:axId val="324634036"/>
        <c:axId val="1762671653"/>
      </c:lineChart>
      <c:catAx>
        <c:axId val="3246340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chemeClr val="lt1"/>
                </a:solidFill>
                <a:latin typeface="+mn-lt"/>
              </a:defRPr>
            </a:pPr>
          </a:p>
        </c:txPr>
        <c:crossAx val="1762671653"/>
      </c:catAx>
      <c:valAx>
        <c:axId val="17626716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24634036"/>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2017 to 2022 Car Sales Across Continents</a:t>
            </a:r>
          </a:p>
        </c:rich>
      </c:tx>
      <c:overlay val="0"/>
    </c:title>
    <c:plotArea>
      <c:layout/>
      <c:lineChart>
        <c:ser>
          <c:idx val="0"/>
          <c:order val="0"/>
          <c:tx>
            <c:strRef>
              <c:f>'Breakdown by Continent'!$A$32</c:f>
            </c:strRef>
          </c:tx>
          <c:spPr>
            <a:ln cmpd="sng" w="38100">
              <a:solidFill>
                <a:srgbClr val="4285F4"/>
              </a:solidFill>
            </a:ln>
          </c:spPr>
          <c:marker>
            <c:symbol val="none"/>
          </c:marker>
          <c:cat>
            <c:strRef>
              <c:f>'Breakdown by Continent'!$B$31:$G$31</c:f>
            </c:strRef>
          </c:cat>
          <c:val>
            <c:numRef>
              <c:f>'Breakdown by Continent'!$B$32:$G$32</c:f>
              <c:numCache/>
            </c:numRef>
          </c:val>
          <c:smooth val="0"/>
        </c:ser>
        <c:ser>
          <c:idx val="1"/>
          <c:order val="1"/>
          <c:tx>
            <c:strRef>
              <c:f>'Breakdown by Continent'!$A$33</c:f>
            </c:strRef>
          </c:tx>
          <c:spPr>
            <a:ln cmpd="sng" w="38100">
              <a:solidFill>
                <a:srgbClr val="EA4335"/>
              </a:solidFill>
            </a:ln>
          </c:spPr>
          <c:marker>
            <c:symbol val="none"/>
          </c:marker>
          <c:cat>
            <c:strRef>
              <c:f>'Breakdown by Continent'!$B$31:$G$31</c:f>
            </c:strRef>
          </c:cat>
          <c:val>
            <c:numRef>
              <c:f>'Breakdown by Continent'!$B$33:$G$33</c:f>
              <c:numCache/>
            </c:numRef>
          </c:val>
          <c:smooth val="0"/>
        </c:ser>
        <c:ser>
          <c:idx val="2"/>
          <c:order val="2"/>
          <c:tx>
            <c:strRef>
              <c:f>'Breakdown by Continent'!$A$34</c:f>
            </c:strRef>
          </c:tx>
          <c:spPr>
            <a:ln cmpd="sng" w="38100">
              <a:solidFill>
                <a:srgbClr val="FBBC04"/>
              </a:solidFill>
            </a:ln>
          </c:spPr>
          <c:marker>
            <c:symbol val="none"/>
          </c:marker>
          <c:cat>
            <c:strRef>
              <c:f>'Breakdown by Continent'!$B$31:$G$31</c:f>
            </c:strRef>
          </c:cat>
          <c:val>
            <c:numRef>
              <c:f>'Breakdown by Continent'!$B$34:$G$34</c:f>
              <c:numCache/>
            </c:numRef>
          </c:val>
          <c:smooth val="0"/>
        </c:ser>
        <c:ser>
          <c:idx val="3"/>
          <c:order val="3"/>
          <c:tx>
            <c:strRef>
              <c:f>'Breakdown by Continent'!$A$35</c:f>
            </c:strRef>
          </c:tx>
          <c:spPr>
            <a:ln cmpd="sng" w="38100">
              <a:solidFill>
                <a:srgbClr val="34A853"/>
              </a:solidFill>
            </a:ln>
          </c:spPr>
          <c:marker>
            <c:symbol val="none"/>
          </c:marker>
          <c:cat>
            <c:strRef>
              <c:f>'Breakdown by Continent'!$B$31:$G$31</c:f>
            </c:strRef>
          </c:cat>
          <c:val>
            <c:numRef>
              <c:f>'Breakdown by Continent'!$B$35:$G$35</c:f>
              <c:numCache/>
            </c:numRef>
          </c:val>
          <c:smooth val="0"/>
        </c:ser>
        <c:ser>
          <c:idx val="4"/>
          <c:order val="4"/>
          <c:tx>
            <c:strRef>
              <c:f>'Breakdown by Continent'!$A$36</c:f>
            </c:strRef>
          </c:tx>
          <c:spPr>
            <a:ln cmpd="sng" w="38100">
              <a:solidFill>
                <a:srgbClr val="FF6D01"/>
              </a:solidFill>
            </a:ln>
          </c:spPr>
          <c:marker>
            <c:symbol val="none"/>
          </c:marker>
          <c:cat>
            <c:strRef>
              <c:f>'Breakdown by Continent'!$B$31:$G$31</c:f>
            </c:strRef>
          </c:cat>
          <c:val>
            <c:numRef>
              <c:f>'Breakdown by Continent'!$B$36:$G$36</c:f>
              <c:numCache/>
            </c:numRef>
          </c:val>
          <c:smooth val="0"/>
        </c:ser>
        <c:ser>
          <c:idx val="5"/>
          <c:order val="5"/>
          <c:tx>
            <c:strRef>
              <c:f>'Breakdown by Continent'!$A$37</c:f>
            </c:strRef>
          </c:tx>
          <c:spPr>
            <a:ln cmpd="sng" w="38100">
              <a:solidFill>
                <a:srgbClr val="46BDC6"/>
              </a:solidFill>
            </a:ln>
          </c:spPr>
          <c:marker>
            <c:symbol val="none"/>
          </c:marker>
          <c:cat>
            <c:strRef>
              <c:f>'Breakdown by Continent'!$B$31:$G$31</c:f>
            </c:strRef>
          </c:cat>
          <c:val>
            <c:numRef>
              <c:f>'Breakdown by Continent'!$B$37:$G$37</c:f>
              <c:numCache/>
            </c:numRef>
          </c:val>
          <c:smooth val="0"/>
        </c:ser>
        <c:axId val="1276957751"/>
        <c:axId val="371823893"/>
      </c:lineChart>
      <c:catAx>
        <c:axId val="12769577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chemeClr val="lt1"/>
                </a:solidFill>
                <a:latin typeface="+mn-lt"/>
              </a:defRPr>
            </a:pPr>
          </a:p>
        </c:txPr>
        <c:crossAx val="371823893"/>
      </c:catAx>
      <c:valAx>
        <c:axId val="37182389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76957751"/>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Asian Countries Car Sales (2005 - 2010)</a:t>
            </a:r>
          </a:p>
        </c:rich>
      </c:tx>
      <c:overlay val="0"/>
    </c:title>
    <c:plotArea>
      <c:layout/>
      <c:barChart>
        <c:barDir val="bar"/>
        <c:grouping val="stacked"/>
        <c:ser>
          <c:idx val="0"/>
          <c:order val="0"/>
          <c:tx>
            <c:strRef>
              <c:f>'Breakdown (Asia)'!$K$2</c:f>
            </c:strRef>
          </c:tx>
          <c:spPr>
            <a:solidFill>
              <a:schemeClr val="accent1"/>
            </a:solidFill>
            <a:ln cmpd="sng">
              <a:solidFill>
                <a:srgbClr val="000000"/>
              </a:solidFill>
            </a:ln>
          </c:spPr>
          <c:cat>
            <c:strRef>
              <c:f>'Breakdown (Asia)'!$L$1:$Q$1</c:f>
            </c:strRef>
          </c:cat>
          <c:val>
            <c:numRef>
              <c:f>'Breakdown (Asia)'!$L$2:$Q$2</c:f>
              <c:numCache/>
            </c:numRef>
          </c:val>
        </c:ser>
        <c:ser>
          <c:idx val="1"/>
          <c:order val="1"/>
          <c:tx>
            <c:strRef>
              <c:f>'Breakdown (Asia)'!$K$3</c:f>
            </c:strRef>
          </c:tx>
          <c:spPr>
            <a:solidFill>
              <a:schemeClr val="accent2"/>
            </a:solidFill>
            <a:ln cmpd="sng">
              <a:solidFill>
                <a:srgbClr val="000000"/>
              </a:solidFill>
            </a:ln>
          </c:spPr>
          <c:cat>
            <c:strRef>
              <c:f>'Breakdown (Asia)'!$L$1:$Q$1</c:f>
            </c:strRef>
          </c:cat>
          <c:val>
            <c:numRef>
              <c:f>'Breakdown (Asia)'!$L$3:$Q$3</c:f>
              <c:numCache/>
            </c:numRef>
          </c:val>
        </c:ser>
        <c:ser>
          <c:idx val="2"/>
          <c:order val="2"/>
          <c:tx>
            <c:strRef>
              <c:f>'Breakdown (Asia)'!$K$4</c:f>
            </c:strRef>
          </c:tx>
          <c:spPr>
            <a:solidFill>
              <a:schemeClr val="accent3"/>
            </a:solidFill>
            <a:ln cmpd="sng">
              <a:solidFill>
                <a:srgbClr val="000000"/>
              </a:solidFill>
            </a:ln>
          </c:spPr>
          <c:cat>
            <c:strRef>
              <c:f>'Breakdown (Asia)'!$L$1:$Q$1</c:f>
            </c:strRef>
          </c:cat>
          <c:val>
            <c:numRef>
              <c:f>'Breakdown (Asia)'!$L$4:$Q$4</c:f>
              <c:numCache/>
            </c:numRef>
          </c:val>
        </c:ser>
        <c:ser>
          <c:idx val="3"/>
          <c:order val="3"/>
          <c:tx>
            <c:strRef>
              <c:f>'Breakdown (Asia)'!$K$5</c:f>
            </c:strRef>
          </c:tx>
          <c:spPr>
            <a:solidFill>
              <a:schemeClr val="accent4"/>
            </a:solidFill>
            <a:ln cmpd="sng">
              <a:solidFill>
                <a:srgbClr val="000000"/>
              </a:solidFill>
            </a:ln>
          </c:spPr>
          <c:cat>
            <c:strRef>
              <c:f>'Breakdown (Asia)'!$L$1:$Q$1</c:f>
            </c:strRef>
          </c:cat>
          <c:val>
            <c:numRef>
              <c:f>'Breakdown (Asia)'!$L$5:$Q$5</c:f>
              <c:numCache/>
            </c:numRef>
          </c:val>
        </c:ser>
        <c:ser>
          <c:idx val="4"/>
          <c:order val="4"/>
          <c:tx>
            <c:strRef>
              <c:f>'Breakdown (Asia)'!$K$6</c:f>
            </c:strRef>
          </c:tx>
          <c:spPr>
            <a:solidFill>
              <a:schemeClr val="accent5"/>
            </a:solidFill>
            <a:ln cmpd="sng">
              <a:solidFill>
                <a:srgbClr val="000000"/>
              </a:solidFill>
            </a:ln>
          </c:spPr>
          <c:cat>
            <c:strRef>
              <c:f>'Breakdown (Asia)'!$L$1:$Q$1</c:f>
            </c:strRef>
          </c:cat>
          <c:val>
            <c:numRef>
              <c:f>'Breakdown (Asia)'!$L$6:$Q$6</c:f>
              <c:numCache/>
            </c:numRef>
          </c:val>
        </c:ser>
        <c:overlap val="100"/>
        <c:axId val="551070056"/>
        <c:axId val="66640888"/>
      </c:barChart>
      <c:catAx>
        <c:axId val="55107005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6640888"/>
      </c:catAx>
      <c:valAx>
        <c:axId val="6664088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51070056"/>
        <c:crosses val="max"/>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Asian Countries Car Sales (2011 - 2016)</a:t>
            </a:r>
          </a:p>
        </c:rich>
      </c:tx>
      <c:overlay val="0"/>
    </c:title>
    <c:plotArea>
      <c:layout/>
      <c:barChart>
        <c:barDir val="bar"/>
        <c:grouping val="stacked"/>
        <c:ser>
          <c:idx val="0"/>
          <c:order val="0"/>
          <c:tx>
            <c:strRef>
              <c:f>'Breakdown (Asia)'!$K$54</c:f>
            </c:strRef>
          </c:tx>
          <c:spPr>
            <a:solidFill>
              <a:schemeClr val="accent1"/>
            </a:solidFill>
            <a:ln cmpd="sng">
              <a:solidFill>
                <a:srgbClr val="000000"/>
              </a:solidFill>
            </a:ln>
          </c:spPr>
          <c:cat>
            <c:strRef>
              <c:f>'Breakdown (Asia)'!$L$53:$Q$53</c:f>
            </c:strRef>
          </c:cat>
          <c:val>
            <c:numRef>
              <c:f>'Breakdown (Asia)'!$L$54:$Q$54</c:f>
              <c:numCache/>
            </c:numRef>
          </c:val>
        </c:ser>
        <c:ser>
          <c:idx val="1"/>
          <c:order val="1"/>
          <c:tx>
            <c:strRef>
              <c:f>'Breakdown (Asia)'!$K$55</c:f>
            </c:strRef>
          </c:tx>
          <c:spPr>
            <a:solidFill>
              <a:schemeClr val="accent2"/>
            </a:solidFill>
            <a:ln cmpd="sng">
              <a:solidFill>
                <a:srgbClr val="000000"/>
              </a:solidFill>
            </a:ln>
          </c:spPr>
          <c:cat>
            <c:strRef>
              <c:f>'Breakdown (Asia)'!$L$53:$Q$53</c:f>
            </c:strRef>
          </c:cat>
          <c:val>
            <c:numRef>
              <c:f>'Breakdown (Asia)'!$L$55:$Q$55</c:f>
              <c:numCache/>
            </c:numRef>
          </c:val>
        </c:ser>
        <c:ser>
          <c:idx val="2"/>
          <c:order val="2"/>
          <c:tx>
            <c:strRef>
              <c:f>'Breakdown (Asia)'!$K$56</c:f>
            </c:strRef>
          </c:tx>
          <c:spPr>
            <a:solidFill>
              <a:schemeClr val="accent3"/>
            </a:solidFill>
            <a:ln cmpd="sng">
              <a:solidFill>
                <a:srgbClr val="000000"/>
              </a:solidFill>
            </a:ln>
          </c:spPr>
          <c:cat>
            <c:strRef>
              <c:f>'Breakdown (Asia)'!$L$53:$Q$53</c:f>
            </c:strRef>
          </c:cat>
          <c:val>
            <c:numRef>
              <c:f>'Breakdown (Asia)'!$L$56:$Q$56</c:f>
              <c:numCache/>
            </c:numRef>
          </c:val>
        </c:ser>
        <c:ser>
          <c:idx val="3"/>
          <c:order val="3"/>
          <c:tx>
            <c:strRef>
              <c:f>'Breakdown (Asia)'!$K$57</c:f>
            </c:strRef>
          </c:tx>
          <c:spPr>
            <a:solidFill>
              <a:schemeClr val="accent4"/>
            </a:solidFill>
            <a:ln cmpd="sng">
              <a:solidFill>
                <a:srgbClr val="000000"/>
              </a:solidFill>
            </a:ln>
          </c:spPr>
          <c:cat>
            <c:strRef>
              <c:f>'Breakdown (Asia)'!$L$53:$Q$53</c:f>
            </c:strRef>
          </c:cat>
          <c:val>
            <c:numRef>
              <c:f>'Breakdown (Asia)'!$L$57:$Q$57</c:f>
              <c:numCache/>
            </c:numRef>
          </c:val>
        </c:ser>
        <c:ser>
          <c:idx val="4"/>
          <c:order val="4"/>
          <c:tx>
            <c:strRef>
              <c:f>'Breakdown (Asia)'!$K$58</c:f>
            </c:strRef>
          </c:tx>
          <c:spPr>
            <a:solidFill>
              <a:schemeClr val="accent5"/>
            </a:solidFill>
            <a:ln cmpd="sng">
              <a:solidFill>
                <a:srgbClr val="000000"/>
              </a:solidFill>
            </a:ln>
          </c:spPr>
          <c:cat>
            <c:strRef>
              <c:f>'Breakdown (Asia)'!$L$53:$Q$53</c:f>
            </c:strRef>
          </c:cat>
          <c:val>
            <c:numRef>
              <c:f>'Breakdown (Asia)'!$L$58:$Q$58</c:f>
              <c:numCache/>
            </c:numRef>
          </c:val>
        </c:ser>
        <c:overlap val="100"/>
        <c:axId val="1855089114"/>
        <c:axId val="374182974"/>
      </c:barChart>
      <c:catAx>
        <c:axId val="185508911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74182974"/>
      </c:catAx>
      <c:valAx>
        <c:axId val="37418297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55089114"/>
        <c:crosses val="max"/>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Asian Countries Car Sales (2017 - 2022)</a:t>
            </a:r>
          </a:p>
        </c:rich>
      </c:tx>
      <c:overlay val="0"/>
    </c:title>
    <c:plotArea>
      <c:layout/>
      <c:barChart>
        <c:barDir val="bar"/>
        <c:grouping val="stacked"/>
        <c:ser>
          <c:idx val="0"/>
          <c:order val="0"/>
          <c:tx>
            <c:strRef>
              <c:f>'Breakdown (Asia)'!$K$106</c:f>
            </c:strRef>
          </c:tx>
          <c:spPr>
            <a:solidFill>
              <a:schemeClr val="accent1"/>
            </a:solidFill>
            <a:ln cmpd="sng">
              <a:solidFill>
                <a:srgbClr val="000000"/>
              </a:solidFill>
            </a:ln>
          </c:spPr>
          <c:cat>
            <c:strRef>
              <c:f>'Breakdown (Asia)'!$L$105:$Q$105</c:f>
            </c:strRef>
          </c:cat>
          <c:val>
            <c:numRef>
              <c:f>'Breakdown (Asia)'!$L$106:$Q$106</c:f>
              <c:numCache/>
            </c:numRef>
          </c:val>
        </c:ser>
        <c:ser>
          <c:idx val="1"/>
          <c:order val="1"/>
          <c:tx>
            <c:strRef>
              <c:f>'Breakdown (Asia)'!$K$107</c:f>
            </c:strRef>
          </c:tx>
          <c:spPr>
            <a:solidFill>
              <a:schemeClr val="accent2"/>
            </a:solidFill>
            <a:ln cmpd="sng">
              <a:solidFill>
                <a:srgbClr val="000000"/>
              </a:solidFill>
            </a:ln>
          </c:spPr>
          <c:cat>
            <c:strRef>
              <c:f>'Breakdown (Asia)'!$L$105:$Q$105</c:f>
            </c:strRef>
          </c:cat>
          <c:val>
            <c:numRef>
              <c:f>'Breakdown (Asia)'!$L$107:$Q$107</c:f>
              <c:numCache/>
            </c:numRef>
          </c:val>
        </c:ser>
        <c:ser>
          <c:idx val="2"/>
          <c:order val="2"/>
          <c:tx>
            <c:strRef>
              <c:f>'Breakdown (Asia)'!$K$108</c:f>
            </c:strRef>
          </c:tx>
          <c:spPr>
            <a:solidFill>
              <a:schemeClr val="accent3"/>
            </a:solidFill>
            <a:ln cmpd="sng">
              <a:solidFill>
                <a:srgbClr val="000000"/>
              </a:solidFill>
            </a:ln>
          </c:spPr>
          <c:cat>
            <c:strRef>
              <c:f>'Breakdown (Asia)'!$L$105:$Q$105</c:f>
            </c:strRef>
          </c:cat>
          <c:val>
            <c:numRef>
              <c:f>'Breakdown (Asia)'!$L$108:$Q$108</c:f>
              <c:numCache/>
            </c:numRef>
          </c:val>
        </c:ser>
        <c:ser>
          <c:idx val="3"/>
          <c:order val="3"/>
          <c:tx>
            <c:strRef>
              <c:f>'Breakdown (Asia)'!$K$109</c:f>
            </c:strRef>
          </c:tx>
          <c:spPr>
            <a:solidFill>
              <a:schemeClr val="accent4"/>
            </a:solidFill>
            <a:ln cmpd="sng">
              <a:solidFill>
                <a:srgbClr val="000000"/>
              </a:solidFill>
            </a:ln>
          </c:spPr>
          <c:cat>
            <c:strRef>
              <c:f>'Breakdown (Asia)'!$L$105:$Q$105</c:f>
            </c:strRef>
          </c:cat>
          <c:val>
            <c:numRef>
              <c:f>'Breakdown (Asia)'!$L$109:$Q$109</c:f>
              <c:numCache/>
            </c:numRef>
          </c:val>
        </c:ser>
        <c:ser>
          <c:idx val="4"/>
          <c:order val="4"/>
          <c:tx>
            <c:strRef>
              <c:f>'Breakdown (Asia)'!$K$110</c:f>
            </c:strRef>
          </c:tx>
          <c:spPr>
            <a:solidFill>
              <a:schemeClr val="accent5"/>
            </a:solidFill>
            <a:ln cmpd="sng">
              <a:solidFill>
                <a:srgbClr val="000000"/>
              </a:solidFill>
            </a:ln>
          </c:spPr>
          <c:cat>
            <c:strRef>
              <c:f>'Breakdown (Asia)'!$L$105:$Q$105</c:f>
            </c:strRef>
          </c:cat>
          <c:val>
            <c:numRef>
              <c:f>'Breakdown (Asia)'!$L$110:$Q$110</c:f>
              <c:numCache/>
            </c:numRef>
          </c:val>
        </c:ser>
        <c:overlap val="100"/>
        <c:axId val="720876641"/>
        <c:axId val="1152769774"/>
      </c:barChart>
      <c:catAx>
        <c:axId val="72087664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52769774"/>
      </c:catAx>
      <c:valAx>
        <c:axId val="115276977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20876641"/>
        <c:crosses val="max"/>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African Countries Car Sales (2005 - 2010)</a:t>
            </a:r>
          </a:p>
        </c:rich>
      </c:tx>
      <c:overlay val="0"/>
    </c:title>
    <c:plotArea>
      <c:layout/>
      <c:barChart>
        <c:barDir val="bar"/>
        <c:grouping val="stacked"/>
        <c:ser>
          <c:idx val="0"/>
          <c:order val="0"/>
          <c:tx>
            <c:strRef>
              <c:f>'Breakdown (Africa)'!$K$2</c:f>
            </c:strRef>
          </c:tx>
          <c:spPr>
            <a:solidFill>
              <a:schemeClr val="accent1"/>
            </a:solidFill>
            <a:ln cmpd="sng">
              <a:solidFill>
                <a:srgbClr val="000000"/>
              </a:solidFill>
            </a:ln>
          </c:spPr>
          <c:cat>
            <c:strRef>
              <c:f>'Breakdown (Africa)'!$L$1:$Q$1</c:f>
            </c:strRef>
          </c:cat>
          <c:val>
            <c:numRef>
              <c:f>'Breakdown (Africa)'!$L$2:$Q$2</c:f>
              <c:numCache/>
            </c:numRef>
          </c:val>
        </c:ser>
        <c:ser>
          <c:idx val="1"/>
          <c:order val="1"/>
          <c:tx>
            <c:strRef>
              <c:f>'Breakdown (Africa)'!$K$3</c:f>
            </c:strRef>
          </c:tx>
          <c:spPr>
            <a:solidFill>
              <a:schemeClr val="accent2"/>
            </a:solidFill>
            <a:ln cmpd="sng">
              <a:solidFill>
                <a:srgbClr val="000000"/>
              </a:solidFill>
            </a:ln>
          </c:spPr>
          <c:cat>
            <c:strRef>
              <c:f>'Breakdown (Africa)'!$L$1:$Q$1</c:f>
            </c:strRef>
          </c:cat>
          <c:val>
            <c:numRef>
              <c:f>'Breakdown (Africa)'!$L$3:$Q$3</c:f>
              <c:numCache/>
            </c:numRef>
          </c:val>
        </c:ser>
        <c:ser>
          <c:idx val="2"/>
          <c:order val="2"/>
          <c:tx>
            <c:strRef>
              <c:f>'Breakdown (Africa)'!$K$4</c:f>
            </c:strRef>
          </c:tx>
          <c:spPr>
            <a:solidFill>
              <a:schemeClr val="accent3"/>
            </a:solidFill>
            <a:ln cmpd="sng">
              <a:solidFill>
                <a:srgbClr val="000000"/>
              </a:solidFill>
            </a:ln>
          </c:spPr>
          <c:cat>
            <c:strRef>
              <c:f>'Breakdown (Africa)'!$L$1:$Q$1</c:f>
            </c:strRef>
          </c:cat>
          <c:val>
            <c:numRef>
              <c:f>'Breakdown (Africa)'!$L$4:$Q$4</c:f>
              <c:numCache/>
            </c:numRef>
          </c:val>
        </c:ser>
        <c:ser>
          <c:idx val="3"/>
          <c:order val="3"/>
          <c:tx>
            <c:strRef>
              <c:f>'Breakdown (Africa)'!$K$5</c:f>
            </c:strRef>
          </c:tx>
          <c:spPr>
            <a:solidFill>
              <a:schemeClr val="accent4"/>
            </a:solidFill>
            <a:ln cmpd="sng">
              <a:solidFill>
                <a:srgbClr val="000000"/>
              </a:solidFill>
            </a:ln>
          </c:spPr>
          <c:cat>
            <c:strRef>
              <c:f>'Breakdown (Africa)'!$L$1:$Q$1</c:f>
            </c:strRef>
          </c:cat>
          <c:val>
            <c:numRef>
              <c:f>'Breakdown (Africa)'!$L$5:$Q$5</c:f>
              <c:numCache/>
            </c:numRef>
          </c:val>
        </c:ser>
        <c:ser>
          <c:idx val="4"/>
          <c:order val="4"/>
          <c:tx>
            <c:strRef>
              <c:f>'Breakdown (Africa)'!$K$6</c:f>
            </c:strRef>
          </c:tx>
          <c:spPr>
            <a:solidFill>
              <a:schemeClr val="accent5"/>
            </a:solidFill>
            <a:ln cmpd="sng">
              <a:solidFill>
                <a:srgbClr val="000000"/>
              </a:solidFill>
            </a:ln>
          </c:spPr>
          <c:cat>
            <c:strRef>
              <c:f>'Breakdown (Africa)'!$L$1:$Q$1</c:f>
            </c:strRef>
          </c:cat>
          <c:val>
            <c:numRef>
              <c:f>'Breakdown (Africa)'!$L$6:$Q$6</c:f>
              <c:numCache/>
            </c:numRef>
          </c:val>
        </c:ser>
        <c:overlap val="100"/>
        <c:axId val="1982186427"/>
        <c:axId val="1284473288"/>
      </c:barChart>
      <c:catAx>
        <c:axId val="198218642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84473288"/>
      </c:catAx>
      <c:valAx>
        <c:axId val="128447328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82186427"/>
        <c:crosses val="max"/>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African Countries Car Sales (2011 - 2016)</a:t>
            </a:r>
          </a:p>
        </c:rich>
      </c:tx>
      <c:overlay val="0"/>
    </c:title>
    <c:plotArea>
      <c:layout/>
      <c:barChart>
        <c:barDir val="bar"/>
        <c:grouping val="stacked"/>
        <c:ser>
          <c:idx val="0"/>
          <c:order val="0"/>
          <c:tx>
            <c:strRef>
              <c:f>'Breakdown (Africa)'!$K$37</c:f>
            </c:strRef>
          </c:tx>
          <c:spPr>
            <a:solidFill>
              <a:schemeClr val="accent1"/>
            </a:solidFill>
            <a:ln cmpd="sng">
              <a:solidFill>
                <a:srgbClr val="000000"/>
              </a:solidFill>
            </a:ln>
          </c:spPr>
          <c:cat>
            <c:strRef>
              <c:f>'Breakdown (Africa)'!$L$36:$Q$36</c:f>
            </c:strRef>
          </c:cat>
          <c:val>
            <c:numRef>
              <c:f>'Breakdown (Africa)'!$L$37:$Q$37</c:f>
              <c:numCache/>
            </c:numRef>
          </c:val>
        </c:ser>
        <c:ser>
          <c:idx val="1"/>
          <c:order val="1"/>
          <c:tx>
            <c:strRef>
              <c:f>'Breakdown (Africa)'!$K$38</c:f>
            </c:strRef>
          </c:tx>
          <c:spPr>
            <a:solidFill>
              <a:schemeClr val="accent2"/>
            </a:solidFill>
            <a:ln cmpd="sng">
              <a:solidFill>
                <a:srgbClr val="000000"/>
              </a:solidFill>
            </a:ln>
          </c:spPr>
          <c:cat>
            <c:strRef>
              <c:f>'Breakdown (Africa)'!$L$36:$Q$36</c:f>
            </c:strRef>
          </c:cat>
          <c:val>
            <c:numRef>
              <c:f>'Breakdown (Africa)'!$L$38:$Q$38</c:f>
              <c:numCache/>
            </c:numRef>
          </c:val>
        </c:ser>
        <c:ser>
          <c:idx val="2"/>
          <c:order val="2"/>
          <c:tx>
            <c:strRef>
              <c:f>'Breakdown (Africa)'!$K$39</c:f>
            </c:strRef>
          </c:tx>
          <c:spPr>
            <a:solidFill>
              <a:schemeClr val="accent3"/>
            </a:solidFill>
            <a:ln cmpd="sng">
              <a:solidFill>
                <a:srgbClr val="000000"/>
              </a:solidFill>
            </a:ln>
          </c:spPr>
          <c:cat>
            <c:strRef>
              <c:f>'Breakdown (Africa)'!$L$36:$Q$36</c:f>
            </c:strRef>
          </c:cat>
          <c:val>
            <c:numRef>
              <c:f>'Breakdown (Africa)'!$L$39:$Q$39</c:f>
              <c:numCache/>
            </c:numRef>
          </c:val>
        </c:ser>
        <c:ser>
          <c:idx val="3"/>
          <c:order val="3"/>
          <c:tx>
            <c:strRef>
              <c:f>'Breakdown (Africa)'!$K$40</c:f>
            </c:strRef>
          </c:tx>
          <c:spPr>
            <a:solidFill>
              <a:schemeClr val="accent4"/>
            </a:solidFill>
            <a:ln cmpd="sng">
              <a:solidFill>
                <a:srgbClr val="000000"/>
              </a:solidFill>
            </a:ln>
          </c:spPr>
          <c:cat>
            <c:strRef>
              <c:f>'Breakdown (Africa)'!$L$36:$Q$36</c:f>
            </c:strRef>
          </c:cat>
          <c:val>
            <c:numRef>
              <c:f>'Breakdown (Africa)'!$L$40:$Q$40</c:f>
              <c:numCache/>
            </c:numRef>
          </c:val>
        </c:ser>
        <c:ser>
          <c:idx val="4"/>
          <c:order val="4"/>
          <c:tx>
            <c:strRef>
              <c:f>'Breakdown (Africa)'!$K$41</c:f>
            </c:strRef>
          </c:tx>
          <c:spPr>
            <a:solidFill>
              <a:schemeClr val="accent5"/>
            </a:solidFill>
            <a:ln cmpd="sng">
              <a:solidFill>
                <a:srgbClr val="000000"/>
              </a:solidFill>
            </a:ln>
          </c:spPr>
          <c:cat>
            <c:strRef>
              <c:f>'Breakdown (Africa)'!$L$36:$Q$36</c:f>
            </c:strRef>
          </c:cat>
          <c:val>
            <c:numRef>
              <c:f>'Breakdown (Africa)'!$L$41:$Q$41</c:f>
              <c:numCache/>
            </c:numRef>
          </c:val>
        </c:ser>
        <c:overlap val="100"/>
        <c:axId val="727500309"/>
        <c:axId val="426695884"/>
      </c:barChart>
      <c:catAx>
        <c:axId val="72750030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26695884"/>
      </c:catAx>
      <c:valAx>
        <c:axId val="42669588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27500309"/>
        <c:crosses val="max"/>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African Countries Car Sales (2017 - 2022)</a:t>
            </a:r>
          </a:p>
        </c:rich>
      </c:tx>
      <c:overlay val="0"/>
    </c:title>
    <c:plotArea>
      <c:layout/>
      <c:barChart>
        <c:barDir val="bar"/>
        <c:grouping val="stacked"/>
        <c:ser>
          <c:idx val="0"/>
          <c:order val="0"/>
          <c:tx>
            <c:strRef>
              <c:f>'Breakdown (Africa)'!$K$72</c:f>
            </c:strRef>
          </c:tx>
          <c:spPr>
            <a:solidFill>
              <a:schemeClr val="accent1"/>
            </a:solidFill>
            <a:ln cmpd="sng">
              <a:solidFill>
                <a:srgbClr val="000000"/>
              </a:solidFill>
            </a:ln>
          </c:spPr>
          <c:cat>
            <c:strRef>
              <c:f>'Breakdown (Africa)'!$L$71:$Q$71</c:f>
            </c:strRef>
          </c:cat>
          <c:val>
            <c:numRef>
              <c:f>'Breakdown (Africa)'!$L$72:$Q$72</c:f>
              <c:numCache/>
            </c:numRef>
          </c:val>
        </c:ser>
        <c:ser>
          <c:idx val="1"/>
          <c:order val="1"/>
          <c:tx>
            <c:strRef>
              <c:f>'Breakdown (Africa)'!$K$73</c:f>
            </c:strRef>
          </c:tx>
          <c:spPr>
            <a:solidFill>
              <a:schemeClr val="accent2"/>
            </a:solidFill>
            <a:ln cmpd="sng">
              <a:solidFill>
                <a:srgbClr val="000000"/>
              </a:solidFill>
            </a:ln>
          </c:spPr>
          <c:cat>
            <c:strRef>
              <c:f>'Breakdown (Africa)'!$L$71:$Q$71</c:f>
            </c:strRef>
          </c:cat>
          <c:val>
            <c:numRef>
              <c:f>'Breakdown (Africa)'!$L$73:$Q$73</c:f>
              <c:numCache/>
            </c:numRef>
          </c:val>
        </c:ser>
        <c:ser>
          <c:idx val="2"/>
          <c:order val="2"/>
          <c:tx>
            <c:strRef>
              <c:f>'Breakdown (Africa)'!$K$74</c:f>
            </c:strRef>
          </c:tx>
          <c:spPr>
            <a:solidFill>
              <a:schemeClr val="accent3"/>
            </a:solidFill>
            <a:ln cmpd="sng">
              <a:solidFill>
                <a:srgbClr val="000000"/>
              </a:solidFill>
            </a:ln>
          </c:spPr>
          <c:cat>
            <c:strRef>
              <c:f>'Breakdown (Africa)'!$L$71:$Q$71</c:f>
            </c:strRef>
          </c:cat>
          <c:val>
            <c:numRef>
              <c:f>'Breakdown (Africa)'!$L$74:$Q$74</c:f>
              <c:numCache/>
            </c:numRef>
          </c:val>
        </c:ser>
        <c:ser>
          <c:idx val="3"/>
          <c:order val="3"/>
          <c:tx>
            <c:strRef>
              <c:f>'Breakdown (Africa)'!$K$75</c:f>
            </c:strRef>
          </c:tx>
          <c:spPr>
            <a:solidFill>
              <a:schemeClr val="accent4"/>
            </a:solidFill>
            <a:ln cmpd="sng">
              <a:solidFill>
                <a:srgbClr val="000000"/>
              </a:solidFill>
            </a:ln>
          </c:spPr>
          <c:cat>
            <c:strRef>
              <c:f>'Breakdown (Africa)'!$L$71:$Q$71</c:f>
            </c:strRef>
          </c:cat>
          <c:val>
            <c:numRef>
              <c:f>'Breakdown (Africa)'!$L$75:$Q$75</c:f>
              <c:numCache/>
            </c:numRef>
          </c:val>
        </c:ser>
        <c:ser>
          <c:idx val="4"/>
          <c:order val="4"/>
          <c:tx>
            <c:strRef>
              <c:f>'Breakdown (Africa)'!$K$76</c:f>
            </c:strRef>
          </c:tx>
          <c:spPr>
            <a:solidFill>
              <a:schemeClr val="accent5"/>
            </a:solidFill>
            <a:ln cmpd="sng">
              <a:solidFill>
                <a:srgbClr val="000000"/>
              </a:solidFill>
            </a:ln>
          </c:spPr>
          <c:cat>
            <c:strRef>
              <c:f>'Breakdown (Africa)'!$L$71:$Q$71</c:f>
            </c:strRef>
          </c:cat>
          <c:val>
            <c:numRef>
              <c:f>'Breakdown (Africa)'!$L$76:$Q$76</c:f>
              <c:numCache/>
            </c:numRef>
          </c:val>
        </c:ser>
        <c:overlap val="100"/>
        <c:axId val="1547617769"/>
        <c:axId val="159583967"/>
      </c:barChart>
      <c:catAx>
        <c:axId val="154761776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9583967"/>
      </c:catAx>
      <c:valAx>
        <c:axId val="15958396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47617769"/>
        <c:crosses val="max"/>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European Countries Car Sales (2005 - 2010)</a:t>
            </a:r>
          </a:p>
        </c:rich>
      </c:tx>
      <c:overlay val="0"/>
    </c:title>
    <c:plotArea>
      <c:layout/>
      <c:barChart>
        <c:barDir val="bar"/>
        <c:grouping val="stacked"/>
        <c:ser>
          <c:idx val="0"/>
          <c:order val="0"/>
          <c:tx>
            <c:strRef>
              <c:f>'Breakdown (Europe)'!$K$2</c:f>
            </c:strRef>
          </c:tx>
          <c:spPr>
            <a:solidFill>
              <a:schemeClr val="accent1"/>
            </a:solidFill>
            <a:ln cmpd="sng">
              <a:solidFill>
                <a:srgbClr val="000000"/>
              </a:solidFill>
            </a:ln>
          </c:spPr>
          <c:cat>
            <c:strRef>
              <c:f>'Breakdown (Europe)'!$L$1:$Q$1</c:f>
            </c:strRef>
          </c:cat>
          <c:val>
            <c:numRef>
              <c:f>'Breakdown (Europe)'!$L$2:$Q$2</c:f>
              <c:numCache/>
            </c:numRef>
          </c:val>
        </c:ser>
        <c:ser>
          <c:idx val="1"/>
          <c:order val="1"/>
          <c:tx>
            <c:strRef>
              <c:f>'Breakdown (Europe)'!$K$3</c:f>
            </c:strRef>
          </c:tx>
          <c:spPr>
            <a:solidFill>
              <a:schemeClr val="accent2"/>
            </a:solidFill>
            <a:ln cmpd="sng">
              <a:solidFill>
                <a:srgbClr val="000000"/>
              </a:solidFill>
            </a:ln>
          </c:spPr>
          <c:cat>
            <c:strRef>
              <c:f>'Breakdown (Europe)'!$L$1:$Q$1</c:f>
            </c:strRef>
          </c:cat>
          <c:val>
            <c:numRef>
              <c:f>'Breakdown (Europe)'!$L$3:$Q$3</c:f>
              <c:numCache/>
            </c:numRef>
          </c:val>
        </c:ser>
        <c:ser>
          <c:idx val="2"/>
          <c:order val="2"/>
          <c:tx>
            <c:strRef>
              <c:f>'Breakdown (Europe)'!$K$4</c:f>
            </c:strRef>
          </c:tx>
          <c:spPr>
            <a:solidFill>
              <a:schemeClr val="accent3"/>
            </a:solidFill>
            <a:ln cmpd="sng">
              <a:solidFill>
                <a:srgbClr val="000000"/>
              </a:solidFill>
            </a:ln>
          </c:spPr>
          <c:cat>
            <c:strRef>
              <c:f>'Breakdown (Europe)'!$L$1:$Q$1</c:f>
            </c:strRef>
          </c:cat>
          <c:val>
            <c:numRef>
              <c:f>'Breakdown (Europe)'!$L$4:$Q$4</c:f>
              <c:numCache/>
            </c:numRef>
          </c:val>
        </c:ser>
        <c:ser>
          <c:idx val="3"/>
          <c:order val="3"/>
          <c:tx>
            <c:strRef>
              <c:f>'Breakdown (Europe)'!$K$5</c:f>
            </c:strRef>
          </c:tx>
          <c:spPr>
            <a:solidFill>
              <a:schemeClr val="accent4"/>
            </a:solidFill>
            <a:ln cmpd="sng">
              <a:solidFill>
                <a:srgbClr val="000000"/>
              </a:solidFill>
            </a:ln>
          </c:spPr>
          <c:cat>
            <c:strRef>
              <c:f>'Breakdown (Europe)'!$L$1:$Q$1</c:f>
            </c:strRef>
          </c:cat>
          <c:val>
            <c:numRef>
              <c:f>'Breakdown (Europe)'!$L$5:$Q$5</c:f>
              <c:numCache/>
            </c:numRef>
          </c:val>
        </c:ser>
        <c:ser>
          <c:idx val="4"/>
          <c:order val="4"/>
          <c:tx>
            <c:strRef>
              <c:f>'Breakdown (Europe)'!$K$6</c:f>
            </c:strRef>
          </c:tx>
          <c:spPr>
            <a:solidFill>
              <a:schemeClr val="accent5"/>
            </a:solidFill>
            <a:ln cmpd="sng">
              <a:solidFill>
                <a:srgbClr val="000000"/>
              </a:solidFill>
            </a:ln>
          </c:spPr>
          <c:cat>
            <c:strRef>
              <c:f>'Breakdown (Europe)'!$L$1:$Q$1</c:f>
            </c:strRef>
          </c:cat>
          <c:val>
            <c:numRef>
              <c:f>'Breakdown (Europe)'!$L$6:$Q$6</c:f>
              <c:numCache/>
            </c:numRef>
          </c:val>
        </c:ser>
        <c:overlap val="100"/>
        <c:axId val="2058738185"/>
        <c:axId val="889170820"/>
      </c:barChart>
      <c:catAx>
        <c:axId val="205873818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89170820"/>
      </c:catAx>
      <c:valAx>
        <c:axId val="88917082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58738185"/>
        <c:crosses val="max"/>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European Countries Car Sales (2011 - 2016)</a:t>
            </a:r>
          </a:p>
        </c:rich>
      </c:tx>
      <c:overlay val="0"/>
    </c:title>
    <c:plotArea>
      <c:layout/>
      <c:barChart>
        <c:barDir val="bar"/>
        <c:grouping val="stacked"/>
        <c:ser>
          <c:idx val="0"/>
          <c:order val="0"/>
          <c:tx>
            <c:strRef>
              <c:f>'Breakdown (Europe)'!$K$47</c:f>
            </c:strRef>
          </c:tx>
          <c:spPr>
            <a:solidFill>
              <a:schemeClr val="accent1"/>
            </a:solidFill>
            <a:ln cmpd="sng">
              <a:solidFill>
                <a:srgbClr val="000000"/>
              </a:solidFill>
            </a:ln>
          </c:spPr>
          <c:cat>
            <c:strRef>
              <c:f>'Breakdown (Europe)'!$L$46:$Q$46</c:f>
            </c:strRef>
          </c:cat>
          <c:val>
            <c:numRef>
              <c:f>'Breakdown (Europe)'!$L$47:$Q$47</c:f>
              <c:numCache/>
            </c:numRef>
          </c:val>
        </c:ser>
        <c:ser>
          <c:idx val="1"/>
          <c:order val="1"/>
          <c:tx>
            <c:strRef>
              <c:f>'Breakdown (Europe)'!$K$48</c:f>
            </c:strRef>
          </c:tx>
          <c:spPr>
            <a:solidFill>
              <a:schemeClr val="accent2"/>
            </a:solidFill>
            <a:ln cmpd="sng">
              <a:solidFill>
                <a:srgbClr val="000000"/>
              </a:solidFill>
            </a:ln>
          </c:spPr>
          <c:cat>
            <c:strRef>
              <c:f>'Breakdown (Europe)'!$L$46:$Q$46</c:f>
            </c:strRef>
          </c:cat>
          <c:val>
            <c:numRef>
              <c:f>'Breakdown (Europe)'!$L$48:$Q$48</c:f>
              <c:numCache/>
            </c:numRef>
          </c:val>
        </c:ser>
        <c:ser>
          <c:idx val="2"/>
          <c:order val="2"/>
          <c:tx>
            <c:strRef>
              <c:f>'Breakdown (Europe)'!$K$49</c:f>
            </c:strRef>
          </c:tx>
          <c:spPr>
            <a:solidFill>
              <a:schemeClr val="accent3"/>
            </a:solidFill>
            <a:ln cmpd="sng">
              <a:solidFill>
                <a:srgbClr val="000000"/>
              </a:solidFill>
            </a:ln>
          </c:spPr>
          <c:cat>
            <c:strRef>
              <c:f>'Breakdown (Europe)'!$L$46:$Q$46</c:f>
            </c:strRef>
          </c:cat>
          <c:val>
            <c:numRef>
              <c:f>'Breakdown (Europe)'!$L$49:$Q$49</c:f>
              <c:numCache/>
            </c:numRef>
          </c:val>
        </c:ser>
        <c:ser>
          <c:idx val="3"/>
          <c:order val="3"/>
          <c:tx>
            <c:strRef>
              <c:f>'Breakdown (Europe)'!$K$50</c:f>
            </c:strRef>
          </c:tx>
          <c:spPr>
            <a:solidFill>
              <a:schemeClr val="accent4"/>
            </a:solidFill>
            <a:ln cmpd="sng">
              <a:solidFill>
                <a:srgbClr val="000000"/>
              </a:solidFill>
            </a:ln>
          </c:spPr>
          <c:cat>
            <c:strRef>
              <c:f>'Breakdown (Europe)'!$L$46:$Q$46</c:f>
            </c:strRef>
          </c:cat>
          <c:val>
            <c:numRef>
              <c:f>'Breakdown (Europe)'!$L$50:$Q$50</c:f>
              <c:numCache/>
            </c:numRef>
          </c:val>
        </c:ser>
        <c:ser>
          <c:idx val="4"/>
          <c:order val="4"/>
          <c:tx>
            <c:strRef>
              <c:f>'Breakdown (Europe)'!$K$51</c:f>
            </c:strRef>
          </c:tx>
          <c:spPr>
            <a:solidFill>
              <a:schemeClr val="accent5"/>
            </a:solidFill>
            <a:ln cmpd="sng">
              <a:solidFill>
                <a:srgbClr val="000000"/>
              </a:solidFill>
            </a:ln>
          </c:spPr>
          <c:cat>
            <c:strRef>
              <c:f>'Breakdown (Europe)'!$L$46:$Q$46</c:f>
            </c:strRef>
          </c:cat>
          <c:val>
            <c:numRef>
              <c:f>'Breakdown (Europe)'!$L$51:$Q$51</c:f>
              <c:numCache/>
            </c:numRef>
          </c:val>
        </c:ser>
        <c:overlap val="100"/>
        <c:axId val="758621339"/>
        <c:axId val="1567331464"/>
      </c:barChart>
      <c:catAx>
        <c:axId val="75862133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67331464"/>
      </c:catAx>
      <c:valAx>
        <c:axId val="156733146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58621339"/>
        <c:crosses val="max"/>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European Countries Car Sales (2017 - 2022)</a:t>
            </a:r>
          </a:p>
        </c:rich>
      </c:tx>
      <c:overlay val="0"/>
    </c:title>
    <c:plotArea>
      <c:layout/>
      <c:barChart>
        <c:barDir val="bar"/>
        <c:grouping val="stacked"/>
        <c:ser>
          <c:idx val="0"/>
          <c:order val="0"/>
          <c:tx>
            <c:strRef>
              <c:f>'Breakdown (Europe)'!$K$93</c:f>
            </c:strRef>
          </c:tx>
          <c:spPr>
            <a:solidFill>
              <a:schemeClr val="accent1"/>
            </a:solidFill>
            <a:ln cmpd="sng">
              <a:solidFill>
                <a:srgbClr val="000000"/>
              </a:solidFill>
            </a:ln>
          </c:spPr>
          <c:cat>
            <c:strRef>
              <c:f>'Breakdown (Europe)'!$L$92:$Q$92</c:f>
            </c:strRef>
          </c:cat>
          <c:val>
            <c:numRef>
              <c:f>'Breakdown (Europe)'!$L$93:$Q$93</c:f>
              <c:numCache/>
            </c:numRef>
          </c:val>
        </c:ser>
        <c:ser>
          <c:idx val="1"/>
          <c:order val="1"/>
          <c:tx>
            <c:strRef>
              <c:f>'Breakdown (Europe)'!$K$94</c:f>
            </c:strRef>
          </c:tx>
          <c:spPr>
            <a:solidFill>
              <a:schemeClr val="accent2"/>
            </a:solidFill>
            <a:ln cmpd="sng">
              <a:solidFill>
                <a:srgbClr val="000000"/>
              </a:solidFill>
            </a:ln>
          </c:spPr>
          <c:cat>
            <c:strRef>
              <c:f>'Breakdown (Europe)'!$L$92:$Q$92</c:f>
            </c:strRef>
          </c:cat>
          <c:val>
            <c:numRef>
              <c:f>'Breakdown (Europe)'!$L$94:$Q$94</c:f>
              <c:numCache/>
            </c:numRef>
          </c:val>
        </c:ser>
        <c:ser>
          <c:idx val="2"/>
          <c:order val="2"/>
          <c:tx>
            <c:strRef>
              <c:f>'Breakdown (Europe)'!$K$95</c:f>
            </c:strRef>
          </c:tx>
          <c:spPr>
            <a:solidFill>
              <a:schemeClr val="accent3"/>
            </a:solidFill>
            <a:ln cmpd="sng">
              <a:solidFill>
                <a:srgbClr val="000000"/>
              </a:solidFill>
            </a:ln>
          </c:spPr>
          <c:cat>
            <c:strRef>
              <c:f>'Breakdown (Europe)'!$L$92:$Q$92</c:f>
            </c:strRef>
          </c:cat>
          <c:val>
            <c:numRef>
              <c:f>'Breakdown (Europe)'!$L$95:$Q$95</c:f>
              <c:numCache/>
            </c:numRef>
          </c:val>
        </c:ser>
        <c:ser>
          <c:idx val="3"/>
          <c:order val="3"/>
          <c:tx>
            <c:strRef>
              <c:f>'Breakdown (Europe)'!$K$96</c:f>
            </c:strRef>
          </c:tx>
          <c:spPr>
            <a:solidFill>
              <a:schemeClr val="accent4"/>
            </a:solidFill>
            <a:ln cmpd="sng">
              <a:solidFill>
                <a:srgbClr val="000000"/>
              </a:solidFill>
            </a:ln>
          </c:spPr>
          <c:cat>
            <c:strRef>
              <c:f>'Breakdown (Europe)'!$L$92:$Q$92</c:f>
            </c:strRef>
          </c:cat>
          <c:val>
            <c:numRef>
              <c:f>'Breakdown (Europe)'!$L$96:$Q$96</c:f>
              <c:numCache/>
            </c:numRef>
          </c:val>
        </c:ser>
        <c:ser>
          <c:idx val="4"/>
          <c:order val="4"/>
          <c:tx>
            <c:strRef>
              <c:f>'Breakdown (Europe)'!$K$97</c:f>
            </c:strRef>
          </c:tx>
          <c:spPr>
            <a:solidFill>
              <a:schemeClr val="accent5"/>
            </a:solidFill>
            <a:ln cmpd="sng">
              <a:solidFill>
                <a:srgbClr val="000000"/>
              </a:solidFill>
            </a:ln>
          </c:spPr>
          <c:cat>
            <c:strRef>
              <c:f>'Breakdown (Europe)'!$L$92:$Q$92</c:f>
            </c:strRef>
          </c:cat>
          <c:val>
            <c:numRef>
              <c:f>'Breakdown (Europe)'!$L$97:$Q$97</c:f>
              <c:numCache/>
            </c:numRef>
          </c:val>
        </c:ser>
        <c:overlap val="100"/>
        <c:axId val="1994081514"/>
        <c:axId val="351260338"/>
      </c:barChart>
      <c:catAx>
        <c:axId val="199408151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51260338"/>
      </c:catAx>
      <c:valAx>
        <c:axId val="35126033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94081514"/>
        <c:crosses val="max"/>
      </c:valAx>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North American Countries Car Sales (2005 - 2010)</a:t>
            </a:r>
          </a:p>
        </c:rich>
      </c:tx>
      <c:overlay val="0"/>
    </c:title>
    <c:plotArea>
      <c:layout/>
      <c:barChart>
        <c:barDir val="bar"/>
        <c:grouping val="stacked"/>
        <c:ser>
          <c:idx val="0"/>
          <c:order val="0"/>
          <c:tx>
            <c:strRef>
              <c:f>'Breakdown (N. America)'!$K$3</c:f>
            </c:strRef>
          </c:tx>
          <c:spPr>
            <a:solidFill>
              <a:schemeClr val="accent1"/>
            </a:solidFill>
            <a:ln cmpd="sng">
              <a:solidFill>
                <a:srgbClr val="000000"/>
              </a:solidFill>
            </a:ln>
          </c:spPr>
          <c:cat>
            <c:strRef>
              <c:f>'Breakdown (N. America)'!$L$2:$Q$2</c:f>
            </c:strRef>
          </c:cat>
          <c:val>
            <c:numRef>
              <c:f>'Breakdown (N. America)'!$L$3:$Q$3</c:f>
              <c:numCache/>
            </c:numRef>
          </c:val>
        </c:ser>
        <c:ser>
          <c:idx val="1"/>
          <c:order val="1"/>
          <c:tx>
            <c:strRef>
              <c:f>'Breakdown (N. America)'!$K$4</c:f>
            </c:strRef>
          </c:tx>
          <c:spPr>
            <a:solidFill>
              <a:schemeClr val="accent2"/>
            </a:solidFill>
            <a:ln cmpd="sng">
              <a:solidFill>
                <a:srgbClr val="000000"/>
              </a:solidFill>
            </a:ln>
          </c:spPr>
          <c:cat>
            <c:strRef>
              <c:f>'Breakdown (N. America)'!$L$2:$Q$2</c:f>
            </c:strRef>
          </c:cat>
          <c:val>
            <c:numRef>
              <c:f>'Breakdown (N. America)'!$L$4:$Q$4</c:f>
              <c:numCache/>
            </c:numRef>
          </c:val>
        </c:ser>
        <c:ser>
          <c:idx val="2"/>
          <c:order val="2"/>
          <c:tx>
            <c:strRef>
              <c:f>'Breakdown (N. America)'!$K$5</c:f>
            </c:strRef>
          </c:tx>
          <c:spPr>
            <a:solidFill>
              <a:schemeClr val="accent3"/>
            </a:solidFill>
            <a:ln cmpd="sng">
              <a:solidFill>
                <a:srgbClr val="000000"/>
              </a:solidFill>
            </a:ln>
          </c:spPr>
          <c:cat>
            <c:strRef>
              <c:f>'Breakdown (N. America)'!$L$2:$Q$2</c:f>
            </c:strRef>
          </c:cat>
          <c:val>
            <c:numRef>
              <c:f>'Breakdown (N. America)'!$L$5:$Q$5</c:f>
              <c:numCache/>
            </c:numRef>
          </c:val>
        </c:ser>
        <c:ser>
          <c:idx val="3"/>
          <c:order val="3"/>
          <c:tx>
            <c:strRef>
              <c:f>'Breakdown (N. America)'!$K$6</c:f>
            </c:strRef>
          </c:tx>
          <c:spPr>
            <a:solidFill>
              <a:schemeClr val="accent4"/>
            </a:solidFill>
            <a:ln cmpd="sng">
              <a:solidFill>
                <a:srgbClr val="000000"/>
              </a:solidFill>
            </a:ln>
          </c:spPr>
          <c:cat>
            <c:strRef>
              <c:f>'Breakdown (N. America)'!$L$2:$Q$2</c:f>
            </c:strRef>
          </c:cat>
          <c:val>
            <c:numRef>
              <c:f>'Breakdown (N. America)'!$L$6:$Q$6</c:f>
              <c:numCache/>
            </c:numRef>
          </c:val>
        </c:ser>
        <c:ser>
          <c:idx val="4"/>
          <c:order val="4"/>
          <c:tx>
            <c:strRef>
              <c:f>'Breakdown (N. America)'!$K$7</c:f>
            </c:strRef>
          </c:tx>
          <c:spPr>
            <a:solidFill>
              <a:schemeClr val="accent5"/>
            </a:solidFill>
            <a:ln cmpd="sng">
              <a:solidFill>
                <a:srgbClr val="000000"/>
              </a:solidFill>
            </a:ln>
          </c:spPr>
          <c:cat>
            <c:strRef>
              <c:f>'Breakdown (N. America)'!$L$2:$Q$2</c:f>
            </c:strRef>
          </c:cat>
          <c:val>
            <c:numRef>
              <c:f>'Breakdown (N. America)'!$L$7:$Q$7</c:f>
              <c:numCache/>
            </c:numRef>
          </c:val>
        </c:ser>
        <c:overlap val="100"/>
        <c:axId val="187477275"/>
        <c:axId val="1815773234"/>
      </c:barChart>
      <c:catAx>
        <c:axId val="18747727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15773234"/>
      </c:catAx>
      <c:valAx>
        <c:axId val="181577323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7477275"/>
        <c:crosses val="max"/>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North American Countries Car Sales (2011 - 2016)</a:t>
            </a:r>
          </a:p>
        </c:rich>
      </c:tx>
      <c:overlay val="0"/>
    </c:title>
    <c:plotArea>
      <c:layout/>
      <c:barChart>
        <c:barDir val="bar"/>
        <c:grouping val="stacked"/>
        <c:ser>
          <c:idx val="0"/>
          <c:order val="0"/>
          <c:tx>
            <c:strRef>
              <c:f>'Breakdown (N. America)'!$K$35</c:f>
            </c:strRef>
          </c:tx>
          <c:spPr>
            <a:solidFill>
              <a:schemeClr val="accent1"/>
            </a:solidFill>
            <a:ln cmpd="sng">
              <a:solidFill>
                <a:srgbClr val="000000"/>
              </a:solidFill>
            </a:ln>
          </c:spPr>
          <c:cat>
            <c:strRef>
              <c:f>'Breakdown (N. America)'!$L$34:$Q$34</c:f>
            </c:strRef>
          </c:cat>
          <c:val>
            <c:numRef>
              <c:f>'Breakdown (N. America)'!$L$35:$Q$35</c:f>
              <c:numCache/>
            </c:numRef>
          </c:val>
        </c:ser>
        <c:ser>
          <c:idx val="1"/>
          <c:order val="1"/>
          <c:tx>
            <c:strRef>
              <c:f>'Breakdown (N. America)'!$K$36</c:f>
            </c:strRef>
          </c:tx>
          <c:spPr>
            <a:solidFill>
              <a:schemeClr val="accent2"/>
            </a:solidFill>
            <a:ln cmpd="sng">
              <a:solidFill>
                <a:srgbClr val="000000"/>
              </a:solidFill>
            </a:ln>
          </c:spPr>
          <c:cat>
            <c:strRef>
              <c:f>'Breakdown (N. America)'!$L$34:$Q$34</c:f>
            </c:strRef>
          </c:cat>
          <c:val>
            <c:numRef>
              <c:f>'Breakdown (N. America)'!$L$36:$Q$36</c:f>
              <c:numCache/>
            </c:numRef>
          </c:val>
        </c:ser>
        <c:ser>
          <c:idx val="2"/>
          <c:order val="2"/>
          <c:tx>
            <c:strRef>
              <c:f>'Breakdown (N. America)'!$K$37</c:f>
            </c:strRef>
          </c:tx>
          <c:spPr>
            <a:solidFill>
              <a:schemeClr val="accent3"/>
            </a:solidFill>
            <a:ln cmpd="sng">
              <a:solidFill>
                <a:srgbClr val="000000"/>
              </a:solidFill>
            </a:ln>
          </c:spPr>
          <c:cat>
            <c:strRef>
              <c:f>'Breakdown (N. America)'!$L$34:$Q$34</c:f>
            </c:strRef>
          </c:cat>
          <c:val>
            <c:numRef>
              <c:f>'Breakdown (N. America)'!$L$37:$Q$37</c:f>
              <c:numCache/>
            </c:numRef>
          </c:val>
        </c:ser>
        <c:ser>
          <c:idx val="3"/>
          <c:order val="3"/>
          <c:tx>
            <c:strRef>
              <c:f>'Breakdown (N. America)'!$K$38</c:f>
            </c:strRef>
          </c:tx>
          <c:spPr>
            <a:solidFill>
              <a:schemeClr val="accent4"/>
            </a:solidFill>
            <a:ln cmpd="sng">
              <a:solidFill>
                <a:srgbClr val="000000"/>
              </a:solidFill>
            </a:ln>
          </c:spPr>
          <c:cat>
            <c:strRef>
              <c:f>'Breakdown (N. America)'!$L$34:$Q$34</c:f>
            </c:strRef>
          </c:cat>
          <c:val>
            <c:numRef>
              <c:f>'Breakdown (N. America)'!$L$38:$Q$38</c:f>
              <c:numCache/>
            </c:numRef>
          </c:val>
        </c:ser>
        <c:ser>
          <c:idx val="4"/>
          <c:order val="4"/>
          <c:tx>
            <c:strRef>
              <c:f>'Breakdown (N. America)'!$K$39</c:f>
            </c:strRef>
          </c:tx>
          <c:spPr>
            <a:solidFill>
              <a:schemeClr val="accent5"/>
            </a:solidFill>
            <a:ln cmpd="sng">
              <a:solidFill>
                <a:srgbClr val="000000"/>
              </a:solidFill>
            </a:ln>
          </c:spPr>
          <c:cat>
            <c:strRef>
              <c:f>'Breakdown (N. America)'!$L$34:$Q$34</c:f>
            </c:strRef>
          </c:cat>
          <c:val>
            <c:numRef>
              <c:f>'Breakdown (N. America)'!$L$39:$Q$39</c:f>
              <c:numCache/>
            </c:numRef>
          </c:val>
        </c:ser>
        <c:overlap val="100"/>
        <c:axId val="532040184"/>
        <c:axId val="1661873585"/>
      </c:barChart>
      <c:catAx>
        <c:axId val="53204018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61873585"/>
      </c:catAx>
      <c:valAx>
        <c:axId val="166187358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32040184"/>
        <c:crosses val="max"/>
      </c:valAx>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North American Countries Car Sales (2017 - 2022)</a:t>
            </a:r>
          </a:p>
        </c:rich>
      </c:tx>
      <c:overlay val="0"/>
    </c:title>
    <c:plotArea>
      <c:layout/>
      <c:barChart>
        <c:barDir val="bar"/>
        <c:grouping val="stacked"/>
        <c:ser>
          <c:idx val="0"/>
          <c:order val="0"/>
          <c:tx>
            <c:strRef>
              <c:f>'Breakdown (N. America)'!$K$69</c:f>
            </c:strRef>
          </c:tx>
          <c:spPr>
            <a:solidFill>
              <a:schemeClr val="accent1"/>
            </a:solidFill>
            <a:ln cmpd="sng">
              <a:solidFill>
                <a:srgbClr val="000000"/>
              </a:solidFill>
            </a:ln>
          </c:spPr>
          <c:cat>
            <c:strRef>
              <c:f>'Breakdown (N. America)'!$L$68:$Q$68</c:f>
            </c:strRef>
          </c:cat>
          <c:val>
            <c:numRef>
              <c:f>'Breakdown (N. America)'!$L$69:$Q$69</c:f>
              <c:numCache/>
            </c:numRef>
          </c:val>
        </c:ser>
        <c:ser>
          <c:idx val="1"/>
          <c:order val="1"/>
          <c:tx>
            <c:strRef>
              <c:f>'Breakdown (N. America)'!$K$70</c:f>
            </c:strRef>
          </c:tx>
          <c:spPr>
            <a:solidFill>
              <a:schemeClr val="accent2"/>
            </a:solidFill>
            <a:ln cmpd="sng">
              <a:solidFill>
                <a:srgbClr val="000000"/>
              </a:solidFill>
            </a:ln>
          </c:spPr>
          <c:cat>
            <c:strRef>
              <c:f>'Breakdown (N. America)'!$L$68:$Q$68</c:f>
            </c:strRef>
          </c:cat>
          <c:val>
            <c:numRef>
              <c:f>'Breakdown (N. America)'!$L$70:$Q$70</c:f>
              <c:numCache/>
            </c:numRef>
          </c:val>
        </c:ser>
        <c:ser>
          <c:idx val="2"/>
          <c:order val="2"/>
          <c:tx>
            <c:strRef>
              <c:f>'Breakdown (N. America)'!$K$71</c:f>
            </c:strRef>
          </c:tx>
          <c:spPr>
            <a:solidFill>
              <a:schemeClr val="accent3"/>
            </a:solidFill>
            <a:ln cmpd="sng">
              <a:solidFill>
                <a:srgbClr val="000000"/>
              </a:solidFill>
            </a:ln>
          </c:spPr>
          <c:cat>
            <c:strRef>
              <c:f>'Breakdown (N. America)'!$L$68:$Q$68</c:f>
            </c:strRef>
          </c:cat>
          <c:val>
            <c:numRef>
              <c:f>'Breakdown (N. America)'!$L$71:$Q$71</c:f>
              <c:numCache/>
            </c:numRef>
          </c:val>
        </c:ser>
        <c:ser>
          <c:idx val="3"/>
          <c:order val="3"/>
          <c:tx>
            <c:strRef>
              <c:f>'Breakdown (N. America)'!$K$72</c:f>
            </c:strRef>
          </c:tx>
          <c:spPr>
            <a:solidFill>
              <a:schemeClr val="accent4"/>
            </a:solidFill>
            <a:ln cmpd="sng">
              <a:solidFill>
                <a:srgbClr val="000000"/>
              </a:solidFill>
            </a:ln>
          </c:spPr>
          <c:cat>
            <c:strRef>
              <c:f>'Breakdown (N. America)'!$L$68:$Q$68</c:f>
            </c:strRef>
          </c:cat>
          <c:val>
            <c:numRef>
              <c:f>'Breakdown (N. America)'!$L$72:$Q$72</c:f>
              <c:numCache/>
            </c:numRef>
          </c:val>
        </c:ser>
        <c:ser>
          <c:idx val="4"/>
          <c:order val="4"/>
          <c:tx>
            <c:strRef>
              <c:f>'Breakdown (N. America)'!$K$73</c:f>
            </c:strRef>
          </c:tx>
          <c:spPr>
            <a:solidFill>
              <a:schemeClr val="accent5"/>
            </a:solidFill>
            <a:ln cmpd="sng">
              <a:solidFill>
                <a:srgbClr val="000000"/>
              </a:solidFill>
            </a:ln>
          </c:spPr>
          <c:cat>
            <c:strRef>
              <c:f>'Breakdown (N. America)'!$L$68:$Q$68</c:f>
            </c:strRef>
          </c:cat>
          <c:val>
            <c:numRef>
              <c:f>'Breakdown (N. America)'!$L$73:$Q$73</c:f>
              <c:numCache/>
            </c:numRef>
          </c:val>
        </c:ser>
        <c:overlap val="100"/>
        <c:axId val="806950777"/>
        <c:axId val="621615395"/>
      </c:barChart>
      <c:catAx>
        <c:axId val="80695077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21615395"/>
      </c:catAx>
      <c:valAx>
        <c:axId val="62161539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06950777"/>
        <c:crosses val="max"/>
      </c:valAx>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Oceanic Countries Car Sales (2005 - 2010)</a:t>
            </a:r>
          </a:p>
        </c:rich>
      </c:tx>
      <c:overlay val="0"/>
    </c:title>
    <c:plotArea>
      <c:layout/>
      <c:barChart>
        <c:barDir val="bar"/>
        <c:grouping val="stacked"/>
        <c:ser>
          <c:idx val="0"/>
          <c:order val="0"/>
          <c:tx>
            <c:strRef>
              <c:f>'Breakdown (Oceania)'!$K$2</c:f>
            </c:strRef>
          </c:tx>
          <c:spPr>
            <a:solidFill>
              <a:schemeClr val="accent1"/>
            </a:solidFill>
            <a:ln cmpd="sng">
              <a:solidFill>
                <a:srgbClr val="000000"/>
              </a:solidFill>
            </a:ln>
          </c:spPr>
          <c:cat>
            <c:strRef>
              <c:f>'Breakdown (Oceania)'!$L$1:$Q$1</c:f>
            </c:strRef>
          </c:cat>
          <c:val>
            <c:numRef>
              <c:f>'Breakdown (Oceania)'!$L$2:$Q$2</c:f>
              <c:numCache/>
            </c:numRef>
          </c:val>
        </c:ser>
        <c:ser>
          <c:idx val="1"/>
          <c:order val="1"/>
          <c:tx>
            <c:strRef>
              <c:f>'Breakdown (Oceania)'!$K$3</c:f>
            </c:strRef>
          </c:tx>
          <c:spPr>
            <a:solidFill>
              <a:schemeClr val="accent2"/>
            </a:solidFill>
            <a:ln cmpd="sng">
              <a:solidFill>
                <a:srgbClr val="000000"/>
              </a:solidFill>
            </a:ln>
          </c:spPr>
          <c:cat>
            <c:strRef>
              <c:f>'Breakdown (Oceania)'!$L$1:$Q$1</c:f>
            </c:strRef>
          </c:cat>
          <c:val>
            <c:numRef>
              <c:f>'Breakdown (Oceania)'!$L$3:$Q$3</c:f>
              <c:numCache/>
            </c:numRef>
          </c:val>
        </c:ser>
        <c:overlap val="100"/>
        <c:axId val="251766565"/>
        <c:axId val="460723954"/>
      </c:barChart>
      <c:catAx>
        <c:axId val="25176656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Country</a:t>
                </a:r>
              </a:p>
            </c:rich>
          </c:tx>
          <c:overlay val="0"/>
        </c:title>
        <c:numFmt formatCode="General" sourceLinked="1"/>
        <c:majorTickMark val="none"/>
        <c:minorTickMark val="none"/>
        <c:spPr/>
        <c:txPr>
          <a:bodyPr/>
          <a:lstStyle/>
          <a:p>
            <a:pPr lvl="0">
              <a:defRPr b="0">
                <a:solidFill>
                  <a:srgbClr val="000000"/>
                </a:solidFill>
                <a:latin typeface="+mn-lt"/>
              </a:defRPr>
            </a:pPr>
          </a:p>
        </c:txPr>
        <c:crossAx val="460723954"/>
      </c:catAx>
      <c:valAx>
        <c:axId val="46072395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51766565"/>
        <c:crosses val="max"/>
      </c:valAx>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Oceanic Countries Car Sales (2011 - 2016)</a:t>
            </a:r>
          </a:p>
        </c:rich>
      </c:tx>
      <c:overlay val="0"/>
    </c:title>
    <c:plotArea>
      <c:layout/>
      <c:barChart>
        <c:barDir val="bar"/>
        <c:grouping val="stacked"/>
        <c:ser>
          <c:idx val="0"/>
          <c:order val="0"/>
          <c:tx>
            <c:strRef>
              <c:f>'Breakdown (Oceania)'!$K$32</c:f>
            </c:strRef>
          </c:tx>
          <c:spPr>
            <a:solidFill>
              <a:schemeClr val="accent1"/>
            </a:solidFill>
            <a:ln cmpd="sng">
              <a:solidFill>
                <a:srgbClr val="000000"/>
              </a:solidFill>
            </a:ln>
          </c:spPr>
          <c:cat>
            <c:strRef>
              <c:f>'Breakdown (Oceania)'!$L$31:$Q$31</c:f>
            </c:strRef>
          </c:cat>
          <c:val>
            <c:numRef>
              <c:f>'Breakdown (Oceania)'!$L$32:$Q$32</c:f>
              <c:numCache/>
            </c:numRef>
          </c:val>
        </c:ser>
        <c:ser>
          <c:idx val="1"/>
          <c:order val="1"/>
          <c:tx>
            <c:strRef>
              <c:f>'Breakdown (Oceania)'!$K$33</c:f>
            </c:strRef>
          </c:tx>
          <c:spPr>
            <a:solidFill>
              <a:schemeClr val="accent2"/>
            </a:solidFill>
            <a:ln cmpd="sng">
              <a:solidFill>
                <a:srgbClr val="000000"/>
              </a:solidFill>
            </a:ln>
          </c:spPr>
          <c:cat>
            <c:strRef>
              <c:f>'Breakdown (Oceania)'!$L$31:$Q$31</c:f>
            </c:strRef>
          </c:cat>
          <c:val>
            <c:numRef>
              <c:f>'Breakdown (Oceania)'!$L$33:$Q$33</c:f>
              <c:numCache/>
            </c:numRef>
          </c:val>
        </c:ser>
        <c:overlap val="100"/>
        <c:axId val="1454996588"/>
        <c:axId val="1645471327"/>
      </c:barChart>
      <c:catAx>
        <c:axId val="145499658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Country</a:t>
                </a:r>
              </a:p>
            </c:rich>
          </c:tx>
          <c:overlay val="0"/>
        </c:title>
        <c:numFmt formatCode="General" sourceLinked="1"/>
        <c:majorTickMark val="none"/>
        <c:minorTickMark val="none"/>
        <c:spPr/>
        <c:txPr>
          <a:bodyPr/>
          <a:lstStyle/>
          <a:p>
            <a:pPr lvl="0">
              <a:defRPr b="0">
                <a:solidFill>
                  <a:srgbClr val="000000"/>
                </a:solidFill>
                <a:latin typeface="+mn-lt"/>
              </a:defRPr>
            </a:pPr>
          </a:p>
        </c:txPr>
        <c:crossAx val="1645471327"/>
      </c:catAx>
      <c:valAx>
        <c:axId val="164547132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54996588"/>
        <c:crosses val="max"/>
      </c:valAx>
    </c:plotArea>
    <c:legend>
      <c:legendPos val="r"/>
      <c:overlay val="0"/>
      <c:txPr>
        <a:bodyPr/>
        <a:lstStyle/>
        <a:p>
          <a:pPr lvl="0">
            <a:defRPr b="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Asian Countries Car Sales (2017 - 2022)</a:t>
            </a:r>
          </a:p>
        </c:rich>
      </c:tx>
      <c:overlay val="0"/>
    </c:title>
    <c:plotArea>
      <c:layout/>
      <c:barChart>
        <c:barDir val="bar"/>
        <c:grouping val="stacked"/>
        <c:ser>
          <c:idx val="0"/>
          <c:order val="0"/>
          <c:tx>
            <c:strRef>
              <c:f>'Breakdown (Oceania)'!$K$66</c:f>
            </c:strRef>
          </c:tx>
          <c:spPr>
            <a:solidFill>
              <a:schemeClr val="accent1"/>
            </a:solidFill>
            <a:ln cmpd="sng">
              <a:solidFill>
                <a:srgbClr val="000000"/>
              </a:solidFill>
            </a:ln>
          </c:spPr>
          <c:cat>
            <c:strRef>
              <c:f>'Breakdown (Oceania)'!$L$65:$Q$65</c:f>
            </c:strRef>
          </c:cat>
          <c:val>
            <c:numRef>
              <c:f>'Breakdown (Oceania)'!$L$66:$Q$66</c:f>
              <c:numCache/>
            </c:numRef>
          </c:val>
        </c:ser>
        <c:ser>
          <c:idx val="1"/>
          <c:order val="1"/>
          <c:tx>
            <c:strRef>
              <c:f>'Breakdown (Oceania)'!$K$67</c:f>
            </c:strRef>
          </c:tx>
          <c:spPr>
            <a:solidFill>
              <a:schemeClr val="accent2"/>
            </a:solidFill>
            <a:ln cmpd="sng">
              <a:solidFill>
                <a:srgbClr val="000000"/>
              </a:solidFill>
            </a:ln>
          </c:spPr>
          <c:cat>
            <c:strRef>
              <c:f>'Breakdown (Oceania)'!$L$65:$Q$65</c:f>
            </c:strRef>
          </c:cat>
          <c:val>
            <c:numRef>
              <c:f>'Breakdown (Oceania)'!$L$67:$Q$67</c:f>
              <c:numCache/>
            </c:numRef>
          </c:val>
        </c:ser>
        <c:overlap val="100"/>
        <c:axId val="1708604204"/>
        <c:axId val="134827035"/>
      </c:barChart>
      <c:catAx>
        <c:axId val="170860420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Country</a:t>
                </a:r>
              </a:p>
            </c:rich>
          </c:tx>
          <c:overlay val="0"/>
        </c:title>
        <c:numFmt formatCode="General" sourceLinked="1"/>
        <c:majorTickMark val="none"/>
        <c:minorTickMark val="none"/>
        <c:spPr/>
        <c:txPr>
          <a:bodyPr/>
          <a:lstStyle/>
          <a:p>
            <a:pPr lvl="0">
              <a:defRPr b="0">
                <a:solidFill>
                  <a:srgbClr val="000000"/>
                </a:solidFill>
                <a:latin typeface="+mn-lt"/>
              </a:defRPr>
            </a:pPr>
          </a:p>
        </c:txPr>
        <c:crossAx val="134827035"/>
      </c:catAx>
      <c:valAx>
        <c:axId val="13482703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08604204"/>
        <c:crosses val="max"/>
      </c:valAx>
    </c:plotArea>
    <c:legend>
      <c:legendPos val="r"/>
      <c:overlay val="0"/>
      <c:txPr>
        <a:bodyPr/>
        <a:lstStyle/>
        <a:p>
          <a:pPr lvl="0">
            <a:defRPr b="0">
              <a:solidFill>
                <a:srgbClr val="1A1A1A"/>
              </a:solidFill>
              <a:latin typeface="+mn-lt"/>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Asian Countries Car Sales (2005 - 2010)</a:t>
            </a:r>
          </a:p>
        </c:rich>
      </c:tx>
      <c:overlay val="0"/>
    </c:title>
    <c:plotArea>
      <c:layout/>
      <c:barChart>
        <c:barDir val="bar"/>
        <c:grouping val="stacked"/>
        <c:ser>
          <c:idx val="0"/>
          <c:order val="0"/>
          <c:tx>
            <c:strRef>
              <c:f>'Breakdown (S. America)'!$K$2</c:f>
            </c:strRef>
          </c:tx>
          <c:spPr>
            <a:solidFill>
              <a:schemeClr val="accent1"/>
            </a:solidFill>
            <a:ln cmpd="sng">
              <a:solidFill>
                <a:srgbClr val="000000"/>
              </a:solidFill>
            </a:ln>
          </c:spPr>
          <c:cat>
            <c:strRef>
              <c:f>'Breakdown (S. America)'!$L$1:$Q$1</c:f>
            </c:strRef>
          </c:cat>
          <c:val>
            <c:numRef>
              <c:f>'Breakdown (S. America)'!$L$2:$Q$2</c:f>
              <c:numCache/>
            </c:numRef>
          </c:val>
        </c:ser>
        <c:ser>
          <c:idx val="1"/>
          <c:order val="1"/>
          <c:tx>
            <c:strRef>
              <c:f>'Breakdown (S. America)'!$K$3</c:f>
            </c:strRef>
          </c:tx>
          <c:spPr>
            <a:solidFill>
              <a:schemeClr val="accent2"/>
            </a:solidFill>
            <a:ln cmpd="sng">
              <a:solidFill>
                <a:srgbClr val="000000"/>
              </a:solidFill>
            </a:ln>
          </c:spPr>
          <c:cat>
            <c:strRef>
              <c:f>'Breakdown (S. America)'!$L$1:$Q$1</c:f>
            </c:strRef>
          </c:cat>
          <c:val>
            <c:numRef>
              <c:f>'Breakdown (S. America)'!$L$3:$Q$3</c:f>
              <c:numCache/>
            </c:numRef>
          </c:val>
        </c:ser>
        <c:ser>
          <c:idx val="2"/>
          <c:order val="2"/>
          <c:tx>
            <c:strRef>
              <c:f>'Breakdown (S. America)'!$K$4</c:f>
            </c:strRef>
          </c:tx>
          <c:spPr>
            <a:solidFill>
              <a:schemeClr val="accent3"/>
            </a:solidFill>
            <a:ln cmpd="sng">
              <a:solidFill>
                <a:srgbClr val="000000"/>
              </a:solidFill>
            </a:ln>
          </c:spPr>
          <c:cat>
            <c:strRef>
              <c:f>'Breakdown (S. America)'!$L$1:$Q$1</c:f>
            </c:strRef>
          </c:cat>
          <c:val>
            <c:numRef>
              <c:f>'Breakdown (S. America)'!$L$4:$Q$4</c:f>
              <c:numCache/>
            </c:numRef>
          </c:val>
        </c:ser>
        <c:ser>
          <c:idx val="3"/>
          <c:order val="3"/>
          <c:tx>
            <c:strRef>
              <c:f>'Breakdown (S. America)'!$K$5</c:f>
            </c:strRef>
          </c:tx>
          <c:spPr>
            <a:solidFill>
              <a:schemeClr val="accent4"/>
            </a:solidFill>
            <a:ln cmpd="sng">
              <a:solidFill>
                <a:srgbClr val="000000"/>
              </a:solidFill>
            </a:ln>
          </c:spPr>
          <c:cat>
            <c:strRef>
              <c:f>'Breakdown (S. America)'!$L$1:$Q$1</c:f>
            </c:strRef>
          </c:cat>
          <c:val>
            <c:numRef>
              <c:f>'Breakdown (S. America)'!$L$5:$Q$5</c:f>
              <c:numCache/>
            </c:numRef>
          </c:val>
        </c:ser>
        <c:ser>
          <c:idx val="4"/>
          <c:order val="4"/>
          <c:tx>
            <c:strRef>
              <c:f>'Breakdown (S. America)'!$K$6</c:f>
            </c:strRef>
          </c:tx>
          <c:spPr>
            <a:solidFill>
              <a:schemeClr val="accent5"/>
            </a:solidFill>
            <a:ln cmpd="sng">
              <a:solidFill>
                <a:srgbClr val="000000"/>
              </a:solidFill>
            </a:ln>
          </c:spPr>
          <c:cat>
            <c:strRef>
              <c:f>'Breakdown (S. America)'!$L$1:$Q$1</c:f>
            </c:strRef>
          </c:cat>
          <c:val>
            <c:numRef>
              <c:f>'Breakdown (S. America)'!$L$6:$Q$6</c:f>
              <c:numCache/>
            </c:numRef>
          </c:val>
        </c:ser>
        <c:overlap val="100"/>
        <c:axId val="1728522316"/>
        <c:axId val="2044421103"/>
      </c:barChart>
      <c:catAx>
        <c:axId val="172852231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Country</a:t>
                </a:r>
              </a:p>
            </c:rich>
          </c:tx>
          <c:overlay val="0"/>
        </c:title>
        <c:numFmt formatCode="General" sourceLinked="1"/>
        <c:majorTickMark val="none"/>
        <c:minorTickMark val="none"/>
        <c:spPr/>
        <c:txPr>
          <a:bodyPr/>
          <a:lstStyle/>
          <a:p>
            <a:pPr lvl="0">
              <a:defRPr b="0">
                <a:solidFill>
                  <a:srgbClr val="000000"/>
                </a:solidFill>
                <a:latin typeface="+mn-lt"/>
              </a:defRPr>
            </a:pPr>
          </a:p>
        </c:txPr>
        <c:crossAx val="2044421103"/>
      </c:catAx>
      <c:valAx>
        <c:axId val="204442110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28522316"/>
        <c:crosses val="max"/>
      </c:valAx>
    </c:plotArea>
    <c:legend>
      <c:legendPos val="r"/>
      <c:overlay val="0"/>
      <c:txPr>
        <a:bodyPr/>
        <a:lstStyle/>
        <a:p>
          <a:pPr lvl="0">
            <a:defRPr b="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Asian Countries Car Sales (2011 - 2016)</a:t>
            </a:r>
          </a:p>
        </c:rich>
      </c:tx>
      <c:overlay val="0"/>
    </c:title>
    <c:plotArea>
      <c:layout/>
      <c:barChart>
        <c:barDir val="bar"/>
        <c:grouping val="stacked"/>
        <c:ser>
          <c:idx val="0"/>
          <c:order val="0"/>
          <c:tx>
            <c:strRef>
              <c:f>'Breakdown (S. America)'!$K$33</c:f>
            </c:strRef>
          </c:tx>
          <c:spPr>
            <a:solidFill>
              <a:schemeClr val="accent1"/>
            </a:solidFill>
            <a:ln cmpd="sng">
              <a:solidFill>
                <a:srgbClr val="000000"/>
              </a:solidFill>
            </a:ln>
          </c:spPr>
          <c:cat>
            <c:strRef>
              <c:f>'Breakdown (S. America)'!$L$32:$Q$32</c:f>
            </c:strRef>
          </c:cat>
          <c:val>
            <c:numRef>
              <c:f>'Breakdown (S. America)'!$L$33:$Q$33</c:f>
              <c:numCache/>
            </c:numRef>
          </c:val>
        </c:ser>
        <c:ser>
          <c:idx val="1"/>
          <c:order val="1"/>
          <c:tx>
            <c:strRef>
              <c:f>'Breakdown (S. America)'!$K$34</c:f>
            </c:strRef>
          </c:tx>
          <c:spPr>
            <a:solidFill>
              <a:schemeClr val="accent2"/>
            </a:solidFill>
            <a:ln cmpd="sng">
              <a:solidFill>
                <a:srgbClr val="000000"/>
              </a:solidFill>
            </a:ln>
          </c:spPr>
          <c:cat>
            <c:strRef>
              <c:f>'Breakdown (S. America)'!$L$32:$Q$32</c:f>
            </c:strRef>
          </c:cat>
          <c:val>
            <c:numRef>
              <c:f>'Breakdown (S. America)'!$L$34:$Q$34</c:f>
              <c:numCache/>
            </c:numRef>
          </c:val>
        </c:ser>
        <c:ser>
          <c:idx val="2"/>
          <c:order val="2"/>
          <c:tx>
            <c:strRef>
              <c:f>'Breakdown (S. America)'!$K$35</c:f>
            </c:strRef>
          </c:tx>
          <c:spPr>
            <a:solidFill>
              <a:schemeClr val="accent3"/>
            </a:solidFill>
            <a:ln cmpd="sng">
              <a:solidFill>
                <a:srgbClr val="000000"/>
              </a:solidFill>
            </a:ln>
          </c:spPr>
          <c:cat>
            <c:strRef>
              <c:f>'Breakdown (S. America)'!$L$32:$Q$32</c:f>
            </c:strRef>
          </c:cat>
          <c:val>
            <c:numRef>
              <c:f>'Breakdown (S. America)'!$L$35:$Q$35</c:f>
              <c:numCache/>
            </c:numRef>
          </c:val>
        </c:ser>
        <c:ser>
          <c:idx val="3"/>
          <c:order val="3"/>
          <c:tx>
            <c:strRef>
              <c:f>'Breakdown (S. America)'!$K$36</c:f>
            </c:strRef>
          </c:tx>
          <c:spPr>
            <a:solidFill>
              <a:schemeClr val="accent4"/>
            </a:solidFill>
            <a:ln cmpd="sng">
              <a:solidFill>
                <a:srgbClr val="000000"/>
              </a:solidFill>
            </a:ln>
          </c:spPr>
          <c:cat>
            <c:strRef>
              <c:f>'Breakdown (S. America)'!$L$32:$Q$32</c:f>
            </c:strRef>
          </c:cat>
          <c:val>
            <c:numRef>
              <c:f>'Breakdown (S. America)'!$L$36:$Q$36</c:f>
              <c:numCache/>
            </c:numRef>
          </c:val>
        </c:ser>
        <c:ser>
          <c:idx val="4"/>
          <c:order val="4"/>
          <c:tx>
            <c:strRef>
              <c:f>'Breakdown (S. America)'!$K$37</c:f>
            </c:strRef>
          </c:tx>
          <c:spPr>
            <a:solidFill>
              <a:schemeClr val="accent5"/>
            </a:solidFill>
            <a:ln cmpd="sng">
              <a:solidFill>
                <a:srgbClr val="000000"/>
              </a:solidFill>
            </a:ln>
          </c:spPr>
          <c:cat>
            <c:strRef>
              <c:f>'Breakdown (S. America)'!$L$32:$Q$32</c:f>
            </c:strRef>
          </c:cat>
          <c:val>
            <c:numRef>
              <c:f>'Breakdown (S. America)'!$L$37:$Q$37</c:f>
              <c:numCache/>
            </c:numRef>
          </c:val>
        </c:ser>
        <c:overlap val="100"/>
        <c:axId val="834672873"/>
        <c:axId val="1847849069"/>
      </c:barChart>
      <c:catAx>
        <c:axId val="83467287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Country</a:t>
                </a:r>
              </a:p>
            </c:rich>
          </c:tx>
          <c:overlay val="0"/>
        </c:title>
        <c:numFmt formatCode="General" sourceLinked="1"/>
        <c:majorTickMark val="none"/>
        <c:minorTickMark val="none"/>
        <c:spPr/>
        <c:txPr>
          <a:bodyPr/>
          <a:lstStyle/>
          <a:p>
            <a:pPr lvl="0">
              <a:defRPr b="0">
                <a:solidFill>
                  <a:srgbClr val="000000"/>
                </a:solidFill>
                <a:latin typeface="+mn-lt"/>
              </a:defRPr>
            </a:pPr>
          </a:p>
        </c:txPr>
        <c:crossAx val="1847849069"/>
      </c:catAx>
      <c:valAx>
        <c:axId val="184784906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34672873"/>
        <c:crosses val="max"/>
      </c:valAx>
    </c:plotArea>
    <c:legend>
      <c:legendPos val="r"/>
      <c:overlay val="0"/>
      <c:txPr>
        <a:bodyPr/>
        <a:lstStyle/>
        <a:p>
          <a:pPr lvl="0">
            <a:defRPr b="0">
              <a:solidFill>
                <a:srgbClr val="1A1A1A"/>
              </a:solidFill>
              <a:latin typeface="+mn-lt"/>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Asian Countries Car Sales (2017 - 2022)</a:t>
            </a:r>
          </a:p>
        </c:rich>
      </c:tx>
      <c:overlay val="0"/>
    </c:title>
    <c:plotArea>
      <c:layout/>
      <c:barChart>
        <c:barDir val="bar"/>
        <c:grouping val="stacked"/>
        <c:ser>
          <c:idx val="0"/>
          <c:order val="0"/>
          <c:tx>
            <c:strRef>
              <c:f>'Breakdown (S. America)'!$K$85</c:f>
            </c:strRef>
          </c:tx>
          <c:spPr>
            <a:solidFill>
              <a:schemeClr val="accent1"/>
            </a:solidFill>
            <a:ln cmpd="sng">
              <a:solidFill>
                <a:srgbClr val="000000"/>
              </a:solidFill>
            </a:ln>
          </c:spPr>
          <c:cat>
            <c:strRef>
              <c:f>'Breakdown (S. America)'!$L$84:$Q$84</c:f>
            </c:strRef>
          </c:cat>
          <c:val>
            <c:numRef>
              <c:f>'Breakdown (S. America)'!$L$85:$Q$85</c:f>
              <c:numCache/>
            </c:numRef>
          </c:val>
        </c:ser>
        <c:ser>
          <c:idx val="1"/>
          <c:order val="1"/>
          <c:tx>
            <c:strRef>
              <c:f>'Breakdown (S. America)'!$K$86</c:f>
            </c:strRef>
          </c:tx>
          <c:spPr>
            <a:solidFill>
              <a:schemeClr val="accent2"/>
            </a:solidFill>
            <a:ln cmpd="sng">
              <a:solidFill>
                <a:srgbClr val="000000"/>
              </a:solidFill>
            </a:ln>
          </c:spPr>
          <c:cat>
            <c:strRef>
              <c:f>'Breakdown (S. America)'!$L$84:$Q$84</c:f>
            </c:strRef>
          </c:cat>
          <c:val>
            <c:numRef>
              <c:f>'Breakdown (S. America)'!$L$86:$Q$86</c:f>
              <c:numCache/>
            </c:numRef>
          </c:val>
        </c:ser>
        <c:ser>
          <c:idx val="2"/>
          <c:order val="2"/>
          <c:tx>
            <c:strRef>
              <c:f>'Breakdown (S. America)'!$K$87</c:f>
            </c:strRef>
          </c:tx>
          <c:spPr>
            <a:solidFill>
              <a:schemeClr val="accent3"/>
            </a:solidFill>
            <a:ln cmpd="sng">
              <a:solidFill>
                <a:srgbClr val="000000"/>
              </a:solidFill>
            </a:ln>
          </c:spPr>
          <c:cat>
            <c:strRef>
              <c:f>'Breakdown (S. America)'!$L$84:$Q$84</c:f>
            </c:strRef>
          </c:cat>
          <c:val>
            <c:numRef>
              <c:f>'Breakdown (S. America)'!$L$87:$Q$87</c:f>
              <c:numCache/>
            </c:numRef>
          </c:val>
        </c:ser>
        <c:ser>
          <c:idx val="3"/>
          <c:order val="3"/>
          <c:tx>
            <c:strRef>
              <c:f>'Breakdown (S. America)'!$K$88</c:f>
            </c:strRef>
          </c:tx>
          <c:spPr>
            <a:solidFill>
              <a:schemeClr val="accent4"/>
            </a:solidFill>
            <a:ln cmpd="sng">
              <a:solidFill>
                <a:srgbClr val="000000"/>
              </a:solidFill>
            </a:ln>
          </c:spPr>
          <c:cat>
            <c:strRef>
              <c:f>'Breakdown (S. America)'!$L$84:$Q$84</c:f>
            </c:strRef>
          </c:cat>
          <c:val>
            <c:numRef>
              <c:f>'Breakdown (S. America)'!$L$88:$Q$88</c:f>
              <c:numCache/>
            </c:numRef>
          </c:val>
        </c:ser>
        <c:ser>
          <c:idx val="4"/>
          <c:order val="4"/>
          <c:tx>
            <c:strRef>
              <c:f>'Breakdown (S. America)'!$K$89</c:f>
            </c:strRef>
          </c:tx>
          <c:spPr>
            <a:solidFill>
              <a:schemeClr val="accent5"/>
            </a:solidFill>
            <a:ln cmpd="sng">
              <a:solidFill>
                <a:srgbClr val="000000"/>
              </a:solidFill>
            </a:ln>
          </c:spPr>
          <c:cat>
            <c:strRef>
              <c:f>'Breakdown (S. America)'!$L$84:$Q$84</c:f>
            </c:strRef>
          </c:cat>
          <c:val>
            <c:numRef>
              <c:f>'Breakdown (S. America)'!$L$89:$Q$89</c:f>
              <c:numCache/>
            </c:numRef>
          </c:val>
        </c:ser>
        <c:overlap val="100"/>
        <c:axId val="221513806"/>
        <c:axId val="1575094049"/>
      </c:barChart>
      <c:catAx>
        <c:axId val="22151380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Country</a:t>
                </a:r>
              </a:p>
            </c:rich>
          </c:tx>
          <c:overlay val="0"/>
        </c:title>
        <c:numFmt formatCode="General" sourceLinked="1"/>
        <c:majorTickMark val="none"/>
        <c:minorTickMark val="none"/>
        <c:spPr/>
        <c:txPr>
          <a:bodyPr/>
          <a:lstStyle/>
          <a:p>
            <a:pPr lvl="0">
              <a:defRPr b="0">
                <a:solidFill>
                  <a:srgbClr val="000000"/>
                </a:solidFill>
                <a:latin typeface="+mn-lt"/>
              </a:defRPr>
            </a:pPr>
          </a:p>
        </c:txPr>
        <c:crossAx val="1575094049"/>
      </c:catAx>
      <c:valAx>
        <c:axId val="157509404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21513806"/>
        <c:crosses val="max"/>
      </c:valAx>
    </c:plotArea>
    <c:legend>
      <c:legendPos val="r"/>
      <c:overlay val="0"/>
      <c:txPr>
        <a:bodyPr/>
        <a:lstStyle/>
        <a:p>
          <a:pPr lvl="0">
            <a:defRPr b="0">
              <a:solidFill>
                <a:srgbClr val="1A1A1A"/>
              </a:solidFill>
              <a:latin typeface="+mn-lt"/>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Asia: China </a:t>
            </a:r>
          </a:p>
        </c:rich>
      </c:tx>
      <c:overlay val="0"/>
    </c:title>
    <c:plotArea>
      <c:layout/>
      <c:lineChart>
        <c:varyColors val="0"/>
        <c:ser>
          <c:idx val="0"/>
          <c:order val="0"/>
          <c:tx>
            <c:strRef>
              <c:f>'Top Countries'!$A$2:$B$2</c:f>
            </c:strRef>
          </c:tx>
          <c:spPr>
            <a:ln cmpd="sng">
              <a:solidFill>
                <a:srgbClr val="4285F4"/>
              </a:solidFill>
            </a:ln>
          </c:spPr>
          <c:marker>
            <c:symbol val="none"/>
          </c:marker>
          <c:cat>
            <c:strRef>
              <c:f>'Top Countries'!$C$1:$T$1</c:f>
            </c:strRef>
          </c:cat>
          <c:val>
            <c:numRef>
              <c:f>'Top Countries'!$C$2:$T$2</c:f>
              <c:numCache/>
            </c:numRef>
          </c:val>
          <c:smooth val="0"/>
        </c:ser>
        <c:axId val="1487058673"/>
        <c:axId val="638608936"/>
      </c:lineChart>
      <c:catAx>
        <c:axId val="14870586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38608936"/>
      </c:catAx>
      <c:valAx>
        <c:axId val="6386089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87058673"/>
      </c:valAx>
    </c:plotArea>
    <c:legend>
      <c:legendPos val="r"/>
      <c:overlay val="0"/>
      <c:txPr>
        <a:bodyPr/>
        <a:lstStyle/>
        <a:p>
          <a:pPr lvl="0">
            <a:defRPr b="0">
              <a:solidFill>
                <a:srgbClr val="1A1A1A"/>
              </a:solidFill>
              <a:latin typeface="+mn-lt"/>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 America: USA</a:t>
            </a:r>
          </a:p>
        </c:rich>
      </c:tx>
      <c:overlay val="0"/>
    </c:title>
    <c:plotArea>
      <c:layout/>
      <c:lineChart>
        <c:varyColors val="0"/>
        <c:ser>
          <c:idx val="0"/>
          <c:order val="0"/>
          <c:tx>
            <c:strRef>
              <c:f>'Top Countries'!$A$3:$B$3</c:f>
            </c:strRef>
          </c:tx>
          <c:spPr>
            <a:ln cmpd="sng">
              <a:solidFill>
                <a:schemeClr val="accent2"/>
              </a:solidFill>
            </a:ln>
          </c:spPr>
          <c:marker>
            <c:symbol val="none"/>
          </c:marker>
          <c:cat>
            <c:strRef>
              <c:f>'Top Countries'!$C$1:$T$1</c:f>
            </c:strRef>
          </c:cat>
          <c:val>
            <c:numRef>
              <c:f>'Top Countries'!$C$3:$T$3</c:f>
              <c:numCache/>
            </c:numRef>
          </c:val>
          <c:smooth val="0"/>
        </c:ser>
        <c:axId val="1870655242"/>
        <c:axId val="1374705057"/>
      </c:lineChart>
      <c:catAx>
        <c:axId val="187065524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74705057"/>
      </c:catAx>
      <c:valAx>
        <c:axId val="13747050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70655242"/>
      </c:valAx>
    </c:plotArea>
    <c:legend>
      <c:legendPos val="r"/>
      <c:overlay val="0"/>
      <c:txPr>
        <a:bodyPr/>
        <a:lstStyle/>
        <a:p>
          <a:pPr lvl="0">
            <a:defRPr b="0">
              <a:solidFill>
                <a:srgbClr val="1A1A1A"/>
              </a:solidFill>
              <a:latin typeface="+mn-lt"/>
            </a:defRPr>
          </a:pPr>
        </a:p>
      </c:txPr>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Europe: Germany</a:t>
            </a:r>
          </a:p>
        </c:rich>
      </c:tx>
      <c:overlay val="0"/>
    </c:title>
    <c:plotArea>
      <c:layout/>
      <c:lineChart>
        <c:varyColors val="0"/>
        <c:ser>
          <c:idx val="0"/>
          <c:order val="0"/>
          <c:tx>
            <c:strRef>
              <c:f>'Top Countries'!$A$4:$B$4</c:f>
            </c:strRef>
          </c:tx>
          <c:spPr>
            <a:ln cmpd="sng">
              <a:solidFill>
                <a:schemeClr val="accent3"/>
              </a:solidFill>
            </a:ln>
          </c:spPr>
          <c:marker>
            <c:symbol val="none"/>
          </c:marker>
          <c:cat>
            <c:strRef>
              <c:f>'Top Countries'!$C$1:$T$1</c:f>
            </c:strRef>
          </c:cat>
          <c:val>
            <c:numRef>
              <c:f>'Top Countries'!$C$4:$T$4</c:f>
              <c:numCache/>
            </c:numRef>
          </c:val>
          <c:smooth val="0"/>
        </c:ser>
        <c:axId val="728145376"/>
        <c:axId val="1470969179"/>
      </c:lineChart>
      <c:catAx>
        <c:axId val="7281453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70969179"/>
      </c:catAx>
      <c:valAx>
        <c:axId val="14709691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28145376"/>
      </c:valAx>
    </c:plotArea>
    <c:legend>
      <c:legendPos val="r"/>
      <c:overlay val="0"/>
      <c:txPr>
        <a:bodyPr/>
        <a:lstStyle/>
        <a:p>
          <a:pPr lvl="0">
            <a:defRPr b="0">
              <a:solidFill>
                <a:srgbClr val="1A1A1A"/>
              </a:solidFill>
              <a:latin typeface="+mn-lt"/>
            </a:defRPr>
          </a:pPr>
        </a:p>
      </c:txPr>
    </c:legend>
    <c:plotVisOnly val="1"/>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 America: Brazil</a:t>
            </a:r>
          </a:p>
        </c:rich>
      </c:tx>
      <c:overlay val="0"/>
    </c:title>
    <c:plotArea>
      <c:layout/>
      <c:lineChart>
        <c:varyColors val="0"/>
        <c:ser>
          <c:idx val="0"/>
          <c:order val="0"/>
          <c:tx>
            <c:strRef>
              <c:f>'Top Countries'!$A$5:$B$5</c:f>
            </c:strRef>
          </c:tx>
          <c:spPr>
            <a:ln cmpd="sng">
              <a:solidFill>
                <a:schemeClr val="accent4"/>
              </a:solidFill>
            </a:ln>
          </c:spPr>
          <c:marker>
            <c:symbol val="none"/>
          </c:marker>
          <c:cat>
            <c:strRef>
              <c:f>'Top Countries'!$C$1:$T$1</c:f>
            </c:strRef>
          </c:cat>
          <c:val>
            <c:numRef>
              <c:f>'Top Countries'!$C$5:$T$5</c:f>
              <c:numCache/>
            </c:numRef>
          </c:val>
          <c:smooth val="0"/>
        </c:ser>
        <c:axId val="589385014"/>
        <c:axId val="1757867489"/>
      </c:lineChart>
      <c:catAx>
        <c:axId val="5893850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57867489"/>
      </c:catAx>
      <c:valAx>
        <c:axId val="17578674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89385014"/>
      </c:valAx>
    </c:plotArea>
    <c:legend>
      <c:legendPos val="r"/>
      <c:overlay val="0"/>
      <c:txPr>
        <a:bodyPr/>
        <a:lstStyle/>
        <a:p>
          <a:pPr lvl="0">
            <a:defRPr b="0">
              <a:solidFill>
                <a:srgbClr val="1A1A1A"/>
              </a:solidFill>
              <a:latin typeface="+mn-lt"/>
            </a:defRPr>
          </a:pPr>
        </a:p>
      </c:txPr>
    </c:legend>
    <c:plotVisOnly val="1"/>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Oceania: Australia </a:t>
            </a:r>
          </a:p>
        </c:rich>
      </c:tx>
      <c:overlay val="0"/>
    </c:title>
    <c:plotArea>
      <c:layout/>
      <c:lineChart>
        <c:varyColors val="0"/>
        <c:ser>
          <c:idx val="0"/>
          <c:order val="0"/>
          <c:tx>
            <c:strRef>
              <c:f>'Top Countries'!$A$6:$B$6</c:f>
            </c:strRef>
          </c:tx>
          <c:spPr>
            <a:ln cmpd="sng">
              <a:solidFill>
                <a:schemeClr val="accent6"/>
              </a:solidFill>
            </a:ln>
          </c:spPr>
          <c:marker>
            <c:symbol val="none"/>
          </c:marker>
          <c:cat>
            <c:strRef>
              <c:f>'Top Countries'!$C$1:$T$1</c:f>
            </c:strRef>
          </c:cat>
          <c:val>
            <c:numRef>
              <c:f>'Top Countries'!$C$6:$T$6</c:f>
              <c:numCache/>
            </c:numRef>
          </c:val>
          <c:smooth val="0"/>
        </c:ser>
        <c:axId val="306485810"/>
        <c:axId val="549095113"/>
      </c:lineChart>
      <c:catAx>
        <c:axId val="3064858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49095113"/>
      </c:catAx>
      <c:valAx>
        <c:axId val="5490951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06485810"/>
      </c:valAx>
    </c:plotArea>
    <c:legend>
      <c:legendPos val="r"/>
      <c:overlay val="0"/>
      <c:txPr>
        <a:bodyPr/>
        <a:lstStyle/>
        <a:p>
          <a:pPr lvl="0">
            <a:defRPr b="0">
              <a:solidFill>
                <a:srgbClr val="1A1A1A"/>
              </a:solidFill>
              <a:latin typeface="+mn-lt"/>
            </a:defRPr>
          </a:pPr>
        </a:p>
      </c:txPr>
    </c:legend>
    <c:plotVisOnly val="1"/>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Africa: South Africa</a:t>
            </a:r>
          </a:p>
        </c:rich>
      </c:tx>
      <c:overlay val="0"/>
    </c:title>
    <c:plotArea>
      <c:layout/>
      <c:lineChart>
        <c:varyColors val="0"/>
        <c:ser>
          <c:idx val="0"/>
          <c:order val="0"/>
          <c:tx>
            <c:strRef>
              <c:f>'Top Countries'!$A$7:$B$7</c:f>
            </c:strRef>
          </c:tx>
          <c:spPr>
            <a:ln cmpd="sng">
              <a:solidFill>
                <a:schemeClr val="accent5"/>
              </a:solidFill>
            </a:ln>
          </c:spPr>
          <c:marker>
            <c:symbol val="none"/>
          </c:marker>
          <c:cat>
            <c:strRef>
              <c:f>'Top Countries'!$C$1:$T$1</c:f>
            </c:strRef>
          </c:cat>
          <c:val>
            <c:numRef>
              <c:f>'Top Countries'!$C$7:$T$7</c:f>
              <c:numCache/>
            </c:numRef>
          </c:val>
          <c:smooth val="0"/>
        </c:ser>
        <c:axId val="1645147077"/>
        <c:axId val="1100852481"/>
      </c:lineChart>
      <c:catAx>
        <c:axId val="16451470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00852481"/>
      </c:catAx>
      <c:valAx>
        <c:axId val="11008524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45147077"/>
      </c:valAx>
    </c:plotArea>
    <c:legend>
      <c:legendPos val="r"/>
      <c:overlay val="0"/>
      <c:txPr>
        <a:bodyPr/>
        <a:lstStyle/>
        <a:p>
          <a:pPr lvl="0">
            <a:defRPr b="0">
              <a:solidFill>
                <a:srgbClr val="1A1A1A"/>
              </a:solidFill>
              <a:latin typeface="+mn-lt"/>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 Id="rId2" Type="http://schemas.openxmlformats.org/officeDocument/2006/relationships/chart" Target="../charts/chart11.xml"/><Relationship Id="rId3"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 Id="rId2" Type="http://schemas.openxmlformats.org/officeDocument/2006/relationships/chart" Target="../charts/chart14.xml"/><Relationship Id="rId3"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 Id="rId2" Type="http://schemas.openxmlformats.org/officeDocument/2006/relationships/chart" Target="../charts/chart17.xml"/><Relationship Id="rId3" Type="http://schemas.openxmlformats.org/officeDocument/2006/relationships/chart" Target="../charts/chart1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9.xml"/><Relationship Id="rId2" Type="http://schemas.openxmlformats.org/officeDocument/2006/relationships/chart" Target="../charts/chart20.xml"/><Relationship Id="rId3" Type="http://schemas.openxmlformats.org/officeDocument/2006/relationships/chart" Target="../charts/chart2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2.xml"/><Relationship Id="rId2" Type="http://schemas.openxmlformats.org/officeDocument/2006/relationships/chart" Target="../charts/chart23.xml"/><Relationship Id="rId3" Type="http://schemas.openxmlformats.org/officeDocument/2006/relationships/chart" Target="../charts/chart24.xml"/><Relationship Id="rId4" Type="http://schemas.openxmlformats.org/officeDocument/2006/relationships/chart" Target="../charts/chart25.xml"/><Relationship Id="rId5" Type="http://schemas.openxmlformats.org/officeDocument/2006/relationships/chart" Target="../charts/chart26.xml"/><Relationship Id="rId6" Type="http://schemas.openxmlformats.org/officeDocument/2006/relationships/chart" Target="../charts/chart2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5419725</xdr:colOff>
      <xdr:row>1</xdr:row>
      <xdr:rowOff>104775</xdr:rowOff>
    </xdr:from>
    <xdr:ext cx="333375" cy="304800"/>
    <xdr:sp>
      <xdr:nvSpPr>
        <xdr:cNvPr id="3" name="Shape 3"/>
        <xdr:cNvSpPr/>
      </xdr:nvSpPr>
      <xdr:spPr>
        <a:xfrm>
          <a:off x="1717550" y="773500"/>
          <a:ext cx="314700" cy="284100"/>
        </a:xfrm>
        <a:prstGeom prst="rect">
          <a:avLst/>
        </a:prstGeom>
        <a:solidFill>
          <a:srgbClr val="FFF2CC"/>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923925</xdr:colOff>
      <xdr:row>0</xdr:row>
      <xdr:rowOff>85725</xdr:rowOff>
    </xdr:from>
    <xdr:ext cx="5419725" cy="22383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809625</xdr:colOff>
      <xdr:row>14</xdr:row>
      <xdr:rowOff>95250</xdr:rowOff>
    </xdr:from>
    <xdr:ext cx="5534025" cy="22383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809625</xdr:colOff>
      <xdr:row>29</xdr:row>
      <xdr:rowOff>85725</xdr:rowOff>
    </xdr:from>
    <xdr:ext cx="5534025" cy="22383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142875</xdr:colOff>
      <xdr:row>8</xdr:row>
      <xdr:rowOff>47625</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781050</xdr:colOff>
      <xdr:row>61</xdr:row>
      <xdr:rowOff>152400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10</xdr:col>
      <xdr:colOff>933450</xdr:colOff>
      <xdr:row>114</xdr:row>
      <xdr:rowOff>133350</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142875</xdr:colOff>
      <xdr:row>8</xdr:row>
      <xdr:rowOff>47625</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781050</xdr:colOff>
      <xdr:row>44</xdr:row>
      <xdr:rowOff>152400</xdr:rowOff>
    </xdr:from>
    <xdr:ext cx="5715000" cy="3533775"/>
    <xdr:graphicFrame>
      <xdr:nvGraphicFramePr>
        <xdr:cNvPr id="8" name="Chart 8"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10</xdr:col>
      <xdr:colOff>933450</xdr:colOff>
      <xdr:row>80</xdr:row>
      <xdr:rowOff>133350</xdr:rowOff>
    </xdr:from>
    <xdr:ext cx="5715000" cy="3533775"/>
    <xdr:graphicFrame>
      <xdr:nvGraphicFramePr>
        <xdr:cNvPr id="9" name="Chart 9"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142875</xdr:colOff>
      <xdr:row>8</xdr:row>
      <xdr:rowOff>47625</xdr:rowOff>
    </xdr:from>
    <xdr:ext cx="5715000" cy="3533775"/>
    <xdr:graphicFrame>
      <xdr:nvGraphicFramePr>
        <xdr:cNvPr id="10" name="Chart 10"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781050</xdr:colOff>
      <xdr:row>54</xdr:row>
      <xdr:rowOff>152400</xdr:rowOff>
    </xdr:from>
    <xdr:ext cx="5715000" cy="3533775"/>
    <xdr:graphicFrame>
      <xdr:nvGraphicFramePr>
        <xdr:cNvPr id="11" name="Chart 11"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10</xdr:col>
      <xdr:colOff>933450</xdr:colOff>
      <xdr:row>101</xdr:row>
      <xdr:rowOff>133350</xdr:rowOff>
    </xdr:from>
    <xdr:ext cx="5715000" cy="3533775"/>
    <xdr:graphicFrame>
      <xdr:nvGraphicFramePr>
        <xdr:cNvPr id="12" name="Chart 12"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142875</xdr:colOff>
      <xdr:row>9</xdr:row>
      <xdr:rowOff>47625</xdr:rowOff>
    </xdr:from>
    <xdr:ext cx="5715000" cy="3533775"/>
    <xdr:graphicFrame>
      <xdr:nvGraphicFramePr>
        <xdr:cNvPr id="13" name="Chart 1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781050</xdr:colOff>
      <xdr:row>42</xdr:row>
      <xdr:rowOff>152400</xdr:rowOff>
    </xdr:from>
    <xdr:ext cx="5715000" cy="3533775"/>
    <xdr:graphicFrame>
      <xdr:nvGraphicFramePr>
        <xdr:cNvPr id="14" name="Chart 14"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10</xdr:col>
      <xdr:colOff>933450</xdr:colOff>
      <xdr:row>77</xdr:row>
      <xdr:rowOff>133350</xdr:rowOff>
    </xdr:from>
    <xdr:ext cx="5715000" cy="3533775"/>
    <xdr:graphicFrame>
      <xdr:nvGraphicFramePr>
        <xdr:cNvPr id="15" name="Chart 15"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142875</xdr:colOff>
      <xdr:row>4</xdr:row>
      <xdr:rowOff>47625</xdr:rowOff>
    </xdr:from>
    <xdr:ext cx="5715000" cy="3533775"/>
    <xdr:graphicFrame>
      <xdr:nvGraphicFramePr>
        <xdr:cNvPr id="16" name="Chart 1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781050</xdr:colOff>
      <xdr:row>39</xdr:row>
      <xdr:rowOff>152400</xdr:rowOff>
    </xdr:from>
    <xdr:ext cx="5715000" cy="3533775"/>
    <xdr:graphicFrame>
      <xdr:nvGraphicFramePr>
        <xdr:cNvPr id="17" name="Chart 17"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10</xdr:col>
      <xdr:colOff>333375</xdr:colOff>
      <xdr:row>69</xdr:row>
      <xdr:rowOff>152400</xdr:rowOff>
    </xdr:from>
    <xdr:ext cx="5715000" cy="3533775"/>
    <xdr:graphicFrame>
      <xdr:nvGraphicFramePr>
        <xdr:cNvPr id="18" name="Chart 18"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142875</xdr:colOff>
      <xdr:row>8</xdr:row>
      <xdr:rowOff>47625</xdr:rowOff>
    </xdr:from>
    <xdr:ext cx="5715000" cy="3533775"/>
    <xdr:graphicFrame>
      <xdr:nvGraphicFramePr>
        <xdr:cNvPr id="19" name="Chart 1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781050</xdr:colOff>
      <xdr:row>40</xdr:row>
      <xdr:rowOff>152400</xdr:rowOff>
    </xdr:from>
    <xdr:ext cx="5715000" cy="3533775"/>
    <xdr:graphicFrame>
      <xdr:nvGraphicFramePr>
        <xdr:cNvPr id="20" name="Chart 20"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10</xdr:col>
      <xdr:colOff>933450</xdr:colOff>
      <xdr:row>93</xdr:row>
      <xdr:rowOff>133350</xdr:rowOff>
    </xdr:from>
    <xdr:ext cx="5715000" cy="3533775"/>
    <xdr:graphicFrame>
      <xdr:nvGraphicFramePr>
        <xdr:cNvPr id="21" name="Chart 21"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11</xdr:row>
      <xdr:rowOff>28575</xdr:rowOff>
    </xdr:from>
    <xdr:ext cx="4810125" cy="2943225"/>
    <xdr:graphicFrame>
      <xdr:nvGraphicFramePr>
        <xdr:cNvPr id="22" name="Chart 2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9525</xdr:colOff>
      <xdr:row>10</xdr:row>
      <xdr:rowOff>190500</xdr:rowOff>
    </xdr:from>
    <xdr:ext cx="4810125" cy="2981325"/>
    <xdr:graphicFrame>
      <xdr:nvGraphicFramePr>
        <xdr:cNvPr id="23" name="Chart 23"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11</xdr:col>
      <xdr:colOff>942975</xdr:colOff>
      <xdr:row>11</xdr:row>
      <xdr:rowOff>28575</xdr:rowOff>
    </xdr:from>
    <xdr:ext cx="4810125" cy="2943225"/>
    <xdr:graphicFrame>
      <xdr:nvGraphicFramePr>
        <xdr:cNvPr id="24" name="Chart 24"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0</xdr:colOff>
      <xdr:row>28</xdr:row>
      <xdr:rowOff>57150</xdr:rowOff>
    </xdr:from>
    <xdr:ext cx="4810125" cy="2981325"/>
    <xdr:graphicFrame>
      <xdr:nvGraphicFramePr>
        <xdr:cNvPr id="25" name="Chart 25"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11</xdr:col>
      <xdr:colOff>923925</xdr:colOff>
      <xdr:row>28</xdr:row>
      <xdr:rowOff>57150</xdr:rowOff>
    </xdr:from>
    <xdr:ext cx="4810125" cy="2981325"/>
    <xdr:graphicFrame>
      <xdr:nvGraphicFramePr>
        <xdr:cNvPr id="26" name="Chart 26"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5</xdr:col>
      <xdr:colOff>942975</xdr:colOff>
      <xdr:row>28</xdr:row>
      <xdr:rowOff>57150</xdr:rowOff>
    </xdr:from>
    <xdr:ext cx="4810125" cy="2981325"/>
    <xdr:graphicFrame>
      <xdr:nvGraphicFramePr>
        <xdr:cNvPr id="27" name="Chart 27" title="Chart"/>
        <xdr:cNvGraphicFramePr/>
      </xdr:nvGraphicFramePr>
      <xdr:xfrm>
        <a:off x="0" y="0"/>
        <a:ext cx="0" cy="0"/>
      </xdr:xfrm>
      <a:graphic>
        <a:graphicData uri="http://schemas.openxmlformats.org/drawingml/2006/chart">
          <c:chart r:id="rId6"/>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142" sheet="Data"/>
  </cacheSource>
  <cacheFields>
    <cacheField name="Country" numFmtId="0">
      <sharedItems>
        <s v="China"/>
        <s v="India"/>
        <s v="Japan"/>
        <s v="USA"/>
        <s v="Germany"/>
        <s v="UK"/>
        <s v="Brazil"/>
        <s v="France"/>
        <s v="South Korea"/>
        <s v="Italy"/>
        <s v="Spain"/>
        <s v="Indonesia"/>
        <s v="Australia"/>
        <s v="Russia"/>
        <s v="Turkey"/>
        <s v="Malaysia"/>
        <s v="Saudi Arabia"/>
        <s v="Mexico"/>
        <s v="Poland"/>
        <s v="Taiwan"/>
        <s v="Belgium"/>
        <s v="South Africa"/>
        <s v="Thailand"/>
        <s v="Netherlands"/>
        <s v="Chile"/>
        <s v="Sweden"/>
        <s v="Vietnam"/>
        <s v="Argentina"/>
        <s v="Canada"/>
        <s v="Israel"/>
        <s v="Philippines"/>
        <s v="Switzerland"/>
        <s v="Austria"/>
        <s v="Colombia"/>
        <s v="Czechia"/>
        <s v="Pakistan"/>
        <s v="Norway"/>
        <s v="UA Emirates"/>
        <s v="Portugal"/>
        <s v="Uzbekistan"/>
        <s v="Denmark"/>
        <s v="Morocco"/>
        <s v="Egypt"/>
        <s v="Romania"/>
        <s v="Peru"/>
        <s v="New Zealand"/>
        <s v="Hungary"/>
        <s v="Greece"/>
        <s v="Ireland"/>
        <s v="Ecuador"/>
        <s v="Kazakhstan"/>
        <s v="Kuwait"/>
        <s v="Finland"/>
        <s v="Slovakia"/>
        <s v="Croatia"/>
        <s v="Ukraine"/>
        <s v="Bulgaria"/>
        <s v="Albania"/>
        <s v="Algeria"/>
        <s v="Angola"/>
        <s v="Armenia"/>
        <s v="Azerbaijan"/>
        <s v="Bahamas"/>
        <s v="Bahrain"/>
        <s v="Bangladesh"/>
        <s v="Belarus"/>
        <s v="Belize"/>
        <s v="Bolivia"/>
        <s v="Bosnia &amp; Herz."/>
        <s v="Botswana"/>
        <s v="Brunei"/>
        <s v="Burkina Faso"/>
        <s v="Burma"/>
        <s v="Burundi"/>
        <s v="Cambodia"/>
        <s v="Cameroon"/>
        <s v="Costa Rica"/>
        <s v="Cuba"/>
        <s v="Cyprus"/>
        <s v="Domin. Rep."/>
        <s v="DR Congo"/>
        <s v="El Salvador"/>
        <s v="Estonia"/>
        <s v="Gabon"/>
        <s v="Georgia"/>
        <s v="Ghana"/>
        <s v="Guatemala"/>
        <s v="Guyana"/>
        <s v="Honduras"/>
        <s v="Hong Kong"/>
        <s v="Iceland"/>
        <s v="Iran"/>
        <s v="Iraq"/>
        <s v="Ivory Coast"/>
        <s v="Jamaica"/>
        <s v="Jordan"/>
        <s v="Kenya"/>
        <s v="Kyrgyzstan"/>
        <s v="Laos"/>
        <s v="Latvia"/>
        <s v="Lebanon"/>
        <s v="Liberia"/>
        <s v="Libya"/>
        <s v="Lithuania"/>
        <s v="Luxembourg"/>
        <s v="Madagascar"/>
        <s v="Malawi"/>
        <s v="Malta"/>
        <s v="Mauritius"/>
        <s v="Moldova"/>
        <s v="Mongolia"/>
        <s v="N. Caledonia"/>
        <s v="Nepal"/>
        <s v="Nicaragua"/>
        <s v="Nigeria"/>
        <s v="North Macedonia"/>
        <s v="Oman"/>
        <s v="Palestine"/>
        <s v="Panama"/>
        <s v="Paraguay"/>
        <s v="Puerto Rico"/>
        <s v="Qatar"/>
        <s v="R. of Congo"/>
        <s v="Senegal"/>
        <s v="Serbia"/>
        <s v="Singapore"/>
        <s v="Slovenia"/>
        <s v="Sri Lanka"/>
        <s v="Sudan"/>
        <s v="Syria"/>
        <s v="Tajikistan"/>
        <s v="Tanzania"/>
        <s v="Tr.&amp;Tobago"/>
        <s v="Tunisia"/>
        <s v="Turkmenistan"/>
        <s v="Uganda"/>
        <s v="Uruguay"/>
        <s v="Venezuela"/>
        <s v="Yemen"/>
        <s v="Zambia"/>
        <s v="Zimbabwe"/>
      </sharedItems>
    </cacheField>
    <cacheField name="Continent" numFmtId="3">
      <sharedItems>
        <s v="Asia"/>
        <s v="North America"/>
        <s v="Europe"/>
        <s v="South America "/>
        <s v="Oceania"/>
        <s v="Africa"/>
      </sharedItems>
    </cacheField>
    <cacheField name="2005 Sales" numFmtId="3">
      <sharedItems containsString="0" containsBlank="1" containsNumber="1" containsInteger="1">
        <n v="3971101.0"/>
        <n v="1106863.0"/>
        <n v="4748482.0"/>
        <n v="7659983.0"/>
        <n v="3319259.0"/>
        <n v="2439717.0"/>
        <n v="1439822.0"/>
        <n v="2118042.0"/>
        <n v="893159.0"/>
        <n v="2244108.0"/>
        <n v="1528877.0"/>
        <n v="364319.0"/>
        <n v="608804.0"/>
        <n v="1520225.0"/>
        <n v="438597.0"/>
        <n v="410892.0"/>
        <n v="407000.0"/>
        <n v="714010.0"/>
        <n v="207007.0"/>
        <n v="325840.0"/>
        <n v="480088.0"/>
        <n v="419868.0"/>
        <n v="178291.0"/>
        <n v="465196.0"/>
        <n v="140000.0"/>
        <n v="274301.0"/>
        <n v="24888.0"/>
        <n v="290648.0"/>
        <n v="847436.0"/>
        <n v="130000.0"/>
        <n v="35063.0"/>
        <n v="266770.0"/>
        <n v="307915.0"/>
        <n v="120000.0"/>
        <n v="151699.0"/>
        <n v="141326.0"/>
        <n v="109907.0"/>
        <n v="137000.0"/>
        <n v="206488.0"/>
        <n v="28500.0"/>
        <n v="148819.0"/>
        <n v="56183.0"/>
        <n v="94538.0"/>
        <n v="214967.0"/>
        <n v="14231.0"/>
        <n v="77825.0"/>
        <n v="198982.0"/>
        <n v="269728.0"/>
        <n v="171742.0"/>
        <n v="54342.0"/>
        <n v="39800.0"/>
        <n v="50000.0"/>
        <n v="148161.0"/>
        <n v="56916.0"/>
        <n v="70541.0"/>
        <n v="258395.0"/>
        <n v="25956.0"/>
        <n v="800.0"/>
        <n v="71046.0"/>
        <n v="6000.0"/>
        <n v="11000.0"/>
        <n v="12100.0"/>
        <n v="2500.0"/>
        <n v="18000.0"/>
        <n v="6500.0"/>
        <n v="9000.0"/>
        <n v="100.0"/>
        <n v="1000.0"/>
        <n v="10000.0"/>
        <n v="12905.0"/>
        <n v="15000.0"/>
        <n v="500.0"/>
        <n v="1300.0"/>
        <n v="13000.0"/>
        <n v="2000.0"/>
        <n v="17687.0"/>
        <n v="16000.0"/>
        <m/>
        <n v="4000.0"/>
        <n v="19640.0"/>
        <n v="1500.0"/>
        <n v="8100.0"/>
        <n v="4085.0"/>
        <n v="4800.0"/>
        <n v="27483.0"/>
        <n v="18060.0"/>
        <n v="730000.0"/>
        <n v="3000.0"/>
        <n v="5000.0"/>
        <n v="10467.0"/>
        <n v="300.0"/>
        <n v="35000.0"/>
        <n v="16602.0"/>
        <n v="48517.0"/>
        <n v="930.0"/>
        <n v="6552.0"/>
        <n v="2900.0"/>
        <n v="7397.0"/>
        <n v="9300.0"/>
        <n v="147500.0"/>
        <n v="13500.0"/>
        <n v="96000.0"/>
        <n v="61100.0"/>
        <n v="200.0"/>
        <n v="21603.0"/>
        <n v="109167.0"/>
        <n v="59324.0"/>
        <n v="2600.0"/>
        <n v="32985.0"/>
        <n v="5300.0"/>
        <n v="25000.0"/>
        <n v="3900.0"/>
        <n v="128601.0"/>
        <n v="2300.0"/>
        <n v="7000.0"/>
      </sharedItems>
    </cacheField>
    <cacheField name="2006 Sales" numFmtId="3">
      <sharedItems containsString="0" containsBlank="1" containsNumber="1" containsInteger="1">
        <n v="5175961.0"/>
        <n v="1311373.0"/>
        <n v="4612318.0"/>
        <n v="7761592.0"/>
        <n v="3467961.0"/>
        <n v="2344864.0"/>
        <n v="1632947.0"/>
        <n v="2045745.0"/>
        <n v="932650.0"/>
        <n v="2335462.0"/>
        <n v="1634608.0"/>
        <n v="222387.0"/>
        <n v="598394.0"/>
        <n v="1911240.0"/>
        <n v="373219.0"/>
        <n v="374169.0"/>
        <n v="399300.0"/>
        <n v="680946.0"/>
        <n v="224728.0"/>
        <n v="218610.0"/>
        <n v="526141.0"/>
        <n v="481558.0"/>
        <n v="184544.0"/>
        <n v="483999.0"/>
        <n v="140000.0"/>
        <n v="282766.0"/>
        <n v="23335.0"/>
        <n v="336296.0"/>
        <n v="858826.0"/>
        <n v="130000.0"/>
        <n v="38131.0"/>
        <n v="269421.0"/>
        <n v="308594.0"/>
        <n v="160000.0"/>
        <n v="156686.0"/>
        <n v="160256.0"/>
        <n v="109164.0"/>
        <n v="150000.0"/>
        <n v="194702.0"/>
        <n v="31100.0"/>
        <n v="156936.0"/>
        <n v="75295.0"/>
        <n v="132373.0"/>
        <n v="247411.0"/>
        <n v="20061.0"/>
        <n v="76804.0"/>
        <n v="187676.0"/>
        <n v="267669.0"/>
        <n v="178484.0"/>
        <n v="58900.0"/>
        <n v="39000.0"/>
        <n v="65000.0"/>
        <n v="145700.0"/>
        <n v="59084.0"/>
        <n v="78775.0"/>
        <n v="361549.0"/>
        <n v="36455.0"/>
        <n v="800.0"/>
        <n v="81803.0"/>
        <n v="8000.0"/>
        <n v="12000.0"/>
        <n v="13000.0"/>
        <n v="2000.0"/>
        <n v="18000.0"/>
        <n v="9000.0"/>
        <n v="200.0"/>
        <n v="1500.0"/>
        <n v="10000.0"/>
        <n v="13073.0"/>
        <n v="15000.0"/>
        <n v="500.0"/>
        <n v="1000.0"/>
        <n v="1400.0"/>
        <n v="18639.0"/>
        <n v="16000.0"/>
        <m/>
        <n v="6000.0"/>
        <n v="25363.0"/>
        <n v="3000.0"/>
        <n v="9400.0"/>
        <n v="4071.0"/>
        <n v="5600.0"/>
        <n v="27877.0"/>
        <n v="17129.0"/>
        <n v="850000.0"/>
        <n v="5000.0"/>
        <n v="2500.0"/>
        <n v="14234.0"/>
        <n v="35000.0"/>
        <n v="25582.0"/>
        <n v="50837.0"/>
        <n v="1100.0"/>
        <n v="6745.0"/>
        <n v="3500.0"/>
        <n v="7251.0"/>
        <n v="22000.0"/>
        <n v="144700.0"/>
        <n v="15700.0"/>
        <n v="85000.0"/>
        <n v="59900.0"/>
        <n v="25610.0"/>
        <n v="116849.0"/>
        <n v="59578.0"/>
        <n v="2800.0"/>
        <n v="45467.0"/>
        <n v="5700.0"/>
        <n v="30000.0"/>
        <n v="4200.0"/>
        <n v="184108.0"/>
        <n v="4700.0"/>
        <n v="2700.0"/>
      </sharedItems>
    </cacheField>
    <cacheField name="2007 Sales" numFmtId="3">
      <sharedItems containsString="0" containsBlank="1" containsNumber="1" containsInteger="1">
        <n v="6297538.0"/>
        <n v="1511812.0"/>
        <n v="4325508.0"/>
        <n v="7562334.0"/>
        <n v="3148163.0"/>
        <n v="2404007.0"/>
        <n v="2085718.0"/>
        <n v="2109672.0"/>
        <n v="1010790.0"/>
        <n v="2494115.0"/>
        <n v="1614835.0"/>
        <n v="314769.0"/>
        <n v="637019.0"/>
        <n v="2514920.0"/>
        <n v="357465.0"/>
        <n v="442885.0"/>
        <n v="403600.0"/>
        <n v="641394.0"/>
        <n v="277427.0"/>
        <n v="213327.0"/>
        <n v="524795.0"/>
        <n v="434653.0"/>
        <n v="172321.0"/>
        <n v="504300.0"/>
        <n v="180000.0"/>
        <n v="306794.0"/>
        <n v="40115.0"/>
        <n v="422230.0"/>
        <n v="841585.0"/>
        <n v="200000.0"/>
        <n v="41107.0"/>
        <n v="284674.0"/>
        <n v="298182.0"/>
        <n v="174456.0"/>
        <n v="159457.0"/>
        <n v="129195.0"/>
        <n v="135000.0"/>
        <n v="201816.0"/>
        <n v="31700.0"/>
        <n v="162686.0"/>
        <n v="90941.0"/>
        <n v="179149.0"/>
        <n v="312533.0"/>
        <n v="28430.0"/>
        <n v="77454.0"/>
        <n v="171661.0"/>
        <n v="279745.0"/>
        <n v="186325.0"/>
        <n v="58334.0"/>
        <n v="39400.0"/>
        <n v="70000.0"/>
        <n v="125608.0"/>
        <n v="59700.0"/>
        <n v="82664.0"/>
        <n v="500357.0"/>
        <n v="43521.0"/>
        <n v="1600.0"/>
        <n v="97239.0"/>
        <n v="3500.0"/>
        <n v="6000.0"/>
        <n v="15000.0"/>
        <n v="2000.0"/>
        <n v="20000.0"/>
        <n v="12000.0"/>
        <n v="100.0"/>
        <n v="1500.0"/>
        <n v="16538.0"/>
        <n v="10000.0"/>
        <n v="500.0"/>
        <n v="1000.0"/>
        <n v="600.0"/>
        <n v="1400.0"/>
        <n v="13000.0"/>
        <n v="3000.0"/>
        <n v="22878.0"/>
        <n v="18000.0"/>
        <m/>
        <n v="8000.0"/>
        <n v="30912.0"/>
        <n v="1200.0"/>
        <n v="12100.0"/>
        <n v="4437.0"/>
        <n v="7100.0"/>
        <n v="33462.0"/>
        <n v="15942.0"/>
        <n v="900000.0"/>
        <n v="4000.0"/>
        <n v="5000.0"/>
        <n v="21606.0"/>
        <n v="300.0"/>
        <n v="36000.0"/>
        <n v="32771.0"/>
        <n v="51332.0"/>
        <n v="1100.0"/>
        <n v="6240.0"/>
        <n v="7000.0"/>
        <n v="7717.0"/>
        <n v="10200.0"/>
        <n v="146300.0"/>
        <n v="16400.0"/>
        <n v="22000.0"/>
        <n v="92000.0"/>
        <n v="60500.0"/>
        <n v="200.0"/>
        <n v="32772.0"/>
        <n v="110814.0"/>
        <n v="68719.0"/>
        <n v="2900.0"/>
        <n v="2500.0"/>
        <n v="5800.0"/>
        <n v="30000.0"/>
        <n v="4300.0"/>
        <n v="267932.0"/>
        <n v="4800.0"/>
        <n v="2800.0"/>
      </sharedItems>
    </cacheField>
    <cacheField name="2008 Sales" numFmtId="3">
      <sharedItems containsString="0" containsBlank="1" containsNumber="1" containsInteger="1">
        <n v="6755609.0"/>
        <n v="1545414.0"/>
        <n v="4184266.0"/>
        <n v="6769107.0"/>
        <n v="3090040.0"/>
        <n v="2131795.0"/>
        <n v="2341300.0"/>
        <n v="2091369.0"/>
        <n v="1017595.0"/>
        <n v="2161359.0"/>
        <n v="1161176.0"/>
        <n v="425267.0"/>
        <n v="596765.0"/>
        <n v="2897459.0"/>
        <n v="305998.0"/>
        <n v="497459.0"/>
        <n v="400000.0"/>
        <n v="589045.0"/>
        <n v="319190.0"/>
        <n v="141161.0"/>
        <n v="535947.0"/>
        <n v="329262.0"/>
        <n v="226805.0"/>
        <n v="499980.0"/>
        <n v="181523.0"/>
        <n v="253982.0"/>
        <n v="50877.0"/>
        <n v="452539.0"/>
        <n v="872720.0"/>
        <n v="170000.0"/>
        <n v="44313.0"/>
        <n v="288525.0"/>
        <n v="293697.0"/>
        <n v="180000.0"/>
        <n v="182554.0"/>
        <n v="127863.0"/>
        <n v="110617.0"/>
        <n v="191544.0"/>
        <n v="213389.0"/>
        <n v="43000.0"/>
        <n v="150199.0"/>
        <n v="102095.0"/>
        <n v="203729.0"/>
        <n v="285506.0"/>
        <n v="55312.0"/>
        <n v="73397.0"/>
        <n v="153278.0"/>
        <n v="267295.0"/>
        <n v="151607.0"/>
        <n v="69556.0"/>
        <n v="39000.0"/>
        <n v="80000.0"/>
        <n v="139669.0"/>
        <n v="70040.0"/>
        <n v="88265.0"/>
        <n v="599985.0"/>
        <n v="45143.0"/>
        <n v="1600.0"/>
        <n v="111753.0"/>
        <n v="3500.0"/>
        <n v="4000.0"/>
        <n v="15000.0"/>
        <n v="2000.0"/>
        <n v="30000.0"/>
        <n v="17000.0"/>
        <n v="22000.0"/>
        <n v="200.0"/>
        <n v="1500.0"/>
        <n v="13000.0"/>
        <n v="20037.0"/>
        <n v="600.0"/>
        <n v="1200.0"/>
        <n v="700.0"/>
        <n v="1400.0"/>
        <n v="3000.0"/>
        <n v="22241.0"/>
        <n v="20000.0"/>
        <m/>
        <n v="10000.0"/>
        <n v="24579.0"/>
        <n v="2500.0"/>
        <n v="8000.0"/>
        <n v="12800.0"/>
        <n v="4357.0"/>
        <n v="35182.0"/>
        <n v="9033.0"/>
        <n v="1000000.0"/>
        <n v="9000.0"/>
        <n v="22217.0"/>
        <n v="33000.0"/>
        <n v="300.0"/>
        <n v="37000.0"/>
        <n v="19831.0"/>
        <n v="52359.0"/>
        <n v="1000.0"/>
        <n v="5423.0"/>
        <n v="11000.0"/>
        <n v="7853.0"/>
        <n v="6000.0"/>
        <n v="7000.0"/>
        <n v="10500.0"/>
        <n v="145000.0"/>
        <n v="18400.0"/>
        <n v="12000.0"/>
        <n v="65000.0"/>
        <n v="60000.0"/>
        <n v="500.0"/>
        <n v="36177.0"/>
        <n v="100979.0"/>
        <n v="71575.0"/>
        <n v="42000.0"/>
        <n v="4500.0"/>
        <n v="135882.0"/>
        <n v="5000.0"/>
        <n v="2600.0"/>
      </sharedItems>
    </cacheField>
    <cacheField name="2009 Sales" numFmtId="3">
      <sharedItems containsString="0" containsBlank="1" containsNumber="1" containsInteger="1">
        <n v="1.0331315E7"/>
        <n v="1816878.0"/>
        <n v="3905310.0"/>
        <n v="5400890.0"/>
        <n v="3807175.0"/>
        <n v="1994999.0"/>
        <n v="2643862.0"/>
        <n v="2302398.0"/>
        <n v="1221118.0"/>
        <n v="2159465.0"/>
        <n v="952772.0"/>
        <n v="359367.0"/>
        <n v="540562.0"/>
        <n v="1465742.0"/>
        <n v="369819.0"/>
        <n v="486342.0"/>
        <n v="390000.0"/>
        <n v="439120.0"/>
        <n v="276220.0"/>
        <n v="187262.0"/>
        <n v="476194.0"/>
        <n v="258129.0"/>
        <n v="230037.0"/>
        <n v="387699.0"/>
        <n v="130753.0"/>
        <n v="213408.0"/>
        <n v="62722.0"/>
        <n v="373231.0"/>
        <n v="729023.0"/>
        <n v="160000.0"/>
        <n v="46111.0"/>
        <n v="266018.0"/>
        <n v="319403.0"/>
        <n v="170000.0"/>
        <n v="167708.0"/>
        <n v="94437.0"/>
        <n v="98675.0"/>
        <n v="90238.0"/>
        <n v="161013.0"/>
        <n v="45000.0"/>
        <n v="112454.0"/>
        <n v="93761.0"/>
        <n v="158926.0"/>
        <n v="116016.0"/>
        <n v="48775.0"/>
        <n v="54404.0"/>
        <n v="60189.0"/>
        <n v="219730.0"/>
        <n v="57453.0"/>
        <n v="60596.0"/>
        <n v="40000.0"/>
        <n v="90000.0"/>
        <n v="90574.0"/>
        <n v="74717.0"/>
        <n v="44918.0"/>
        <n v="170085.0"/>
        <n v="22869.0"/>
        <n v="1000.0"/>
        <n v="131259.0"/>
        <n v="10000.0"/>
        <n v="4000.0"/>
        <n v="3500.0"/>
        <n v="28000.0"/>
        <n v="21500.0"/>
        <n v="12000.0"/>
        <n v="150.0"/>
        <n v="19354.0"/>
        <n v="550.0"/>
        <n v="1500.0"/>
        <n v="700.0"/>
        <n v="1400.0"/>
        <n v="14981.0"/>
        <n v="8000.0"/>
        <m/>
        <n v="2000.0"/>
        <n v="9946.0"/>
        <n v="4500.0"/>
        <n v="13000.0"/>
        <n v="4446.0"/>
        <n v="6000.0"/>
        <n v="28797.0"/>
        <n v="2113.0"/>
        <n v="1100000.0"/>
        <n v="35000.0"/>
        <n v="3000.0"/>
        <n v="10500.0"/>
        <n v="5000.0"/>
        <n v="7515.0"/>
        <n v="32000.0"/>
        <n v="200.0"/>
        <n v="37500.0"/>
        <n v="5367.0"/>
        <n v="47265.0"/>
        <n v="900.0"/>
        <n v="5894.0"/>
        <n v="7246.0"/>
        <n v="34000.0"/>
        <n v="105000.0"/>
        <n v="13400.0"/>
        <n v="25000.0"/>
        <n v="7000.0"/>
        <n v="65000.0"/>
        <n v="30000.0"/>
        <n v="73183.0"/>
        <n v="57967.0"/>
        <n v="46000.0"/>
        <n v="67047.0"/>
      </sharedItems>
    </cacheField>
    <cacheField name="2010 Sales" numFmtId="3">
      <sharedItems containsString="0" containsBlank="1" containsNumber="1" containsInteger="1">
        <n v="1.3757794E7"/>
        <n v="2387197.0"/>
        <n v="4203181.0"/>
        <n v="5635432.0"/>
        <n v="2916259.0"/>
        <n v="2030846.0"/>
        <n v="2856540.0"/>
        <n v="2251669.0"/>
        <n v="1237482.0"/>
        <n v="1961580.0"/>
        <n v="982015.0"/>
        <n v="541475.0"/>
        <n v="592122.0"/>
        <n v="1912794.0"/>
        <n v="509784.0"/>
        <n v="543594.0"/>
        <n v="450000.0"/>
        <n v="503748.0"/>
        <n v="315855.0"/>
        <n v="208300.0"/>
        <n v="547340.0"/>
        <n v="337130.0"/>
        <n v="346644.0"/>
        <n v="482531.0"/>
        <n v="212336.0"/>
        <n v="289684.0"/>
        <n v="57778.0"/>
        <n v="522591.0"/>
        <n v="694349.0"/>
        <n v="200000.0"/>
        <n v="59623.0"/>
        <n v="294239.0"/>
        <n v="328563.0"/>
        <n v="250000.0"/>
        <n v="169580.0"/>
        <n v="130038.0"/>
        <n v="127754.0"/>
        <n v="136979.0"/>
        <n v="223464.0"/>
        <n v="43500.0"/>
        <n v="153858.0"/>
        <n v="91119.0"/>
        <n v="192848.0"/>
        <n v="94441.0"/>
        <n v="73858.0"/>
        <n v="62029.0"/>
        <n v="43476.0"/>
        <n v="141501.0"/>
        <n v="88446.0"/>
        <n v="90250.0"/>
        <n v="24000.0"/>
        <n v="90000.0"/>
        <n v="111968.0"/>
        <n v="64033.0"/>
        <n v="38587.0"/>
        <n v="169540.0"/>
        <n v="16257.0"/>
        <n v="1600.0"/>
        <n v="97765.0"/>
        <n v="20000.0"/>
        <n v="4000.0"/>
        <n v="13000.0"/>
        <n v="2000.0"/>
        <n v="29000.0"/>
        <n v="20700.0"/>
        <n v="15000.0"/>
        <n v="100.0"/>
        <n v="8000.0"/>
        <n v="10000.0"/>
        <n v="20972.0"/>
        <n v="700.0"/>
        <n v="1800.0"/>
        <n v="300.0"/>
        <n v="1500.0"/>
        <n v="1400.0"/>
        <n v="14088.0"/>
        <m/>
        <n v="3000.0"/>
        <n v="10295.0"/>
        <n v="14100.0"/>
        <n v="4393.0"/>
        <n v="1000.0"/>
        <n v="41638.0"/>
        <n v="3106.0"/>
        <n v="1410403.0"/>
        <n v="65000.0"/>
        <n v="3500.0"/>
        <n v="7970.0"/>
        <n v="33000.0"/>
        <n v="38000.0"/>
        <n v="6365.0"/>
        <n v="49726.0"/>
        <n v="900.0"/>
        <n v="4056.0"/>
        <n v="5000.0"/>
        <n v="7354.0"/>
        <n v="25000.0"/>
        <n v="8500.0"/>
        <n v="115000.0"/>
        <n v="17400.0"/>
        <n v="30000.0"/>
        <n v="11000.0"/>
        <n v="45000.0"/>
        <n v="40000.0"/>
        <n v="28951.0"/>
        <n v="47273.0"/>
        <n v="61142.0"/>
        <n v="78147.0"/>
        <n v="6500.0"/>
        <n v="4500.0"/>
        <n v="68210.0"/>
      </sharedItems>
    </cacheField>
    <cacheField name="2011 Sales" numFmtId="3">
      <sharedItems containsString="0" containsBlank="1" containsNumber="1" containsInteger="1">
        <n v="1.4472416E7"/>
        <n v="2510313.0"/>
        <n v="3509036.0"/>
        <n v="6089403.0"/>
        <n v="3173634.0"/>
        <n v="1941253.0"/>
        <n v="2901647.0"/>
        <n v="2204229.0"/>
        <n v="1293501.0"/>
        <n v="1749740.0"/>
        <n v="808051.0"/>
        <n v="602291.0"/>
        <n v="559314.0"/>
        <n v="2653688.0"/>
        <n v="593519.0"/>
        <n v="535113.0"/>
        <n v="460000.0"/>
        <n v="592101.0"/>
        <n v="277427.0"/>
        <n v="235205.0"/>
        <n v="572211.0"/>
        <n v="396292.0"/>
        <n v="360441.0"/>
        <n v="555812.0"/>
        <n v="245116.0"/>
        <n v="304984.0"/>
        <n v="64564.0"/>
        <n v="673853.0"/>
        <n v="681956.0"/>
        <n v="210000.0"/>
        <n v="57768.0"/>
        <n v="318958.0"/>
        <n v="356145.0"/>
        <n v="250000.0"/>
        <n v="173595.0"/>
        <n v="140184.0"/>
        <n v="138345.0"/>
        <n v="193268.0"/>
        <n v="153404.0"/>
        <n v="48000.0"/>
        <n v="170036.0"/>
        <n v="99727.0"/>
        <n v="210300.0"/>
        <n v="81709.0"/>
        <n v="93055.0"/>
        <n v="63471.0"/>
        <n v="45094.0"/>
        <n v="97680.0"/>
        <n v="89911.0"/>
        <n v="94297.0"/>
        <n v="38348.0"/>
        <n v="95000.0"/>
        <n v="126123.0"/>
        <n v="68203.0"/>
        <n v="41561.0"/>
        <n v="207453.0"/>
        <n v="19250.0"/>
        <n v="2100.0"/>
        <n v="165415.0"/>
        <n v="10000.0"/>
        <n v="4000.0"/>
        <n v="2000.0"/>
        <n v="26000.0"/>
        <n v="20800.0"/>
        <n v="15000.0"/>
        <n v="100.0"/>
        <n v="9500.0"/>
        <n v="25204.0"/>
        <n v="500.0"/>
        <n v="1800.0"/>
        <n v="200.0"/>
        <n v="1400.0"/>
        <n v="30000.0"/>
        <n v="3000.0"/>
        <n v="13480.0"/>
        <m/>
        <n v="17070.0"/>
        <n v="6000.0"/>
        <n v="4719.0"/>
        <n v="1000.0"/>
        <n v="44845.0"/>
        <n v="5038.0"/>
        <n v="1452965.0"/>
        <n v="71500.0"/>
        <n v="3500.0"/>
        <n v="11000.0"/>
        <n v="5000.0"/>
        <n v="13234.0"/>
        <n v="31000.0"/>
        <n v="39000.0"/>
        <n v="10980.0"/>
        <n v="49881.0"/>
        <n v="1100.0"/>
        <n v="1500.0"/>
        <n v="5428.0"/>
        <n v="5500.0"/>
        <n v="7525.0"/>
        <n v="8500.0"/>
        <n v="115000.0"/>
        <n v="19700.0"/>
        <n v="35000.0"/>
        <n v="20000.0"/>
        <n v="55000.0"/>
        <n v="45000.0"/>
        <n v="22181.0"/>
        <n v="33493.0"/>
        <n v="60193.0"/>
        <n v="7000.0"/>
        <n v="33160.0"/>
        <n v="7500.0"/>
        <n v="38308.0"/>
        <n v="65339.0"/>
      </sharedItems>
    </cacheField>
    <cacheField name="2012 Sales" numFmtId="3">
      <sharedItems containsString="0" containsBlank="1" containsNumber="1" containsInteger="1">
        <n v="1.549524E7"/>
        <n v="2781919.0"/>
        <n v="4572333.0"/>
        <n v="7241900.0"/>
        <n v="3082504.0"/>
        <n v="2044609.0"/>
        <n v="3115223.0"/>
        <n v="1898760.0"/>
        <n v="1256403.0"/>
        <n v="1403010.0"/>
        <n v="699589.0"/>
        <n v="780785.0"/>
        <n v="576855.0"/>
        <n v="2755384.0"/>
        <n v="556280.0"/>
        <n v="552189.0"/>
        <n v="540000.0"/>
        <n v="649333.0"/>
        <n v="272719.0"/>
        <n v="211578.0"/>
        <n v="486737.0"/>
        <n v="440002.0"/>
        <n v="660214.0"/>
        <n v="502544.0"/>
        <n v="257013.0"/>
        <n v="279899.0"/>
        <n v="44070.0"/>
        <n v="596397.0"/>
        <n v="748530.0"/>
        <n v="190000.0"/>
        <n v="64165.0"/>
        <n v="328139.0"/>
        <n v="336010.0"/>
        <n v="240000.0"/>
        <n v="174009.0"/>
        <n v="136026.0"/>
        <n v="137967.0"/>
        <n v="211500.0"/>
        <n v="95309.0"/>
        <n v="45000.0"/>
        <n v="170763.0"/>
        <n v="117818.0"/>
        <n v="222700.0"/>
        <n v="66436.0"/>
        <n v="128295.0"/>
        <n v="76871.0"/>
        <n v="53059.0"/>
        <n v="58482.0"/>
        <n v="79498.0"/>
        <n v="80644.0"/>
        <n v="86959.0"/>
        <n v="116500.0"/>
        <n v="111251.0"/>
        <n v="69268.0"/>
        <n v="31360.0"/>
        <n v="237602.0"/>
        <n v="19419.0"/>
        <n v="2300.0"/>
        <n v="188990.0"/>
        <n v="17000.0"/>
        <n v="5000.0"/>
        <n v="14000.0"/>
        <n v="2500.0"/>
        <n v="40000.0"/>
        <n v="24600.0"/>
        <n v="20000.0"/>
        <n v="200.0"/>
        <n v="10000.0"/>
        <n v="31471.0"/>
        <n v="15000.0"/>
        <n v="500.0"/>
        <n v="2100.0"/>
        <n v="210.0"/>
        <n v="2000.0"/>
        <n v="1900.0"/>
        <n v="30000.0"/>
        <n v="4000.0"/>
        <n v="10123.0"/>
        <m/>
        <n v="19424.0"/>
        <n v="3500.0"/>
        <n v="6500.0"/>
        <n v="16000.0"/>
        <n v="4357.0"/>
        <n v="1000.0"/>
        <n v="45283.0"/>
        <n v="7902.0"/>
        <n v="901268.0"/>
        <n v="80000.0"/>
        <n v="11500.0"/>
        <n v="10665.0"/>
        <n v="35500.0"/>
        <n v="12165.0"/>
        <n v="50398.0"/>
        <n v="1200.0"/>
        <n v="5884.0"/>
        <n v="7000.0"/>
        <n v="7250.0"/>
        <n v="3600.0"/>
        <n v="3000.0"/>
        <n v="130000.0"/>
        <n v="21600.0"/>
        <n v="55000.0"/>
        <n v="60000.0"/>
        <n v="1500.0"/>
        <n v="22800.0"/>
        <n v="32724.0"/>
        <n v="50091.0"/>
        <n v="8000.0"/>
        <n v="36300.0"/>
        <n v="6000.0"/>
        <n v="37000.0"/>
        <n v="4500.0"/>
        <n v="38109.0"/>
        <n v="60776.0"/>
      </sharedItems>
    </cacheField>
    <cacheField name="2013 Sales" numFmtId="3">
      <sharedItems containsString="0" containsBlank="1" containsNumber="1" containsInteger="1">
        <n v="1.792773E7"/>
        <n v="2553979.0"/>
        <n v="4562282.0"/>
        <n v="7585341.0"/>
        <n v="2952431.0"/>
        <n v="2264737.0"/>
        <n v="3040783.0"/>
        <n v="1790456.0"/>
        <n v="1243868.0"/>
        <n v="1304648.0"/>
        <n v="722689.0"/>
        <n v="880032.0"/>
        <n v="566454.0"/>
        <n v="2649181.0"/>
        <n v="664655.0"/>
        <n v="576657.0"/>
        <n v="570000.0"/>
        <n v="698217.0"/>
        <n v="289913.0"/>
        <n v="211824.0"/>
        <n v="486065.0"/>
        <n v="450561.0"/>
        <n v="631225.0"/>
        <n v="416717.0"/>
        <n v="286588.0"/>
        <n v="269599.0"/>
        <n v="59857.0"/>
        <n v="684379.0"/>
        <n v="755615.0"/>
        <n v="200000.0"/>
        <n v="76822.0"/>
        <n v="307885.0"/>
        <n v="319035.0"/>
        <n v="238800.0"/>
        <n v="164736.0"/>
        <n v="121122.0"/>
        <n v="142151.0"/>
        <n v="206700.0"/>
        <n v="105921.0"/>
        <n v="45500.0"/>
        <n v="182086.0"/>
        <n v="108177.0"/>
        <n v="220000.0"/>
        <n v="57710.0"/>
        <n v="139453.0"/>
        <n v="82433.0"/>
        <n v="56139.0"/>
        <n v="58694.0"/>
        <n v="74367.0"/>
        <n v="74169.0"/>
        <n v="153664.0"/>
        <n v="125000.0"/>
        <n v="103455.0"/>
        <n v="65998.0"/>
        <n v="27802.0"/>
        <n v="213322.0"/>
        <n v="19352.0"/>
        <n v="2300.0"/>
        <n v="222710.0"/>
        <n v="20000.0"/>
        <n v="5000.0"/>
        <n v="21000.0"/>
        <n v="2000.0"/>
        <n v="43500.0"/>
        <n v="24000.0"/>
        <n v="19600.0"/>
        <n v="200.0"/>
        <n v="13900.0"/>
        <n v="9800.0"/>
        <n v="31122.0"/>
        <n v="14700.0"/>
        <n v="700.0"/>
        <n v="210.0"/>
        <n v="2400.0"/>
        <n v="29800.0"/>
        <n v="4000.0"/>
        <n v="7000.0"/>
        <n v="14900.0"/>
        <m/>
        <n v="19694.0"/>
        <n v="3000.0"/>
        <n v="6600.0"/>
        <n v="15900.0"/>
        <n v="4256.0"/>
        <n v="1000.0"/>
        <n v="46147.0"/>
        <n v="7274.0"/>
        <n v="691709.0"/>
        <n v="78200.0"/>
        <n v="14500.0"/>
        <n v="2500.0"/>
        <n v="6000.0"/>
        <n v="10636.0"/>
        <n v="35500.0"/>
        <n v="30000.0"/>
        <n v="12163.0"/>
        <n v="46624.0"/>
        <n v="1200.0"/>
        <n v="5749.0"/>
        <n v="7500.0"/>
        <n v="1500.0"/>
        <n v="6272.0"/>
        <n v="3500.0"/>
        <n v="40000.0"/>
        <n v="140000.0"/>
        <n v="21100.0"/>
        <n v="39800.0"/>
        <n v="19900.0"/>
        <n v="54700.0"/>
        <n v="65000.0"/>
        <n v="23000.0"/>
        <n v="27955.0"/>
        <n v="52268.0"/>
        <n v="10000.0"/>
        <n v="8000.0"/>
        <n v="35000.0"/>
        <n v="4500.0"/>
        <n v="41785.0"/>
        <n v="43887.0"/>
      </sharedItems>
    </cacheField>
    <cacheField name="2014 Sales" numFmtId="3">
      <sharedItems containsString="0" containsBlank="1" containsNumber="1" containsInteger="1">
        <n v="1.9707677E7"/>
        <n v="2570736.0"/>
        <n v="4699591.0"/>
        <n v="7749432.0"/>
        <n v="3036773.0"/>
        <n v="2476435.0"/>
        <n v="2794687.0"/>
        <n v="1795885.0"/>
        <n v="1359834.0"/>
        <n v="1360578.0"/>
        <n v="890125.0"/>
        <n v="863268.0"/>
        <n v="531596.0"/>
        <n v="2333067.0"/>
        <n v="587331.0"/>
        <n v="588348.0"/>
        <n v="632700.0"/>
        <n v="745250.0"/>
        <n v="327709.0"/>
        <n v="235480.0"/>
        <n v="482939.0"/>
        <n v="439264.0"/>
        <n v="369826.0"/>
        <n v="387569.0"/>
        <n v="256160.0"/>
        <n v="303948.0"/>
        <n v="79813.0"/>
        <n v="432696.0"/>
        <n v="760449.0"/>
        <n v="228000.0"/>
        <n v="90287.0"/>
        <n v="301942.0"/>
        <n v="303318.0"/>
        <n v="265100.0"/>
        <n v="192314.0"/>
        <n v="123950.0"/>
        <n v="144202.0"/>
        <n v="206700.0"/>
        <n v="142826.0"/>
        <n v="46000.0"/>
        <n v="189055.0"/>
        <n v="109649.0"/>
        <n v="273500.0"/>
        <n v="82809.0"/>
        <n v="140363.0"/>
        <n v="90131.0"/>
        <n v="67476.0"/>
        <n v="71218.0"/>
        <n v="96284.0"/>
        <n v="78495.0"/>
        <n v="151424.0"/>
        <n v="126300.0"/>
        <n v="106237.0"/>
        <n v="72237.0"/>
        <n v="33962.0"/>
        <n v="97020.0"/>
        <n v="23500.0"/>
        <n v="2500.0"/>
        <n v="178200.0"/>
        <n v="24000.0"/>
        <n v="5200.0"/>
        <n v="23300.0"/>
        <n v="1600.0"/>
        <n v="49600.0"/>
        <n v="29300.0"/>
        <n v="22300.0"/>
        <n v="200.0"/>
        <n v="18500.0"/>
        <n v="8900.0"/>
        <n v="26500.0"/>
        <n v="18100.0"/>
        <n v="700.0"/>
        <n v="1000.0"/>
        <n v="2400.0"/>
        <n v="2300.0"/>
        <n v="35200.0"/>
        <n v="4000.0"/>
        <n v="8276.0"/>
        <n v="17400.0"/>
        <m/>
        <n v="5000.0"/>
        <n v="20969.0"/>
        <n v="2900.0"/>
        <n v="4300.0"/>
        <n v="6900.0"/>
        <n v="17300.0"/>
        <n v="4248.0"/>
        <n v="1300.0"/>
        <n v="48500.0"/>
        <n v="9536.0"/>
        <n v="1106700.0"/>
        <n v="61000.0"/>
        <n v="15700.0"/>
        <n v="3000.0"/>
        <n v="9800.0"/>
        <n v="12452.0"/>
        <n v="38300.0"/>
        <n v="30000.0"/>
        <n v="14503.0"/>
        <n v="49793.0"/>
        <n v="1100.0"/>
        <n v="6451.0"/>
        <n v="8600.0"/>
        <n v="5600.0"/>
        <n v="6469.0"/>
        <n v="5300.0"/>
        <n v="42000.0"/>
        <n v="2700.0"/>
        <n v="138600.0"/>
        <n v="21100.0"/>
        <n v="43000.0"/>
        <n v="21500.0"/>
        <n v="58500.0"/>
        <n v="71500.0"/>
        <n v="1500.0"/>
        <n v="4500.0"/>
        <n v="23900.0"/>
        <n v="32807.0"/>
        <n v="53296.0"/>
        <n v="13800.0"/>
        <n v="1800.0"/>
        <n v="33400.0"/>
        <n v="6100.0"/>
        <n v="6300.0"/>
        <n v="37100.0"/>
        <n v="4600.0"/>
        <n v="40171.0"/>
        <n v="10400.0"/>
        <n v="2000.0"/>
        <n v="4100.0"/>
      </sharedItems>
    </cacheField>
    <cacheField name="2015 Sales" numFmtId="3">
      <sharedItems containsSemiMixedTypes="0" containsString="0" containsNumber="1" containsInteger="1">
        <n v="2.1210339E7"/>
        <n v="2772270.0"/>
        <n v="4215889.0"/>
        <n v="7516826.0"/>
        <n v="3206042.0"/>
        <n v="2633503.0"/>
        <n v="2123009.0"/>
        <n v="1917226.0"/>
        <n v="1533670.0"/>
        <n v="1575737.0"/>
        <n v="1094077.0"/>
        <n v="755566.0"/>
        <n v="924154.0"/>
        <n v="1282740.0"/>
        <n v="725596.0"/>
        <n v="591275.0"/>
        <n v="672300.0"/>
        <n v="892194.0"/>
        <n v="354975.0"/>
        <n v="212236.0"/>
        <n v="501066.0"/>
        <n v="412670.0"/>
        <n v="356063.0"/>
        <n v="449350.0"/>
        <n v="212023.0"/>
        <n v="345108.0"/>
        <n v="117288.0"/>
        <n v="480952.0"/>
        <n v="712322.0"/>
        <n v="247300.0"/>
        <n v="116381.0"/>
        <n v="323783.0"/>
        <n v="308555.0"/>
        <n v="236800.0"/>
        <n v="230857.0"/>
        <n v="182231.0"/>
        <n v="150686.0"/>
        <n v="214000.0"/>
        <n v="178503.0"/>
        <n v="46000.0"/>
        <n v="207717.0"/>
        <n v="120875.0"/>
        <n v="258400.0"/>
        <n v="98325.0"/>
        <n v="137039.0"/>
        <n v="94964.0"/>
        <n v="77171.0"/>
        <n v="75805.0"/>
        <n v="124804.0"/>
        <n v="52101.0"/>
        <n v="81500.0"/>
        <n v="124200.0"/>
        <n v="108819.0"/>
        <n v="77968.0"/>
        <n v="35715.0"/>
        <n v="46546.0"/>
        <n v="23500.0"/>
        <n v="2500.0"/>
        <n v="177517.0"/>
        <n v="14700.0"/>
        <n v="2300.0"/>
        <n v="9100.0"/>
        <n v="2800.0"/>
        <n v="47700.0"/>
        <n v="28500.0"/>
        <n v="22400.0"/>
        <n v="400.0"/>
        <n v="12800.0"/>
        <n v="8700.0"/>
        <n v="3400.0"/>
        <n v="13900.0"/>
        <n v="1100.0"/>
        <n v="1000.0"/>
        <n v="200.0"/>
        <n v="1700.0"/>
        <n v="41800.0"/>
        <n v="4000.0"/>
        <n v="10344.0"/>
        <n v="5061.0"/>
        <n v="2000.0"/>
        <n v="5400.0"/>
        <n v="20347.0"/>
        <n v="3300.0"/>
        <n v="3600.0"/>
        <n v="18100.0"/>
        <n v="4414.0"/>
        <n v="900.0"/>
        <n v="44261.0"/>
        <n v="14004.0"/>
        <n v="1055400.0"/>
        <n v="33500.0"/>
        <n v="4500.0"/>
        <n v="2900.0"/>
        <n v="5600.0"/>
        <n v="13765.0"/>
        <n v="38700.0"/>
        <n v="38500.0"/>
        <n v="17085.0"/>
        <n v="46473.0"/>
        <n v="1200.0"/>
        <n v="7121.0"/>
        <n v="8000.0"/>
        <n v="3700.0"/>
        <n v="700.0"/>
        <n v="6068.0"/>
        <n v="4800.0"/>
        <n v="15600.0"/>
        <n v="3200.0"/>
        <n v="121100.0"/>
        <n v="21100.0"/>
        <n v="46700.0"/>
        <n v="18700.0"/>
        <n v="49000.0"/>
        <n v="69200.0"/>
        <n v="1600.0"/>
        <n v="21700.0"/>
        <n v="61512.0"/>
        <n v="59450.0"/>
        <n v="12500.0"/>
        <n v="2200.0"/>
        <n v="33400.0"/>
        <n v="6100.0"/>
        <n v="2600.0"/>
        <n v="10500.0"/>
        <n v="36100.0"/>
        <n v="4600.0"/>
        <n v="39472.0"/>
        <n v="7700.0"/>
        <n v="1500.0"/>
      </sharedItems>
    </cacheField>
    <cacheField name="2016 Sales" numFmtId="3">
      <sharedItems containsString="0" containsBlank="1" containsNumber="1" containsInteger="1">
        <n v="2.4376902E7"/>
        <n v="2966637.0"/>
        <n v="4146459.0"/>
        <n v="6872729.0"/>
        <n v="3351607.0"/>
        <n v="2692786.0"/>
        <n v="1676722.0"/>
        <n v="2015177.0"/>
        <n v="1533813.0"/>
        <n v="1824968.0"/>
        <n v="1147007.0"/>
        <n v="834920.0"/>
        <n v="927274.0"/>
        <n v="1239680.0"/>
        <n v="756938.0"/>
        <n v="514545.0"/>
        <n v="549400.0"/>
        <n v="1065912.0"/>
        <n v="416123.0"/>
        <n v="206092.0"/>
        <n v="539519.0"/>
        <n v="361289.0"/>
        <n v="328053.0"/>
        <n v="382825.0"/>
        <n v="228909.0"/>
        <n v="372318.0"/>
        <n v="159501.0"/>
        <n v="525757.0"/>
        <n v="661088.0"/>
        <n v="276900.0"/>
        <n v="133188.0"/>
        <n v="317318.0"/>
        <n v="329604.0"/>
        <n v="215700.0"/>
        <n v="259693.0"/>
        <n v="177222.0"/>
        <n v="154603.0"/>
        <n v="166400.0"/>
        <n v="207345.0"/>
        <n v="43900.0"/>
        <n v="222924.0"/>
        <n v="152324.0"/>
        <n v="214800.0"/>
        <n v="115004.0"/>
        <n v="133671.0"/>
        <n v="102514.0"/>
        <n v="96552.0"/>
        <n v="78873.0"/>
        <n v="146600.0"/>
        <n v="44816.0"/>
        <n v="86707.0"/>
        <n v="95400.0"/>
        <n v="118991.0"/>
        <n v="88165.0"/>
        <n v="44106.0"/>
        <n v="65562.0"/>
        <n v="26370.0"/>
        <n v="2500.0"/>
        <n v="85300.0"/>
        <n v="5600.0"/>
        <n v="4300.0"/>
        <n v="2700.0"/>
        <n v="39200.0"/>
        <n v="15400.0"/>
        <n v="20200.0"/>
        <n v="400.0"/>
        <n v="16900.0"/>
        <n v="9400.0"/>
        <n v="3500.0"/>
        <n v="13400.0"/>
        <n v="1800.0"/>
        <n v="1300.0"/>
        <n v="800.0"/>
        <n v="1900.0"/>
        <n v="48300.0"/>
        <n v="5900.0"/>
        <n v="12643.0"/>
        <n v="4204.0"/>
        <n v="1700.0"/>
        <n v="4600.0"/>
        <n v="22429.0"/>
        <n v="3400.0"/>
        <n v="4200.0"/>
        <n v="16600.0"/>
        <m/>
        <n v="36304.0"/>
        <n v="18442.0"/>
        <n v="1320300.0"/>
        <n v="16000.0"/>
        <n v="2000.0"/>
        <n v="12400.0"/>
        <n v="2400.0"/>
        <n v="16359.0"/>
        <n v="35600.0"/>
        <n v="300.0"/>
        <n v="31600.0"/>
        <n v="20320.0"/>
        <n v="50561.0"/>
        <n v="1500.0"/>
        <n v="7333.0"/>
        <n v="8700.0"/>
        <n v="5662.0"/>
        <n v="6400.0"/>
        <n v="5400.0"/>
        <n v="19200.0"/>
        <n v="3800.0"/>
        <n v="115700.0"/>
        <n v="21100.0"/>
        <n v="46200.0"/>
        <n v="66500.0"/>
        <n v="50200.0"/>
        <n v="4400.0"/>
        <n v="23300.0"/>
        <n v="91096.0"/>
        <n v="63674.0"/>
        <n v="26300.0"/>
        <n v="33400.0"/>
        <n v="2300.0"/>
        <n v="13900.0"/>
        <n v="36400.0"/>
        <n v="4500.0"/>
        <n v="2900.0"/>
        <n v="35924.0"/>
        <n v="3200.0"/>
        <n v="1100.0"/>
      </sharedItems>
    </cacheField>
    <cacheField name="2017 Sales" numFmtId="3">
      <sharedItems containsString="0" containsBlank="1" containsNumber="1" containsInteger="1">
        <n v="2.4718321E7"/>
        <n v="3229109.0"/>
        <n v="4386378.0"/>
        <n v="6080229.0"/>
        <n v="3441262.0"/>
        <n v="2540617.0"/>
        <n v="1856450.0"/>
        <n v="2110748.0"/>
        <n v="1526660.0"/>
        <n v="1970497.0"/>
        <n v="1234932.0"/>
        <n v="833681.0"/>
        <n v="915658.0"/>
        <n v="1448700.0"/>
        <n v="722759.0"/>
        <n v="514680.0"/>
        <n v="424216.0"/>
        <n v="984262.0"/>
        <n v="486352.0"/>
        <n v="399885.0"/>
        <n v="546558.0"/>
        <n v="361289.0"/>
        <n v="665871.0"/>
        <n v="414306.0"/>
        <n v="276785.0"/>
        <n v="379393.0"/>
        <n v="152799.0"/>
        <n v="663550.0"/>
        <n v="639824.0"/>
        <n v="271134.0"/>
        <n v="295459.0"/>
        <n v="311996.0"/>
        <n v="353320.0"/>
        <n v="206336.0"/>
        <n v="271595.0"/>
        <n v="203314.0"/>
        <n v="158650.0"/>
        <n v="0.0"/>
        <n v="222129.0"/>
        <n v="46000.0"/>
        <n v="221821.0"/>
        <n v="155306.0"/>
        <n v="100533.0"/>
        <n v="105083.0"/>
        <n v="134623.0"/>
        <n v="107951.0"/>
        <n v="116265.0"/>
        <n v="88083.0"/>
        <n v="131332.0"/>
        <n v="94635.0"/>
        <n v="41915.0"/>
        <n v="91251.0"/>
        <n v="120480.0"/>
        <n v="96105.0"/>
        <n v="50769.0"/>
        <n v="82330.0"/>
        <n v="33265.0"/>
        <n v="1370.0"/>
        <n v="97983.0"/>
        <n v="2875.0"/>
        <n v="2200.0"/>
        <n v="1700.0"/>
        <n v="1332.0"/>
        <n v="32439.0"/>
        <n v="2500.0"/>
        <n v="30659.0"/>
        <n v="374.0"/>
        <n v="21807.0"/>
        <n v="3500.0"/>
        <n v="12052.0"/>
        <n v="376.0"/>
        <n v="2113.0"/>
        <n v="14.0"/>
        <n v="838.0"/>
        <n v="1538.0"/>
        <n v="41330.0"/>
        <n v="4386.0"/>
        <n v="13127.0"/>
        <n v="24.0"/>
        <n v="245.0"/>
        <n v="7036.0"/>
        <n v="25618.0"/>
        <n v="973.0"/>
        <n v="2550.0"/>
        <n v="4066.0"/>
        <n v="14349.0"/>
        <n v="4858.0"/>
        <n v="9766.0"/>
        <n v="37298.0"/>
        <n v="21324.0"/>
        <n v="1361456.0"/>
        <n v="16766.0"/>
        <n v="5552.0"/>
        <n v="1887.0"/>
        <n v="12780.0"/>
        <n v="2124.0"/>
        <n v="2000.0"/>
        <n v="3410.0"/>
        <n v="16698.0"/>
        <n v="37221.0"/>
        <n v="224.0"/>
        <n v="11000.0"/>
        <n v="25836.0"/>
        <n v="52775.0"/>
        <n v="1199.0"/>
        <n v="569.0"/>
        <n v="7825.0"/>
        <n v="8753.0"/>
        <n v="5260.0"/>
        <n v="5921.0"/>
        <n v="7445.0"/>
        <n v="7699.0"/>
        <n v="4700.0"/>
        <n v="3273.0"/>
        <n v="63789.0"/>
        <n v="496.0"/>
        <n v="44009.0"/>
        <n v="18848.0"/>
        <n v="84470.0"/>
        <n v="41176.0"/>
        <m/>
        <n v="3773.0"/>
        <n v="22090.0"/>
        <n v="94692.0"/>
        <n v="62522.0"/>
        <n v="11796.0"/>
        <n v="1450.0"/>
        <n v="4500.0"/>
        <n v="938.0"/>
        <n v="9840.0"/>
        <n v="45886.0"/>
        <n v="4800.0"/>
        <n v="721.0"/>
        <n v="41549.0"/>
        <n v="828.0"/>
        <n v="848.0"/>
        <n v="1094.0"/>
      </sharedItems>
    </cacheField>
    <cacheField name="2018 Sales" numFmtId="3">
      <sharedItems containsString="0" containsBlank="1" containsNumber="1" containsInteger="1">
        <n v="2.3709782E7"/>
        <n v="3394756.0"/>
        <n v="4391160.0"/>
        <n v="5303580.0"/>
        <n v="3435778.0"/>
        <n v="2367147.0"/>
        <n v="2101884.0"/>
        <n v="2173481.0"/>
        <n v="1525150.0"/>
        <n v="1910025.0"/>
        <n v="1321438.0"/>
        <n v="878595.0"/>
        <n v="873713.0"/>
        <n v="1606676.0"/>
        <n v="486321.0"/>
        <n v="533201.0"/>
        <n v="340218.0"/>
        <n v="883043.0"/>
        <n v="531889.0"/>
        <n v="389328.0"/>
        <n v="549632.0"/>
        <n v="365242.0"/>
        <n v="729709.0"/>
        <n v="443531.0"/>
        <n v="315326.0"/>
        <n v="353729.0"/>
        <n v="197752.0"/>
        <n v="610943.0"/>
        <n v="577711.0"/>
        <n v="257465.0"/>
        <n v="252848.0"/>
        <n v="299135.0"/>
        <n v="341068.0"/>
        <n v="220088.0"/>
        <n v="261437.0"/>
        <n v="217392.0"/>
        <n v="147929.0"/>
        <n v="0.0"/>
        <n v="228327.0"/>
        <n v="47500.0"/>
        <n v="218566.0"/>
        <n v="163223.0"/>
        <n v="145873.0"/>
        <n v="129004.0"/>
        <n v="115441.0"/>
        <n v="107674.0"/>
        <n v="136601.0"/>
        <n v="103431.0"/>
        <n v="125557.0"/>
        <n v="105046.0"/>
        <n v="52836.0"/>
        <n v="91223.0"/>
        <n v="120480.0"/>
        <n v="98080.0"/>
        <n v="60041.0"/>
        <n v="81877.0"/>
        <n v="37506.0"/>
        <n v="2175.0"/>
        <n v="123698.0"/>
        <n v="1825.0"/>
        <n v="1200.0"/>
        <n v="3200.0"/>
        <n v="1332.0"/>
        <n v="31855.0"/>
        <n v="2750.0"/>
        <n v="48315.0"/>
        <n v="348.0"/>
        <n v="22612.0"/>
        <n v="3531.0"/>
        <n v="12200.0"/>
        <n v="537.0"/>
        <n v="4531.0"/>
        <n v="10.0"/>
        <n v="811.0"/>
        <n v="1529.0"/>
        <n v="33352.0"/>
        <n v="4470.0"/>
        <n v="13135.0"/>
        <n v="108.0"/>
        <n v="309.0"/>
        <n v="7501.0"/>
        <n v="26297.0"/>
        <n v="993.0"/>
        <n v="2800.0"/>
        <n v="4268.0"/>
        <n v="14360.0"/>
        <n v="5373.0"/>
        <n v="10321.0"/>
        <n v="34596.0"/>
        <n v="17976.0"/>
        <n v="912563.0"/>
        <n v="32309.0"/>
        <n v="6075.0"/>
        <n v="5232.0"/>
        <n v="13166.0"/>
        <n v="2861.0"/>
        <n v="2100.0"/>
        <n v="3741.0"/>
        <n v="16878.0"/>
        <n v="33012.0"/>
        <n v="80.0"/>
        <n v="12500.0"/>
        <n v="32382.0"/>
        <n v="52786.0"/>
        <n v="1138.0"/>
        <n v="724.0"/>
        <n v="8128.0"/>
        <n v="8288.0"/>
        <n v="5960.0"/>
        <n v="5571.0"/>
        <n v="6759.0"/>
        <n v="9567.0"/>
        <n v="8550.0"/>
        <n v="3885.0"/>
        <n v="49777.0"/>
        <n v="146.0"/>
        <n v="36401.0"/>
        <n v="25204.0"/>
        <n v="73080.0"/>
        <n v="38816.0"/>
        <m/>
        <n v="3558.0"/>
        <n v="24006.0"/>
        <n v="81625.0"/>
        <n v="65115.0"/>
        <n v="10981.0"/>
        <n v="1140.0"/>
        <n v="6996.0"/>
        <n v="2200.0"/>
        <n v="998.0"/>
        <n v="9712.0"/>
        <n v="35343.0"/>
        <n v="5100.0"/>
        <n v="770.0"/>
        <n v="34377.0"/>
        <n v="1159.0"/>
        <n v="552.0"/>
        <n v="1118.0"/>
        <n v="906.0"/>
      </sharedItems>
    </cacheField>
    <cacheField name="2019 Sales" numFmtId="3">
      <sharedItems containsString="0" containsBlank="1" containsNumber="1" containsInteger="1">
        <n v="2.1472092E7"/>
        <n v="2962115.0"/>
        <n v="4301091.0"/>
        <n v="4719710.0"/>
        <n v="3607258.0"/>
        <n v="2311140.0"/>
        <n v="2262069.0"/>
        <n v="2214280.0"/>
        <n v="1497035.0"/>
        <n v="1916949.0"/>
        <n v="1258249.0"/>
        <n v="785539.0"/>
        <n v="799263.0"/>
        <n v="1567809.0"/>
        <n v="387256.0"/>
        <n v="550182.0"/>
        <n v="460373.0"/>
        <n v="764175.0"/>
        <n v="555598.0"/>
        <n v="159492.0"/>
        <n v="550008.0"/>
        <n v="355378.0"/>
        <n v="468638.0"/>
        <n v="446057.0"/>
        <n v="260683.0"/>
        <n v="356036.0"/>
        <n v="229539.0"/>
        <n v="282299.0"/>
        <n v="496846.0"/>
        <n v="239671.0"/>
        <n v="258555.0"/>
        <n v="311466.0"/>
        <n v="320381.0"/>
        <n v="220581.0"/>
        <n v="249915.0"/>
        <n v="162689.0"/>
        <n v="133964.0"/>
        <n v="198520.0"/>
        <n v="223799.0"/>
        <n v="147827.0"/>
        <n v="225581.0"/>
        <n v="148354.0"/>
        <n v="127443.0"/>
        <n v="161562.0"/>
        <n v="115241.0"/>
        <n v="103610.0"/>
        <n v="157900.0"/>
        <n v="114109.0"/>
        <n v="117109.0"/>
        <n v="97572.0"/>
        <n v="77324.0"/>
        <n v="98454.0"/>
        <n v="114202.0"/>
        <n v="101568.0"/>
        <n v="62977.0"/>
        <n v="88437.0"/>
        <n v="35371.0"/>
        <n v="3005.0"/>
        <n v="118689.0"/>
        <n v="2080.0"/>
        <n v="970.0"/>
        <n v="6046.0"/>
        <n v="1332.0"/>
        <n v="26372.0"/>
        <n v="3000.0"/>
        <n v="56592.0"/>
        <n v="348.0"/>
        <n v="20319.0"/>
        <n v="10038.0"/>
        <n v="1050.0"/>
        <n v="10949.0"/>
        <n v="537.0"/>
        <n v="7167.0"/>
        <n v="10.0"/>
        <n v="1275.0"/>
        <n v="1529.0"/>
        <n v="30825.0"/>
        <n v="2280.0"/>
        <n v="12438.0"/>
        <n v="12606.0"/>
        <n v="346.0"/>
        <n v="6400.0"/>
        <n v="32132.0"/>
        <n v="1278.0"/>
        <n v="2804.0"/>
        <n v="3394.0"/>
        <n v="13407.0"/>
        <n v="5450.0"/>
        <n v="9508.0"/>
        <n v="29117.0"/>
        <n v="11692.0"/>
        <n v="51103.0"/>
        <n v="619028.0"/>
        <n v="7522.0"/>
        <n v="5232.0"/>
        <n v="14000.0"/>
        <n v="2307.0"/>
        <n v="1348.0"/>
        <n v="4064.0"/>
        <n v="16974.0"/>
        <n v="22086.0"/>
        <n v="68.0"/>
        <n v="16100.0"/>
        <n v="43109.0"/>
        <n v="54938.0"/>
        <n v="1043.0"/>
        <n v="598.0"/>
        <n v="7621.0"/>
        <n v="7722.0"/>
        <n v="6406.0"/>
        <n v="2970.0"/>
        <n v="5818.0"/>
        <n v="7505.0"/>
        <n v="1296.0"/>
        <n v="5100.0"/>
        <n v="4060.0"/>
        <n v="49924.0"/>
        <n v="109.0"/>
        <n v="39049.0"/>
        <n v="20599.0"/>
        <n v="82607.0"/>
        <n v="39679.0"/>
        <m/>
        <n v="3320.0"/>
        <n v="25514.0"/>
        <n v="76476.0"/>
        <n v="70904.0"/>
        <n v="8100.0"/>
        <n v="996.0"/>
        <n v="11428.0"/>
        <n v="2200.0"/>
        <n v="675.0"/>
        <n v="10707.0"/>
        <n v="34387.0"/>
        <n v="5225.0"/>
        <n v="832.0"/>
        <n v="30063.0"/>
        <n v="552.0"/>
        <n v="1094.0"/>
        <n v="532.0"/>
      </sharedItems>
    </cacheField>
    <cacheField name="2020 Sales" numFmtId="3">
      <sharedItems containsString="0" containsBlank="1" containsNumber="1" containsInteger="1">
        <n v="2.0177731E7"/>
        <n v="2433464.0"/>
        <n v="3809977.0"/>
        <n v="3401838.0"/>
        <n v="2917678.0"/>
        <n v="1631064.0"/>
        <n v="1615942.0"/>
        <n v="1650126.0"/>
        <n v="1618333.0"/>
        <n v="1381496.0"/>
        <n v="851213.0"/>
        <n v="388925.0"/>
        <n v="676804.0"/>
        <n v="1433956.0"/>
        <n v="610109.0"/>
        <n v="480965.0"/>
        <n v="387709.0"/>
        <n v="532097.0"/>
        <n v="428347.0"/>
        <n v="191337.0"/>
        <n v="424492.0"/>
        <n v="247571.0"/>
        <n v="343494.0"/>
        <n v="357996.0"/>
        <n v="194128.0"/>
        <n v="292024.0"/>
        <n v="215908.0"/>
        <n v="223438.0"/>
        <n v="318750.0"/>
        <n v="202366.0"/>
        <n v="153833.0"/>
        <n v="236828.0"/>
        <n v="257721.0"/>
        <n v="85282.0"/>
        <n v="202971.0"/>
        <n v="104387.0"/>
        <n v="124424.0"/>
        <n v="129901.0"/>
        <n v="145417.0"/>
        <n v="146250.0"/>
        <n v="198130.0"/>
        <n v="117046.0"/>
        <n v="167792.0"/>
        <n v="126351.0"/>
        <n v="81496.0"/>
        <n v="80433.0"/>
        <n v="128021.0"/>
        <n v="80977.0"/>
        <n v="88324.0"/>
        <n v="61746.0"/>
        <n v="100595.0"/>
        <n v="72648.0"/>
        <n v="96392.0"/>
        <n v="76305.0"/>
        <n v="36057.0"/>
        <n v="85450.0"/>
        <n v="22368.0"/>
        <m/>
      </sharedItems>
    </cacheField>
    <cacheField name="2021 Sales" numFmtId="3">
      <sharedItems containsString="0" containsBlank="1" containsNumber="1" containsInteger="1">
        <n v="2.1481537E7"/>
        <n v="3082279.0"/>
        <n v="3675698.0"/>
        <n v="3350050.0"/>
        <n v="2622132.0"/>
        <n v="1647181.0"/>
        <n v="1558467.0"/>
        <n v="1659005.0"/>
        <n v="1468873.0"/>
        <n v="1456674.0"/>
        <n v="859476.0"/>
        <n v="659809.0"/>
        <n v="753256.0"/>
        <n v="1483444.0"/>
        <n v="561853.0"/>
        <n v="452663.0"/>
        <n v="475837.0"/>
        <n v="520112.0"/>
        <n v="446647.0"/>
        <n v="382000.0"/>
        <n v="383123.0"/>
        <n v="304340.0"/>
        <n v="312200.0"/>
        <n v="324336.0"/>
        <n v="304045.0"/>
        <n v="301006.0"/>
        <n v="207693.0"/>
        <n v="241619.0"/>
        <n v="320605.0"/>
        <n v="272646.0"/>
        <n v="180642.0"/>
        <n v="238481.0"/>
        <n v="239803.0"/>
        <n v="200914.0"/>
        <n v="206876.0"/>
        <n v="198921.0"/>
        <n v="176276.0"/>
        <n v="156780.0"/>
        <n v="149740.0"/>
        <n v="138377.0"/>
        <n v="185324.0"/>
        <n v="154284.0"/>
        <n v="215072.0"/>
        <n v="120804.0"/>
        <n v="111436.0"/>
        <n v="111299.0"/>
        <n v="121920.0"/>
        <n v="100916.0"/>
        <n v="104669.0"/>
        <n v="86740.0"/>
        <m/>
        <n v="83460.0"/>
        <n v="98481.0"/>
        <n v="75700.0"/>
        <n v="44929.0"/>
        <n v="103262.0"/>
        <n v="24537.0"/>
        <n v="106304.0"/>
        <n v="85486.0"/>
      </sharedItems>
    </cacheField>
    <cacheField name="2022 Sales" numFmtId="3">
      <sharedItems containsString="0" containsBlank="1" containsNumber="1" containsInteger="1">
        <n v="2.3563287E7"/>
        <n v="3792356.0"/>
        <n v="3448297.0"/>
        <n v="2858575.0"/>
        <n v="2651357.0"/>
        <n v="1614063.0"/>
        <n v="1576666.0"/>
        <n v="1532035.0"/>
        <n v="1420486.0"/>
        <n v="1316919.0"/>
        <n v="813374.0"/>
        <n v="783563.0"/>
        <n v="777688.0"/>
        <n v="629923.0"/>
        <n v="592660.0"/>
        <n v="544838.0"/>
        <n v="519485.0"/>
        <n v="486962.0"/>
        <n v="419749.0"/>
        <n v="375841.0"/>
        <n v="366333.0"/>
        <n v="363696.0"/>
        <n v="343349.0"/>
        <n v="313609.0"/>
        <n v="313589.0"/>
        <n v="288087.0"/>
        <n v="283352.0"/>
        <n v="260876.0"/>
        <n v="258483.0"/>
        <n v="257743.0"/>
        <n v="226403.0"/>
        <n v="226006.0"/>
        <n v="215050.0"/>
        <n v="208160.0"/>
        <n v="192087.0"/>
        <n v="188318.0"/>
        <n v="174329.0"/>
        <n v="171414.0"/>
        <n v="156304.0"/>
        <n v="153750.0"/>
        <n v="148293.0"/>
        <n v="143265.0"/>
        <n v="133857.0"/>
        <n v="127948.0"/>
        <n v="118915.0"/>
        <n v="116334.0"/>
        <n v="111524.0"/>
        <n v="105283.0"/>
        <n v="105253.0"/>
        <n v="100069.0"/>
        <n v="97169.0"/>
        <n v="93465.0"/>
        <n v="81674.0"/>
        <n v="78841.0"/>
        <n v="42955.0"/>
        <n v="37891.0"/>
        <n v="28684.0"/>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Breakdown by Continent" cacheId="0" dataCaption="" compact="0" compactData="0">
  <location ref="A3:G10" firstHeaderRow="0" firstDataRow="2" firstDataCol="0"/>
  <pivotFields>
    <pivotField name="Coun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Continent" axis="axisRow" compact="0" numFmtId="3" outline="0" multipleItemSelectionAllowed="1" showAll="0" sortType="ascending">
      <items>
        <item x="5"/>
        <item x="0"/>
        <item x="2"/>
        <item x="1"/>
        <item x="4"/>
        <item x="3"/>
        <item t="default"/>
      </items>
    </pivotField>
    <pivotField name="200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1"/>
  </rowFields>
  <colFields>
    <field x="-2"/>
  </colFields>
  <dataFields>
    <dataField name="SUM of 2005 Sales" fld="2" baseField="0"/>
    <dataField name="SUM of 2006 Sales" fld="3" baseField="0"/>
    <dataField name="SUM of 2007 Sales" fld="4" baseField="0"/>
    <dataField name="SUM of 2008 Sales" fld="5" baseField="0"/>
    <dataField name="SUM of 2009 Sales" fld="6" baseField="0"/>
    <dataField name="SUM of 2010 Sales" fld="7" baseField="0"/>
  </dataFields>
</pivotTableDefinition>
</file>

<file path=xl/pivotTables/pivotTable2.xml><?xml version="1.0" encoding="utf-8"?>
<pivotTableDefinition xmlns="http://schemas.openxmlformats.org/spreadsheetml/2006/main" name="Breakdown by Continent 2" cacheId="0" dataCaption="" compact="0" compactData="0">
  <location ref="A16:G23" firstHeaderRow="0" firstDataRow="2" firstDataCol="0"/>
  <pivotFields>
    <pivotField name="Coun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Continent" axis="axisRow" compact="0" numFmtId="3" outline="0" multipleItemSelectionAllowed="1" showAll="0" sortType="ascending">
      <items>
        <item x="5"/>
        <item x="0"/>
        <item x="2"/>
        <item x="1"/>
        <item x="4"/>
        <item x="3"/>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1"/>
  </rowFields>
  <colFields>
    <field x="-2"/>
  </colFields>
  <dataFields>
    <dataField name="SUM of 2011 Sales" fld="8" baseField="0"/>
    <dataField name="SUM of 2012 Sales" fld="9" baseField="0"/>
    <dataField name="SUM of 2013 Sales" fld="10" baseField="0"/>
    <dataField name="SUM of 2014 Sales" fld="11" baseField="0"/>
    <dataField name="SUM of 2015 Sales" fld="12" baseField="0"/>
    <dataField name="SUM of 2016 Sales" fld="13" baseField="0"/>
  </dataFields>
</pivotTableDefinition>
</file>

<file path=xl/pivotTables/pivotTable3.xml><?xml version="1.0" encoding="utf-8"?>
<pivotTableDefinition xmlns="http://schemas.openxmlformats.org/spreadsheetml/2006/main" name="Breakdown by Continent 3" cacheId="0" dataCaption="" compact="0" compactData="0">
  <location ref="A31:G38" firstHeaderRow="0" firstDataRow="2" firstDataCol="0"/>
  <pivotFields>
    <pivotField name="Coun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Continent" axis="axisRow" compact="0" numFmtId="3" outline="0" multipleItemSelectionAllowed="1" showAll="0" sortType="ascending">
      <items>
        <item x="5"/>
        <item x="0"/>
        <item x="2"/>
        <item x="1"/>
        <item x="4"/>
        <item x="3"/>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1"/>
  </rowFields>
  <colFields>
    <field x="-2"/>
  </colFields>
  <dataFields>
    <dataField name="SUM of 2017 Sales" fld="14" baseField="0"/>
    <dataField name="SUM of 2018 Sales" fld="15" baseField="0"/>
    <dataField name="SUM of 2019 Sales" fld="16" baseField="0"/>
    <dataField name="SUM of 2020 Sales" fld="17" baseField="0"/>
    <dataField name="SUM of 2021 Sales" fld="18" baseField="0"/>
    <dataField name="SUM of 2022 Sales" fld="19" baseField="0"/>
  </dataFields>
</pivotTableDefinition>
</file>

<file path=xl/pivotTables/pivotTable4.xml><?xml version="1.0" encoding="utf-8"?>
<pivotTableDefinition xmlns="http://schemas.openxmlformats.org/spreadsheetml/2006/main" name="Breakdown (Asia)" cacheId="0" dataCaption="" compact="0" compactData="0">
  <location ref="A3:G49" firstHeaderRow="0" firstDataRow="2" firstDataCol="0" rowPageCount="1" colPageCount="1"/>
  <pivotFields>
    <pivotField name="Country" axis="axisRow" compact="0" outline="0" multipleItemSelectionAllowed="1" showAll="0" sortType="ascending">
      <items>
        <item x="57"/>
        <item x="58"/>
        <item x="59"/>
        <item x="27"/>
        <item x="60"/>
        <item x="12"/>
        <item x="32"/>
        <item x="61"/>
        <item x="62"/>
        <item x="63"/>
        <item x="64"/>
        <item x="65"/>
        <item x="20"/>
        <item x="66"/>
        <item x="67"/>
        <item x="68"/>
        <item x="69"/>
        <item x="6"/>
        <item x="70"/>
        <item x="56"/>
        <item x="71"/>
        <item x="72"/>
        <item x="73"/>
        <item x="74"/>
        <item x="75"/>
        <item x="28"/>
        <item x="24"/>
        <item x="0"/>
        <item x="33"/>
        <item x="76"/>
        <item x="54"/>
        <item x="77"/>
        <item x="78"/>
        <item x="34"/>
        <item x="40"/>
        <item x="79"/>
        <item x="80"/>
        <item x="49"/>
        <item x="42"/>
        <item x="81"/>
        <item x="82"/>
        <item x="52"/>
        <item x="7"/>
        <item x="83"/>
        <item x="84"/>
        <item x="4"/>
        <item x="85"/>
        <item x="47"/>
        <item x="86"/>
        <item x="87"/>
        <item x="88"/>
        <item x="89"/>
        <item x="46"/>
        <item x="90"/>
        <item x="1"/>
        <item x="11"/>
        <item x="91"/>
        <item x="92"/>
        <item x="48"/>
        <item x="29"/>
        <item x="9"/>
        <item x="93"/>
        <item x="94"/>
        <item x="2"/>
        <item x="95"/>
        <item x="50"/>
        <item x="96"/>
        <item x="51"/>
        <item x="97"/>
        <item x="98"/>
        <item x="99"/>
        <item x="100"/>
        <item x="101"/>
        <item x="102"/>
        <item x="103"/>
        <item x="104"/>
        <item x="105"/>
        <item x="106"/>
        <item x="15"/>
        <item x="107"/>
        <item x="108"/>
        <item x="17"/>
        <item x="109"/>
        <item x="110"/>
        <item x="41"/>
        <item x="111"/>
        <item x="112"/>
        <item x="23"/>
        <item x="45"/>
        <item x="113"/>
        <item x="114"/>
        <item x="115"/>
        <item x="36"/>
        <item x="116"/>
        <item x="35"/>
        <item x="117"/>
        <item x="118"/>
        <item x="119"/>
        <item x="44"/>
        <item x="30"/>
        <item x="18"/>
        <item x="38"/>
        <item x="120"/>
        <item x="121"/>
        <item x="122"/>
        <item x="43"/>
        <item x="13"/>
        <item x="16"/>
        <item x="123"/>
        <item x="124"/>
        <item x="125"/>
        <item x="53"/>
        <item x="126"/>
        <item x="21"/>
        <item x="8"/>
        <item x="10"/>
        <item x="127"/>
        <item x="128"/>
        <item x="25"/>
        <item x="31"/>
        <item x="129"/>
        <item x="19"/>
        <item x="130"/>
        <item x="131"/>
        <item x="22"/>
        <item x="132"/>
        <item x="133"/>
        <item x="14"/>
        <item x="134"/>
        <item x="37"/>
        <item x="135"/>
        <item x="5"/>
        <item x="55"/>
        <item x="136"/>
        <item x="3"/>
        <item x="39"/>
        <item x="137"/>
        <item x="26"/>
        <item x="138"/>
        <item x="139"/>
        <item x="140"/>
        <item t="default"/>
      </items>
    </pivotField>
    <pivotField name="Continent" axis="axisPage" compact="0" numFmtId="3" outline="0" multipleItemSelectionAllowed="1" showAll="0">
      <items>
        <item x="0"/>
        <item h="1" x="1"/>
        <item h="1" x="2"/>
        <item h="1" x="3"/>
        <item h="1" x="4"/>
        <item h="1" x="5"/>
        <item t="default"/>
      </items>
    </pivotField>
    <pivotField name="200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05 Sales" fld="2" baseField="0"/>
    <dataField name="SUM of 2006 Sales" fld="3" baseField="0"/>
    <dataField name="SUM of 2007 Sales" fld="4" baseField="0"/>
    <dataField name="SUM of 2008 Sales" fld="5" baseField="0"/>
    <dataField name="SUM of 2009 Sales" fld="6" baseField="0"/>
    <dataField name="SUM of 2010 Sales" fld="7" baseField="0"/>
  </dataFields>
</pivotTableDefinition>
</file>

<file path=xl/pivotTables/pivotTable5.xml><?xml version="1.0" encoding="utf-8"?>
<pivotTableDefinition xmlns="http://schemas.openxmlformats.org/spreadsheetml/2006/main" name="Breakdown (Asia) 2" cacheId="0" dataCaption="" compact="0" compactData="0">
  <location ref="K3:Q9" firstHeaderRow="0" firstDataRow="2" firstDataCol="0" rowPageCount="1" colPageCount="1"/>
  <pivotFields>
    <pivotField name="Country" axis="axisRow" compact="0" outline="0" multipleItemSelectionAllowed="1" showAll="0" sortType="ascending">
      <items>
        <item h="1" x="57"/>
        <item h="1" x="58"/>
        <item h="1" x="59"/>
        <item h="1" x="27"/>
        <item h="1" x="60"/>
        <item h="1" x="12"/>
        <item h="1" x="32"/>
        <item h="1" x="61"/>
        <item h="1" x="62"/>
        <item h="1" x="63"/>
        <item h="1" x="64"/>
        <item h="1" x="65"/>
        <item h="1" x="20"/>
        <item h="1" x="66"/>
        <item h="1" x="67"/>
        <item h="1" x="68"/>
        <item h="1" x="69"/>
        <item h="1" x="6"/>
        <item h="1" x="70"/>
        <item h="1" x="56"/>
        <item h="1" x="71"/>
        <item h="1" x="72"/>
        <item h="1" x="73"/>
        <item h="1" x="74"/>
        <item h="1" x="75"/>
        <item h="1" x="28"/>
        <item h="1" x="24"/>
        <item x="0"/>
        <item h="1" x="33"/>
        <item h="1" x="76"/>
        <item h="1" x="54"/>
        <item h="1" x="77"/>
        <item h="1" x="78"/>
        <item h="1" x="34"/>
        <item h="1" x="40"/>
        <item h="1" x="79"/>
        <item h="1" x="80"/>
        <item h="1" x="49"/>
        <item h="1" x="42"/>
        <item h="1" x="81"/>
        <item h="1" x="82"/>
        <item h="1" x="52"/>
        <item h="1" x="7"/>
        <item h="1" x="83"/>
        <item h="1" x="84"/>
        <item h="1" x="4"/>
        <item h="1" x="85"/>
        <item h="1" x="47"/>
        <item h="1" x="86"/>
        <item h="1" x="87"/>
        <item h="1" x="88"/>
        <item h="1" x="89"/>
        <item h="1" x="46"/>
        <item h="1" x="90"/>
        <item x="1"/>
        <item h="1" x="11"/>
        <item x="91"/>
        <item h="1" x="92"/>
        <item h="1" x="48"/>
        <item h="1" x="29"/>
        <item h="1" x="9"/>
        <item h="1" x="93"/>
        <item h="1" x="94"/>
        <item x="2"/>
        <item h="1" x="95"/>
        <item h="1" x="50"/>
        <item h="1" x="96"/>
        <item h="1" x="51"/>
        <item h="1" x="97"/>
        <item h="1" x="98"/>
        <item h="1" x="99"/>
        <item h="1" x="100"/>
        <item h="1" x="101"/>
        <item h="1" x="102"/>
        <item h="1" x="103"/>
        <item h="1" x="104"/>
        <item h="1" x="105"/>
        <item h="1" x="106"/>
        <item h="1" x="15"/>
        <item h="1" x="107"/>
        <item h="1" x="108"/>
        <item h="1" x="17"/>
        <item h="1" x="109"/>
        <item h="1" x="110"/>
        <item h="1" x="41"/>
        <item h="1" x="111"/>
        <item h="1" x="112"/>
        <item h="1" x="23"/>
        <item h="1" x="45"/>
        <item h="1" x="113"/>
        <item h="1" x="114"/>
        <item h="1" x="115"/>
        <item h="1" x="36"/>
        <item h="1" x="116"/>
        <item h="1" x="35"/>
        <item h="1" x="117"/>
        <item h="1" x="118"/>
        <item h="1" x="119"/>
        <item h="1" x="44"/>
        <item h="1" x="30"/>
        <item h="1" x="18"/>
        <item h="1" x="38"/>
        <item h="1" x="120"/>
        <item h="1" x="121"/>
        <item h="1" x="122"/>
        <item h="1" x="43"/>
        <item h="1" x="13"/>
        <item h="1" x="16"/>
        <item h="1" x="123"/>
        <item h="1" x="124"/>
        <item h="1" x="125"/>
        <item h="1" x="53"/>
        <item h="1" x="126"/>
        <item h="1" x="21"/>
        <item x="8"/>
        <item h="1" x="10"/>
        <item h="1" x="127"/>
        <item h="1" x="128"/>
        <item h="1" x="25"/>
        <item h="1" x="31"/>
        <item h="1" x="129"/>
        <item h="1" x="19"/>
        <item h="1" x="130"/>
        <item h="1" x="131"/>
        <item h="1" x="22"/>
        <item h="1" x="132"/>
        <item h="1" x="133"/>
        <item h="1" x="14"/>
        <item h="1" x="134"/>
        <item h="1" x="37"/>
        <item h="1" x="135"/>
        <item h="1" x="5"/>
        <item h="1" x="55"/>
        <item h="1" x="136"/>
        <item h="1" x="3"/>
        <item h="1" x="39"/>
        <item h="1" x="137"/>
        <item h="1" x="26"/>
        <item h="1" x="138"/>
        <item h="1" x="139"/>
        <item h="1" x="140"/>
        <item t="default"/>
      </items>
    </pivotField>
    <pivotField name="Continent" axis="axisPage" compact="0" numFmtId="3" outline="0" multipleItemSelectionAllowed="1" showAll="0">
      <items>
        <item x="0"/>
        <item h="1" x="1"/>
        <item h="1" x="2"/>
        <item h="1" x="3"/>
        <item h="1" x="4"/>
        <item h="1" x="5"/>
        <item t="default"/>
      </items>
    </pivotField>
    <pivotField name="200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05 Sales" fld="2" baseField="0"/>
    <dataField name="SUM of 2006 Sales" fld="3" baseField="0"/>
    <dataField name="SUM of 2007 Sales" fld="4" baseField="0"/>
    <dataField name="SUM of 2008 Sales" fld="5" baseField="0"/>
    <dataField name="SUM of 2009 Sales" fld="6" baseField="0"/>
    <dataField name="SUM of 2010 Sales" fld="7" baseField="0"/>
  </dataFields>
</pivotTableDefinition>
</file>

<file path=xl/pivotTables/pivotTable6.xml><?xml version="1.0" encoding="utf-8"?>
<pivotTableDefinition xmlns="http://schemas.openxmlformats.org/spreadsheetml/2006/main" name="Breakdown (Asia) 3" cacheId="0" dataCaption="" compact="0" compactData="0">
  <location ref="A53:G99" firstHeaderRow="0" firstDataRow="2" firstDataCol="0" rowPageCount="1" colPageCount="1"/>
  <pivotFields>
    <pivotField name="Country" axis="axisRow" compact="0" outline="0" multipleItemSelectionAllowed="1" showAll="0" sortType="ascending">
      <items>
        <item x="57"/>
        <item x="58"/>
        <item x="59"/>
        <item x="27"/>
        <item x="60"/>
        <item x="12"/>
        <item x="32"/>
        <item x="61"/>
        <item x="62"/>
        <item x="63"/>
        <item x="64"/>
        <item x="65"/>
        <item x="20"/>
        <item x="66"/>
        <item x="67"/>
        <item x="68"/>
        <item x="69"/>
        <item x="6"/>
        <item x="70"/>
        <item x="56"/>
        <item x="71"/>
        <item x="72"/>
        <item x="73"/>
        <item x="74"/>
        <item x="75"/>
        <item x="28"/>
        <item x="24"/>
        <item x="0"/>
        <item x="33"/>
        <item x="76"/>
        <item x="54"/>
        <item x="77"/>
        <item x="78"/>
        <item x="34"/>
        <item x="40"/>
        <item x="79"/>
        <item x="80"/>
        <item x="49"/>
        <item x="42"/>
        <item x="81"/>
        <item x="82"/>
        <item x="52"/>
        <item x="7"/>
        <item x="83"/>
        <item x="84"/>
        <item x="4"/>
        <item x="85"/>
        <item x="47"/>
        <item x="86"/>
        <item x="87"/>
        <item x="88"/>
        <item x="89"/>
        <item x="46"/>
        <item x="90"/>
        <item x="1"/>
        <item x="11"/>
        <item x="91"/>
        <item x="92"/>
        <item x="48"/>
        <item x="29"/>
        <item x="9"/>
        <item x="93"/>
        <item x="94"/>
        <item x="2"/>
        <item x="95"/>
        <item x="50"/>
        <item x="96"/>
        <item x="51"/>
        <item x="97"/>
        <item x="98"/>
        <item x="99"/>
        <item x="100"/>
        <item x="101"/>
        <item x="102"/>
        <item x="103"/>
        <item x="104"/>
        <item x="105"/>
        <item x="106"/>
        <item x="15"/>
        <item x="107"/>
        <item x="108"/>
        <item x="17"/>
        <item x="109"/>
        <item x="110"/>
        <item x="41"/>
        <item x="111"/>
        <item x="112"/>
        <item x="23"/>
        <item x="45"/>
        <item x="113"/>
        <item x="114"/>
        <item x="115"/>
        <item x="36"/>
        <item x="116"/>
        <item x="35"/>
        <item x="117"/>
        <item x="118"/>
        <item x="119"/>
        <item x="44"/>
        <item x="30"/>
        <item x="18"/>
        <item x="38"/>
        <item x="120"/>
        <item x="121"/>
        <item x="122"/>
        <item x="43"/>
        <item x="13"/>
        <item x="16"/>
        <item x="123"/>
        <item x="124"/>
        <item x="125"/>
        <item x="53"/>
        <item x="126"/>
        <item x="21"/>
        <item x="8"/>
        <item x="10"/>
        <item x="127"/>
        <item x="128"/>
        <item x="25"/>
        <item x="31"/>
        <item x="129"/>
        <item x="19"/>
        <item x="130"/>
        <item x="131"/>
        <item x="22"/>
        <item x="132"/>
        <item x="133"/>
        <item x="14"/>
        <item x="134"/>
        <item x="37"/>
        <item x="135"/>
        <item x="5"/>
        <item x="55"/>
        <item x="136"/>
        <item x="3"/>
        <item x="39"/>
        <item x="137"/>
        <item x="26"/>
        <item x="138"/>
        <item x="139"/>
        <item x="140"/>
        <item t="default"/>
      </items>
    </pivotField>
    <pivotField name="Continent" axis="axisPage" compact="0" numFmtId="3" outline="0" multipleItemSelectionAllowed="1" showAll="0">
      <items>
        <item x="0"/>
        <item h="1" x="1"/>
        <item h="1" x="2"/>
        <item h="1" x="3"/>
        <item h="1"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1 Sales" fld="8" baseField="0"/>
    <dataField name="SUM of 2012 Sales" fld="9" baseField="0"/>
    <dataField name="SUM of 2013 Sales" fld="10" baseField="0"/>
    <dataField name="SUM of 2014 Sales" fld="11" baseField="0"/>
    <dataField name="SUM of 2015 Sales" fld="12" baseField="0"/>
    <dataField name="SUM of 2016 Sales" fld="13" baseField="0"/>
  </dataFields>
</pivotTableDefinition>
</file>

<file path=xl/pivotTables/pivotTable7.xml><?xml version="1.0" encoding="utf-8"?>
<pivotTableDefinition xmlns="http://schemas.openxmlformats.org/spreadsheetml/2006/main" name="Breakdown (Asia) 4" cacheId="0" dataCaption="" compact="0" compactData="0">
  <location ref="K53:Q59" firstHeaderRow="0" firstDataRow="2" firstDataCol="0" rowPageCount="1" colPageCount="1"/>
  <pivotFields>
    <pivotField name="Country" axis="axisRow" compact="0" outline="0" multipleItemSelectionAllowed="1" showAll="0" sortType="ascending">
      <items>
        <item h="1" x="57"/>
        <item h="1" x="58"/>
        <item h="1" x="59"/>
        <item h="1" x="27"/>
        <item h="1" x="60"/>
        <item h="1" x="12"/>
        <item h="1" x="32"/>
        <item h="1" x="61"/>
        <item h="1" x="62"/>
        <item h="1" x="63"/>
        <item h="1" x="64"/>
        <item h="1" x="65"/>
        <item h="1" x="20"/>
        <item h="1" x="66"/>
        <item h="1" x="67"/>
        <item h="1" x="68"/>
        <item h="1" x="69"/>
        <item h="1" x="6"/>
        <item h="1" x="70"/>
        <item h="1" x="56"/>
        <item h="1" x="71"/>
        <item h="1" x="72"/>
        <item h="1" x="73"/>
        <item h="1" x="74"/>
        <item h="1" x="75"/>
        <item h="1" x="28"/>
        <item h="1" x="24"/>
        <item x="0"/>
        <item h="1" x="33"/>
        <item h="1" x="76"/>
        <item h="1" x="54"/>
        <item h="1" x="77"/>
        <item h="1" x="78"/>
        <item h="1" x="34"/>
        <item h="1" x="40"/>
        <item h="1" x="79"/>
        <item h="1" x="80"/>
        <item h="1" x="49"/>
        <item h="1" x="42"/>
        <item h="1" x="81"/>
        <item h="1" x="82"/>
        <item h="1" x="52"/>
        <item h="1" x="7"/>
        <item h="1" x="83"/>
        <item h="1" x="84"/>
        <item h="1" x="4"/>
        <item h="1" x="85"/>
        <item h="1" x="47"/>
        <item h="1" x="86"/>
        <item h="1" x="87"/>
        <item h="1" x="88"/>
        <item h="1" x="89"/>
        <item h="1" x="46"/>
        <item h="1" x="90"/>
        <item x="1"/>
        <item h="1" x="11"/>
        <item x="91"/>
        <item h="1" x="92"/>
        <item h="1" x="48"/>
        <item h="1" x="29"/>
        <item h="1" x="9"/>
        <item h="1" x="93"/>
        <item h="1" x="94"/>
        <item x="2"/>
        <item h="1" x="95"/>
        <item h="1" x="50"/>
        <item h="1" x="96"/>
        <item h="1" x="51"/>
        <item h="1" x="97"/>
        <item h="1" x="98"/>
        <item h="1" x="99"/>
        <item h="1" x="100"/>
        <item h="1" x="101"/>
        <item h="1" x="102"/>
        <item h="1" x="103"/>
        <item h="1" x="104"/>
        <item h="1" x="105"/>
        <item h="1" x="106"/>
        <item h="1" x="15"/>
        <item h="1" x="107"/>
        <item h="1" x="108"/>
        <item h="1" x="17"/>
        <item h="1" x="109"/>
        <item h="1" x="110"/>
        <item h="1" x="41"/>
        <item h="1" x="111"/>
        <item h="1" x="112"/>
        <item h="1" x="23"/>
        <item h="1" x="45"/>
        <item h="1" x="113"/>
        <item h="1" x="114"/>
        <item h="1" x="115"/>
        <item h="1" x="36"/>
        <item h="1" x="116"/>
        <item h="1" x="35"/>
        <item h="1" x="117"/>
        <item h="1" x="118"/>
        <item h="1" x="119"/>
        <item h="1" x="44"/>
        <item h="1" x="30"/>
        <item h="1" x="18"/>
        <item h="1" x="38"/>
        <item h="1" x="120"/>
        <item h="1" x="121"/>
        <item h="1" x="122"/>
        <item h="1" x="43"/>
        <item h="1" x="13"/>
        <item h="1" x="16"/>
        <item h="1" x="123"/>
        <item h="1" x="124"/>
        <item h="1" x="125"/>
        <item h="1" x="53"/>
        <item h="1" x="126"/>
        <item h="1" x="21"/>
        <item x="8"/>
        <item h="1" x="10"/>
        <item h="1" x="127"/>
        <item h="1" x="128"/>
        <item h="1" x="25"/>
        <item h="1" x="31"/>
        <item h="1" x="129"/>
        <item h="1" x="19"/>
        <item h="1" x="130"/>
        <item h="1" x="131"/>
        <item h="1" x="22"/>
        <item h="1" x="132"/>
        <item h="1" x="133"/>
        <item h="1" x="14"/>
        <item h="1" x="134"/>
        <item h="1" x="37"/>
        <item h="1" x="135"/>
        <item h="1" x="5"/>
        <item h="1" x="55"/>
        <item h="1" x="136"/>
        <item h="1" x="3"/>
        <item h="1" x="39"/>
        <item h="1" x="137"/>
        <item h="1" x="26"/>
        <item h="1" x="138"/>
        <item h="1" x="139"/>
        <item h="1" x="140"/>
        <item t="default"/>
      </items>
    </pivotField>
    <pivotField name="Continent" axis="axisPage" compact="0" numFmtId="3" outline="0" multipleItemSelectionAllowed="1" showAll="0">
      <items>
        <item x="0"/>
        <item h="1" x="1"/>
        <item h="1" x="2"/>
        <item h="1" x="3"/>
        <item h="1"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1 Sales" fld="8" baseField="0"/>
    <dataField name="SUM of 2012 Sales" fld="9" baseField="0"/>
    <dataField name="SUM of 2013 Sales" fld="10" baseField="0"/>
    <dataField name="SUM of 2014 Sales" fld="11" baseField="0"/>
    <dataField name="SUM of 2015 Sales" fld="12" baseField="0"/>
    <dataField name="SUM of 2016 Sales" fld="13" baseField="0"/>
  </dataFields>
</pivotTableDefinition>
</file>

<file path=xl/pivotTables/pivotTable8.xml><?xml version="1.0" encoding="utf-8"?>
<pivotTableDefinition xmlns="http://schemas.openxmlformats.org/spreadsheetml/2006/main" name="Breakdown (Asia) 5" cacheId="0" dataCaption="" compact="0" compactData="0">
  <location ref="A105:G151" firstHeaderRow="0" firstDataRow="2" firstDataCol="0" rowPageCount="1" colPageCount="1"/>
  <pivotFields>
    <pivotField name="Country" axis="axisRow" compact="0" outline="0" multipleItemSelectionAllowed="1" showAll="0" sortType="ascending">
      <items>
        <item x="57"/>
        <item x="58"/>
        <item x="59"/>
        <item x="27"/>
        <item x="60"/>
        <item x="12"/>
        <item x="32"/>
        <item x="61"/>
        <item x="62"/>
        <item x="63"/>
        <item x="64"/>
        <item x="65"/>
        <item x="20"/>
        <item x="66"/>
        <item x="67"/>
        <item x="68"/>
        <item x="69"/>
        <item x="6"/>
        <item x="70"/>
        <item x="56"/>
        <item x="71"/>
        <item x="72"/>
        <item x="73"/>
        <item x="74"/>
        <item x="75"/>
        <item x="28"/>
        <item x="24"/>
        <item x="0"/>
        <item x="33"/>
        <item x="76"/>
        <item x="54"/>
        <item x="77"/>
        <item x="78"/>
        <item x="34"/>
        <item x="40"/>
        <item x="79"/>
        <item x="80"/>
        <item x="49"/>
        <item x="42"/>
        <item x="81"/>
        <item x="82"/>
        <item x="52"/>
        <item x="7"/>
        <item x="83"/>
        <item x="84"/>
        <item x="4"/>
        <item x="85"/>
        <item x="47"/>
        <item x="86"/>
        <item x="87"/>
        <item x="88"/>
        <item x="89"/>
        <item x="46"/>
        <item x="90"/>
        <item x="1"/>
        <item x="11"/>
        <item x="91"/>
        <item x="92"/>
        <item x="48"/>
        <item x="29"/>
        <item x="9"/>
        <item x="93"/>
        <item x="94"/>
        <item x="2"/>
        <item x="95"/>
        <item x="50"/>
        <item x="96"/>
        <item x="51"/>
        <item x="97"/>
        <item x="98"/>
        <item x="99"/>
        <item x="100"/>
        <item x="101"/>
        <item x="102"/>
        <item x="103"/>
        <item x="104"/>
        <item x="105"/>
        <item x="106"/>
        <item x="15"/>
        <item x="107"/>
        <item x="108"/>
        <item x="17"/>
        <item x="109"/>
        <item x="110"/>
        <item x="41"/>
        <item x="111"/>
        <item x="112"/>
        <item x="23"/>
        <item x="45"/>
        <item x="113"/>
        <item x="114"/>
        <item x="115"/>
        <item x="36"/>
        <item x="116"/>
        <item x="35"/>
        <item x="117"/>
        <item x="118"/>
        <item x="119"/>
        <item x="44"/>
        <item x="30"/>
        <item x="18"/>
        <item x="38"/>
        <item x="120"/>
        <item x="121"/>
        <item x="122"/>
        <item x="43"/>
        <item x="13"/>
        <item x="16"/>
        <item x="123"/>
        <item x="124"/>
        <item x="125"/>
        <item x="53"/>
        <item x="126"/>
        <item x="21"/>
        <item x="8"/>
        <item x="10"/>
        <item x="127"/>
        <item x="128"/>
        <item x="25"/>
        <item x="31"/>
        <item x="129"/>
        <item x="19"/>
        <item x="130"/>
        <item x="131"/>
        <item x="22"/>
        <item x="132"/>
        <item x="133"/>
        <item x="14"/>
        <item x="134"/>
        <item x="37"/>
        <item x="135"/>
        <item x="5"/>
        <item x="55"/>
        <item x="136"/>
        <item x="3"/>
        <item x="39"/>
        <item x="137"/>
        <item x="26"/>
        <item x="138"/>
        <item x="139"/>
        <item x="140"/>
        <item t="default"/>
      </items>
    </pivotField>
    <pivotField name="Continent" axis="axisPage" compact="0" numFmtId="3" outline="0" multipleItemSelectionAllowed="1" showAll="0">
      <items>
        <item x="0"/>
        <item h="1" x="1"/>
        <item h="1" x="2"/>
        <item h="1" x="3"/>
        <item h="1"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7 Sales" fld="14" baseField="0"/>
    <dataField name="SUM of 2018 Sales" fld="15" baseField="0"/>
    <dataField name="SUM of 2019 Sales" fld="16" baseField="0"/>
    <dataField name="SUM of 2020 Sales" fld="17" baseField="0"/>
    <dataField name="SUM of 2021 Sales" fld="18" baseField="0"/>
    <dataField name="SUM of 2022 Sales" fld="19" baseField="0"/>
  </dataFields>
</pivotTableDefinition>
</file>

<file path=xl/pivotTables/pivotTable9.xml><?xml version="1.0" encoding="utf-8"?>
<pivotTableDefinition xmlns="http://schemas.openxmlformats.org/spreadsheetml/2006/main" name="Breakdown (Asia) 6" cacheId="0" dataCaption="" compact="0" compactData="0">
  <location ref="K105:Q111" firstHeaderRow="0" firstDataRow="2" firstDataCol="0" rowPageCount="1" colPageCount="1"/>
  <pivotFields>
    <pivotField name="Country" axis="axisRow" compact="0" outline="0" multipleItemSelectionAllowed="1" showAll="0" sortType="ascending">
      <items>
        <item h="1" x="57"/>
        <item h="1" x="58"/>
        <item h="1" x="59"/>
        <item h="1" x="27"/>
        <item h="1" x="60"/>
        <item h="1" x="12"/>
        <item h="1" x="32"/>
        <item h="1" x="61"/>
        <item h="1" x="62"/>
        <item h="1" x="63"/>
        <item h="1" x="64"/>
        <item h="1" x="65"/>
        <item h="1" x="20"/>
        <item h="1" x="66"/>
        <item h="1" x="67"/>
        <item h="1" x="68"/>
        <item h="1" x="69"/>
        <item h="1" x="6"/>
        <item h="1" x="70"/>
        <item h="1" x="56"/>
        <item h="1" x="71"/>
        <item h="1" x="72"/>
        <item h="1" x="73"/>
        <item h="1" x="74"/>
        <item h="1" x="75"/>
        <item h="1" x="28"/>
        <item h="1" x="24"/>
        <item x="0"/>
        <item h="1" x="33"/>
        <item h="1" x="76"/>
        <item h="1" x="54"/>
        <item h="1" x="77"/>
        <item h="1" x="78"/>
        <item h="1" x="34"/>
        <item h="1" x="40"/>
        <item h="1" x="79"/>
        <item h="1" x="80"/>
        <item h="1" x="49"/>
        <item h="1" x="42"/>
        <item h="1" x="81"/>
        <item h="1" x="82"/>
        <item h="1" x="52"/>
        <item h="1" x="7"/>
        <item h="1" x="83"/>
        <item h="1" x="84"/>
        <item h="1" x="4"/>
        <item h="1" x="85"/>
        <item h="1" x="47"/>
        <item h="1" x="86"/>
        <item h="1" x="87"/>
        <item h="1" x="88"/>
        <item h="1" x="89"/>
        <item h="1" x="46"/>
        <item h="1" x="90"/>
        <item x="1"/>
        <item x="11"/>
        <item h="1" x="91"/>
        <item h="1" x="92"/>
        <item h="1" x="48"/>
        <item h="1" x="29"/>
        <item h="1" x="9"/>
        <item h="1" x="93"/>
        <item h="1" x="94"/>
        <item x="2"/>
        <item h="1" x="95"/>
        <item h="1" x="50"/>
        <item h="1" x="96"/>
        <item h="1" x="51"/>
        <item h="1" x="97"/>
        <item h="1" x="98"/>
        <item h="1" x="99"/>
        <item h="1" x="100"/>
        <item h="1" x="101"/>
        <item h="1" x="102"/>
        <item h="1" x="103"/>
        <item h="1" x="104"/>
        <item h="1" x="105"/>
        <item h="1" x="106"/>
        <item h="1" x="15"/>
        <item h="1" x="107"/>
        <item h="1" x="108"/>
        <item h="1" x="17"/>
        <item h="1" x="109"/>
        <item h="1" x="110"/>
        <item h="1" x="41"/>
        <item h="1" x="111"/>
        <item h="1" x="112"/>
        <item h="1" x="23"/>
        <item h="1" x="45"/>
        <item h="1" x="113"/>
        <item h="1" x="114"/>
        <item h="1" x="115"/>
        <item h="1" x="36"/>
        <item h="1" x="116"/>
        <item h="1" x="35"/>
        <item h="1" x="117"/>
        <item h="1" x="118"/>
        <item h="1" x="119"/>
        <item h="1" x="44"/>
        <item h="1" x="30"/>
        <item h="1" x="18"/>
        <item h="1" x="38"/>
        <item h="1" x="120"/>
        <item h="1" x="121"/>
        <item h="1" x="122"/>
        <item h="1" x="43"/>
        <item h="1" x="13"/>
        <item h="1" x="16"/>
        <item h="1" x="123"/>
        <item h="1" x="124"/>
        <item h="1" x="125"/>
        <item h="1" x="53"/>
        <item h="1" x="126"/>
        <item h="1" x="21"/>
        <item x="8"/>
        <item h="1" x="10"/>
        <item h="1" x="127"/>
        <item h="1" x="128"/>
        <item h="1" x="25"/>
        <item h="1" x="31"/>
        <item h="1" x="129"/>
        <item h="1" x="19"/>
        <item h="1" x="130"/>
        <item h="1" x="131"/>
        <item h="1" x="22"/>
        <item h="1" x="132"/>
        <item h="1" x="133"/>
        <item h="1" x="14"/>
        <item h="1" x="134"/>
        <item h="1" x="37"/>
        <item h="1" x="135"/>
        <item h="1" x="5"/>
        <item h="1" x="55"/>
        <item h="1" x="136"/>
        <item h="1" x="3"/>
        <item h="1" x="39"/>
        <item h="1" x="137"/>
        <item h="1" x="26"/>
        <item h="1" x="138"/>
        <item h="1" x="139"/>
        <item h="1" x="140"/>
        <item t="default"/>
      </items>
    </pivotField>
    <pivotField name="Continent" axis="axisPage" compact="0" numFmtId="3" outline="0" multipleItemSelectionAllowed="1" showAll="0">
      <items>
        <item x="0"/>
        <item h="1" x="1"/>
        <item h="1" x="2"/>
        <item h="1" x="3"/>
        <item h="1"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7 Sales" fld="14" baseField="0"/>
    <dataField name="SUM of 2018 Sales" fld="15" baseField="0"/>
    <dataField name="SUM of 2019 Sales" fld="16" baseField="0"/>
    <dataField name="SUM of 2020 Sales" fld="17" baseField="0"/>
    <dataField name="SUM of 2021 Sales" fld="18" baseField="0"/>
    <dataField name="SUM of 2022 Sales" fld="19" baseField="0"/>
  </dataFields>
</pivotTableDefinition>
</file>

<file path=xl/pivotTables/pivotTable10.xml><?xml version="1.0" encoding="utf-8"?>
<pivotTableDefinition xmlns="http://schemas.openxmlformats.org/spreadsheetml/2006/main" name="Breakdown (Africa)" cacheId="0" dataCaption="" compact="0" compactData="0">
  <location ref="A3:G32" firstHeaderRow="0" firstDataRow="2" firstDataCol="0" rowPageCount="1" colPageCount="1"/>
  <pivotFields>
    <pivotField name="Country" axis="axisRow" compact="0" outline="0" multipleItemSelectionAllowed="1" showAll="0" sortType="ascending">
      <items>
        <item x="57"/>
        <item x="58"/>
        <item x="59"/>
        <item x="27"/>
        <item x="60"/>
        <item x="12"/>
        <item x="32"/>
        <item x="61"/>
        <item x="62"/>
        <item x="63"/>
        <item x="64"/>
        <item x="65"/>
        <item x="20"/>
        <item x="66"/>
        <item x="67"/>
        <item x="68"/>
        <item x="69"/>
        <item x="6"/>
        <item x="70"/>
        <item x="56"/>
        <item x="71"/>
        <item x="72"/>
        <item x="73"/>
        <item x="74"/>
        <item x="75"/>
        <item x="28"/>
        <item x="24"/>
        <item x="0"/>
        <item x="33"/>
        <item x="76"/>
        <item x="54"/>
        <item x="77"/>
        <item x="78"/>
        <item x="34"/>
        <item x="40"/>
        <item x="79"/>
        <item x="80"/>
        <item x="49"/>
        <item x="42"/>
        <item x="81"/>
        <item x="82"/>
        <item x="52"/>
        <item x="7"/>
        <item x="83"/>
        <item x="84"/>
        <item x="4"/>
        <item x="85"/>
        <item x="47"/>
        <item x="86"/>
        <item x="87"/>
        <item x="88"/>
        <item x="89"/>
        <item x="46"/>
        <item x="90"/>
        <item x="1"/>
        <item x="11"/>
        <item x="91"/>
        <item x="92"/>
        <item x="48"/>
        <item x="29"/>
        <item x="9"/>
        <item x="93"/>
        <item x="94"/>
        <item x="2"/>
        <item x="95"/>
        <item x="50"/>
        <item x="96"/>
        <item x="51"/>
        <item x="97"/>
        <item x="98"/>
        <item x="99"/>
        <item x="100"/>
        <item x="101"/>
        <item x="102"/>
        <item x="103"/>
        <item x="104"/>
        <item x="105"/>
        <item x="106"/>
        <item x="15"/>
        <item x="107"/>
        <item x="108"/>
        <item x="17"/>
        <item x="109"/>
        <item x="110"/>
        <item x="41"/>
        <item x="111"/>
        <item x="112"/>
        <item x="23"/>
        <item x="45"/>
        <item x="113"/>
        <item x="114"/>
        <item x="115"/>
        <item x="36"/>
        <item x="116"/>
        <item x="35"/>
        <item x="117"/>
        <item x="118"/>
        <item x="119"/>
        <item x="44"/>
        <item x="30"/>
        <item x="18"/>
        <item x="38"/>
        <item x="120"/>
        <item x="121"/>
        <item x="122"/>
        <item x="43"/>
        <item x="13"/>
        <item x="16"/>
        <item x="123"/>
        <item x="124"/>
        <item x="125"/>
        <item x="53"/>
        <item x="126"/>
        <item x="21"/>
        <item x="8"/>
        <item x="10"/>
        <item x="127"/>
        <item x="128"/>
        <item x="25"/>
        <item x="31"/>
        <item x="129"/>
        <item x="19"/>
        <item x="130"/>
        <item x="131"/>
        <item x="22"/>
        <item x="132"/>
        <item x="133"/>
        <item x="14"/>
        <item x="134"/>
        <item x="37"/>
        <item x="135"/>
        <item x="5"/>
        <item x="55"/>
        <item x="136"/>
        <item x="3"/>
        <item x="39"/>
        <item x="137"/>
        <item x="26"/>
        <item x="138"/>
        <item x="139"/>
        <item x="140"/>
        <item t="default"/>
      </items>
    </pivotField>
    <pivotField name="Continent" axis="axisPage" compact="0" numFmtId="3" outline="0" multipleItemSelectionAllowed="1" showAll="0">
      <items>
        <item h="1" x="0"/>
        <item h="1" x="1"/>
        <item h="1" x="2"/>
        <item h="1" x="3"/>
        <item h="1" x="4"/>
        <item x="5"/>
        <item t="default"/>
      </items>
    </pivotField>
    <pivotField name="200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05 Sales" fld="2" baseField="0"/>
    <dataField name="SUM of 2006 Sales" fld="3" baseField="0"/>
    <dataField name="SUM of 2007 Sales" fld="4" baseField="0"/>
    <dataField name="SUM of 2008 Sales" fld="5" baseField="0"/>
    <dataField name="SUM of 2009 Sales" fld="6" baseField="0"/>
    <dataField name="SUM of 2010 Sales" fld="7" baseField="0"/>
  </dataFields>
</pivotTableDefinition>
</file>

<file path=xl/pivotTables/pivotTable11.xml><?xml version="1.0" encoding="utf-8"?>
<pivotTableDefinition xmlns="http://schemas.openxmlformats.org/spreadsheetml/2006/main" name="Breakdown (Africa) 2" cacheId="0" dataCaption="" compact="0" compactData="0">
  <location ref="K3:Q9" firstHeaderRow="0" firstDataRow="2" firstDataCol="0" rowPageCount="1" colPageCount="1"/>
  <pivotFields>
    <pivotField name="Country" axis="axisRow" compact="0" outline="0" multipleItemSelectionAllowed="1" showAll="0" sortType="ascending">
      <items>
        <item h="1" x="57"/>
        <item x="58"/>
        <item h="1" x="59"/>
        <item h="1" x="27"/>
        <item h="1" x="60"/>
        <item h="1" x="12"/>
        <item h="1" x="32"/>
        <item h="1" x="61"/>
        <item h="1" x="62"/>
        <item h="1" x="63"/>
        <item h="1" x="64"/>
        <item h="1" x="65"/>
        <item h="1" x="20"/>
        <item h="1" x="66"/>
        <item h="1" x="67"/>
        <item h="1" x="68"/>
        <item h="1" x="69"/>
        <item h="1" x="6"/>
        <item h="1" x="70"/>
        <item h="1" x="56"/>
        <item h="1" x="71"/>
        <item h="1" x="72"/>
        <item h="1" x="73"/>
        <item h="1" x="74"/>
        <item h="1" x="75"/>
        <item h="1" x="28"/>
        <item h="1" x="24"/>
        <item h="1" x="0"/>
        <item h="1" x="33"/>
        <item h="1" x="76"/>
        <item h="1" x="54"/>
        <item h="1" x="77"/>
        <item h="1" x="78"/>
        <item h="1" x="34"/>
        <item h="1" x="40"/>
        <item h="1" x="79"/>
        <item h="1" x="80"/>
        <item h="1" x="49"/>
        <item x="42"/>
        <item h="1" x="81"/>
        <item h="1" x="82"/>
        <item h="1" x="52"/>
        <item h="1" x="7"/>
        <item h="1" x="83"/>
        <item h="1" x="84"/>
        <item h="1" x="4"/>
        <item h="1" x="85"/>
        <item h="1" x="47"/>
        <item h="1" x="86"/>
        <item h="1" x="87"/>
        <item h="1" x="88"/>
        <item h="1" x="89"/>
        <item h="1" x="46"/>
        <item h="1" x="90"/>
        <item h="1" x="1"/>
        <item h="1" x="11"/>
        <item h="1" x="91"/>
        <item h="1" x="92"/>
        <item h="1" x="48"/>
        <item h="1" x="29"/>
        <item h="1" x="9"/>
        <item h="1" x="93"/>
        <item h="1" x="94"/>
        <item h="1" x="2"/>
        <item h="1" x="95"/>
        <item h="1" x="50"/>
        <item h="1" x="96"/>
        <item h="1" x="51"/>
        <item h="1" x="97"/>
        <item h="1" x="98"/>
        <item h="1" x="99"/>
        <item h="1" x="100"/>
        <item h="1" x="101"/>
        <item x="102"/>
        <item h="1" x="103"/>
        <item h="1" x="104"/>
        <item h="1" x="105"/>
        <item h="1" x="106"/>
        <item h="1" x="15"/>
        <item h="1" x="107"/>
        <item h="1" x="108"/>
        <item h="1" x="17"/>
        <item h="1" x="109"/>
        <item h="1" x="110"/>
        <item x="41"/>
        <item h="1" x="111"/>
        <item h="1" x="112"/>
        <item h="1" x="23"/>
        <item h="1" x="45"/>
        <item h="1" x="113"/>
        <item h="1" x="114"/>
        <item h="1" x="115"/>
        <item h="1" x="36"/>
        <item h="1" x="116"/>
        <item h="1" x="35"/>
        <item h="1" x="117"/>
        <item h="1" x="118"/>
        <item h="1" x="119"/>
        <item h="1" x="44"/>
        <item h="1" x="30"/>
        <item h="1" x="18"/>
        <item h="1" x="38"/>
        <item h="1" x="120"/>
        <item h="1" x="121"/>
        <item h="1" x="122"/>
        <item h="1" x="43"/>
        <item h="1" x="13"/>
        <item h="1" x="16"/>
        <item h="1" x="123"/>
        <item h="1" x="124"/>
        <item h="1" x="125"/>
        <item h="1" x="53"/>
        <item h="1" x="126"/>
        <item x="21"/>
        <item h="1" x="8"/>
        <item h="1" x="10"/>
        <item h="1" x="127"/>
        <item h="1" x="128"/>
        <item h="1" x="25"/>
        <item h="1" x="31"/>
        <item h="1" x="129"/>
        <item h="1" x="19"/>
        <item h="1" x="130"/>
        <item h="1" x="131"/>
        <item h="1" x="22"/>
        <item h="1" x="132"/>
        <item h="1" x="133"/>
        <item h="1" x="14"/>
        <item h="1" x="134"/>
        <item h="1" x="37"/>
        <item h="1" x="135"/>
        <item h="1" x="5"/>
        <item h="1" x="55"/>
        <item h="1" x="136"/>
        <item h="1" x="3"/>
        <item h="1" x="39"/>
        <item h="1" x="137"/>
        <item h="1" x="26"/>
        <item h="1" x="138"/>
        <item h="1" x="139"/>
        <item h="1" x="140"/>
        <item t="default"/>
      </items>
    </pivotField>
    <pivotField name="Continent" axis="axisPage" compact="0" numFmtId="3" outline="0" multipleItemSelectionAllowed="1" showAll="0">
      <items>
        <item h="1" x="0"/>
        <item h="1" x="1"/>
        <item h="1" x="2"/>
        <item h="1" x="3"/>
        <item h="1" x="4"/>
        <item x="5"/>
        <item t="default"/>
      </items>
    </pivotField>
    <pivotField name="200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05 Sales" fld="2" baseField="0"/>
    <dataField name="SUM of 2006 Sales" fld="3" baseField="0"/>
    <dataField name="SUM of 2007 Sales" fld="4" baseField="0"/>
    <dataField name="SUM of 2008 Sales" fld="5" baseField="0"/>
    <dataField name="SUM of 2009 Sales" fld="6" baseField="0"/>
    <dataField name="SUM of 2010 Sales" fld="7" baseField="0"/>
  </dataFields>
</pivotTableDefinition>
</file>

<file path=xl/pivotTables/pivotTable12.xml><?xml version="1.0" encoding="utf-8"?>
<pivotTableDefinition xmlns="http://schemas.openxmlformats.org/spreadsheetml/2006/main" name="Breakdown (Africa) 3" cacheId="0" dataCaption="" compact="0" compactData="0">
  <location ref="A36:G65" firstHeaderRow="0" firstDataRow="2" firstDataCol="0" rowPageCount="1" colPageCount="1"/>
  <pivotFields>
    <pivotField name="Country" axis="axisRow" compact="0" outline="0" multipleItemSelectionAllowed="1" showAll="0" sortType="ascending">
      <items>
        <item x="57"/>
        <item x="58"/>
        <item x="59"/>
        <item x="27"/>
        <item x="60"/>
        <item x="12"/>
        <item x="32"/>
        <item x="61"/>
        <item x="62"/>
        <item x="63"/>
        <item x="64"/>
        <item x="65"/>
        <item x="20"/>
        <item x="66"/>
        <item x="67"/>
        <item x="68"/>
        <item x="69"/>
        <item x="6"/>
        <item x="70"/>
        <item x="56"/>
        <item x="71"/>
        <item x="72"/>
        <item x="73"/>
        <item x="74"/>
        <item x="75"/>
        <item x="28"/>
        <item x="24"/>
        <item x="0"/>
        <item x="33"/>
        <item x="76"/>
        <item x="54"/>
        <item x="77"/>
        <item x="78"/>
        <item x="34"/>
        <item x="40"/>
        <item x="79"/>
        <item x="80"/>
        <item x="49"/>
        <item x="42"/>
        <item x="81"/>
        <item x="82"/>
        <item x="52"/>
        <item x="7"/>
        <item x="83"/>
        <item x="84"/>
        <item x="4"/>
        <item x="85"/>
        <item x="47"/>
        <item x="86"/>
        <item x="87"/>
        <item x="88"/>
        <item x="89"/>
        <item x="46"/>
        <item x="90"/>
        <item x="1"/>
        <item x="11"/>
        <item x="91"/>
        <item x="92"/>
        <item x="48"/>
        <item x="29"/>
        <item x="9"/>
        <item x="93"/>
        <item x="94"/>
        <item x="2"/>
        <item x="95"/>
        <item x="50"/>
        <item x="96"/>
        <item x="51"/>
        <item x="97"/>
        <item x="98"/>
        <item x="99"/>
        <item x="100"/>
        <item x="101"/>
        <item x="102"/>
        <item x="103"/>
        <item x="104"/>
        <item x="105"/>
        <item x="106"/>
        <item x="15"/>
        <item x="107"/>
        <item x="108"/>
        <item x="17"/>
        <item x="109"/>
        <item x="110"/>
        <item x="41"/>
        <item x="111"/>
        <item x="112"/>
        <item x="23"/>
        <item x="45"/>
        <item x="113"/>
        <item x="114"/>
        <item x="115"/>
        <item x="36"/>
        <item x="116"/>
        <item x="35"/>
        <item x="117"/>
        <item x="118"/>
        <item x="119"/>
        <item x="44"/>
        <item x="30"/>
        <item x="18"/>
        <item x="38"/>
        <item x="120"/>
        <item x="121"/>
        <item x="122"/>
        <item x="43"/>
        <item x="13"/>
        <item x="16"/>
        <item x="123"/>
        <item x="124"/>
        <item x="125"/>
        <item x="53"/>
        <item x="126"/>
        <item x="21"/>
        <item x="8"/>
        <item x="10"/>
        <item x="127"/>
        <item x="128"/>
        <item x="25"/>
        <item x="31"/>
        <item x="129"/>
        <item x="19"/>
        <item x="130"/>
        <item x="131"/>
        <item x="22"/>
        <item x="132"/>
        <item x="133"/>
        <item x="14"/>
        <item x="134"/>
        <item x="37"/>
        <item x="135"/>
        <item x="5"/>
        <item x="55"/>
        <item x="136"/>
        <item x="3"/>
        <item x="39"/>
        <item x="137"/>
        <item x="26"/>
        <item x="138"/>
        <item x="139"/>
        <item x="140"/>
        <item t="default"/>
      </items>
    </pivotField>
    <pivotField name="Continent" axis="axisPage" compact="0" numFmtId="3" outline="0" multipleItemSelectionAllowed="1" showAll="0">
      <items>
        <item h="1" x="0"/>
        <item h="1" x="1"/>
        <item h="1" x="2"/>
        <item h="1" x="3"/>
        <item h="1" x="4"/>
        <item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1 Sales" fld="8" baseField="0"/>
    <dataField name="SUM of 2012 Sales" fld="9" baseField="0"/>
    <dataField name="SUM of 2013 Sales" fld="10" baseField="0"/>
    <dataField name="SUM of 2014 Sales" fld="11" baseField="0"/>
    <dataField name="SUM of 2015 Sales" fld="12" baseField="0"/>
    <dataField name="SUM of 2016 Sales" fld="13" baseField="0"/>
  </dataFields>
</pivotTableDefinition>
</file>

<file path=xl/pivotTables/pivotTable13.xml><?xml version="1.0" encoding="utf-8"?>
<pivotTableDefinition xmlns="http://schemas.openxmlformats.org/spreadsheetml/2006/main" name="Breakdown (Africa) 4" cacheId="0" dataCaption="" compact="0" compactData="0">
  <location ref="K36:Q42" firstHeaderRow="0" firstDataRow="2" firstDataCol="0" rowPageCount="1" colPageCount="1"/>
  <pivotFields>
    <pivotField name="Country" axis="axisRow" compact="0" outline="0" multipleItemSelectionAllowed="1" showAll="0" sortType="ascending">
      <items>
        <item h="1" x="57"/>
        <item x="58"/>
        <item h="1" x="59"/>
        <item h="1" x="27"/>
        <item h="1" x="60"/>
        <item h="1" x="12"/>
        <item h="1" x="32"/>
        <item h="1" x="61"/>
        <item h="1" x="62"/>
        <item h="1" x="63"/>
        <item h="1" x="64"/>
        <item h="1" x="65"/>
        <item h="1" x="20"/>
        <item h="1" x="66"/>
        <item h="1" x="67"/>
        <item h="1" x="68"/>
        <item h="1" x="69"/>
        <item h="1" x="6"/>
        <item h="1" x="70"/>
        <item h="1" x="56"/>
        <item h="1" x="71"/>
        <item h="1" x="72"/>
        <item h="1" x="73"/>
        <item h="1" x="74"/>
        <item h="1" x="75"/>
        <item h="1" x="28"/>
        <item h="1" x="24"/>
        <item h="1" x="0"/>
        <item h="1" x="33"/>
        <item h="1" x="76"/>
        <item h="1" x="54"/>
        <item h="1" x="77"/>
        <item h="1" x="78"/>
        <item h="1" x="34"/>
        <item h="1" x="40"/>
        <item h="1" x="79"/>
        <item h="1" x="80"/>
        <item h="1" x="49"/>
        <item x="42"/>
        <item h="1" x="81"/>
        <item h="1" x="82"/>
        <item h="1" x="52"/>
        <item h="1" x="7"/>
        <item h="1" x="83"/>
        <item h="1" x="84"/>
        <item h="1" x="4"/>
        <item h="1" x="85"/>
        <item h="1" x="47"/>
        <item h="1" x="86"/>
        <item h="1" x="87"/>
        <item h="1" x="88"/>
        <item h="1" x="89"/>
        <item h="1" x="46"/>
        <item h="1" x="90"/>
        <item h="1" x="1"/>
        <item h="1" x="11"/>
        <item h="1" x="91"/>
        <item h="1" x="92"/>
        <item h="1" x="48"/>
        <item h="1" x="29"/>
        <item h="1" x="9"/>
        <item h="1" x="93"/>
        <item h="1" x="94"/>
        <item h="1" x="2"/>
        <item h="1" x="95"/>
        <item h="1" x="50"/>
        <item h="1" x="96"/>
        <item h="1" x="51"/>
        <item h="1" x="97"/>
        <item h="1" x="98"/>
        <item h="1" x="99"/>
        <item h="1" x="100"/>
        <item h="1" x="101"/>
        <item h="1" x="102"/>
        <item h="1" x="103"/>
        <item h="1" x="104"/>
        <item h="1" x="105"/>
        <item h="1" x="106"/>
        <item h="1" x="15"/>
        <item h="1" x="107"/>
        <item h="1" x="108"/>
        <item h="1" x="17"/>
        <item h="1" x="109"/>
        <item h="1" x="110"/>
        <item x="41"/>
        <item h="1" x="111"/>
        <item h="1" x="112"/>
        <item h="1" x="23"/>
        <item h="1" x="45"/>
        <item h="1" x="113"/>
        <item h="1" x="114"/>
        <item h="1" x="115"/>
        <item h="1" x="36"/>
        <item h="1" x="116"/>
        <item h="1" x="35"/>
        <item h="1" x="117"/>
        <item h="1" x="118"/>
        <item h="1" x="119"/>
        <item h="1" x="44"/>
        <item h="1" x="30"/>
        <item h="1" x="18"/>
        <item h="1" x="38"/>
        <item h="1" x="120"/>
        <item h="1" x="121"/>
        <item h="1" x="122"/>
        <item h="1" x="43"/>
        <item h="1" x="13"/>
        <item h="1" x="16"/>
        <item h="1" x="123"/>
        <item h="1" x="124"/>
        <item h="1" x="125"/>
        <item h="1" x="53"/>
        <item h="1" x="126"/>
        <item x="21"/>
        <item h="1" x="8"/>
        <item h="1" x="10"/>
        <item h="1" x="127"/>
        <item h="1" x="128"/>
        <item h="1" x="25"/>
        <item h="1" x="31"/>
        <item h="1" x="129"/>
        <item h="1" x="19"/>
        <item h="1" x="130"/>
        <item h="1" x="131"/>
        <item h="1" x="22"/>
        <item h="1" x="132"/>
        <item x="133"/>
        <item h="1" x="14"/>
        <item h="1" x="134"/>
        <item h="1" x="37"/>
        <item h="1" x="135"/>
        <item h="1" x="5"/>
        <item h="1" x="55"/>
        <item h="1" x="136"/>
        <item h="1" x="3"/>
        <item h="1" x="39"/>
        <item h="1" x="137"/>
        <item h="1" x="26"/>
        <item h="1" x="138"/>
        <item h="1" x="139"/>
        <item h="1" x="140"/>
        <item t="default"/>
      </items>
    </pivotField>
    <pivotField name="Continent" axis="axisPage" compact="0" numFmtId="3" outline="0" multipleItemSelectionAllowed="1" showAll="0">
      <items>
        <item h="1" x="0"/>
        <item h="1" x="1"/>
        <item h="1" x="2"/>
        <item h="1" x="3"/>
        <item h="1" x="4"/>
        <item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1 Sales" fld="8" baseField="0"/>
    <dataField name="SUM of 2012 Sales" fld="9" baseField="0"/>
    <dataField name="SUM of 2013 Sales" fld="10" baseField="0"/>
    <dataField name="SUM of 2014 Sales" fld="11" baseField="0"/>
    <dataField name="SUM of 2015 Sales" fld="12" baseField="0"/>
    <dataField name="SUM of 2016 Sales" fld="13" baseField="0"/>
  </dataFields>
</pivotTableDefinition>
</file>

<file path=xl/pivotTables/pivotTable14.xml><?xml version="1.0" encoding="utf-8"?>
<pivotTableDefinition xmlns="http://schemas.openxmlformats.org/spreadsheetml/2006/main" name="Breakdown (Africa) 5" cacheId="0" dataCaption="" compact="0" compactData="0">
  <location ref="A71:G100" firstHeaderRow="0" firstDataRow="2" firstDataCol="0" rowPageCount="1" colPageCount="1"/>
  <pivotFields>
    <pivotField name="Country" axis="axisRow" compact="0" outline="0" multipleItemSelectionAllowed="1" showAll="0" sortType="ascending">
      <items>
        <item x="57"/>
        <item x="58"/>
        <item x="59"/>
        <item x="27"/>
        <item x="60"/>
        <item x="12"/>
        <item x="32"/>
        <item x="61"/>
        <item x="62"/>
        <item x="63"/>
        <item x="64"/>
        <item x="65"/>
        <item x="20"/>
        <item x="66"/>
        <item x="67"/>
        <item x="68"/>
        <item x="69"/>
        <item x="6"/>
        <item x="70"/>
        <item x="56"/>
        <item x="71"/>
        <item x="72"/>
        <item x="73"/>
        <item x="74"/>
        <item x="75"/>
        <item x="28"/>
        <item x="24"/>
        <item x="0"/>
        <item x="33"/>
        <item x="76"/>
        <item x="54"/>
        <item x="77"/>
        <item x="78"/>
        <item x="34"/>
        <item x="40"/>
        <item x="79"/>
        <item x="80"/>
        <item x="49"/>
        <item x="42"/>
        <item x="81"/>
        <item x="82"/>
        <item x="52"/>
        <item x="7"/>
        <item x="83"/>
        <item x="84"/>
        <item x="4"/>
        <item x="85"/>
        <item x="47"/>
        <item x="86"/>
        <item x="87"/>
        <item x="88"/>
        <item x="89"/>
        <item x="46"/>
        <item x="90"/>
        <item x="1"/>
        <item x="11"/>
        <item x="91"/>
        <item x="92"/>
        <item x="48"/>
        <item x="29"/>
        <item x="9"/>
        <item x="93"/>
        <item x="94"/>
        <item x="2"/>
        <item x="95"/>
        <item x="50"/>
        <item x="96"/>
        <item x="51"/>
        <item x="97"/>
        <item x="98"/>
        <item x="99"/>
        <item x="100"/>
        <item x="101"/>
        <item x="102"/>
        <item x="103"/>
        <item x="104"/>
        <item x="105"/>
        <item x="106"/>
        <item x="15"/>
        <item x="107"/>
        <item x="108"/>
        <item x="17"/>
        <item x="109"/>
        <item x="110"/>
        <item x="41"/>
        <item x="111"/>
        <item x="112"/>
        <item x="23"/>
        <item x="45"/>
        <item x="113"/>
        <item x="114"/>
        <item x="115"/>
        <item x="36"/>
        <item x="116"/>
        <item x="35"/>
        <item x="117"/>
        <item x="118"/>
        <item x="119"/>
        <item x="44"/>
        <item x="30"/>
        <item x="18"/>
        <item x="38"/>
        <item x="120"/>
        <item x="121"/>
        <item x="122"/>
        <item x="43"/>
        <item x="13"/>
        <item x="16"/>
        <item x="123"/>
        <item x="124"/>
        <item x="125"/>
        <item x="53"/>
        <item x="126"/>
        <item x="21"/>
        <item x="8"/>
        <item x="10"/>
        <item x="127"/>
        <item x="128"/>
        <item x="25"/>
        <item x="31"/>
        <item x="129"/>
        <item x="19"/>
        <item x="130"/>
        <item x="131"/>
        <item x="22"/>
        <item x="132"/>
        <item x="133"/>
        <item x="14"/>
        <item x="134"/>
        <item x="37"/>
        <item x="135"/>
        <item x="5"/>
        <item x="55"/>
        <item x="136"/>
        <item x="3"/>
        <item x="39"/>
        <item x="137"/>
        <item x="26"/>
        <item x="138"/>
        <item x="139"/>
        <item x="140"/>
        <item t="default"/>
      </items>
    </pivotField>
    <pivotField name="Continent" axis="axisPage" compact="0" numFmtId="3" outline="0" multipleItemSelectionAllowed="1" showAll="0">
      <items>
        <item h="1" x="0"/>
        <item h="1" x="1"/>
        <item h="1" x="2"/>
        <item h="1" x="3"/>
        <item h="1" x="4"/>
        <item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7 Sales" fld="14" baseField="0"/>
    <dataField name="SUM of 2018 Sales" fld="15" baseField="0"/>
    <dataField name="SUM of 2019 Sales" fld="16" baseField="0"/>
    <dataField name="SUM of 2020 Sales" fld="17" baseField="0"/>
    <dataField name="SUM of 2021 Sales" fld="18" baseField="0"/>
    <dataField name="SUM of 2022 Sales" fld="19" baseField="0"/>
  </dataFields>
</pivotTableDefinition>
</file>

<file path=xl/pivotTables/pivotTable15.xml><?xml version="1.0" encoding="utf-8"?>
<pivotTableDefinition xmlns="http://schemas.openxmlformats.org/spreadsheetml/2006/main" name="Breakdown (Africa) 6" cacheId="0" dataCaption="" compact="0" compactData="0">
  <location ref="K71:Q77" firstHeaderRow="0" firstDataRow="2" firstDataCol="0" rowPageCount="1" colPageCount="1"/>
  <pivotFields>
    <pivotField name="Country" axis="axisRow" compact="0" outline="0" multipleItemSelectionAllowed="1" showAll="0" sortType="ascending">
      <items>
        <item h="1" x="57"/>
        <item x="58"/>
        <item h="1" x="59"/>
        <item h="1" x="27"/>
        <item h="1" x="60"/>
        <item h="1" x="12"/>
        <item h="1" x="32"/>
        <item h="1" x="61"/>
        <item h="1" x="62"/>
        <item h="1" x="63"/>
        <item h="1" x="64"/>
        <item h="1" x="65"/>
        <item h="1" x="20"/>
        <item h="1" x="66"/>
        <item h="1" x="67"/>
        <item h="1" x="68"/>
        <item h="1" x="69"/>
        <item h="1" x="6"/>
        <item h="1" x="70"/>
        <item h="1" x="56"/>
        <item h="1" x="71"/>
        <item h="1" x="72"/>
        <item h="1" x="73"/>
        <item h="1" x="74"/>
        <item h="1" x="75"/>
        <item h="1" x="28"/>
        <item h="1" x="24"/>
        <item h="1" x="0"/>
        <item h="1" x="33"/>
        <item h="1" x="76"/>
        <item h="1" x="54"/>
        <item h="1" x="77"/>
        <item h="1" x="78"/>
        <item h="1" x="34"/>
        <item h="1" x="40"/>
        <item h="1" x="79"/>
        <item h="1" x="80"/>
        <item h="1" x="49"/>
        <item x="42"/>
        <item h="1" x="81"/>
        <item h="1" x="82"/>
        <item h="1" x="52"/>
        <item h="1" x="7"/>
        <item h="1" x="83"/>
        <item h="1" x="84"/>
        <item h="1" x="4"/>
        <item h="1" x="85"/>
        <item h="1" x="47"/>
        <item h="1" x="86"/>
        <item h="1" x="87"/>
        <item h="1" x="88"/>
        <item h="1" x="89"/>
        <item h="1" x="46"/>
        <item h="1" x="90"/>
        <item h="1" x="1"/>
        <item h="1" x="11"/>
        <item h="1" x="91"/>
        <item h="1" x="92"/>
        <item h="1" x="48"/>
        <item h="1" x="29"/>
        <item h="1" x="9"/>
        <item h="1" x="93"/>
        <item h="1" x="94"/>
        <item h="1" x="2"/>
        <item h="1" x="95"/>
        <item h="1" x="50"/>
        <item h="1" x="96"/>
        <item h="1" x="51"/>
        <item h="1" x="97"/>
        <item h="1" x="98"/>
        <item h="1" x="99"/>
        <item h="1" x="100"/>
        <item h="1" x="101"/>
        <item h="1" x="102"/>
        <item h="1" x="103"/>
        <item h="1" x="104"/>
        <item h="1" x="105"/>
        <item h="1" x="106"/>
        <item h="1" x="15"/>
        <item h="1" x="107"/>
        <item h="1" x="108"/>
        <item h="1" x="17"/>
        <item h="1" x="109"/>
        <item h="1" x="110"/>
        <item x="41"/>
        <item h="1" x="111"/>
        <item h="1" x="112"/>
        <item h="1" x="23"/>
        <item h="1" x="45"/>
        <item h="1" x="113"/>
        <item h="1" x="114"/>
        <item h="1" x="115"/>
        <item h="1" x="36"/>
        <item h="1" x="116"/>
        <item h="1" x="35"/>
        <item h="1" x="117"/>
        <item h="1" x="118"/>
        <item h="1" x="119"/>
        <item h="1" x="44"/>
        <item h="1" x="30"/>
        <item h="1" x="18"/>
        <item h="1" x="38"/>
        <item h="1" x="120"/>
        <item h="1" x="121"/>
        <item h="1" x="122"/>
        <item h="1" x="43"/>
        <item h="1" x="13"/>
        <item h="1" x="16"/>
        <item h="1" x="123"/>
        <item h="1" x="124"/>
        <item h="1" x="125"/>
        <item h="1" x="53"/>
        <item h="1" x="126"/>
        <item x="21"/>
        <item h="1" x="8"/>
        <item h="1" x="10"/>
        <item h="1" x="127"/>
        <item h="1" x="128"/>
        <item h="1" x="25"/>
        <item h="1" x="31"/>
        <item h="1" x="129"/>
        <item h="1" x="19"/>
        <item h="1" x="130"/>
        <item h="1" x="131"/>
        <item h="1" x="22"/>
        <item h="1" x="132"/>
        <item x="133"/>
        <item h="1" x="14"/>
        <item h="1" x="134"/>
        <item h="1" x="37"/>
        <item h="1" x="135"/>
        <item h="1" x="5"/>
        <item h="1" x="55"/>
        <item h="1" x="136"/>
        <item h="1" x="3"/>
        <item h="1" x="39"/>
        <item h="1" x="137"/>
        <item h="1" x="26"/>
        <item h="1" x="138"/>
        <item h="1" x="139"/>
        <item h="1" x="140"/>
        <item t="default"/>
      </items>
    </pivotField>
    <pivotField name="Continent" axis="axisPage" compact="0" numFmtId="3" outline="0" multipleItemSelectionAllowed="1" showAll="0">
      <items>
        <item h="1" x="0"/>
        <item h="1" x="1"/>
        <item h="1" x="2"/>
        <item h="1" x="3"/>
        <item h="1" x="4"/>
        <item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7 Sales" fld="14" baseField="0"/>
    <dataField name="SUM of 2018 Sales" fld="15" baseField="0"/>
    <dataField name="SUM of 2019 Sales" fld="16" baseField="0"/>
    <dataField name="SUM of 2020 Sales" fld="17" baseField="0"/>
    <dataField name="SUM of 2021 Sales" fld="18" baseField="0"/>
    <dataField name="SUM of 2022 Sales" fld="19" baseField="0"/>
  </dataFields>
</pivotTableDefinition>
</file>

<file path=xl/pivotTables/pivotTable16.xml><?xml version="1.0" encoding="utf-8"?>
<pivotTableDefinition xmlns="http://schemas.openxmlformats.org/spreadsheetml/2006/main" name="Breakdown (Europe)" cacheId="0" dataCaption="" compact="0" compactData="0">
  <location ref="A3:G43" firstHeaderRow="0" firstDataRow="2" firstDataCol="0" rowPageCount="1" colPageCount="1"/>
  <pivotFields>
    <pivotField name="Country" axis="axisRow" compact="0" outline="0" multipleItemSelectionAllowed="1" showAll="0" sortType="ascending">
      <items>
        <item x="57"/>
        <item x="58"/>
        <item x="59"/>
        <item x="27"/>
        <item x="60"/>
        <item x="12"/>
        <item x="32"/>
        <item x="61"/>
        <item x="62"/>
        <item x="63"/>
        <item x="64"/>
        <item x="65"/>
        <item x="20"/>
        <item x="66"/>
        <item x="67"/>
        <item x="68"/>
        <item x="69"/>
        <item x="6"/>
        <item x="70"/>
        <item x="56"/>
        <item x="71"/>
        <item x="72"/>
        <item x="73"/>
        <item x="74"/>
        <item x="75"/>
        <item x="28"/>
        <item x="24"/>
        <item x="0"/>
        <item x="33"/>
        <item x="76"/>
        <item x="54"/>
        <item x="77"/>
        <item x="78"/>
        <item x="34"/>
        <item x="40"/>
        <item x="79"/>
        <item x="80"/>
        <item x="49"/>
        <item x="42"/>
        <item x="81"/>
        <item x="82"/>
        <item x="52"/>
        <item x="7"/>
        <item x="83"/>
        <item x="84"/>
        <item x="4"/>
        <item x="85"/>
        <item x="47"/>
        <item x="86"/>
        <item x="87"/>
        <item x="88"/>
        <item x="89"/>
        <item x="46"/>
        <item x="90"/>
        <item x="1"/>
        <item x="11"/>
        <item x="91"/>
        <item x="92"/>
        <item x="48"/>
        <item x="29"/>
        <item x="9"/>
        <item x="93"/>
        <item x="94"/>
        <item x="2"/>
        <item x="95"/>
        <item x="50"/>
        <item x="96"/>
        <item x="51"/>
        <item x="97"/>
        <item x="98"/>
        <item x="99"/>
        <item x="100"/>
        <item x="101"/>
        <item x="102"/>
        <item x="103"/>
        <item x="104"/>
        <item x="105"/>
        <item x="106"/>
        <item x="15"/>
        <item x="107"/>
        <item x="108"/>
        <item x="17"/>
        <item x="109"/>
        <item x="110"/>
        <item x="41"/>
        <item x="111"/>
        <item x="112"/>
        <item x="23"/>
        <item x="45"/>
        <item x="113"/>
        <item x="114"/>
        <item x="115"/>
        <item x="36"/>
        <item x="116"/>
        <item x="35"/>
        <item x="117"/>
        <item x="118"/>
        <item x="119"/>
        <item x="44"/>
        <item x="30"/>
        <item x="18"/>
        <item x="38"/>
        <item x="120"/>
        <item x="121"/>
        <item x="122"/>
        <item x="43"/>
        <item x="13"/>
        <item x="16"/>
        <item x="123"/>
        <item x="124"/>
        <item x="125"/>
        <item x="53"/>
        <item x="126"/>
        <item x="21"/>
        <item x="8"/>
        <item x="10"/>
        <item x="127"/>
        <item x="128"/>
        <item x="25"/>
        <item x="31"/>
        <item x="129"/>
        <item x="19"/>
        <item x="130"/>
        <item x="131"/>
        <item x="22"/>
        <item x="132"/>
        <item x="133"/>
        <item x="14"/>
        <item x="134"/>
        <item x="37"/>
        <item x="135"/>
        <item x="5"/>
        <item x="55"/>
        <item x="136"/>
        <item x="3"/>
        <item x="39"/>
        <item x="137"/>
        <item x="26"/>
        <item x="138"/>
        <item x="139"/>
        <item x="140"/>
        <item t="default"/>
      </items>
    </pivotField>
    <pivotField name="Continent" axis="axisPage" compact="0" numFmtId="3" outline="0" multipleItemSelectionAllowed="1" showAll="0">
      <items>
        <item h="1" x="0"/>
        <item h="1" x="1"/>
        <item x="2"/>
        <item h="1" x="3"/>
        <item h="1" x="4"/>
        <item h="1" x="5"/>
        <item t="default"/>
      </items>
    </pivotField>
    <pivotField name="200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05 Sales" fld="2" baseField="0"/>
    <dataField name="SUM of 2006 Sales" fld="3" baseField="0"/>
    <dataField name="SUM of 2007 Sales" fld="4" baseField="0"/>
    <dataField name="SUM of 2008 Sales" fld="5" baseField="0"/>
    <dataField name="SUM of 2009 Sales" fld="6" baseField="0"/>
    <dataField name="SUM of 2010 Sales" fld="7" baseField="0"/>
  </dataFields>
</pivotTableDefinition>
</file>

<file path=xl/pivotTables/pivotTable17.xml><?xml version="1.0" encoding="utf-8"?>
<pivotTableDefinition xmlns="http://schemas.openxmlformats.org/spreadsheetml/2006/main" name="Breakdown (Europe) 2" cacheId="0" dataCaption="" compact="0" compactData="0">
  <location ref="K3:Q9" firstHeaderRow="0" firstDataRow="2" firstDataCol="0" rowPageCount="1" colPageCount="1"/>
  <pivotFields>
    <pivotField name="Country" axis="axisRow" compact="0" outline="0" multipleItemSelectionAllowed="1" showAll="0" sortType="ascending">
      <items>
        <item h="1" x="57"/>
        <item h="1" x="58"/>
        <item h="1" x="59"/>
        <item h="1" x="27"/>
        <item h="1" x="60"/>
        <item h="1" x="12"/>
        <item h="1" x="32"/>
        <item h="1" x="61"/>
        <item h="1" x="62"/>
        <item h="1" x="63"/>
        <item h="1" x="64"/>
        <item h="1" x="65"/>
        <item h="1" x="20"/>
        <item h="1" x="66"/>
        <item h="1" x="67"/>
        <item h="1" x="68"/>
        <item h="1" x="69"/>
        <item h="1" x="6"/>
        <item h="1" x="70"/>
        <item h="1" x="56"/>
        <item h="1" x="71"/>
        <item h="1" x="72"/>
        <item h="1" x="73"/>
        <item h="1" x="74"/>
        <item h="1" x="75"/>
        <item h="1" x="28"/>
        <item h="1" x="24"/>
        <item h="1" x="0"/>
        <item h="1" x="33"/>
        <item h="1" x="76"/>
        <item h="1" x="54"/>
        <item h="1" x="77"/>
        <item h="1" x="78"/>
        <item h="1" x="34"/>
        <item h="1" x="40"/>
        <item h="1" x="79"/>
        <item h="1" x="80"/>
        <item h="1" x="49"/>
        <item h="1" x="42"/>
        <item h="1" x="81"/>
        <item h="1" x="82"/>
        <item h="1" x="52"/>
        <item x="7"/>
        <item h="1" x="83"/>
        <item h="1" x="84"/>
        <item x="4"/>
        <item h="1" x="85"/>
        <item h="1" x="47"/>
        <item h="1" x="86"/>
        <item h="1" x="87"/>
        <item h="1" x="88"/>
        <item h="1" x="89"/>
        <item h="1" x="46"/>
        <item h="1" x="90"/>
        <item h="1" x="1"/>
        <item h="1" x="11"/>
        <item h="1" x="91"/>
        <item h="1" x="92"/>
        <item h="1" x="48"/>
        <item h="1" x="29"/>
        <item x="9"/>
        <item h="1" x="93"/>
        <item h="1" x="94"/>
        <item h="1" x="2"/>
        <item h="1" x="95"/>
        <item h="1" x="50"/>
        <item h="1" x="96"/>
        <item h="1" x="51"/>
        <item h="1" x="97"/>
        <item h="1" x="98"/>
        <item h="1" x="99"/>
        <item h="1" x="100"/>
        <item h="1" x="101"/>
        <item h="1" x="102"/>
        <item h="1" x="103"/>
        <item h="1" x="104"/>
        <item h="1" x="105"/>
        <item h="1" x="106"/>
        <item h="1" x="15"/>
        <item h="1" x="107"/>
        <item h="1" x="108"/>
        <item h="1" x="17"/>
        <item h="1" x="109"/>
        <item h="1" x="110"/>
        <item h="1" x="41"/>
        <item h="1" x="111"/>
        <item h="1" x="112"/>
        <item h="1" x="23"/>
        <item h="1" x="45"/>
        <item h="1" x="113"/>
        <item h="1" x="114"/>
        <item h="1" x="115"/>
        <item h="1" x="36"/>
        <item h="1" x="116"/>
        <item h="1" x="35"/>
        <item h="1" x="117"/>
        <item h="1" x="118"/>
        <item h="1" x="119"/>
        <item h="1" x="44"/>
        <item h="1" x="30"/>
        <item h="1" x="18"/>
        <item h="1" x="38"/>
        <item h="1" x="120"/>
        <item h="1" x="121"/>
        <item h="1" x="122"/>
        <item h="1" x="43"/>
        <item x="13"/>
        <item h="1" x="16"/>
        <item h="1" x="123"/>
        <item h="1" x="124"/>
        <item h="1" x="125"/>
        <item h="1" x="53"/>
        <item h="1" x="126"/>
        <item h="1" x="21"/>
        <item h="1" x="8"/>
        <item h="1" x="10"/>
        <item h="1" x="127"/>
        <item h="1" x="128"/>
        <item h="1" x="25"/>
        <item h="1" x="31"/>
        <item h="1" x="129"/>
        <item h="1" x="19"/>
        <item h="1" x="130"/>
        <item h="1" x="131"/>
        <item h="1" x="22"/>
        <item h="1" x="132"/>
        <item h="1" x="133"/>
        <item h="1" x="14"/>
        <item h="1" x="134"/>
        <item h="1" x="37"/>
        <item h="1" x="135"/>
        <item x="5"/>
        <item h="1" x="55"/>
        <item h="1" x="136"/>
        <item h="1" x="3"/>
        <item h="1" x="39"/>
        <item h="1" x="137"/>
        <item h="1" x="26"/>
        <item h="1" x="138"/>
        <item h="1" x="139"/>
        <item h="1" x="140"/>
        <item t="default"/>
      </items>
    </pivotField>
    <pivotField name="Continent" axis="axisPage" compact="0" numFmtId="3" outline="0" multipleItemSelectionAllowed="1" showAll="0">
      <items>
        <item h="1" x="0"/>
        <item h="1" x="1"/>
        <item x="2"/>
        <item h="1" x="3"/>
        <item h="1" x="4"/>
        <item h="1" x="5"/>
        <item t="default"/>
      </items>
    </pivotField>
    <pivotField name="200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05 Sales" fld="2" baseField="0"/>
    <dataField name="SUM of 2006 Sales" fld="3" baseField="0"/>
    <dataField name="SUM of 2007 Sales" fld="4" baseField="0"/>
    <dataField name="SUM of 2008 Sales" fld="5" baseField="0"/>
    <dataField name="SUM of 2009 Sales" fld="6" baseField="0"/>
    <dataField name="SUM of 2010 Sales" fld="7" baseField="0"/>
  </dataFields>
</pivotTableDefinition>
</file>

<file path=xl/pivotTables/pivotTable18.xml><?xml version="1.0" encoding="utf-8"?>
<pivotTableDefinition xmlns="http://schemas.openxmlformats.org/spreadsheetml/2006/main" name="Breakdown (Europe) 3" cacheId="0" dataCaption="" compact="0" compactData="0">
  <location ref="A46:G86" firstHeaderRow="0" firstDataRow="2" firstDataCol="0" rowPageCount="1" colPageCount="1"/>
  <pivotFields>
    <pivotField name="Country" axis="axisRow" compact="0" outline="0" multipleItemSelectionAllowed="1" showAll="0" sortType="ascending">
      <items>
        <item x="57"/>
        <item x="58"/>
        <item x="59"/>
        <item x="27"/>
        <item x="60"/>
        <item x="12"/>
        <item x="32"/>
        <item x="61"/>
        <item x="62"/>
        <item x="63"/>
        <item x="64"/>
        <item x="65"/>
        <item x="20"/>
        <item x="66"/>
        <item x="67"/>
        <item x="68"/>
        <item x="69"/>
        <item x="6"/>
        <item x="70"/>
        <item x="56"/>
        <item x="71"/>
        <item x="72"/>
        <item x="73"/>
        <item x="74"/>
        <item x="75"/>
        <item x="28"/>
        <item x="24"/>
        <item x="0"/>
        <item x="33"/>
        <item x="76"/>
        <item x="54"/>
        <item x="77"/>
        <item x="78"/>
        <item x="34"/>
        <item x="40"/>
        <item x="79"/>
        <item x="80"/>
        <item x="49"/>
        <item x="42"/>
        <item x="81"/>
        <item x="82"/>
        <item x="52"/>
        <item x="7"/>
        <item x="83"/>
        <item x="84"/>
        <item x="4"/>
        <item x="85"/>
        <item x="47"/>
        <item x="86"/>
        <item x="87"/>
        <item x="88"/>
        <item x="89"/>
        <item x="46"/>
        <item x="90"/>
        <item x="1"/>
        <item x="11"/>
        <item x="91"/>
        <item x="92"/>
        <item x="48"/>
        <item x="29"/>
        <item x="9"/>
        <item x="93"/>
        <item x="94"/>
        <item x="2"/>
        <item x="95"/>
        <item x="50"/>
        <item x="96"/>
        <item x="51"/>
        <item x="97"/>
        <item x="98"/>
        <item x="99"/>
        <item x="100"/>
        <item x="101"/>
        <item x="102"/>
        <item x="103"/>
        <item x="104"/>
        <item x="105"/>
        <item x="106"/>
        <item x="15"/>
        <item x="107"/>
        <item x="108"/>
        <item x="17"/>
        <item x="109"/>
        <item x="110"/>
        <item x="41"/>
        <item x="111"/>
        <item x="112"/>
        <item x="23"/>
        <item x="45"/>
        <item x="113"/>
        <item x="114"/>
        <item x="115"/>
        <item x="36"/>
        <item x="116"/>
        <item x="35"/>
        <item x="117"/>
        <item x="118"/>
        <item x="119"/>
        <item x="44"/>
        <item x="30"/>
        <item x="18"/>
        <item x="38"/>
        <item x="120"/>
        <item x="121"/>
        <item x="122"/>
        <item x="43"/>
        <item x="13"/>
        <item x="16"/>
        <item x="123"/>
        <item x="124"/>
        <item x="125"/>
        <item x="53"/>
        <item x="126"/>
        <item x="21"/>
        <item x="8"/>
        <item x="10"/>
        <item x="127"/>
        <item x="128"/>
        <item x="25"/>
        <item x="31"/>
        <item x="129"/>
        <item x="19"/>
        <item x="130"/>
        <item x="131"/>
        <item x="22"/>
        <item x="132"/>
        <item x="133"/>
        <item x="14"/>
        <item x="134"/>
        <item x="37"/>
        <item x="135"/>
        <item x="5"/>
        <item x="55"/>
        <item x="136"/>
        <item x="3"/>
        <item x="39"/>
        <item x="137"/>
        <item x="26"/>
        <item x="138"/>
        <item x="139"/>
        <item x="140"/>
        <item t="default"/>
      </items>
    </pivotField>
    <pivotField name="Continent" axis="axisPage" compact="0" numFmtId="3" outline="0" multipleItemSelectionAllowed="1" showAll="0">
      <items>
        <item h="1" x="0"/>
        <item h="1" x="1"/>
        <item x="2"/>
        <item h="1" x="3"/>
        <item h="1"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1 Sales" fld="8" baseField="0"/>
    <dataField name="SUM of 2012 Sales" fld="9" baseField="0"/>
    <dataField name="SUM of 2013 Sales" fld="10" baseField="0"/>
    <dataField name="SUM of 2014 Sales" fld="11" baseField="0"/>
    <dataField name="SUM of 2015 Sales" fld="12" baseField="0"/>
    <dataField name="SUM of 2016 Sales" fld="13" baseField="0"/>
  </dataFields>
</pivotTableDefinition>
</file>

<file path=xl/pivotTables/pivotTable19.xml><?xml version="1.0" encoding="utf-8"?>
<pivotTableDefinition xmlns="http://schemas.openxmlformats.org/spreadsheetml/2006/main" name="Breakdown (Europe) 4" cacheId="0" dataCaption="" compact="0" compactData="0">
  <location ref="K46:Q52" firstHeaderRow="0" firstDataRow="2" firstDataCol="0" rowPageCount="1" colPageCount="1"/>
  <pivotFields>
    <pivotField name="Country" axis="axisRow" compact="0" outline="0" multipleItemSelectionAllowed="1" showAll="0" sortType="ascending">
      <items>
        <item h="1" x="57"/>
        <item h="1" x="58"/>
        <item h="1" x="59"/>
        <item h="1" x="27"/>
        <item h="1" x="60"/>
        <item h="1" x="12"/>
        <item h="1" x="32"/>
        <item h="1" x="61"/>
        <item h="1" x="62"/>
        <item h="1" x="63"/>
        <item h="1" x="64"/>
        <item h="1" x="65"/>
        <item h="1" x="20"/>
        <item h="1" x="66"/>
        <item h="1" x="67"/>
        <item h="1" x="68"/>
        <item h="1" x="69"/>
        <item h="1" x="6"/>
        <item h="1" x="70"/>
        <item h="1" x="56"/>
        <item h="1" x="71"/>
        <item h="1" x="72"/>
        <item h="1" x="73"/>
        <item h="1" x="74"/>
        <item h="1" x="75"/>
        <item h="1" x="28"/>
        <item h="1" x="24"/>
        <item h="1" x="0"/>
        <item h="1" x="33"/>
        <item h="1" x="76"/>
        <item h="1" x="54"/>
        <item h="1" x="77"/>
        <item h="1" x="78"/>
        <item h="1" x="34"/>
        <item h="1" x="40"/>
        <item h="1" x="79"/>
        <item h="1" x="80"/>
        <item h="1" x="49"/>
        <item h="1" x="42"/>
        <item h="1" x="81"/>
        <item h="1" x="82"/>
        <item h="1" x="52"/>
        <item x="7"/>
        <item h="1" x="83"/>
        <item h="1" x="84"/>
        <item x="4"/>
        <item h="1" x="85"/>
        <item h="1" x="47"/>
        <item h="1" x="86"/>
        <item h="1" x="87"/>
        <item h="1" x="88"/>
        <item h="1" x="89"/>
        <item h="1" x="46"/>
        <item h="1" x="90"/>
        <item h="1" x="1"/>
        <item h="1" x="11"/>
        <item h="1" x="91"/>
        <item h="1" x="92"/>
        <item h="1" x="48"/>
        <item h="1" x="29"/>
        <item x="9"/>
        <item h="1" x="93"/>
        <item h="1" x="94"/>
        <item h="1" x="2"/>
        <item h="1" x="95"/>
        <item h="1" x="50"/>
        <item h="1" x="96"/>
        <item h="1" x="51"/>
        <item h="1" x="97"/>
        <item h="1" x="98"/>
        <item h="1" x="99"/>
        <item h="1" x="100"/>
        <item h="1" x="101"/>
        <item h="1" x="102"/>
        <item h="1" x="103"/>
        <item h="1" x="104"/>
        <item h="1" x="105"/>
        <item h="1" x="106"/>
        <item h="1" x="15"/>
        <item h="1" x="107"/>
        <item h="1" x="108"/>
        <item h="1" x="17"/>
        <item h="1" x="109"/>
        <item h="1" x="110"/>
        <item h="1" x="41"/>
        <item h="1" x="111"/>
        <item h="1" x="112"/>
        <item h="1" x="23"/>
        <item h="1" x="45"/>
        <item h="1" x="113"/>
        <item h="1" x="114"/>
        <item h="1" x="115"/>
        <item h="1" x="36"/>
        <item h="1" x="116"/>
        <item h="1" x="35"/>
        <item h="1" x="117"/>
        <item h="1" x="118"/>
        <item h="1" x="119"/>
        <item h="1" x="44"/>
        <item h="1" x="30"/>
        <item h="1" x="18"/>
        <item h="1" x="38"/>
        <item h="1" x="120"/>
        <item h="1" x="121"/>
        <item h="1" x="122"/>
        <item h="1" x="43"/>
        <item x="13"/>
        <item h="1" x="16"/>
        <item h="1" x="123"/>
        <item h="1" x="124"/>
        <item h="1" x="125"/>
        <item h="1" x="53"/>
        <item h="1" x="126"/>
        <item h="1" x="21"/>
        <item h="1" x="8"/>
        <item h="1" x="10"/>
        <item h="1" x="127"/>
        <item h="1" x="128"/>
        <item h="1" x="25"/>
        <item h="1" x="31"/>
        <item h="1" x="129"/>
        <item h="1" x="19"/>
        <item h="1" x="130"/>
        <item h="1" x="131"/>
        <item h="1" x="22"/>
        <item h="1" x="132"/>
        <item h="1" x="133"/>
        <item h="1" x="14"/>
        <item h="1" x="134"/>
        <item h="1" x="37"/>
        <item h="1" x="135"/>
        <item x="5"/>
        <item h="1" x="55"/>
        <item h="1" x="136"/>
        <item h="1" x="3"/>
        <item h="1" x="39"/>
        <item h="1" x="137"/>
        <item h="1" x="26"/>
        <item h="1" x="138"/>
        <item h="1" x="139"/>
        <item h="1" x="140"/>
        <item t="default"/>
      </items>
    </pivotField>
    <pivotField name="Continent" axis="axisPage" compact="0" numFmtId="3" outline="0" multipleItemSelectionAllowed="1" showAll="0">
      <items>
        <item h="1" x="0"/>
        <item h="1" x="1"/>
        <item x="2"/>
        <item h="1" x="3"/>
        <item h="1"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1 Sales" fld="8" baseField="0"/>
    <dataField name="SUM of 2012 Sales" fld="9" baseField="0"/>
    <dataField name="SUM of 2013 Sales" fld="10" baseField="0"/>
    <dataField name="SUM of 2014 Sales" fld="11" baseField="0"/>
    <dataField name="SUM of 2015 Sales" fld="12" baseField="0"/>
    <dataField name="SUM of 2016 Sales" fld="13" baseField="0"/>
  </dataFields>
</pivotTableDefinition>
</file>

<file path=xl/pivotTables/pivotTable20.xml><?xml version="1.0" encoding="utf-8"?>
<pivotTableDefinition xmlns="http://schemas.openxmlformats.org/spreadsheetml/2006/main" name="Breakdown (Europe) 5" cacheId="0" dataCaption="" compact="0" compactData="0">
  <location ref="A92:G132" firstHeaderRow="0" firstDataRow="2" firstDataCol="0" rowPageCount="1" colPageCount="1"/>
  <pivotFields>
    <pivotField name="Country" axis="axisRow" compact="0" outline="0" multipleItemSelectionAllowed="1" showAll="0" sortType="ascending">
      <items>
        <item x="57"/>
        <item x="58"/>
        <item x="59"/>
        <item x="27"/>
        <item x="60"/>
        <item x="12"/>
        <item x="32"/>
        <item x="61"/>
        <item x="62"/>
        <item x="63"/>
        <item x="64"/>
        <item x="65"/>
        <item x="20"/>
        <item x="66"/>
        <item x="67"/>
        <item x="68"/>
        <item x="69"/>
        <item x="6"/>
        <item x="70"/>
        <item x="56"/>
        <item x="71"/>
        <item x="72"/>
        <item x="73"/>
        <item x="74"/>
        <item x="75"/>
        <item x="28"/>
        <item x="24"/>
        <item x="0"/>
        <item x="33"/>
        <item x="76"/>
        <item x="54"/>
        <item x="77"/>
        <item x="78"/>
        <item x="34"/>
        <item x="40"/>
        <item x="79"/>
        <item x="80"/>
        <item x="49"/>
        <item x="42"/>
        <item x="81"/>
        <item x="82"/>
        <item x="52"/>
        <item x="7"/>
        <item x="83"/>
        <item x="84"/>
        <item x="4"/>
        <item x="85"/>
        <item x="47"/>
        <item x="86"/>
        <item x="87"/>
        <item x="88"/>
        <item x="89"/>
        <item x="46"/>
        <item x="90"/>
        <item x="1"/>
        <item x="11"/>
        <item x="91"/>
        <item x="92"/>
        <item x="48"/>
        <item x="29"/>
        <item x="9"/>
        <item x="93"/>
        <item x="94"/>
        <item x="2"/>
        <item x="95"/>
        <item x="50"/>
        <item x="96"/>
        <item x="51"/>
        <item x="97"/>
        <item x="98"/>
        <item x="99"/>
        <item x="100"/>
        <item x="101"/>
        <item x="102"/>
        <item x="103"/>
        <item x="104"/>
        <item x="105"/>
        <item x="106"/>
        <item x="15"/>
        <item x="107"/>
        <item x="108"/>
        <item x="17"/>
        <item x="109"/>
        <item x="110"/>
        <item x="41"/>
        <item x="111"/>
        <item x="112"/>
        <item x="23"/>
        <item x="45"/>
        <item x="113"/>
        <item x="114"/>
        <item x="115"/>
        <item x="36"/>
        <item x="116"/>
        <item x="35"/>
        <item x="117"/>
        <item x="118"/>
        <item x="119"/>
        <item x="44"/>
        <item x="30"/>
        <item x="18"/>
        <item x="38"/>
        <item x="120"/>
        <item x="121"/>
        <item x="122"/>
        <item x="43"/>
        <item x="13"/>
        <item x="16"/>
        <item x="123"/>
        <item x="124"/>
        <item x="125"/>
        <item x="53"/>
        <item x="126"/>
        <item x="21"/>
        <item x="8"/>
        <item x="10"/>
        <item x="127"/>
        <item x="128"/>
        <item x="25"/>
        <item x="31"/>
        <item x="129"/>
        <item x="19"/>
        <item x="130"/>
        <item x="131"/>
        <item x="22"/>
        <item x="132"/>
        <item x="133"/>
        <item x="14"/>
        <item x="134"/>
        <item x="37"/>
        <item x="135"/>
        <item x="5"/>
        <item x="55"/>
        <item x="136"/>
        <item x="3"/>
        <item x="39"/>
        <item x="137"/>
        <item x="26"/>
        <item x="138"/>
        <item x="139"/>
        <item x="140"/>
        <item t="default"/>
      </items>
    </pivotField>
    <pivotField name="Continent" axis="axisPage" compact="0" numFmtId="3" outline="0" multipleItemSelectionAllowed="1" showAll="0">
      <items>
        <item h="1" x="0"/>
        <item h="1" x="1"/>
        <item x="2"/>
        <item h="1" x="3"/>
        <item h="1"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7 Sales" fld="14" baseField="0"/>
    <dataField name="SUM of 2018 Sales" fld="15" baseField="0"/>
    <dataField name="SUM of 2019 Sales" fld="16" baseField="0"/>
    <dataField name="SUM of 2020 Sales" fld="17" baseField="0"/>
    <dataField name="SUM of 2021 Sales" fld="18" baseField="0"/>
    <dataField name="SUM of 2022 Sales" fld="19" baseField="0"/>
  </dataFields>
</pivotTableDefinition>
</file>

<file path=xl/pivotTables/pivotTable21.xml><?xml version="1.0" encoding="utf-8"?>
<pivotTableDefinition xmlns="http://schemas.openxmlformats.org/spreadsheetml/2006/main" name="Breakdown (Europe) 6" cacheId="0" dataCaption="" compact="0" compactData="0">
  <location ref="K92:Q98" firstHeaderRow="0" firstDataRow="2" firstDataCol="0" rowPageCount="1" colPageCount="1"/>
  <pivotFields>
    <pivotField name="Country" axis="axisRow" compact="0" outline="0" multipleItemSelectionAllowed="1" showAll="0" sortType="ascending">
      <items>
        <item h="1" x="57"/>
        <item h="1" x="58"/>
        <item h="1" x="59"/>
        <item h="1" x="27"/>
        <item h="1" x="60"/>
        <item h="1" x="12"/>
        <item h="1" x="32"/>
        <item h="1" x="61"/>
        <item h="1" x="62"/>
        <item h="1" x="63"/>
        <item h="1" x="64"/>
        <item h="1" x="65"/>
        <item h="1" x="20"/>
        <item h="1" x="66"/>
        <item h="1" x="67"/>
        <item h="1" x="68"/>
        <item h="1" x="69"/>
        <item h="1" x="6"/>
        <item h="1" x="70"/>
        <item h="1" x="56"/>
        <item h="1" x="71"/>
        <item h="1" x="72"/>
        <item h="1" x="73"/>
        <item h="1" x="74"/>
        <item h="1" x="75"/>
        <item h="1" x="28"/>
        <item h="1" x="24"/>
        <item h="1" x="0"/>
        <item h="1" x="33"/>
        <item h="1" x="76"/>
        <item h="1" x="54"/>
        <item h="1" x="77"/>
        <item h="1" x="78"/>
        <item h="1" x="34"/>
        <item h="1" x="40"/>
        <item h="1" x="79"/>
        <item h="1" x="80"/>
        <item h="1" x="49"/>
        <item h="1" x="42"/>
        <item h="1" x="81"/>
        <item h="1" x="82"/>
        <item h="1" x="52"/>
        <item x="7"/>
        <item h="1" x="83"/>
        <item h="1" x="84"/>
        <item x="4"/>
        <item h="1" x="85"/>
        <item h="1" x="47"/>
        <item h="1" x="86"/>
        <item h="1" x="87"/>
        <item h="1" x="88"/>
        <item h="1" x="89"/>
        <item h="1" x="46"/>
        <item h="1" x="90"/>
        <item h="1" x="1"/>
        <item h="1" x="11"/>
        <item h="1" x="91"/>
        <item h="1" x="92"/>
        <item h="1" x="48"/>
        <item h="1" x="29"/>
        <item x="9"/>
        <item h="1" x="93"/>
        <item h="1" x="94"/>
        <item h="1" x="2"/>
        <item h="1" x="95"/>
        <item h="1" x="50"/>
        <item h="1" x="96"/>
        <item h="1" x="51"/>
        <item h="1" x="97"/>
        <item h="1" x="98"/>
        <item h="1" x="99"/>
        <item h="1" x="100"/>
        <item h="1" x="101"/>
        <item h="1" x="102"/>
        <item h="1" x="103"/>
        <item h="1" x="104"/>
        <item h="1" x="105"/>
        <item h="1" x="106"/>
        <item h="1" x="15"/>
        <item h="1" x="107"/>
        <item h="1" x="108"/>
        <item h="1" x="17"/>
        <item h="1" x="109"/>
        <item h="1" x="110"/>
        <item h="1" x="41"/>
        <item h="1" x="111"/>
        <item h="1" x="112"/>
        <item h="1" x="23"/>
        <item h="1" x="45"/>
        <item h="1" x="113"/>
        <item h="1" x="114"/>
        <item h="1" x="115"/>
        <item h="1" x="36"/>
        <item h="1" x="116"/>
        <item h="1" x="35"/>
        <item h="1" x="117"/>
        <item h="1" x="118"/>
        <item h="1" x="119"/>
        <item h="1" x="44"/>
        <item h="1" x="30"/>
        <item h="1" x="18"/>
        <item h="1" x="38"/>
        <item h="1" x="120"/>
        <item h="1" x="121"/>
        <item h="1" x="122"/>
        <item h="1" x="43"/>
        <item x="13"/>
        <item h="1" x="16"/>
        <item h="1" x="123"/>
        <item h="1" x="124"/>
        <item h="1" x="125"/>
        <item h="1" x="53"/>
        <item h="1" x="126"/>
        <item h="1" x="21"/>
        <item h="1" x="8"/>
        <item h="1" x="10"/>
        <item h="1" x="127"/>
        <item h="1" x="128"/>
        <item h="1" x="25"/>
        <item h="1" x="31"/>
        <item h="1" x="129"/>
        <item h="1" x="19"/>
        <item h="1" x="130"/>
        <item h="1" x="131"/>
        <item h="1" x="22"/>
        <item h="1" x="132"/>
        <item h="1" x="133"/>
        <item h="1" x="14"/>
        <item h="1" x="134"/>
        <item h="1" x="37"/>
        <item h="1" x="135"/>
        <item x="5"/>
        <item h="1" x="55"/>
        <item h="1" x="136"/>
        <item h="1" x="3"/>
        <item h="1" x="39"/>
        <item h="1" x="137"/>
        <item h="1" x="26"/>
        <item h="1" x="138"/>
        <item h="1" x="139"/>
        <item h="1" x="140"/>
        <item t="default"/>
      </items>
    </pivotField>
    <pivotField name="Continent" axis="axisPage" compact="0" numFmtId="3" outline="0" multipleItemSelectionAllowed="1" showAll="0">
      <items>
        <item h="1" x="0"/>
        <item h="1" x="1"/>
        <item x="2"/>
        <item h="1" x="3"/>
        <item h="1"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7 Sales" fld="14" baseField="0"/>
    <dataField name="SUM of 2018 Sales" fld="15" baseField="0"/>
    <dataField name="SUM of 2019 Sales" fld="16" baseField="0"/>
    <dataField name="SUM of 2020 Sales" fld="17" baseField="0"/>
    <dataField name="SUM of 2021 Sales" fld="18" baseField="0"/>
    <dataField name="SUM of 2022 Sales" fld="19" baseField="0"/>
  </dataFields>
</pivotTableDefinition>
</file>

<file path=xl/pivotTables/pivotTable22.xml><?xml version="1.0" encoding="utf-8"?>
<pivotTableDefinition xmlns="http://schemas.openxmlformats.org/spreadsheetml/2006/main" name="Breakdown (N. America)" cacheId="0" dataCaption="" compact="0" compactData="0">
  <location ref="A4:G20" firstHeaderRow="0" firstDataRow="2" firstDataCol="0" rowPageCount="1" colPageCount="1"/>
  <pivotFields>
    <pivotField name="Country" axis="axisRow" compact="0" outline="0" multipleItemSelectionAllowed="1" showAll="0" sortType="ascending">
      <items>
        <item x="57"/>
        <item x="58"/>
        <item x="59"/>
        <item x="27"/>
        <item x="60"/>
        <item x="12"/>
        <item x="32"/>
        <item x="61"/>
        <item x="62"/>
        <item x="63"/>
        <item x="64"/>
        <item x="65"/>
        <item x="20"/>
        <item x="66"/>
        <item x="67"/>
        <item x="68"/>
        <item x="69"/>
        <item x="6"/>
        <item x="70"/>
        <item x="56"/>
        <item x="71"/>
        <item x="72"/>
        <item x="73"/>
        <item x="74"/>
        <item x="75"/>
        <item x="28"/>
        <item x="24"/>
        <item x="0"/>
        <item x="33"/>
        <item x="76"/>
        <item x="54"/>
        <item x="77"/>
        <item x="78"/>
        <item x="34"/>
        <item x="40"/>
        <item x="79"/>
        <item x="80"/>
        <item x="49"/>
        <item x="42"/>
        <item x="81"/>
        <item x="82"/>
        <item x="52"/>
        <item x="7"/>
        <item x="83"/>
        <item x="84"/>
        <item x="4"/>
        <item x="85"/>
        <item x="47"/>
        <item x="86"/>
        <item x="87"/>
        <item x="88"/>
        <item x="89"/>
        <item x="46"/>
        <item x="90"/>
        <item x="1"/>
        <item x="11"/>
        <item x="91"/>
        <item x="92"/>
        <item x="48"/>
        <item x="29"/>
        <item x="9"/>
        <item x="93"/>
        <item x="94"/>
        <item x="2"/>
        <item x="95"/>
        <item x="50"/>
        <item x="96"/>
        <item x="51"/>
        <item x="97"/>
        <item x="98"/>
        <item x="99"/>
        <item x="100"/>
        <item x="101"/>
        <item x="102"/>
        <item x="103"/>
        <item x="104"/>
        <item x="105"/>
        <item x="106"/>
        <item x="15"/>
        <item x="107"/>
        <item x="108"/>
        <item x="17"/>
        <item x="109"/>
        <item x="110"/>
        <item x="41"/>
        <item x="111"/>
        <item x="112"/>
        <item x="23"/>
        <item x="45"/>
        <item x="113"/>
        <item x="114"/>
        <item x="115"/>
        <item x="36"/>
        <item x="116"/>
        <item x="35"/>
        <item x="117"/>
        <item x="118"/>
        <item x="119"/>
        <item x="44"/>
        <item x="30"/>
        <item x="18"/>
        <item x="38"/>
        <item x="120"/>
        <item x="121"/>
        <item x="122"/>
        <item x="43"/>
        <item x="13"/>
        <item x="16"/>
        <item x="123"/>
        <item x="124"/>
        <item x="125"/>
        <item x="53"/>
        <item x="126"/>
        <item x="21"/>
        <item x="8"/>
        <item x="10"/>
        <item x="127"/>
        <item x="128"/>
        <item x="25"/>
        <item x="31"/>
        <item x="129"/>
        <item x="19"/>
        <item x="130"/>
        <item x="131"/>
        <item x="22"/>
        <item x="132"/>
        <item x="133"/>
        <item x="14"/>
        <item x="134"/>
        <item x="37"/>
        <item x="135"/>
        <item x="5"/>
        <item x="55"/>
        <item x="136"/>
        <item x="3"/>
        <item x="39"/>
        <item x="137"/>
        <item x="26"/>
        <item x="138"/>
        <item x="139"/>
        <item x="140"/>
        <item t="default"/>
      </items>
    </pivotField>
    <pivotField name="Continent" axis="axisPage" compact="0" numFmtId="3" outline="0" multipleItemSelectionAllowed="1" showAll="0">
      <items>
        <item h="1" x="0"/>
        <item x="1"/>
        <item h="1" x="2"/>
        <item h="1" x="3"/>
        <item h="1" x="4"/>
        <item h="1" x="5"/>
        <item t="default"/>
      </items>
    </pivotField>
    <pivotField name="200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05 Sales" fld="2" baseField="0"/>
    <dataField name="SUM of 2006 Sales" fld="3" baseField="0"/>
    <dataField name="SUM of 2007 Sales" fld="4" baseField="0"/>
    <dataField name="SUM of 2008 Sales" fld="5" baseField="0"/>
    <dataField name="SUM of 2009 Sales" fld="6" baseField="0"/>
    <dataField name="SUM of 2010 Sales" fld="7" baseField="0"/>
  </dataFields>
</pivotTableDefinition>
</file>

<file path=xl/pivotTables/pivotTable23.xml><?xml version="1.0" encoding="utf-8"?>
<pivotTableDefinition xmlns="http://schemas.openxmlformats.org/spreadsheetml/2006/main" name="Breakdown (N. America) 2" cacheId="0" dataCaption="" compact="0" compactData="0">
  <location ref="K4:Q10" firstHeaderRow="0" firstDataRow="2" firstDataCol="0" rowPageCount="1" colPageCount="1"/>
  <pivotFields>
    <pivotField name="Country" axis="axisRow" compact="0" outline="0" multipleItemSelectionAllowed="1" showAll="0" sortType="ascending">
      <items>
        <item h="1" x="57"/>
        <item h="1" x="58"/>
        <item h="1" x="59"/>
        <item h="1" x="27"/>
        <item h="1" x="60"/>
        <item h="1" x="12"/>
        <item h="1" x="32"/>
        <item h="1" x="61"/>
        <item h="1" x="62"/>
        <item h="1" x="63"/>
        <item h="1" x="64"/>
        <item h="1" x="65"/>
        <item h="1" x="20"/>
        <item h="1" x="66"/>
        <item h="1" x="67"/>
        <item h="1" x="68"/>
        <item h="1" x="69"/>
        <item h="1" x="6"/>
        <item h="1" x="70"/>
        <item h="1" x="56"/>
        <item h="1" x="71"/>
        <item h="1" x="72"/>
        <item h="1" x="73"/>
        <item h="1" x="74"/>
        <item h="1" x="75"/>
        <item x="28"/>
        <item h="1" x="24"/>
        <item h="1" x="0"/>
        <item h="1" x="33"/>
        <item h="1" x="76"/>
        <item h="1" x="54"/>
        <item h="1" x="77"/>
        <item h="1" x="78"/>
        <item h="1" x="34"/>
        <item h="1" x="40"/>
        <item h="1" x="79"/>
        <item h="1" x="80"/>
        <item h="1" x="49"/>
        <item h="1" x="42"/>
        <item h="1" x="81"/>
        <item h="1" x="82"/>
        <item h="1" x="52"/>
        <item h="1" x="7"/>
        <item h="1" x="83"/>
        <item h="1" x="84"/>
        <item h="1" x="4"/>
        <item h="1" x="85"/>
        <item h="1" x="47"/>
        <item h="1" x="86"/>
        <item h="1" x="87"/>
        <item h="1" x="88"/>
        <item h="1" x="89"/>
        <item h="1" x="46"/>
        <item h="1" x="90"/>
        <item h="1" x="1"/>
        <item h="1" x="11"/>
        <item h="1" x="91"/>
        <item h="1" x="92"/>
        <item h="1" x="48"/>
        <item h="1" x="29"/>
        <item h="1" x="9"/>
        <item h="1" x="93"/>
        <item h="1" x="94"/>
        <item h="1" x="2"/>
        <item h="1" x="95"/>
        <item h="1" x="50"/>
        <item h="1" x="96"/>
        <item h="1" x="51"/>
        <item h="1" x="97"/>
        <item h="1" x="98"/>
        <item h="1" x="99"/>
        <item h="1" x="100"/>
        <item h="1" x="101"/>
        <item h="1" x="102"/>
        <item h="1" x="103"/>
        <item h="1" x="104"/>
        <item h="1" x="105"/>
        <item h="1" x="106"/>
        <item h="1" x="15"/>
        <item h="1" x="107"/>
        <item h="1" x="108"/>
        <item x="17"/>
        <item h="1" x="109"/>
        <item h="1" x="110"/>
        <item h="1" x="41"/>
        <item h="1" x="111"/>
        <item h="1" x="112"/>
        <item h="1" x="23"/>
        <item h="1" x="45"/>
        <item h="1" x="113"/>
        <item h="1" x="114"/>
        <item h="1" x="115"/>
        <item h="1" x="36"/>
        <item h="1" x="116"/>
        <item h="1" x="35"/>
        <item h="1" x="117"/>
        <item x="118"/>
        <item h="1" x="119"/>
        <item h="1" x="44"/>
        <item h="1" x="30"/>
        <item h="1" x="18"/>
        <item h="1" x="38"/>
        <item x="120"/>
        <item h="1" x="121"/>
        <item h="1" x="122"/>
        <item h="1" x="43"/>
        <item h="1" x="13"/>
        <item h="1" x="16"/>
        <item h="1" x="123"/>
        <item h="1" x="124"/>
        <item h="1" x="125"/>
        <item h="1" x="53"/>
        <item h="1" x="126"/>
        <item h="1" x="21"/>
        <item h="1" x="8"/>
        <item h="1" x="10"/>
        <item h="1" x="127"/>
        <item h="1" x="128"/>
        <item h="1" x="25"/>
        <item h="1" x="31"/>
        <item h="1" x="129"/>
        <item h="1" x="19"/>
        <item h="1" x="130"/>
        <item h="1" x="131"/>
        <item h="1" x="22"/>
        <item h="1" x="132"/>
        <item h="1" x="133"/>
        <item h="1" x="14"/>
        <item h="1" x="134"/>
        <item h="1" x="37"/>
        <item h="1" x="135"/>
        <item h="1" x="5"/>
        <item h="1" x="55"/>
        <item h="1" x="136"/>
        <item x="3"/>
        <item h="1" x="39"/>
        <item h="1" x="137"/>
        <item h="1" x="26"/>
        <item h="1" x="138"/>
        <item h="1" x="139"/>
        <item h="1" x="140"/>
        <item t="default"/>
      </items>
    </pivotField>
    <pivotField name="Continent" axis="axisPage" compact="0" numFmtId="3" outline="0" multipleItemSelectionAllowed="1" showAll="0">
      <items>
        <item h="1" x="0"/>
        <item x="1"/>
        <item h="1" x="2"/>
        <item h="1" x="3"/>
        <item h="1" x="4"/>
        <item h="1" x="5"/>
        <item t="default"/>
      </items>
    </pivotField>
    <pivotField name="200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05 Sales" fld="2" baseField="0"/>
    <dataField name="SUM of 2006 Sales" fld="3" baseField="0"/>
    <dataField name="SUM of 2007 Sales" fld="4" baseField="0"/>
    <dataField name="SUM of 2008 Sales" fld="5" baseField="0"/>
    <dataField name="SUM of 2009 Sales" fld="6" baseField="0"/>
    <dataField name="SUM of 2010 Sales" fld="7" baseField="0"/>
  </dataFields>
</pivotTableDefinition>
</file>

<file path=xl/pivotTables/pivotTable24.xml><?xml version="1.0" encoding="utf-8"?>
<pivotTableDefinition xmlns="http://schemas.openxmlformats.org/spreadsheetml/2006/main" name="Breakdown (N. America) 3" cacheId="0" dataCaption="" compact="0" compactData="0">
  <location ref="A34:G50" firstHeaderRow="0" firstDataRow="2" firstDataCol="0" rowPageCount="1" colPageCount="1"/>
  <pivotFields>
    <pivotField name="Country" axis="axisRow" compact="0" outline="0" multipleItemSelectionAllowed="1" showAll="0" sortType="ascending">
      <items>
        <item x="57"/>
        <item x="58"/>
        <item x="59"/>
        <item x="27"/>
        <item x="60"/>
        <item x="12"/>
        <item x="32"/>
        <item x="61"/>
        <item x="62"/>
        <item x="63"/>
        <item x="64"/>
        <item x="65"/>
        <item x="20"/>
        <item x="66"/>
        <item x="67"/>
        <item x="68"/>
        <item x="69"/>
        <item x="6"/>
        <item x="70"/>
        <item x="56"/>
        <item x="71"/>
        <item x="72"/>
        <item x="73"/>
        <item x="74"/>
        <item x="75"/>
        <item x="28"/>
        <item x="24"/>
        <item x="0"/>
        <item x="33"/>
        <item x="76"/>
        <item x="54"/>
        <item x="77"/>
        <item x="78"/>
        <item x="34"/>
        <item x="40"/>
        <item x="79"/>
        <item x="80"/>
        <item x="49"/>
        <item x="42"/>
        <item x="81"/>
        <item x="82"/>
        <item x="52"/>
        <item x="7"/>
        <item x="83"/>
        <item x="84"/>
        <item x="4"/>
        <item x="85"/>
        <item x="47"/>
        <item x="86"/>
        <item x="87"/>
        <item x="88"/>
        <item x="89"/>
        <item x="46"/>
        <item x="90"/>
        <item x="1"/>
        <item x="11"/>
        <item x="91"/>
        <item x="92"/>
        <item x="48"/>
        <item x="29"/>
        <item x="9"/>
        <item x="93"/>
        <item x="94"/>
        <item x="2"/>
        <item x="95"/>
        <item x="50"/>
        <item x="96"/>
        <item x="51"/>
        <item x="97"/>
        <item x="98"/>
        <item x="99"/>
        <item x="100"/>
        <item x="101"/>
        <item x="102"/>
        <item x="103"/>
        <item x="104"/>
        <item x="105"/>
        <item x="106"/>
        <item x="15"/>
        <item x="107"/>
        <item x="108"/>
        <item x="17"/>
        <item x="109"/>
        <item x="110"/>
        <item x="41"/>
        <item x="111"/>
        <item x="112"/>
        <item x="23"/>
        <item x="45"/>
        <item x="113"/>
        <item x="114"/>
        <item x="115"/>
        <item x="36"/>
        <item x="116"/>
        <item x="35"/>
        <item x="117"/>
        <item x="118"/>
        <item x="119"/>
        <item x="44"/>
        <item x="30"/>
        <item x="18"/>
        <item x="38"/>
        <item x="120"/>
        <item x="121"/>
        <item x="122"/>
        <item x="43"/>
        <item x="13"/>
        <item x="16"/>
        <item x="123"/>
        <item x="124"/>
        <item x="125"/>
        <item x="53"/>
        <item x="126"/>
        <item x="21"/>
        <item x="8"/>
        <item x="10"/>
        <item x="127"/>
        <item x="128"/>
        <item x="25"/>
        <item x="31"/>
        <item x="129"/>
        <item x="19"/>
        <item x="130"/>
        <item x="131"/>
        <item x="22"/>
        <item x="132"/>
        <item x="133"/>
        <item x="14"/>
        <item x="134"/>
        <item x="37"/>
        <item x="135"/>
        <item x="5"/>
        <item x="55"/>
        <item x="136"/>
        <item x="3"/>
        <item x="39"/>
        <item x="137"/>
        <item x="26"/>
        <item x="138"/>
        <item x="139"/>
        <item x="140"/>
        <item t="default"/>
      </items>
    </pivotField>
    <pivotField name="Continent" axis="axisPage" compact="0" numFmtId="3" outline="0" multipleItemSelectionAllowed="1" showAll="0">
      <items>
        <item h="1" x="0"/>
        <item x="1"/>
        <item h="1" x="2"/>
        <item h="1" x="3"/>
        <item h="1"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1 Sales" fld="8" baseField="0"/>
    <dataField name="SUM of 2012 Sales" fld="9" baseField="0"/>
    <dataField name="SUM of 2013 Sales" fld="10" baseField="0"/>
    <dataField name="SUM of 2014 Sales" fld="11" baseField="0"/>
    <dataField name="SUM of 2015 Sales" fld="12" baseField="0"/>
    <dataField name="SUM of 2016 Sales" fld="13" baseField="0"/>
  </dataFields>
</pivotTableDefinition>
</file>

<file path=xl/pivotTables/pivotTable25.xml><?xml version="1.0" encoding="utf-8"?>
<pivotTableDefinition xmlns="http://schemas.openxmlformats.org/spreadsheetml/2006/main" name="Breakdown (N. America) 4" cacheId="0" dataCaption="" compact="0" compactData="0">
  <location ref="K34:Q40" firstHeaderRow="0" firstDataRow="2" firstDataCol="0" rowPageCount="1" colPageCount="1"/>
  <pivotFields>
    <pivotField name="Country" axis="axisRow" compact="0" outline="0" multipleItemSelectionAllowed="1" showAll="0" sortType="ascending">
      <items>
        <item h="1" x="57"/>
        <item h="1" x="58"/>
        <item h="1" x="59"/>
        <item h="1" x="27"/>
        <item h="1" x="60"/>
        <item h="1" x="12"/>
        <item h="1" x="32"/>
        <item h="1" x="61"/>
        <item h="1" x="62"/>
        <item h="1" x="63"/>
        <item h="1" x="64"/>
        <item h="1" x="65"/>
        <item h="1" x="20"/>
        <item h="1" x="66"/>
        <item h="1" x="67"/>
        <item h="1" x="68"/>
        <item h="1" x="69"/>
        <item h="1" x="6"/>
        <item h="1" x="70"/>
        <item h="1" x="56"/>
        <item h="1" x="71"/>
        <item h="1" x="72"/>
        <item h="1" x="73"/>
        <item h="1" x="74"/>
        <item h="1" x="75"/>
        <item x="28"/>
        <item h="1" x="24"/>
        <item h="1" x="0"/>
        <item h="1" x="33"/>
        <item h="1" x="76"/>
        <item h="1" x="54"/>
        <item h="1" x="77"/>
        <item h="1" x="78"/>
        <item h="1" x="34"/>
        <item h="1" x="40"/>
        <item h="1" x="79"/>
        <item h="1" x="80"/>
        <item h="1" x="49"/>
        <item h="1" x="42"/>
        <item h="1" x="81"/>
        <item h="1" x="82"/>
        <item h="1" x="52"/>
        <item h="1" x="7"/>
        <item h="1" x="83"/>
        <item h="1" x="84"/>
        <item h="1" x="4"/>
        <item h="1" x="85"/>
        <item h="1" x="47"/>
        <item h="1" x="86"/>
        <item h="1" x="87"/>
        <item h="1" x="88"/>
        <item h="1" x="89"/>
        <item h="1" x="46"/>
        <item h="1" x="90"/>
        <item h="1" x="1"/>
        <item h="1" x="11"/>
        <item h="1" x="91"/>
        <item h="1" x="92"/>
        <item h="1" x="48"/>
        <item h="1" x="29"/>
        <item h="1" x="9"/>
        <item h="1" x="93"/>
        <item h="1" x="94"/>
        <item h="1" x="2"/>
        <item h="1" x="95"/>
        <item h="1" x="50"/>
        <item h="1" x="96"/>
        <item h="1" x="51"/>
        <item h="1" x="97"/>
        <item h="1" x="98"/>
        <item h="1" x="99"/>
        <item h="1" x="100"/>
        <item h="1" x="101"/>
        <item h="1" x="102"/>
        <item h="1" x="103"/>
        <item h="1" x="104"/>
        <item h="1" x="105"/>
        <item h="1" x="106"/>
        <item h="1" x="15"/>
        <item h="1" x="107"/>
        <item h="1" x="108"/>
        <item x="17"/>
        <item h="1" x="109"/>
        <item h="1" x="110"/>
        <item h="1" x="41"/>
        <item h="1" x="111"/>
        <item h="1" x="112"/>
        <item h="1" x="23"/>
        <item h="1" x="45"/>
        <item h="1" x="113"/>
        <item h="1" x="114"/>
        <item h="1" x="115"/>
        <item h="1" x="36"/>
        <item h="1" x="116"/>
        <item h="1" x="35"/>
        <item h="1" x="117"/>
        <item x="118"/>
        <item h="1" x="119"/>
        <item h="1" x="44"/>
        <item h="1" x="30"/>
        <item h="1" x="18"/>
        <item h="1" x="38"/>
        <item x="120"/>
        <item h="1" x="121"/>
        <item h="1" x="122"/>
        <item h="1" x="43"/>
        <item h="1" x="13"/>
        <item h="1" x="16"/>
        <item h="1" x="123"/>
        <item h="1" x="124"/>
        <item h="1" x="125"/>
        <item h="1" x="53"/>
        <item h="1" x="126"/>
        <item h="1" x="21"/>
        <item h="1" x="8"/>
        <item h="1" x="10"/>
        <item h="1" x="127"/>
        <item h="1" x="128"/>
        <item h="1" x="25"/>
        <item h="1" x="31"/>
        <item h="1" x="129"/>
        <item h="1" x="19"/>
        <item h="1" x="130"/>
        <item h="1" x="131"/>
        <item h="1" x="22"/>
        <item h="1" x="132"/>
        <item h="1" x="133"/>
        <item h="1" x="14"/>
        <item h="1" x="134"/>
        <item h="1" x="37"/>
        <item h="1" x="135"/>
        <item h="1" x="5"/>
        <item h="1" x="55"/>
        <item h="1" x="136"/>
        <item x="3"/>
        <item h="1" x="39"/>
        <item h="1" x="137"/>
        <item h="1" x="26"/>
        <item h="1" x="138"/>
        <item h="1" x="139"/>
        <item h="1" x="140"/>
        <item t="default"/>
      </items>
    </pivotField>
    <pivotField name="Continent" axis="axisPage" compact="0" numFmtId="3" outline="0" multipleItemSelectionAllowed="1" showAll="0">
      <items>
        <item h="1" x="0"/>
        <item x="1"/>
        <item h="1" x="2"/>
        <item h="1" x="3"/>
        <item h="1"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1 Sales" fld="8" baseField="0"/>
    <dataField name="SUM of 2012 Sales" fld="9" baseField="0"/>
    <dataField name="SUM of 2013 Sales" fld="10" baseField="0"/>
    <dataField name="SUM of 2014 Sales" fld="11" baseField="0"/>
    <dataField name="SUM of 2015 Sales" fld="12" baseField="0"/>
    <dataField name="SUM of 2016 Sales" fld="13" baseField="0"/>
  </dataFields>
</pivotTableDefinition>
</file>

<file path=xl/pivotTables/pivotTable26.xml><?xml version="1.0" encoding="utf-8"?>
<pivotTableDefinition xmlns="http://schemas.openxmlformats.org/spreadsheetml/2006/main" name="Breakdown (N. America) 5" cacheId="0" dataCaption="" compact="0" compactData="0">
  <location ref="A68:G84" firstHeaderRow="0" firstDataRow="2" firstDataCol="0" rowPageCount="1" colPageCount="1"/>
  <pivotFields>
    <pivotField name="Country" axis="axisRow" compact="0" outline="0" multipleItemSelectionAllowed="1" showAll="0" sortType="ascending">
      <items>
        <item x="57"/>
        <item x="58"/>
        <item x="59"/>
        <item x="27"/>
        <item x="60"/>
        <item x="12"/>
        <item x="32"/>
        <item x="61"/>
        <item x="62"/>
        <item x="63"/>
        <item x="64"/>
        <item x="65"/>
        <item x="20"/>
        <item x="66"/>
        <item x="67"/>
        <item x="68"/>
        <item x="69"/>
        <item x="6"/>
        <item x="70"/>
        <item x="56"/>
        <item x="71"/>
        <item x="72"/>
        <item x="73"/>
        <item x="74"/>
        <item x="75"/>
        <item x="28"/>
        <item x="24"/>
        <item x="0"/>
        <item x="33"/>
        <item x="76"/>
        <item x="54"/>
        <item x="77"/>
        <item x="78"/>
        <item x="34"/>
        <item x="40"/>
        <item x="79"/>
        <item x="80"/>
        <item x="49"/>
        <item x="42"/>
        <item x="81"/>
        <item x="82"/>
        <item x="52"/>
        <item x="7"/>
        <item x="83"/>
        <item x="84"/>
        <item x="4"/>
        <item x="85"/>
        <item x="47"/>
        <item x="86"/>
        <item x="87"/>
        <item x="88"/>
        <item x="89"/>
        <item x="46"/>
        <item x="90"/>
        <item x="1"/>
        <item x="11"/>
        <item x="91"/>
        <item x="92"/>
        <item x="48"/>
        <item x="29"/>
        <item x="9"/>
        <item x="93"/>
        <item x="94"/>
        <item x="2"/>
        <item x="95"/>
        <item x="50"/>
        <item x="96"/>
        <item x="51"/>
        <item x="97"/>
        <item x="98"/>
        <item x="99"/>
        <item x="100"/>
        <item x="101"/>
        <item x="102"/>
        <item x="103"/>
        <item x="104"/>
        <item x="105"/>
        <item x="106"/>
        <item x="15"/>
        <item x="107"/>
        <item x="108"/>
        <item x="17"/>
        <item x="109"/>
        <item x="110"/>
        <item x="41"/>
        <item x="111"/>
        <item x="112"/>
        <item x="23"/>
        <item x="45"/>
        <item x="113"/>
        <item x="114"/>
        <item x="115"/>
        <item x="36"/>
        <item x="116"/>
        <item x="35"/>
        <item x="117"/>
        <item x="118"/>
        <item x="119"/>
        <item x="44"/>
        <item x="30"/>
        <item x="18"/>
        <item x="38"/>
        <item x="120"/>
        <item x="121"/>
        <item x="122"/>
        <item x="43"/>
        <item x="13"/>
        <item x="16"/>
        <item x="123"/>
        <item x="124"/>
        <item x="125"/>
        <item x="53"/>
        <item x="126"/>
        <item x="21"/>
        <item x="8"/>
        <item x="10"/>
        <item x="127"/>
        <item x="128"/>
        <item x="25"/>
        <item x="31"/>
        <item x="129"/>
        <item x="19"/>
        <item x="130"/>
        <item x="131"/>
        <item x="22"/>
        <item x="132"/>
        <item x="133"/>
        <item x="14"/>
        <item x="134"/>
        <item x="37"/>
        <item x="135"/>
        <item x="5"/>
        <item x="55"/>
        <item x="136"/>
        <item x="3"/>
        <item x="39"/>
        <item x="137"/>
        <item x="26"/>
        <item x="138"/>
        <item x="139"/>
        <item x="140"/>
        <item t="default"/>
      </items>
    </pivotField>
    <pivotField name="Continent" axis="axisPage" compact="0" numFmtId="3" outline="0" multipleItemSelectionAllowed="1" showAll="0">
      <items>
        <item h="1" x="0"/>
        <item x="1"/>
        <item h="1" x="2"/>
        <item h="1" x="3"/>
        <item h="1"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7 Sales" fld="14" baseField="0"/>
    <dataField name="SUM of 2018 Sales" fld="15" baseField="0"/>
    <dataField name="SUM of 2019 Sales" fld="16" baseField="0"/>
    <dataField name="SUM of 2020 Sales" fld="17" baseField="0"/>
    <dataField name="SUM of 2021 Sales" fld="18" baseField="0"/>
    <dataField name="SUM of 2022 Sales" fld="19" baseField="0"/>
  </dataFields>
</pivotTableDefinition>
</file>

<file path=xl/pivotTables/pivotTable27.xml><?xml version="1.0" encoding="utf-8"?>
<pivotTableDefinition xmlns="http://schemas.openxmlformats.org/spreadsheetml/2006/main" name="Breakdown (N. America) 6" cacheId="0" dataCaption="" compact="0" compactData="0">
  <location ref="K68:Q74" firstHeaderRow="0" firstDataRow="2" firstDataCol="0" rowPageCount="1" colPageCount="1"/>
  <pivotFields>
    <pivotField name="Country" axis="axisRow" compact="0" outline="0" multipleItemSelectionAllowed="1" showAll="0" sortType="ascending">
      <items>
        <item h="1" x="57"/>
        <item h="1" x="58"/>
        <item h="1" x="59"/>
        <item h="1" x="27"/>
        <item h="1" x="60"/>
        <item h="1" x="12"/>
        <item h="1" x="32"/>
        <item h="1" x="61"/>
        <item h="1" x="62"/>
        <item h="1" x="63"/>
        <item h="1" x="64"/>
        <item h="1" x="65"/>
        <item h="1" x="20"/>
        <item h="1" x="66"/>
        <item h="1" x="67"/>
        <item h="1" x="68"/>
        <item h="1" x="69"/>
        <item h="1" x="6"/>
        <item h="1" x="70"/>
        <item h="1" x="56"/>
        <item h="1" x="71"/>
        <item h="1" x="72"/>
        <item h="1" x="73"/>
        <item h="1" x="74"/>
        <item h="1" x="75"/>
        <item x="28"/>
        <item h="1" x="24"/>
        <item h="1" x="0"/>
        <item h="1" x="33"/>
        <item h="1" x="76"/>
        <item h="1" x="54"/>
        <item h="1" x="77"/>
        <item h="1" x="78"/>
        <item h="1" x="34"/>
        <item h="1" x="40"/>
        <item h="1" x="79"/>
        <item h="1" x="80"/>
        <item h="1" x="49"/>
        <item h="1" x="42"/>
        <item h="1" x="81"/>
        <item h="1" x="82"/>
        <item h="1" x="52"/>
        <item h="1" x="7"/>
        <item h="1" x="83"/>
        <item h="1" x="84"/>
        <item h="1" x="4"/>
        <item h="1" x="85"/>
        <item h="1" x="47"/>
        <item h="1" x="86"/>
        <item h="1" x="87"/>
        <item h="1" x="88"/>
        <item h="1" x="89"/>
        <item h="1" x="46"/>
        <item h="1" x="90"/>
        <item h="1" x="1"/>
        <item h="1" x="11"/>
        <item h="1" x="91"/>
        <item h="1" x="92"/>
        <item h="1" x="48"/>
        <item h="1" x="29"/>
        <item h="1" x="9"/>
        <item h="1" x="93"/>
        <item h="1" x="94"/>
        <item h="1" x="2"/>
        <item h="1" x="95"/>
        <item h="1" x="50"/>
        <item h="1" x="96"/>
        <item h="1" x="51"/>
        <item h="1" x="97"/>
        <item h="1" x="98"/>
        <item h="1" x="99"/>
        <item h="1" x="100"/>
        <item h="1" x="101"/>
        <item h="1" x="102"/>
        <item h="1" x="103"/>
        <item h="1" x="104"/>
        <item h="1" x="105"/>
        <item h="1" x="106"/>
        <item h="1" x="15"/>
        <item h="1" x="107"/>
        <item h="1" x="108"/>
        <item x="17"/>
        <item h="1" x="109"/>
        <item h="1" x="110"/>
        <item h="1" x="41"/>
        <item h="1" x="111"/>
        <item h="1" x="112"/>
        <item h="1" x="23"/>
        <item h="1" x="45"/>
        <item h="1" x="113"/>
        <item h="1" x="114"/>
        <item h="1" x="115"/>
        <item h="1" x="36"/>
        <item h="1" x="116"/>
        <item h="1" x="35"/>
        <item h="1" x="117"/>
        <item x="118"/>
        <item h="1" x="119"/>
        <item h="1" x="44"/>
        <item h="1" x="30"/>
        <item h="1" x="18"/>
        <item h="1" x="38"/>
        <item x="120"/>
        <item h="1" x="121"/>
        <item h="1" x="122"/>
        <item h="1" x="43"/>
        <item h="1" x="13"/>
        <item h="1" x="16"/>
        <item h="1" x="123"/>
        <item h="1" x="124"/>
        <item h="1" x="125"/>
        <item h="1" x="53"/>
        <item h="1" x="126"/>
        <item h="1" x="21"/>
        <item h="1" x="8"/>
        <item h="1" x="10"/>
        <item h="1" x="127"/>
        <item h="1" x="128"/>
        <item h="1" x="25"/>
        <item h="1" x="31"/>
        <item h="1" x="129"/>
        <item h="1" x="19"/>
        <item h="1" x="130"/>
        <item h="1" x="131"/>
        <item h="1" x="22"/>
        <item h="1" x="132"/>
        <item h="1" x="133"/>
        <item h="1" x="14"/>
        <item h="1" x="134"/>
        <item h="1" x="37"/>
        <item h="1" x="135"/>
        <item h="1" x="5"/>
        <item h="1" x="55"/>
        <item h="1" x="136"/>
        <item x="3"/>
        <item h="1" x="39"/>
        <item h="1" x="137"/>
        <item h="1" x="26"/>
        <item h="1" x="138"/>
        <item h="1" x="139"/>
        <item h="1" x="140"/>
        <item t="default"/>
      </items>
    </pivotField>
    <pivotField name="Continent" axis="axisPage" compact="0" numFmtId="3" outline="0" multipleItemSelectionAllowed="1" showAll="0">
      <items>
        <item h="1" x="0"/>
        <item x="1"/>
        <item h="1" x="2"/>
        <item h="1" x="3"/>
        <item h="1"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7 Sales" fld="14" baseField="0"/>
    <dataField name="SUM of 2018 Sales" fld="15" baseField="0"/>
    <dataField name="SUM of 2019 Sales" fld="16" baseField="0"/>
    <dataField name="SUM of 2020 Sales" fld="17" baseField="0"/>
    <dataField name="SUM of 2021 Sales" fld="18" baseField="0"/>
    <dataField name="SUM of 2022 Sales" fld="19" baseField="0"/>
  </dataFields>
</pivotTableDefinition>
</file>

<file path=xl/pivotTables/pivotTable28.xml><?xml version="1.0" encoding="utf-8"?>
<pivotTableDefinition xmlns="http://schemas.openxmlformats.org/spreadsheetml/2006/main" name="Breakdown (Oceania)" cacheId="0" dataCaption="" compact="0" compactData="0">
  <location ref="A3:G6" firstHeaderRow="0" firstDataRow="2" firstDataCol="0" rowPageCount="1" colPageCount="1"/>
  <pivotFields>
    <pivotField name="Country" axis="axisRow" compact="0" outline="0" multipleItemSelectionAllowed="1" showAll="0" sortType="ascending">
      <items>
        <item x="57"/>
        <item x="58"/>
        <item x="59"/>
        <item x="27"/>
        <item x="60"/>
        <item x="12"/>
        <item x="32"/>
        <item x="61"/>
        <item x="62"/>
        <item x="63"/>
        <item x="64"/>
        <item x="65"/>
        <item x="20"/>
        <item x="66"/>
        <item x="67"/>
        <item x="68"/>
        <item x="69"/>
        <item x="6"/>
        <item x="70"/>
        <item x="56"/>
        <item x="71"/>
        <item x="72"/>
        <item x="73"/>
        <item x="74"/>
        <item x="75"/>
        <item x="28"/>
        <item x="24"/>
        <item x="0"/>
        <item x="33"/>
        <item x="76"/>
        <item x="54"/>
        <item x="77"/>
        <item x="78"/>
        <item x="34"/>
        <item x="40"/>
        <item x="79"/>
        <item x="80"/>
        <item x="49"/>
        <item x="42"/>
        <item x="81"/>
        <item x="82"/>
        <item x="52"/>
        <item x="7"/>
        <item x="83"/>
        <item x="84"/>
        <item x="4"/>
        <item x="85"/>
        <item x="47"/>
        <item x="86"/>
        <item x="87"/>
        <item x="88"/>
        <item x="89"/>
        <item x="46"/>
        <item x="90"/>
        <item x="1"/>
        <item x="11"/>
        <item x="91"/>
        <item x="92"/>
        <item x="48"/>
        <item x="29"/>
        <item x="9"/>
        <item x="93"/>
        <item x="94"/>
        <item x="2"/>
        <item x="95"/>
        <item x="50"/>
        <item x="96"/>
        <item x="51"/>
        <item x="97"/>
        <item x="98"/>
        <item x="99"/>
        <item x="100"/>
        <item x="101"/>
        <item x="102"/>
        <item x="103"/>
        <item x="104"/>
        <item x="105"/>
        <item x="106"/>
        <item x="15"/>
        <item x="107"/>
        <item x="108"/>
        <item x="17"/>
        <item x="109"/>
        <item x="110"/>
        <item x="41"/>
        <item x="111"/>
        <item x="112"/>
        <item x="23"/>
        <item x="45"/>
        <item x="113"/>
        <item x="114"/>
        <item x="115"/>
        <item x="36"/>
        <item x="116"/>
        <item x="35"/>
        <item x="117"/>
        <item x="118"/>
        <item x="119"/>
        <item x="44"/>
        <item x="30"/>
        <item x="18"/>
        <item x="38"/>
        <item x="120"/>
        <item x="121"/>
        <item x="122"/>
        <item x="43"/>
        <item x="13"/>
        <item x="16"/>
        <item x="123"/>
        <item x="124"/>
        <item x="125"/>
        <item x="53"/>
        <item x="126"/>
        <item x="21"/>
        <item x="8"/>
        <item x="10"/>
        <item x="127"/>
        <item x="128"/>
        <item x="25"/>
        <item x="31"/>
        <item x="129"/>
        <item x="19"/>
        <item x="130"/>
        <item x="131"/>
        <item x="22"/>
        <item x="132"/>
        <item x="133"/>
        <item x="14"/>
        <item x="134"/>
        <item x="37"/>
        <item x="135"/>
        <item x="5"/>
        <item x="55"/>
        <item x="136"/>
        <item x="3"/>
        <item x="39"/>
        <item x="137"/>
        <item x="26"/>
        <item x="138"/>
        <item x="139"/>
        <item x="140"/>
        <item t="default"/>
      </items>
    </pivotField>
    <pivotField name="Continent" axis="axisPage" compact="0" numFmtId="3" outline="0" multipleItemSelectionAllowed="1" showAll="0">
      <items>
        <item h="1" x="0"/>
        <item h="1" x="1"/>
        <item h="1" x="2"/>
        <item h="1" x="3"/>
        <item x="4"/>
        <item h="1" x="5"/>
        <item t="default"/>
      </items>
    </pivotField>
    <pivotField name="200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05 Sales" fld="2" baseField="0"/>
    <dataField name="SUM of 2006 Sales" fld="3" baseField="0"/>
    <dataField name="SUM of 2007 Sales" fld="4" baseField="0"/>
    <dataField name="SUM of 2008 Sales" fld="5" baseField="0"/>
    <dataField name="SUM of 2009 Sales" fld="6" baseField="0"/>
    <dataField name="SUM of 2010 Sales" fld="7" baseField="0"/>
  </dataFields>
</pivotTableDefinition>
</file>

<file path=xl/pivotTables/pivotTable29.xml><?xml version="1.0" encoding="utf-8"?>
<pivotTableDefinition xmlns="http://schemas.openxmlformats.org/spreadsheetml/2006/main" name="Breakdown (Oceania) 2" cacheId="0" dataCaption="" compact="0" compactData="0">
  <location ref="K3:Q6" firstHeaderRow="0" firstDataRow="2" firstDataCol="0" rowPageCount="1" colPageCount="1"/>
  <pivotFields>
    <pivotField name="Country" axis="axisRow" compact="0" outline="0" multipleItemSelectionAllowed="1" showAll="0" sortType="ascending">
      <items>
        <item h="1" x="57"/>
        <item h="1" x="58"/>
        <item h="1" x="59"/>
        <item h="1" x="27"/>
        <item h="1" x="60"/>
        <item x="12"/>
        <item h="1" x="32"/>
        <item h="1" x="61"/>
        <item h="1" x="62"/>
        <item h="1" x="63"/>
        <item h="1" x="64"/>
        <item h="1" x="65"/>
        <item h="1" x="20"/>
        <item h="1" x="66"/>
        <item h="1" x="67"/>
        <item h="1" x="68"/>
        <item h="1" x="69"/>
        <item h="1" x="6"/>
        <item h="1" x="70"/>
        <item h="1" x="56"/>
        <item h="1" x="71"/>
        <item h="1" x="72"/>
        <item h="1" x="73"/>
        <item h="1" x="74"/>
        <item h="1" x="75"/>
        <item h="1" x="28"/>
        <item h="1" x="24"/>
        <item h="1" x="0"/>
        <item h="1" x="33"/>
        <item h="1" x="76"/>
        <item h="1" x="54"/>
        <item h="1" x="77"/>
        <item h="1" x="78"/>
        <item h="1" x="34"/>
        <item h="1" x="40"/>
        <item h="1" x="79"/>
        <item h="1" x="80"/>
        <item h="1" x="49"/>
        <item h="1" x="42"/>
        <item h="1" x="81"/>
        <item h="1" x="82"/>
        <item h="1" x="52"/>
        <item h="1" x="7"/>
        <item h="1" x="83"/>
        <item h="1" x="84"/>
        <item h="1" x="4"/>
        <item h="1" x="85"/>
        <item h="1" x="47"/>
        <item h="1" x="86"/>
        <item h="1" x="87"/>
        <item h="1" x="88"/>
        <item h="1" x="89"/>
        <item h="1" x="46"/>
        <item h="1" x="90"/>
        <item h="1" x="1"/>
        <item h="1" x="11"/>
        <item h="1" x="91"/>
        <item h="1" x="92"/>
        <item h="1" x="48"/>
        <item h="1" x="29"/>
        <item h="1" x="9"/>
        <item h="1" x="93"/>
        <item h="1" x="94"/>
        <item h="1" x="2"/>
        <item h="1" x="95"/>
        <item h="1" x="50"/>
        <item h="1" x="96"/>
        <item h="1" x="51"/>
        <item h="1" x="97"/>
        <item h="1" x="98"/>
        <item h="1" x="99"/>
        <item h="1" x="100"/>
        <item h="1" x="101"/>
        <item h="1" x="102"/>
        <item h="1" x="103"/>
        <item h="1" x="104"/>
        <item h="1" x="105"/>
        <item h="1" x="106"/>
        <item h="1" x="15"/>
        <item h="1" x="107"/>
        <item h="1" x="108"/>
        <item h="1" x="17"/>
        <item h="1" x="109"/>
        <item h="1" x="110"/>
        <item h="1" x="41"/>
        <item h="1" x="111"/>
        <item h="1" x="112"/>
        <item h="1" x="23"/>
        <item x="45"/>
        <item h="1" x="113"/>
        <item h="1" x="114"/>
        <item h="1" x="115"/>
        <item h="1" x="36"/>
        <item h="1" x="116"/>
        <item h="1" x="35"/>
        <item h="1" x="117"/>
        <item h="1" x="118"/>
        <item h="1" x="119"/>
        <item h="1" x="44"/>
        <item h="1" x="30"/>
        <item h="1" x="18"/>
        <item h="1" x="38"/>
        <item h="1" x="120"/>
        <item h="1" x="121"/>
        <item h="1" x="122"/>
        <item h="1" x="43"/>
        <item h="1" x="13"/>
        <item h="1" x="16"/>
        <item h="1" x="123"/>
        <item h="1" x="124"/>
        <item h="1" x="125"/>
        <item h="1" x="53"/>
        <item h="1" x="126"/>
        <item h="1" x="21"/>
        <item h="1" x="8"/>
        <item h="1" x="10"/>
        <item h="1" x="127"/>
        <item h="1" x="128"/>
        <item h="1" x="25"/>
        <item h="1" x="31"/>
        <item h="1" x="129"/>
        <item h="1" x="19"/>
        <item h="1" x="130"/>
        <item h="1" x="131"/>
        <item h="1" x="22"/>
        <item h="1" x="132"/>
        <item h="1" x="133"/>
        <item h="1" x="14"/>
        <item h="1" x="134"/>
        <item h="1" x="37"/>
        <item h="1" x="135"/>
        <item h="1" x="5"/>
        <item h="1" x="55"/>
        <item h="1" x="136"/>
        <item h="1" x="3"/>
        <item h="1" x="39"/>
        <item h="1" x="137"/>
        <item h="1" x="26"/>
        <item h="1" x="138"/>
        <item h="1" x="139"/>
        <item h="1" x="140"/>
        <item t="default"/>
      </items>
    </pivotField>
    <pivotField name="Continent" axis="axisPage" compact="0" numFmtId="3" outline="0" multipleItemSelectionAllowed="1" showAll="0">
      <items>
        <item h="1" x="0"/>
        <item h="1" x="1"/>
        <item h="1" x="2"/>
        <item h="1" x="3"/>
        <item x="4"/>
        <item h="1" x="5"/>
        <item t="default"/>
      </items>
    </pivotField>
    <pivotField name="200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05 Sales" fld="2" baseField="0"/>
    <dataField name="SUM of 2006 Sales" fld="3" baseField="0"/>
    <dataField name="SUM of 2007 Sales" fld="4" baseField="0"/>
    <dataField name="SUM of 2008 Sales" fld="5" baseField="0"/>
    <dataField name="SUM of 2009 Sales" fld="6" baseField="0"/>
    <dataField name="SUM of 2010 Sales" fld="7" baseField="0"/>
  </dataFields>
</pivotTableDefinition>
</file>

<file path=xl/pivotTables/pivotTable30.xml><?xml version="1.0" encoding="utf-8"?>
<pivotTableDefinition xmlns="http://schemas.openxmlformats.org/spreadsheetml/2006/main" name="Breakdown (Oceania) 3" cacheId="0" dataCaption="" compact="0" compactData="0">
  <location ref="A31:G34" firstHeaderRow="0" firstDataRow="2" firstDataCol="0" rowPageCount="1" colPageCount="1"/>
  <pivotFields>
    <pivotField name="Country" axis="axisRow" compact="0" outline="0" multipleItemSelectionAllowed="1" showAll="0" sortType="ascending">
      <items>
        <item x="57"/>
        <item x="58"/>
        <item x="59"/>
        <item x="27"/>
        <item x="60"/>
        <item x="12"/>
        <item x="32"/>
        <item x="61"/>
        <item x="62"/>
        <item x="63"/>
        <item x="64"/>
        <item x="65"/>
        <item x="20"/>
        <item x="66"/>
        <item x="67"/>
        <item x="68"/>
        <item x="69"/>
        <item x="6"/>
        <item x="70"/>
        <item x="56"/>
        <item x="71"/>
        <item x="72"/>
        <item x="73"/>
        <item x="74"/>
        <item x="75"/>
        <item x="28"/>
        <item x="24"/>
        <item x="0"/>
        <item x="33"/>
        <item x="76"/>
        <item x="54"/>
        <item x="77"/>
        <item x="78"/>
        <item x="34"/>
        <item x="40"/>
        <item x="79"/>
        <item x="80"/>
        <item x="49"/>
        <item x="42"/>
        <item x="81"/>
        <item x="82"/>
        <item x="52"/>
        <item x="7"/>
        <item x="83"/>
        <item x="84"/>
        <item x="4"/>
        <item x="85"/>
        <item x="47"/>
        <item x="86"/>
        <item x="87"/>
        <item x="88"/>
        <item x="89"/>
        <item x="46"/>
        <item x="90"/>
        <item x="1"/>
        <item x="11"/>
        <item x="91"/>
        <item x="92"/>
        <item x="48"/>
        <item x="29"/>
        <item x="9"/>
        <item x="93"/>
        <item x="94"/>
        <item x="2"/>
        <item x="95"/>
        <item x="50"/>
        <item x="96"/>
        <item x="51"/>
        <item x="97"/>
        <item x="98"/>
        <item x="99"/>
        <item x="100"/>
        <item x="101"/>
        <item x="102"/>
        <item x="103"/>
        <item x="104"/>
        <item x="105"/>
        <item x="106"/>
        <item x="15"/>
        <item x="107"/>
        <item x="108"/>
        <item x="17"/>
        <item x="109"/>
        <item x="110"/>
        <item x="41"/>
        <item x="111"/>
        <item x="112"/>
        <item x="23"/>
        <item x="45"/>
        <item x="113"/>
        <item x="114"/>
        <item x="115"/>
        <item x="36"/>
        <item x="116"/>
        <item x="35"/>
        <item x="117"/>
        <item x="118"/>
        <item x="119"/>
        <item x="44"/>
        <item x="30"/>
        <item x="18"/>
        <item x="38"/>
        <item x="120"/>
        <item x="121"/>
        <item x="122"/>
        <item x="43"/>
        <item x="13"/>
        <item x="16"/>
        <item x="123"/>
        <item x="124"/>
        <item x="125"/>
        <item x="53"/>
        <item x="126"/>
        <item x="21"/>
        <item x="8"/>
        <item x="10"/>
        <item x="127"/>
        <item x="128"/>
        <item x="25"/>
        <item x="31"/>
        <item x="129"/>
        <item x="19"/>
        <item x="130"/>
        <item x="131"/>
        <item x="22"/>
        <item x="132"/>
        <item x="133"/>
        <item x="14"/>
        <item x="134"/>
        <item x="37"/>
        <item x="135"/>
        <item x="5"/>
        <item x="55"/>
        <item x="136"/>
        <item x="3"/>
        <item x="39"/>
        <item x="137"/>
        <item x="26"/>
        <item x="138"/>
        <item x="139"/>
        <item x="140"/>
        <item t="default"/>
      </items>
    </pivotField>
    <pivotField name="Continent" axis="axisPage" compact="0" numFmtId="3" outline="0" multipleItemSelectionAllowed="1" showAll="0">
      <items>
        <item h="1" x="0"/>
        <item h="1" x="1"/>
        <item h="1" x="2"/>
        <item h="1" x="3"/>
        <item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1 Sales" fld="8" baseField="0"/>
    <dataField name="SUM of 2012 Sales" fld="9" baseField="0"/>
    <dataField name="SUM of 2013 Sales" fld="10" baseField="0"/>
    <dataField name="SUM of 2014 Sales" fld="11" baseField="0"/>
    <dataField name="SUM of 2015 Sales" fld="12" baseField="0"/>
    <dataField name="SUM of 2016 Sales" fld="13" baseField="0"/>
  </dataFields>
</pivotTableDefinition>
</file>

<file path=xl/pivotTables/pivotTable31.xml><?xml version="1.0" encoding="utf-8"?>
<pivotTableDefinition xmlns="http://schemas.openxmlformats.org/spreadsheetml/2006/main" name="Breakdown (Oceania) 4" cacheId="0" dataCaption="" compact="0" compactData="0">
  <location ref="K31:Q34" firstHeaderRow="0" firstDataRow="2" firstDataCol="0" rowPageCount="1" colPageCount="1"/>
  <pivotFields>
    <pivotField name="Country" axis="axisRow" compact="0" outline="0" multipleItemSelectionAllowed="1" showAll="0" sortType="ascending">
      <items>
        <item h="1" x="57"/>
        <item h="1" x="58"/>
        <item h="1" x="59"/>
        <item h="1" x="27"/>
        <item h="1" x="60"/>
        <item x="12"/>
        <item h="1" x="32"/>
        <item h="1" x="61"/>
        <item h="1" x="62"/>
        <item h="1" x="63"/>
        <item h="1" x="64"/>
        <item h="1" x="65"/>
        <item h="1" x="20"/>
        <item h="1" x="66"/>
        <item h="1" x="67"/>
        <item h="1" x="68"/>
        <item h="1" x="69"/>
        <item h="1" x="6"/>
        <item h="1" x="70"/>
        <item h="1" x="56"/>
        <item h="1" x="71"/>
        <item h="1" x="72"/>
        <item h="1" x="73"/>
        <item h="1" x="74"/>
        <item h="1" x="75"/>
        <item h="1" x="28"/>
        <item h="1" x="24"/>
        <item h="1" x="0"/>
        <item h="1" x="33"/>
        <item h="1" x="76"/>
        <item h="1" x="54"/>
        <item h="1" x="77"/>
        <item h="1" x="78"/>
        <item h="1" x="34"/>
        <item h="1" x="40"/>
        <item h="1" x="79"/>
        <item h="1" x="80"/>
        <item h="1" x="49"/>
        <item h="1" x="42"/>
        <item h="1" x="81"/>
        <item h="1" x="82"/>
        <item h="1" x="52"/>
        <item h="1" x="7"/>
        <item h="1" x="83"/>
        <item h="1" x="84"/>
        <item h="1" x="4"/>
        <item h="1" x="85"/>
        <item h="1" x="47"/>
        <item h="1" x="86"/>
        <item h="1" x="87"/>
        <item h="1" x="88"/>
        <item h="1" x="89"/>
        <item h="1" x="46"/>
        <item h="1" x="90"/>
        <item h="1" x="1"/>
        <item h="1" x="11"/>
        <item h="1" x="91"/>
        <item h="1" x="92"/>
        <item h="1" x="48"/>
        <item h="1" x="29"/>
        <item h="1" x="9"/>
        <item h="1" x="93"/>
        <item h="1" x="94"/>
        <item h="1" x="2"/>
        <item h="1" x="95"/>
        <item h="1" x="50"/>
        <item h="1" x="96"/>
        <item h="1" x="51"/>
        <item h="1" x="97"/>
        <item h="1" x="98"/>
        <item h="1" x="99"/>
        <item h="1" x="100"/>
        <item h="1" x="101"/>
        <item h="1" x="102"/>
        <item h="1" x="103"/>
        <item h="1" x="104"/>
        <item h="1" x="105"/>
        <item h="1" x="106"/>
        <item h="1" x="15"/>
        <item h="1" x="107"/>
        <item h="1" x="108"/>
        <item h="1" x="17"/>
        <item h="1" x="109"/>
        <item h="1" x="110"/>
        <item h="1" x="41"/>
        <item h="1" x="111"/>
        <item h="1" x="112"/>
        <item h="1" x="23"/>
        <item x="45"/>
        <item h="1" x="113"/>
        <item h="1" x="114"/>
        <item h="1" x="115"/>
        <item h="1" x="36"/>
        <item h="1" x="116"/>
        <item h="1" x="35"/>
        <item h="1" x="117"/>
        <item h="1" x="118"/>
        <item h="1" x="119"/>
        <item h="1" x="44"/>
        <item h="1" x="30"/>
        <item h="1" x="18"/>
        <item h="1" x="38"/>
        <item h="1" x="120"/>
        <item h="1" x="121"/>
        <item h="1" x="122"/>
        <item h="1" x="43"/>
        <item h="1" x="13"/>
        <item h="1" x="16"/>
        <item h="1" x="123"/>
        <item h="1" x="124"/>
        <item h="1" x="125"/>
        <item h="1" x="53"/>
        <item h="1" x="126"/>
        <item h="1" x="21"/>
        <item h="1" x="8"/>
        <item h="1" x="10"/>
        <item h="1" x="127"/>
        <item h="1" x="128"/>
        <item h="1" x="25"/>
        <item h="1" x="31"/>
        <item h="1" x="129"/>
        <item h="1" x="19"/>
        <item h="1" x="130"/>
        <item h="1" x="131"/>
        <item h="1" x="22"/>
        <item h="1" x="132"/>
        <item h="1" x="133"/>
        <item h="1" x="14"/>
        <item h="1" x="134"/>
        <item h="1" x="37"/>
        <item h="1" x="135"/>
        <item h="1" x="5"/>
        <item h="1" x="55"/>
        <item h="1" x="136"/>
        <item h="1" x="3"/>
        <item h="1" x="39"/>
        <item h="1" x="137"/>
        <item h="1" x="26"/>
        <item h="1" x="138"/>
        <item h="1" x="139"/>
        <item h="1" x="140"/>
        <item t="default"/>
      </items>
    </pivotField>
    <pivotField name="Continent" axis="axisPage" compact="0" numFmtId="3" outline="0" multipleItemSelectionAllowed="1" showAll="0">
      <items>
        <item h="1" x="0"/>
        <item h="1" x="1"/>
        <item h="1" x="2"/>
        <item h="1" x="3"/>
        <item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1 Sales" fld="8" baseField="0"/>
    <dataField name="SUM of 2012 Sales" fld="9" baseField="0"/>
    <dataField name="SUM of 2013 Sales" fld="10" baseField="0"/>
    <dataField name="SUM of 2014 Sales" fld="11" baseField="0"/>
    <dataField name="SUM of 2015 Sales" fld="12" baseField="0"/>
    <dataField name="SUM of 2016 Sales" fld="13" baseField="0"/>
  </dataFields>
</pivotTableDefinition>
</file>

<file path=xl/pivotTables/pivotTable32.xml><?xml version="1.0" encoding="utf-8"?>
<pivotTableDefinition xmlns="http://schemas.openxmlformats.org/spreadsheetml/2006/main" name="Breakdown (Oceania) 5" cacheId="0" dataCaption="" compact="0" compactData="0">
  <location ref="A65:G68" firstHeaderRow="0" firstDataRow="2" firstDataCol="0" rowPageCount="1" colPageCount="1"/>
  <pivotFields>
    <pivotField name="Country" axis="axisRow" compact="0" outline="0" multipleItemSelectionAllowed="1" showAll="0" sortType="ascending">
      <items>
        <item x="57"/>
        <item x="58"/>
        <item x="59"/>
        <item x="27"/>
        <item x="60"/>
        <item x="12"/>
        <item x="32"/>
        <item x="61"/>
        <item x="62"/>
        <item x="63"/>
        <item x="64"/>
        <item x="65"/>
        <item x="20"/>
        <item x="66"/>
        <item x="67"/>
        <item x="68"/>
        <item x="69"/>
        <item x="6"/>
        <item x="70"/>
        <item x="56"/>
        <item x="71"/>
        <item x="72"/>
        <item x="73"/>
        <item x="74"/>
        <item x="75"/>
        <item x="28"/>
        <item x="24"/>
        <item x="0"/>
        <item x="33"/>
        <item x="76"/>
        <item x="54"/>
        <item x="77"/>
        <item x="78"/>
        <item x="34"/>
        <item x="40"/>
        <item x="79"/>
        <item x="80"/>
        <item x="49"/>
        <item x="42"/>
        <item x="81"/>
        <item x="82"/>
        <item x="52"/>
        <item x="7"/>
        <item x="83"/>
        <item x="84"/>
        <item x="4"/>
        <item x="85"/>
        <item x="47"/>
        <item x="86"/>
        <item x="87"/>
        <item x="88"/>
        <item x="89"/>
        <item x="46"/>
        <item x="90"/>
        <item x="1"/>
        <item x="11"/>
        <item x="91"/>
        <item x="92"/>
        <item x="48"/>
        <item x="29"/>
        <item x="9"/>
        <item x="93"/>
        <item x="94"/>
        <item x="2"/>
        <item x="95"/>
        <item x="50"/>
        <item x="96"/>
        <item x="51"/>
        <item x="97"/>
        <item x="98"/>
        <item x="99"/>
        <item x="100"/>
        <item x="101"/>
        <item x="102"/>
        <item x="103"/>
        <item x="104"/>
        <item x="105"/>
        <item x="106"/>
        <item x="15"/>
        <item x="107"/>
        <item x="108"/>
        <item x="17"/>
        <item x="109"/>
        <item x="110"/>
        <item x="41"/>
        <item x="111"/>
        <item x="112"/>
        <item x="23"/>
        <item x="45"/>
        <item x="113"/>
        <item x="114"/>
        <item x="115"/>
        <item x="36"/>
        <item x="116"/>
        <item x="35"/>
        <item x="117"/>
        <item x="118"/>
        <item x="119"/>
        <item x="44"/>
        <item x="30"/>
        <item x="18"/>
        <item x="38"/>
        <item x="120"/>
        <item x="121"/>
        <item x="122"/>
        <item x="43"/>
        <item x="13"/>
        <item x="16"/>
        <item x="123"/>
        <item x="124"/>
        <item x="125"/>
        <item x="53"/>
        <item x="126"/>
        <item x="21"/>
        <item x="8"/>
        <item x="10"/>
        <item x="127"/>
        <item x="128"/>
        <item x="25"/>
        <item x="31"/>
        <item x="129"/>
        <item x="19"/>
        <item x="130"/>
        <item x="131"/>
        <item x="22"/>
        <item x="132"/>
        <item x="133"/>
        <item x="14"/>
        <item x="134"/>
        <item x="37"/>
        <item x="135"/>
        <item x="5"/>
        <item x="55"/>
        <item x="136"/>
        <item x="3"/>
        <item x="39"/>
        <item x="137"/>
        <item x="26"/>
        <item x="138"/>
        <item x="139"/>
        <item x="140"/>
        <item t="default"/>
      </items>
    </pivotField>
    <pivotField name="Continent" axis="axisPage" compact="0" numFmtId="3" outline="0" multipleItemSelectionAllowed="1" showAll="0">
      <items>
        <item h="1" x="0"/>
        <item h="1" x="1"/>
        <item h="1" x="2"/>
        <item h="1" x="3"/>
        <item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7 Sales" fld="14" baseField="0"/>
    <dataField name="SUM of 2018 Sales" fld="15" baseField="0"/>
    <dataField name="SUM of 2019 Sales" fld="16" baseField="0"/>
    <dataField name="SUM of 2020 Sales" fld="17" baseField="0"/>
    <dataField name="SUM of 2021 Sales" fld="18" baseField="0"/>
    <dataField name="SUM of 2022 Sales" fld="19" baseField="0"/>
  </dataFields>
</pivotTableDefinition>
</file>

<file path=xl/pivotTables/pivotTable33.xml><?xml version="1.0" encoding="utf-8"?>
<pivotTableDefinition xmlns="http://schemas.openxmlformats.org/spreadsheetml/2006/main" name="Breakdown (Oceania) 6" cacheId="0" dataCaption="" compact="0" compactData="0">
  <location ref="K65:Q68" firstHeaderRow="0" firstDataRow="2" firstDataCol="0" rowPageCount="1" colPageCount="1"/>
  <pivotFields>
    <pivotField name="Country" axis="axisRow" compact="0" outline="0" multipleItemSelectionAllowed="1" showAll="0" sortType="ascending">
      <items>
        <item h="1" x="57"/>
        <item h="1" x="58"/>
        <item h="1" x="59"/>
        <item h="1" x="27"/>
        <item h="1" x="60"/>
        <item x="12"/>
        <item h="1" x="32"/>
        <item h="1" x="61"/>
        <item h="1" x="62"/>
        <item h="1" x="63"/>
        <item h="1" x="64"/>
        <item h="1" x="65"/>
        <item h="1" x="20"/>
        <item h="1" x="66"/>
        <item h="1" x="67"/>
        <item h="1" x="68"/>
        <item h="1" x="69"/>
        <item h="1" x="6"/>
        <item h="1" x="70"/>
        <item h="1" x="56"/>
        <item h="1" x="71"/>
        <item h="1" x="72"/>
        <item h="1" x="73"/>
        <item h="1" x="74"/>
        <item h="1" x="75"/>
        <item h="1" x="28"/>
        <item h="1" x="24"/>
        <item h="1" x="0"/>
        <item h="1" x="33"/>
        <item h="1" x="76"/>
        <item h="1" x="54"/>
        <item h="1" x="77"/>
        <item h="1" x="78"/>
        <item h="1" x="34"/>
        <item h="1" x="40"/>
        <item h="1" x="79"/>
        <item h="1" x="80"/>
        <item h="1" x="49"/>
        <item h="1" x="42"/>
        <item h="1" x="81"/>
        <item h="1" x="82"/>
        <item h="1" x="52"/>
        <item h="1" x="7"/>
        <item h="1" x="83"/>
        <item h="1" x="84"/>
        <item h="1" x="4"/>
        <item h="1" x="85"/>
        <item h="1" x="47"/>
        <item h="1" x="86"/>
        <item h="1" x="87"/>
        <item h="1" x="88"/>
        <item h="1" x="89"/>
        <item h="1" x="46"/>
        <item h="1" x="90"/>
        <item h="1" x="1"/>
        <item h="1" x="11"/>
        <item h="1" x="91"/>
        <item h="1" x="92"/>
        <item h="1" x="48"/>
        <item h="1" x="29"/>
        <item h="1" x="9"/>
        <item h="1" x="93"/>
        <item h="1" x="94"/>
        <item h="1" x="2"/>
        <item h="1" x="95"/>
        <item h="1" x="50"/>
        <item h="1" x="96"/>
        <item h="1" x="51"/>
        <item h="1" x="97"/>
        <item h="1" x="98"/>
        <item h="1" x="99"/>
        <item h="1" x="100"/>
        <item h="1" x="101"/>
        <item h="1" x="102"/>
        <item h="1" x="103"/>
        <item h="1" x="104"/>
        <item h="1" x="105"/>
        <item h="1" x="106"/>
        <item h="1" x="15"/>
        <item h="1" x="107"/>
        <item h="1" x="108"/>
        <item h="1" x="17"/>
        <item h="1" x="109"/>
        <item h="1" x="110"/>
        <item h="1" x="41"/>
        <item h="1" x="111"/>
        <item h="1" x="112"/>
        <item h="1" x="23"/>
        <item x="45"/>
        <item h="1" x="113"/>
        <item h="1" x="114"/>
        <item h="1" x="115"/>
        <item h="1" x="36"/>
        <item h="1" x="116"/>
        <item h="1" x="35"/>
        <item h="1" x="117"/>
        <item h="1" x="118"/>
        <item h="1" x="119"/>
        <item h="1" x="44"/>
        <item h="1" x="30"/>
        <item h="1" x="18"/>
        <item h="1" x="38"/>
        <item h="1" x="120"/>
        <item h="1" x="121"/>
        <item h="1" x="122"/>
        <item h="1" x="43"/>
        <item h="1" x="13"/>
        <item h="1" x="16"/>
        <item h="1" x="123"/>
        <item h="1" x="124"/>
        <item h="1" x="125"/>
        <item h="1" x="53"/>
        <item h="1" x="126"/>
        <item h="1" x="21"/>
        <item h="1" x="8"/>
        <item h="1" x="10"/>
        <item h="1" x="127"/>
        <item h="1" x="128"/>
        <item h="1" x="25"/>
        <item h="1" x="31"/>
        <item h="1" x="129"/>
        <item h="1" x="19"/>
        <item h="1" x="130"/>
        <item h="1" x="131"/>
        <item h="1" x="22"/>
        <item h="1" x="132"/>
        <item h="1" x="133"/>
        <item h="1" x="14"/>
        <item h="1" x="134"/>
        <item h="1" x="37"/>
        <item h="1" x="135"/>
        <item h="1" x="5"/>
        <item h="1" x="55"/>
        <item h="1" x="136"/>
        <item h="1" x="3"/>
        <item h="1" x="39"/>
        <item h="1" x="137"/>
        <item h="1" x="26"/>
        <item h="1" x="138"/>
        <item h="1" x="139"/>
        <item h="1" x="140"/>
        <item t="default"/>
      </items>
    </pivotField>
    <pivotField name="Continent" axis="axisPage" compact="0" numFmtId="3" outline="0" multipleItemSelectionAllowed="1" showAll="0">
      <items>
        <item h="1" x="0"/>
        <item h="1" x="1"/>
        <item h="1" x="2"/>
        <item h="1" x="3"/>
        <item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7 Sales" fld="14" baseField="0"/>
    <dataField name="SUM of 2018 Sales" fld="15" baseField="0"/>
    <dataField name="SUM of 2019 Sales" fld="16" baseField="0"/>
    <dataField name="SUM of 2020 Sales" fld="17" baseField="0"/>
    <dataField name="SUM of 2021 Sales" fld="18" baseField="0"/>
    <dataField name="SUM of 2022 Sales" fld="19" baseField="0"/>
  </dataFields>
</pivotTableDefinition>
</file>

<file path=xl/pivotTables/pivotTable34.xml><?xml version="1.0" encoding="utf-8"?>
<pivotTableDefinition xmlns="http://schemas.openxmlformats.org/spreadsheetml/2006/main" name="Breakdown (S. America)" cacheId="0" dataCaption="" compact="0" compactData="0">
  <location ref="A3:G16" firstHeaderRow="0" firstDataRow="2" firstDataCol="0" rowPageCount="1" colPageCount="1"/>
  <pivotFields>
    <pivotField name="Country" axis="axisRow" compact="0" outline="0" multipleItemSelectionAllowed="1" showAll="0" sortType="ascending">
      <items>
        <item x="57"/>
        <item x="58"/>
        <item x="59"/>
        <item x="27"/>
        <item x="60"/>
        <item x="12"/>
        <item x="32"/>
        <item x="61"/>
        <item x="62"/>
        <item x="63"/>
        <item x="64"/>
        <item x="65"/>
        <item x="20"/>
        <item x="66"/>
        <item x="67"/>
        <item x="68"/>
        <item x="69"/>
        <item x="6"/>
        <item x="70"/>
        <item x="56"/>
        <item x="71"/>
        <item x="72"/>
        <item x="73"/>
        <item x="74"/>
        <item x="75"/>
        <item x="28"/>
        <item x="24"/>
        <item x="0"/>
        <item x="33"/>
        <item x="76"/>
        <item x="54"/>
        <item x="77"/>
        <item x="78"/>
        <item x="34"/>
        <item x="40"/>
        <item x="79"/>
        <item x="80"/>
        <item x="49"/>
        <item x="42"/>
        <item x="81"/>
        <item x="82"/>
        <item x="52"/>
        <item x="7"/>
        <item x="83"/>
        <item x="84"/>
        <item x="4"/>
        <item x="85"/>
        <item x="47"/>
        <item x="86"/>
        <item x="87"/>
        <item x="88"/>
        <item x="89"/>
        <item x="46"/>
        <item x="90"/>
        <item x="1"/>
        <item x="11"/>
        <item x="91"/>
        <item x="92"/>
        <item x="48"/>
        <item x="29"/>
        <item x="9"/>
        <item x="93"/>
        <item x="94"/>
        <item x="2"/>
        <item x="95"/>
        <item x="50"/>
        <item x="96"/>
        <item x="51"/>
        <item x="97"/>
        <item x="98"/>
        <item x="99"/>
        <item x="100"/>
        <item x="101"/>
        <item x="102"/>
        <item x="103"/>
        <item x="104"/>
        <item x="105"/>
        <item x="106"/>
        <item x="15"/>
        <item x="107"/>
        <item x="108"/>
        <item x="17"/>
        <item x="109"/>
        <item x="110"/>
        <item x="41"/>
        <item x="111"/>
        <item x="112"/>
        <item x="23"/>
        <item x="45"/>
        <item x="113"/>
        <item x="114"/>
        <item x="115"/>
        <item x="36"/>
        <item x="116"/>
        <item x="35"/>
        <item x="117"/>
        <item x="118"/>
        <item x="119"/>
        <item x="44"/>
        <item x="30"/>
        <item x="18"/>
        <item x="38"/>
        <item x="120"/>
        <item x="121"/>
        <item x="122"/>
        <item x="43"/>
        <item x="13"/>
        <item x="16"/>
        <item x="123"/>
        <item x="124"/>
        <item x="125"/>
        <item x="53"/>
        <item x="126"/>
        <item x="21"/>
        <item x="8"/>
        <item x="10"/>
        <item x="127"/>
        <item x="128"/>
        <item x="25"/>
        <item x="31"/>
        <item x="129"/>
        <item x="19"/>
        <item x="130"/>
        <item x="131"/>
        <item x="22"/>
        <item x="132"/>
        <item x="133"/>
        <item x="14"/>
        <item x="134"/>
        <item x="37"/>
        <item x="135"/>
        <item x="5"/>
        <item x="55"/>
        <item x="136"/>
        <item x="3"/>
        <item x="39"/>
        <item x="137"/>
        <item x="26"/>
        <item x="138"/>
        <item x="139"/>
        <item x="140"/>
        <item t="default"/>
      </items>
    </pivotField>
    <pivotField name="Continent" axis="axisPage" compact="0" numFmtId="3" outline="0" multipleItemSelectionAllowed="1" showAll="0">
      <items>
        <item h="1" x="0"/>
        <item h="1" x="1"/>
        <item h="1" x="2"/>
        <item x="3"/>
        <item h="1" x="4"/>
        <item h="1" x="5"/>
        <item t="default"/>
      </items>
    </pivotField>
    <pivotField name="200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05 Sales" fld="2" baseField="0"/>
    <dataField name="SUM of 2006 Sales" fld="3" baseField="0"/>
    <dataField name="SUM of 2007 Sales" fld="4" baseField="0"/>
    <dataField name="SUM of 2008 Sales" fld="5" baseField="0"/>
    <dataField name="SUM of 2009 Sales" fld="6" baseField="0"/>
    <dataField name="SUM of 2010 Sales" fld="7" baseField="0"/>
  </dataFields>
</pivotTableDefinition>
</file>

<file path=xl/pivotTables/pivotTable35.xml><?xml version="1.0" encoding="utf-8"?>
<pivotTableDefinition xmlns="http://schemas.openxmlformats.org/spreadsheetml/2006/main" name="Breakdown (S. America) 2" cacheId="0" dataCaption="" compact="0" compactData="0">
  <location ref="K3:Q9" firstHeaderRow="0" firstDataRow="2" firstDataCol="0" rowPageCount="1" colPageCount="1"/>
  <pivotFields>
    <pivotField name="Country" axis="axisRow" compact="0" outline="0" multipleItemSelectionAllowed="1" showAll="0" sortType="ascending">
      <items>
        <item h="1" x="57"/>
        <item h="1" x="58"/>
        <item h="1" x="59"/>
        <item x="27"/>
        <item h="1" x="60"/>
        <item h="1" x="12"/>
        <item h="1" x="32"/>
        <item h="1" x="61"/>
        <item h="1" x="62"/>
        <item h="1" x="63"/>
        <item h="1" x="64"/>
        <item h="1" x="65"/>
        <item h="1" x="20"/>
        <item h="1" x="66"/>
        <item h="1" x="67"/>
        <item h="1" x="68"/>
        <item h="1" x="69"/>
        <item x="6"/>
        <item h="1" x="70"/>
        <item h="1" x="56"/>
        <item h="1" x="71"/>
        <item h="1" x="72"/>
        <item h="1" x="73"/>
        <item h="1" x="74"/>
        <item h="1" x="75"/>
        <item h="1" x="28"/>
        <item x="24"/>
        <item h="1" x="0"/>
        <item x="33"/>
        <item h="1" x="76"/>
        <item h="1" x="54"/>
        <item h="1" x="77"/>
        <item h="1" x="78"/>
        <item h="1" x="34"/>
        <item h="1" x="40"/>
        <item h="1" x="79"/>
        <item h="1" x="80"/>
        <item h="1" x="49"/>
        <item h="1" x="42"/>
        <item h="1" x="81"/>
        <item h="1" x="82"/>
        <item h="1" x="52"/>
        <item h="1" x="7"/>
        <item h="1" x="83"/>
        <item h="1" x="84"/>
        <item h="1" x="4"/>
        <item h="1" x="85"/>
        <item h="1" x="47"/>
        <item h="1" x="86"/>
        <item h="1" x="87"/>
        <item h="1" x="88"/>
        <item h="1" x="89"/>
        <item h="1" x="46"/>
        <item h="1" x="90"/>
        <item h="1" x="1"/>
        <item h="1" x="11"/>
        <item h="1" x="91"/>
        <item h="1" x="92"/>
        <item h="1" x="48"/>
        <item h="1" x="29"/>
        <item h="1" x="9"/>
        <item h="1" x="93"/>
        <item h="1" x="94"/>
        <item h="1" x="2"/>
        <item h="1" x="95"/>
        <item h="1" x="50"/>
        <item h="1" x="96"/>
        <item h="1" x="51"/>
        <item h="1" x="97"/>
        <item h="1" x="98"/>
        <item h="1" x="99"/>
        <item h="1" x="100"/>
        <item h="1" x="101"/>
        <item h="1" x="102"/>
        <item h="1" x="103"/>
        <item h="1" x="104"/>
        <item h="1" x="105"/>
        <item h="1" x="106"/>
        <item h="1" x="15"/>
        <item h="1" x="107"/>
        <item h="1" x="108"/>
        <item h="1" x="17"/>
        <item h="1" x="109"/>
        <item h="1" x="110"/>
        <item h="1" x="41"/>
        <item h="1" x="111"/>
        <item h="1" x="112"/>
        <item h="1" x="23"/>
        <item h="1" x="45"/>
        <item h="1" x="113"/>
        <item h="1" x="114"/>
        <item h="1" x="115"/>
        <item h="1" x="36"/>
        <item h="1" x="116"/>
        <item h="1" x="35"/>
        <item h="1" x="117"/>
        <item h="1" x="118"/>
        <item h="1" x="119"/>
        <item h="1" x="44"/>
        <item h="1" x="30"/>
        <item h="1" x="18"/>
        <item h="1" x="38"/>
        <item h="1" x="120"/>
        <item h="1" x="121"/>
        <item h="1" x="122"/>
        <item h="1" x="43"/>
        <item h="1" x="13"/>
        <item h="1" x="16"/>
        <item h="1" x="123"/>
        <item h="1" x="124"/>
        <item h="1" x="125"/>
        <item h="1" x="53"/>
        <item h="1" x="126"/>
        <item h="1" x="21"/>
        <item h="1" x="8"/>
        <item h="1" x="10"/>
        <item h="1" x="127"/>
        <item h="1" x="128"/>
        <item h="1" x="25"/>
        <item h="1" x="31"/>
        <item h="1" x="129"/>
        <item h="1" x="19"/>
        <item h="1" x="130"/>
        <item h="1" x="131"/>
        <item h="1" x="22"/>
        <item h="1" x="132"/>
        <item h="1" x="133"/>
        <item h="1" x="14"/>
        <item h="1" x="134"/>
        <item h="1" x="37"/>
        <item h="1" x="135"/>
        <item h="1" x="5"/>
        <item h="1" x="55"/>
        <item h="1" x="136"/>
        <item h="1" x="3"/>
        <item h="1" x="39"/>
        <item x="137"/>
        <item h="1" x="26"/>
        <item h="1" x="138"/>
        <item h="1" x="139"/>
        <item h="1" x="140"/>
        <item t="default"/>
      </items>
    </pivotField>
    <pivotField name="Continent" axis="axisPage" compact="0" numFmtId="3" outline="0" multipleItemSelectionAllowed="1" showAll="0">
      <items>
        <item h="1" x="0"/>
        <item h="1" x="1"/>
        <item h="1" x="2"/>
        <item x="3"/>
        <item h="1" x="4"/>
        <item h="1" x="5"/>
        <item t="default"/>
      </items>
    </pivotField>
    <pivotField name="200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05 Sales" fld="2" baseField="0"/>
    <dataField name="SUM of 2006 Sales" fld="3" baseField="0"/>
    <dataField name="SUM of 2007 Sales" fld="4" baseField="0"/>
    <dataField name="SUM of 2008 Sales" fld="5" baseField="0"/>
    <dataField name="SUM of 2009 Sales" fld="6" baseField="0"/>
    <dataField name="SUM of 2010 Sales" fld="7" baseField="0"/>
  </dataFields>
</pivotTableDefinition>
</file>

<file path=xl/pivotTables/pivotTable36.xml><?xml version="1.0" encoding="utf-8"?>
<pivotTableDefinition xmlns="http://schemas.openxmlformats.org/spreadsheetml/2006/main" name="Breakdown (S. America) 3" cacheId="0" dataCaption="" compact="0" compactData="0">
  <location ref="A32:G45" firstHeaderRow="0" firstDataRow="2" firstDataCol="0" rowPageCount="1" colPageCount="1"/>
  <pivotFields>
    <pivotField name="Country" axis="axisRow" compact="0" outline="0" multipleItemSelectionAllowed="1" showAll="0" sortType="ascending">
      <items>
        <item x="57"/>
        <item x="58"/>
        <item x="59"/>
        <item x="27"/>
        <item x="60"/>
        <item x="12"/>
        <item x="32"/>
        <item x="61"/>
        <item x="62"/>
        <item x="63"/>
        <item x="64"/>
        <item x="65"/>
        <item x="20"/>
        <item x="66"/>
        <item x="67"/>
        <item x="68"/>
        <item x="69"/>
        <item x="6"/>
        <item x="70"/>
        <item x="56"/>
        <item x="71"/>
        <item x="72"/>
        <item x="73"/>
        <item x="74"/>
        <item x="75"/>
        <item x="28"/>
        <item x="24"/>
        <item x="0"/>
        <item x="33"/>
        <item x="76"/>
        <item x="54"/>
        <item x="77"/>
        <item x="78"/>
        <item x="34"/>
        <item x="40"/>
        <item x="79"/>
        <item x="80"/>
        <item x="49"/>
        <item x="42"/>
        <item x="81"/>
        <item x="82"/>
        <item x="52"/>
        <item x="7"/>
        <item x="83"/>
        <item x="84"/>
        <item x="4"/>
        <item x="85"/>
        <item x="47"/>
        <item x="86"/>
        <item x="87"/>
        <item x="88"/>
        <item x="89"/>
        <item x="46"/>
        <item x="90"/>
        <item x="1"/>
        <item x="11"/>
        <item x="91"/>
        <item x="92"/>
        <item x="48"/>
        <item x="29"/>
        <item x="9"/>
        <item x="93"/>
        <item x="94"/>
        <item x="2"/>
        <item x="95"/>
        <item x="50"/>
        <item x="96"/>
        <item x="51"/>
        <item x="97"/>
        <item x="98"/>
        <item x="99"/>
        <item x="100"/>
        <item x="101"/>
        <item x="102"/>
        <item x="103"/>
        <item x="104"/>
        <item x="105"/>
        <item x="106"/>
        <item x="15"/>
        <item x="107"/>
        <item x="108"/>
        <item x="17"/>
        <item x="109"/>
        <item x="110"/>
        <item x="41"/>
        <item x="111"/>
        <item x="112"/>
        <item x="23"/>
        <item x="45"/>
        <item x="113"/>
        <item x="114"/>
        <item x="115"/>
        <item x="36"/>
        <item x="116"/>
        <item x="35"/>
        <item x="117"/>
        <item x="118"/>
        <item x="119"/>
        <item x="44"/>
        <item x="30"/>
        <item x="18"/>
        <item x="38"/>
        <item x="120"/>
        <item x="121"/>
        <item x="122"/>
        <item x="43"/>
        <item x="13"/>
        <item x="16"/>
        <item x="123"/>
        <item x="124"/>
        <item x="125"/>
        <item x="53"/>
        <item x="126"/>
        <item x="21"/>
        <item x="8"/>
        <item x="10"/>
        <item x="127"/>
        <item x="128"/>
        <item x="25"/>
        <item x="31"/>
        <item x="129"/>
        <item x="19"/>
        <item x="130"/>
        <item x="131"/>
        <item x="22"/>
        <item x="132"/>
        <item x="133"/>
        <item x="14"/>
        <item x="134"/>
        <item x="37"/>
        <item x="135"/>
        <item x="5"/>
        <item x="55"/>
        <item x="136"/>
        <item x="3"/>
        <item x="39"/>
        <item x="137"/>
        <item x="26"/>
        <item x="138"/>
        <item x="139"/>
        <item x="140"/>
        <item t="default"/>
      </items>
    </pivotField>
    <pivotField name="Continent" axis="axisPage" compact="0" numFmtId="3" outline="0" multipleItemSelectionAllowed="1" showAll="0">
      <items>
        <item h="1" x="0"/>
        <item h="1" x="1"/>
        <item h="1" x="2"/>
        <item x="3"/>
        <item h="1"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1 Sales" fld="8" baseField="0"/>
    <dataField name="SUM of 2012 Sales" fld="9" baseField="0"/>
    <dataField name="SUM of 2013 Sales" fld="10" baseField="0"/>
    <dataField name="SUM of 2014 Sales" fld="11" baseField="0"/>
    <dataField name="SUM of 2015 Sales" fld="12" baseField="0"/>
    <dataField name="SUM of 2016 Sales" fld="13" baseField="0"/>
  </dataFields>
</pivotTableDefinition>
</file>

<file path=xl/pivotTables/pivotTable37.xml><?xml version="1.0" encoding="utf-8"?>
<pivotTableDefinition xmlns="http://schemas.openxmlformats.org/spreadsheetml/2006/main" name="Breakdown (S. America) 4" cacheId="0" dataCaption="" compact="0" compactData="0">
  <location ref="K32:Q38" firstHeaderRow="0" firstDataRow="2" firstDataCol="0" rowPageCount="1" colPageCount="1"/>
  <pivotFields>
    <pivotField name="Country" axis="axisRow" compact="0" outline="0" multipleItemSelectionAllowed="1" showAll="0" sortType="ascending">
      <items>
        <item h="1" x="57"/>
        <item h="1" x="58"/>
        <item h="1" x="59"/>
        <item x="27"/>
        <item h="1" x="60"/>
        <item h="1" x="12"/>
        <item h="1" x="32"/>
        <item h="1" x="61"/>
        <item h="1" x="62"/>
        <item h="1" x="63"/>
        <item h="1" x="64"/>
        <item h="1" x="65"/>
        <item h="1" x="20"/>
        <item h="1" x="66"/>
        <item h="1" x="67"/>
        <item h="1" x="68"/>
        <item h="1" x="69"/>
        <item x="6"/>
        <item h="1" x="70"/>
        <item h="1" x="56"/>
        <item h="1" x="71"/>
        <item h="1" x="72"/>
        <item h="1" x="73"/>
        <item h="1" x="74"/>
        <item h="1" x="75"/>
        <item h="1" x="28"/>
        <item x="24"/>
        <item h="1" x="0"/>
        <item x="33"/>
        <item h="1" x="76"/>
        <item h="1" x="54"/>
        <item h="1" x="77"/>
        <item h="1" x="78"/>
        <item h="1" x="34"/>
        <item h="1" x="40"/>
        <item h="1" x="79"/>
        <item h="1" x="80"/>
        <item h="1" x="49"/>
        <item h="1" x="42"/>
        <item h="1" x="81"/>
        <item h="1" x="82"/>
        <item h="1" x="52"/>
        <item h="1" x="7"/>
        <item h="1" x="83"/>
        <item h="1" x="84"/>
        <item h="1" x="4"/>
        <item h="1" x="85"/>
        <item h="1" x="47"/>
        <item h="1" x="86"/>
        <item h="1" x="87"/>
        <item h="1" x="88"/>
        <item h="1" x="89"/>
        <item h="1" x="46"/>
        <item h="1" x="90"/>
        <item h="1" x="1"/>
        <item h="1" x="11"/>
        <item h="1" x="91"/>
        <item h="1" x="92"/>
        <item h="1" x="48"/>
        <item h="1" x="29"/>
        <item h="1" x="9"/>
        <item h="1" x="93"/>
        <item h="1" x="94"/>
        <item h="1" x="2"/>
        <item h="1" x="95"/>
        <item h="1" x="50"/>
        <item h="1" x="96"/>
        <item h="1" x="51"/>
        <item h="1" x="97"/>
        <item h="1" x="98"/>
        <item h="1" x="99"/>
        <item h="1" x="100"/>
        <item h="1" x="101"/>
        <item h="1" x="102"/>
        <item h="1" x="103"/>
        <item h="1" x="104"/>
        <item h="1" x="105"/>
        <item h="1" x="106"/>
        <item h="1" x="15"/>
        <item h="1" x="107"/>
        <item h="1" x="108"/>
        <item h="1" x="17"/>
        <item h="1" x="109"/>
        <item h="1" x="110"/>
        <item h="1" x="41"/>
        <item h="1" x="111"/>
        <item h="1" x="112"/>
        <item h="1" x="23"/>
        <item h="1" x="45"/>
        <item h="1" x="113"/>
        <item h="1" x="114"/>
        <item h="1" x="115"/>
        <item h="1" x="36"/>
        <item h="1" x="116"/>
        <item h="1" x="35"/>
        <item h="1" x="117"/>
        <item h="1" x="118"/>
        <item h="1" x="119"/>
        <item x="44"/>
        <item h="1" x="30"/>
        <item h="1" x="18"/>
        <item h="1" x="38"/>
        <item h="1" x="120"/>
        <item h="1" x="121"/>
        <item h="1" x="122"/>
        <item h="1" x="43"/>
        <item h="1" x="13"/>
        <item h="1" x="16"/>
        <item h="1" x="123"/>
        <item h="1" x="124"/>
        <item h="1" x="125"/>
        <item h="1" x="53"/>
        <item h="1" x="126"/>
        <item h="1" x="21"/>
        <item h="1" x="8"/>
        <item h="1" x="10"/>
        <item h="1" x="127"/>
        <item h="1" x="128"/>
        <item h="1" x="25"/>
        <item h="1" x="31"/>
        <item h="1" x="129"/>
        <item h="1" x="19"/>
        <item h="1" x="130"/>
        <item h="1" x="131"/>
        <item h="1" x="22"/>
        <item h="1" x="132"/>
        <item h="1" x="133"/>
        <item h="1" x="14"/>
        <item h="1" x="134"/>
        <item h="1" x="37"/>
        <item h="1" x="135"/>
        <item h="1" x="5"/>
        <item h="1" x="55"/>
        <item h="1" x="136"/>
        <item h="1" x="3"/>
        <item h="1" x="39"/>
        <item h="1" x="137"/>
        <item h="1" x="26"/>
        <item h="1" x="138"/>
        <item h="1" x="139"/>
        <item h="1" x="140"/>
        <item t="default"/>
      </items>
    </pivotField>
    <pivotField name="Continent" axis="axisPage" compact="0" numFmtId="3" outline="0" multipleItemSelectionAllowed="1" showAll="0">
      <items>
        <item h="1" x="0"/>
        <item h="1" x="1"/>
        <item h="1" x="2"/>
        <item x="3"/>
        <item h="1"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1 Sales" fld="8" baseField="0"/>
    <dataField name="SUM of 2012 Sales" fld="9" baseField="0"/>
    <dataField name="SUM of 2013 Sales" fld="10" baseField="0"/>
    <dataField name="SUM of 2014 Sales" fld="11" baseField="0"/>
    <dataField name="SUM of 2015 Sales" fld="12" baseField="0"/>
    <dataField name="SUM of 2016 Sales" fld="13" baseField="0"/>
  </dataFields>
</pivotTableDefinition>
</file>

<file path=xl/pivotTables/pivotTable38.xml><?xml version="1.0" encoding="utf-8"?>
<pivotTableDefinition xmlns="http://schemas.openxmlformats.org/spreadsheetml/2006/main" name="Breakdown (S. America) 5" cacheId="0" dataCaption="" compact="0" compactData="0">
  <location ref="A84:G97" firstHeaderRow="0" firstDataRow="2" firstDataCol="0" rowPageCount="1" colPageCount="1"/>
  <pivotFields>
    <pivotField name="Country" axis="axisRow" compact="0" outline="0" multipleItemSelectionAllowed="1" showAll="0" sortType="ascending">
      <items>
        <item x="57"/>
        <item x="58"/>
        <item x="59"/>
        <item x="27"/>
        <item x="60"/>
        <item x="12"/>
        <item x="32"/>
        <item x="61"/>
        <item x="62"/>
        <item x="63"/>
        <item x="64"/>
        <item x="65"/>
        <item x="20"/>
        <item x="66"/>
        <item x="67"/>
        <item x="68"/>
        <item x="69"/>
        <item x="6"/>
        <item x="70"/>
        <item x="56"/>
        <item x="71"/>
        <item x="72"/>
        <item x="73"/>
        <item x="74"/>
        <item x="75"/>
        <item x="28"/>
        <item x="24"/>
        <item x="0"/>
        <item x="33"/>
        <item x="76"/>
        <item x="54"/>
        <item x="77"/>
        <item x="78"/>
        <item x="34"/>
        <item x="40"/>
        <item x="79"/>
        <item x="80"/>
        <item x="49"/>
        <item x="42"/>
        <item x="81"/>
        <item x="82"/>
        <item x="52"/>
        <item x="7"/>
        <item x="83"/>
        <item x="84"/>
        <item x="4"/>
        <item x="85"/>
        <item x="47"/>
        <item x="86"/>
        <item x="87"/>
        <item x="88"/>
        <item x="89"/>
        <item x="46"/>
        <item x="90"/>
        <item x="1"/>
        <item x="11"/>
        <item x="91"/>
        <item x="92"/>
        <item x="48"/>
        <item x="29"/>
        <item x="9"/>
        <item x="93"/>
        <item x="94"/>
        <item x="2"/>
        <item x="95"/>
        <item x="50"/>
        <item x="96"/>
        <item x="51"/>
        <item x="97"/>
        <item x="98"/>
        <item x="99"/>
        <item x="100"/>
        <item x="101"/>
        <item x="102"/>
        <item x="103"/>
        <item x="104"/>
        <item x="105"/>
        <item x="106"/>
        <item x="15"/>
        <item x="107"/>
        <item x="108"/>
        <item x="17"/>
        <item x="109"/>
        <item x="110"/>
        <item x="41"/>
        <item x="111"/>
        <item x="112"/>
        <item x="23"/>
        <item x="45"/>
        <item x="113"/>
        <item x="114"/>
        <item x="115"/>
        <item x="36"/>
        <item x="116"/>
        <item x="35"/>
        <item x="117"/>
        <item x="118"/>
        <item x="119"/>
        <item x="44"/>
        <item x="30"/>
        <item x="18"/>
        <item x="38"/>
        <item x="120"/>
        <item x="121"/>
        <item x="122"/>
        <item x="43"/>
        <item x="13"/>
        <item x="16"/>
        <item x="123"/>
        <item x="124"/>
        <item x="125"/>
        <item x="53"/>
        <item x="126"/>
        <item x="21"/>
        <item x="8"/>
        <item x="10"/>
        <item x="127"/>
        <item x="128"/>
        <item x="25"/>
        <item x="31"/>
        <item x="129"/>
        <item x="19"/>
        <item x="130"/>
        <item x="131"/>
        <item x="22"/>
        <item x="132"/>
        <item x="133"/>
        <item x="14"/>
        <item x="134"/>
        <item x="37"/>
        <item x="135"/>
        <item x="5"/>
        <item x="55"/>
        <item x="136"/>
        <item x="3"/>
        <item x="39"/>
        <item x="137"/>
        <item x="26"/>
        <item x="138"/>
        <item x="139"/>
        <item x="140"/>
        <item t="default"/>
      </items>
    </pivotField>
    <pivotField name="Continent" axis="axisPage" compact="0" numFmtId="3" outline="0" multipleItemSelectionAllowed="1" showAll="0">
      <items>
        <item h="1" x="0"/>
        <item h="1" x="1"/>
        <item h="1" x="2"/>
        <item x="3"/>
        <item h="1"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7 Sales" fld="14" baseField="0"/>
    <dataField name="SUM of 2018 Sales" fld="15" baseField="0"/>
    <dataField name="SUM of 2019 Sales" fld="16" baseField="0"/>
    <dataField name="SUM of 2020 Sales" fld="17" baseField="0"/>
    <dataField name="SUM of 2021 Sales" fld="18" baseField="0"/>
    <dataField name="SUM of 2022 Sales" fld="19" baseField="0"/>
  </dataFields>
</pivotTableDefinition>
</file>

<file path=xl/pivotTables/pivotTable39.xml><?xml version="1.0" encoding="utf-8"?>
<pivotTableDefinition xmlns="http://schemas.openxmlformats.org/spreadsheetml/2006/main" name="Breakdown (S. America) 6" cacheId="0" dataCaption="" compact="0" compactData="0">
  <location ref="K84:Q90" firstHeaderRow="0" firstDataRow="2" firstDataCol="0" rowPageCount="1" colPageCount="1"/>
  <pivotFields>
    <pivotField name="Country" axis="axisRow" compact="0" outline="0" multipleItemSelectionAllowed="1" showAll="0" sortType="ascending">
      <items>
        <item h="1" x="57"/>
        <item h="1" x="58"/>
        <item h="1" x="59"/>
        <item x="27"/>
        <item h="1" x="60"/>
        <item h="1" x="12"/>
        <item h="1" x="32"/>
        <item h="1" x="61"/>
        <item h="1" x="62"/>
        <item h="1" x="63"/>
        <item h="1" x="64"/>
        <item h="1" x="65"/>
        <item h="1" x="20"/>
        <item h="1" x="66"/>
        <item h="1" x="67"/>
        <item h="1" x="68"/>
        <item h="1" x="69"/>
        <item x="6"/>
        <item h="1" x="70"/>
        <item h="1" x="56"/>
        <item h="1" x="71"/>
        <item h="1" x="72"/>
        <item h="1" x="73"/>
        <item h="1" x="74"/>
        <item h="1" x="75"/>
        <item h="1" x="28"/>
        <item x="24"/>
        <item h="1" x="0"/>
        <item x="33"/>
        <item h="1" x="76"/>
        <item h="1" x="54"/>
        <item h="1" x="77"/>
        <item h="1" x="78"/>
        <item h="1" x="34"/>
        <item h="1" x="40"/>
        <item h="1" x="79"/>
        <item h="1" x="80"/>
        <item h="1" x="49"/>
        <item h="1" x="42"/>
        <item h="1" x="81"/>
        <item h="1" x="82"/>
        <item h="1" x="52"/>
        <item h="1" x="7"/>
        <item h="1" x="83"/>
        <item h="1" x="84"/>
        <item h="1" x="4"/>
        <item h="1" x="85"/>
        <item h="1" x="47"/>
        <item h="1" x="86"/>
        <item h="1" x="87"/>
        <item h="1" x="88"/>
        <item h="1" x="89"/>
        <item h="1" x="46"/>
        <item h="1" x="90"/>
        <item h="1" x="1"/>
        <item h="1" x="11"/>
        <item h="1" x="91"/>
        <item h="1" x="92"/>
        <item h="1" x="48"/>
        <item h="1" x="29"/>
        <item h="1" x="9"/>
        <item h="1" x="93"/>
        <item h="1" x="94"/>
        <item h="1" x="2"/>
        <item h="1" x="95"/>
        <item h="1" x="50"/>
        <item h="1" x="96"/>
        <item h="1" x="51"/>
        <item h="1" x="97"/>
        <item h="1" x="98"/>
        <item h="1" x="99"/>
        <item h="1" x="100"/>
        <item h="1" x="101"/>
        <item h="1" x="102"/>
        <item h="1" x="103"/>
        <item h="1" x="104"/>
        <item h="1" x="105"/>
        <item h="1" x="106"/>
        <item h="1" x="15"/>
        <item h="1" x="107"/>
        <item h="1" x="108"/>
        <item h="1" x="17"/>
        <item h="1" x="109"/>
        <item h="1" x="110"/>
        <item h="1" x="41"/>
        <item h="1" x="111"/>
        <item h="1" x="112"/>
        <item h="1" x="23"/>
        <item h="1" x="45"/>
        <item h="1" x="113"/>
        <item h="1" x="114"/>
        <item h="1" x="115"/>
        <item h="1" x="36"/>
        <item h="1" x="116"/>
        <item h="1" x="35"/>
        <item h="1" x="117"/>
        <item h="1" x="118"/>
        <item h="1" x="119"/>
        <item x="44"/>
        <item h="1" x="30"/>
        <item h="1" x="18"/>
        <item h="1" x="38"/>
        <item h="1" x="120"/>
        <item h="1" x="121"/>
        <item h="1" x="122"/>
        <item h="1" x="43"/>
        <item h="1" x="13"/>
        <item h="1" x="16"/>
        <item h="1" x="123"/>
        <item h="1" x="124"/>
        <item h="1" x="125"/>
        <item h="1" x="53"/>
        <item h="1" x="126"/>
        <item h="1" x="21"/>
        <item h="1" x="8"/>
        <item h="1" x="10"/>
        <item h="1" x="127"/>
        <item h="1" x="128"/>
        <item h="1" x="25"/>
        <item h="1" x="31"/>
        <item h="1" x="129"/>
        <item h="1" x="19"/>
        <item h="1" x="130"/>
        <item h="1" x="131"/>
        <item h="1" x="22"/>
        <item h="1" x="132"/>
        <item h="1" x="133"/>
        <item h="1" x="14"/>
        <item h="1" x="134"/>
        <item h="1" x="37"/>
        <item h="1" x="135"/>
        <item h="1" x="5"/>
        <item h="1" x="55"/>
        <item h="1" x="136"/>
        <item h="1" x="3"/>
        <item h="1" x="39"/>
        <item h="1" x="137"/>
        <item h="1" x="26"/>
        <item h="1" x="138"/>
        <item h="1" x="139"/>
        <item h="1" x="140"/>
        <item t="default"/>
      </items>
    </pivotField>
    <pivotField name="Continent" axis="axisPage" compact="0" numFmtId="3" outline="0" multipleItemSelectionAllowed="1" showAll="0">
      <items>
        <item h="1" x="0"/>
        <item h="1" x="1"/>
        <item h="1" x="2"/>
        <item x="3"/>
        <item h="1" x="4"/>
        <item h="1" x="5"/>
        <item t="default"/>
      </items>
    </pivotField>
    <pivotField name="200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07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8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09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2010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2011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2012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2013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2014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2015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name="2016 Sal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2017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2018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2019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2020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2021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2022 Sale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0"/>
  </rowFields>
  <colFields>
    <field x="-2"/>
  </colFields>
  <pageFields>
    <pageField fld="1"/>
  </pageFields>
  <dataFields>
    <dataField name="SUM of 2017 Sales" fld="14" baseField="0"/>
    <dataField name="SUM of 2018 Sales" fld="15" baseField="0"/>
    <dataField name="SUM of 2019 Sales" fld="16" baseField="0"/>
    <dataField name="SUM of 2020 Sales" fld="17" baseField="0"/>
    <dataField name="SUM of 2021 Sales" fld="18" baseField="0"/>
    <dataField name="SUM of 2022 Sales" fld="19"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pivotTable" Target="../pivotTables/pivotTable5.xml"/><Relationship Id="rId3" Type="http://schemas.openxmlformats.org/officeDocument/2006/relationships/pivotTable" Target="../pivotTables/pivotTable6.xml"/><Relationship Id="rId4" Type="http://schemas.openxmlformats.org/officeDocument/2006/relationships/pivotTable" Target="../pivotTables/pivotTable7.xml"/><Relationship Id="rId5" Type="http://schemas.openxmlformats.org/officeDocument/2006/relationships/pivotTable" Target="../pivotTables/pivotTable8.xml"/><Relationship Id="rId6" Type="http://schemas.openxmlformats.org/officeDocument/2006/relationships/pivotTable" Target="../pivotTables/pivotTable9.xml"/><Relationship Id="rId7"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0.xml"/><Relationship Id="rId2" Type="http://schemas.openxmlformats.org/officeDocument/2006/relationships/pivotTable" Target="../pivotTables/pivotTable11.xml"/><Relationship Id="rId3" Type="http://schemas.openxmlformats.org/officeDocument/2006/relationships/pivotTable" Target="../pivotTables/pivotTable12.xml"/><Relationship Id="rId4" Type="http://schemas.openxmlformats.org/officeDocument/2006/relationships/pivotTable" Target="../pivotTables/pivotTable13.xml"/><Relationship Id="rId5" Type="http://schemas.openxmlformats.org/officeDocument/2006/relationships/pivotTable" Target="../pivotTables/pivotTable14.xml"/><Relationship Id="rId6" Type="http://schemas.openxmlformats.org/officeDocument/2006/relationships/pivotTable" Target="../pivotTables/pivotTable15.xm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6.xml"/><Relationship Id="rId2" Type="http://schemas.openxmlformats.org/officeDocument/2006/relationships/pivotTable" Target="../pivotTables/pivotTable17.xml"/><Relationship Id="rId3" Type="http://schemas.openxmlformats.org/officeDocument/2006/relationships/pivotTable" Target="../pivotTables/pivotTable18.xml"/><Relationship Id="rId4" Type="http://schemas.openxmlformats.org/officeDocument/2006/relationships/pivotTable" Target="../pivotTables/pivotTable19.xml"/><Relationship Id="rId5" Type="http://schemas.openxmlformats.org/officeDocument/2006/relationships/pivotTable" Target="../pivotTables/pivotTable20.xml"/><Relationship Id="rId6" Type="http://schemas.openxmlformats.org/officeDocument/2006/relationships/pivotTable" Target="../pivotTables/pivotTable21.xml"/><Relationship Id="rId7"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2.xml"/><Relationship Id="rId2" Type="http://schemas.openxmlformats.org/officeDocument/2006/relationships/pivotTable" Target="../pivotTables/pivotTable23.xml"/><Relationship Id="rId3" Type="http://schemas.openxmlformats.org/officeDocument/2006/relationships/pivotTable" Target="../pivotTables/pivotTable24.xml"/><Relationship Id="rId4" Type="http://schemas.openxmlformats.org/officeDocument/2006/relationships/pivotTable" Target="../pivotTables/pivotTable25.xml"/><Relationship Id="rId5" Type="http://schemas.openxmlformats.org/officeDocument/2006/relationships/pivotTable" Target="../pivotTables/pivotTable26.xml"/><Relationship Id="rId6" Type="http://schemas.openxmlformats.org/officeDocument/2006/relationships/pivotTable" Target="../pivotTables/pivotTable27.xm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8.xml"/><Relationship Id="rId2" Type="http://schemas.openxmlformats.org/officeDocument/2006/relationships/pivotTable" Target="../pivotTables/pivotTable29.xml"/><Relationship Id="rId3" Type="http://schemas.openxmlformats.org/officeDocument/2006/relationships/pivotTable" Target="../pivotTables/pivotTable30.xml"/><Relationship Id="rId4" Type="http://schemas.openxmlformats.org/officeDocument/2006/relationships/pivotTable" Target="../pivotTables/pivotTable31.xml"/><Relationship Id="rId5" Type="http://schemas.openxmlformats.org/officeDocument/2006/relationships/pivotTable" Target="../pivotTables/pivotTable32.xml"/><Relationship Id="rId6" Type="http://schemas.openxmlformats.org/officeDocument/2006/relationships/pivotTable" Target="../pivotTables/pivotTable33.xml"/><Relationship Id="rId7"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34.xml"/><Relationship Id="rId2" Type="http://schemas.openxmlformats.org/officeDocument/2006/relationships/pivotTable" Target="../pivotTables/pivotTable35.xml"/><Relationship Id="rId3" Type="http://schemas.openxmlformats.org/officeDocument/2006/relationships/pivotTable" Target="../pivotTables/pivotTable36.xml"/><Relationship Id="rId4" Type="http://schemas.openxmlformats.org/officeDocument/2006/relationships/pivotTable" Target="../pivotTables/pivotTable37.xml"/><Relationship Id="rId5" Type="http://schemas.openxmlformats.org/officeDocument/2006/relationships/pivotTable" Target="../pivotTables/pivotTable38.xml"/><Relationship Id="rId6" Type="http://schemas.openxmlformats.org/officeDocument/2006/relationships/pivotTable" Target="../pivotTables/pivotTable39.xml"/><Relationship Id="rId7"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75"/>
  </cols>
  <sheetData>
    <row r="1" ht="41.25" customHeight="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5"/>
  </cols>
  <sheetData>
    <row r="1" ht="99.0" customHeight="1">
      <c r="A1" s="2" t="s">
        <v>1</v>
      </c>
    </row>
    <row r="3">
      <c r="A3" s="3" t="s">
        <v>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3</v>
      </c>
      <c r="B1" s="4" t="s">
        <v>4</v>
      </c>
      <c r="C1" s="3" t="s">
        <v>5</v>
      </c>
      <c r="D1" s="3" t="s">
        <v>6</v>
      </c>
      <c r="E1" s="3" t="s">
        <v>7</v>
      </c>
      <c r="F1" s="3" t="s">
        <v>8</v>
      </c>
      <c r="G1" s="3" t="s">
        <v>9</v>
      </c>
      <c r="H1" s="3" t="s">
        <v>10</v>
      </c>
      <c r="I1" s="3" t="s">
        <v>11</v>
      </c>
      <c r="J1" s="3" t="s">
        <v>12</v>
      </c>
      <c r="K1" s="3" t="s">
        <v>13</v>
      </c>
      <c r="L1" s="3" t="s">
        <v>14</v>
      </c>
      <c r="M1" s="3" t="s">
        <v>15</v>
      </c>
      <c r="N1" s="3" t="s">
        <v>16</v>
      </c>
      <c r="O1" s="3" t="s">
        <v>17</v>
      </c>
      <c r="P1" s="3" t="s">
        <v>18</v>
      </c>
      <c r="Q1" s="3" t="s">
        <v>19</v>
      </c>
      <c r="R1" s="3" t="s">
        <v>20</v>
      </c>
      <c r="S1" s="3" t="s">
        <v>21</v>
      </c>
      <c r="T1" s="3" t="s">
        <v>22</v>
      </c>
    </row>
    <row r="2">
      <c r="A2" s="3" t="s">
        <v>23</v>
      </c>
      <c r="B2" s="5" t="str">
        <f t="array" ref="B2">index('Derived Continent Data'!$J$3:$J$220,MATCH(A2,'Derived Continent Data'!$K$3:$K$220,0))</f>
        <v>Asia</v>
      </c>
      <c r="C2" s="5">
        <v>3971101.0</v>
      </c>
      <c r="D2" s="5">
        <v>5175961.0</v>
      </c>
      <c r="E2" s="5">
        <v>6297538.0</v>
      </c>
      <c r="F2" s="5">
        <v>6755609.0</v>
      </c>
      <c r="G2" s="5">
        <v>1.0331315E7</v>
      </c>
      <c r="H2" s="5">
        <v>1.3757794E7</v>
      </c>
      <c r="I2" s="5">
        <v>1.4472416E7</v>
      </c>
      <c r="J2" s="5">
        <v>1.549524E7</v>
      </c>
      <c r="K2" s="5">
        <v>1.792773E7</v>
      </c>
      <c r="L2" s="5">
        <v>1.9707677E7</v>
      </c>
      <c r="M2" s="5">
        <v>2.1210339E7</v>
      </c>
      <c r="N2" s="5">
        <v>2.4376902E7</v>
      </c>
      <c r="O2" s="5">
        <v>2.4718321E7</v>
      </c>
      <c r="P2" s="5">
        <v>2.3709782E7</v>
      </c>
      <c r="Q2" s="5">
        <v>2.1472092E7</v>
      </c>
      <c r="R2" s="5">
        <v>2.0177731E7</v>
      </c>
      <c r="S2" s="5">
        <v>2.1481537E7</v>
      </c>
      <c r="T2" s="5">
        <v>2.3563287E7</v>
      </c>
    </row>
    <row r="3">
      <c r="A3" s="3" t="s">
        <v>24</v>
      </c>
      <c r="B3" s="5" t="str">
        <f t="array" ref="B3">index('Derived Continent Data'!$J$3:$J$220,MATCH(A3,'Derived Continent Data'!$K$3:$K$220,0))</f>
        <v>Asia</v>
      </c>
      <c r="C3" s="5">
        <v>1106863.0</v>
      </c>
      <c r="D3" s="5">
        <v>1311373.0</v>
      </c>
      <c r="E3" s="5">
        <v>1511812.0</v>
      </c>
      <c r="F3" s="5">
        <v>1545414.0</v>
      </c>
      <c r="G3" s="5">
        <v>1816878.0</v>
      </c>
      <c r="H3" s="5">
        <v>2387197.0</v>
      </c>
      <c r="I3" s="5">
        <v>2510313.0</v>
      </c>
      <c r="J3" s="5">
        <v>2781919.0</v>
      </c>
      <c r="K3" s="5">
        <v>2553979.0</v>
      </c>
      <c r="L3" s="5">
        <v>2570736.0</v>
      </c>
      <c r="M3" s="5">
        <v>2772270.0</v>
      </c>
      <c r="N3" s="5">
        <v>2966637.0</v>
      </c>
      <c r="O3" s="5">
        <v>3229109.0</v>
      </c>
      <c r="P3" s="5">
        <v>3394756.0</v>
      </c>
      <c r="Q3" s="5">
        <v>2962115.0</v>
      </c>
      <c r="R3" s="5">
        <v>2433464.0</v>
      </c>
      <c r="S3" s="5">
        <v>3082279.0</v>
      </c>
      <c r="T3" s="5">
        <v>3792356.0</v>
      </c>
    </row>
    <row r="4">
      <c r="A4" s="3" t="s">
        <v>25</v>
      </c>
      <c r="B4" s="5" t="str">
        <f t="array" ref="B4">index('Derived Continent Data'!$J$3:$J$220,MATCH(A4,'Derived Continent Data'!$K$3:$K$220,0))</f>
        <v>Asia</v>
      </c>
      <c r="C4" s="5">
        <v>4748482.0</v>
      </c>
      <c r="D4" s="5">
        <v>4612318.0</v>
      </c>
      <c r="E4" s="5">
        <v>4325508.0</v>
      </c>
      <c r="F4" s="5">
        <v>4184266.0</v>
      </c>
      <c r="G4" s="5">
        <v>3905310.0</v>
      </c>
      <c r="H4" s="5">
        <v>4203181.0</v>
      </c>
      <c r="I4" s="5">
        <v>3509036.0</v>
      </c>
      <c r="J4" s="5">
        <v>4572333.0</v>
      </c>
      <c r="K4" s="5">
        <v>4562282.0</v>
      </c>
      <c r="L4" s="5">
        <v>4699591.0</v>
      </c>
      <c r="M4" s="5">
        <v>4215889.0</v>
      </c>
      <c r="N4" s="5">
        <v>4146459.0</v>
      </c>
      <c r="O4" s="5">
        <v>4386378.0</v>
      </c>
      <c r="P4" s="5">
        <v>4391160.0</v>
      </c>
      <c r="Q4" s="5">
        <v>4301091.0</v>
      </c>
      <c r="R4" s="5">
        <v>3809977.0</v>
      </c>
      <c r="S4" s="5">
        <v>3675698.0</v>
      </c>
      <c r="T4" s="5">
        <v>3448297.0</v>
      </c>
    </row>
    <row r="5">
      <c r="A5" s="3" t="s">
        <v>26</v>
      </c>
      <c r="B5" s="5" t="str">
        <f t="array" ref="B5">index('Derived Continent Data'!$J$3:$J$220,MATCH(A5,'Derived Continent Data'!$K$3:$K$220,0))</f>
        <v>North America</v>
      </c>
      <c r="C5" s="5">
        <v>7659983.0</v>
      </c>
      <c r="D5" s="5">
        <v>7761592.0</v>
      </c>
      <c r="E5" s="5">
        <v>7562334.0</v>
      </c>
      <c r="F5" s="5">
        <v>6769107.0</v>
      </c>
      <c r="G5" s="5">
        <v>5400890.0</v>
      </c>
      <c r="H5" s="5">
        <v>5635432.0</v>
      </c>
      <c r="I5" s="5">
        <v>6089403.0</v>
      </c>
      <c r="J5" s="5">
        <v>7241900.0</v>
      </c>
      <c r="K5" s="5">
        <v>7585341.0</v>
      </c>
      <c r="L5" s="5">
        <v>7749432.0</v>
      </c>
      <c r="M5" s="5">
        <v>7516826.0</v>
      </c>
      <c r="N5" s="5">
        <v>6872729.0</v>
      </c>
      <c r="O5" s="5">
        <v>6080229.0</v>
      </c>
      <c r="P5" s="5">
        <v>5303580.0</v>
      </c>
      <c r="Q5" s="5">
        <v>4719710.0</v>
      </c>
      <c r="R5" s="5">
        <v>3401838.0</v>
      </c>
      <c r="S5" s="5">
        <v>3350050.0</v>
      </c>
      <c r="T5" s="5">
        <v>2858575.0</v>
      </c>
    </row>
    <row r="6">
      <c r="A6" s="3" t="s">
        <v>27</v>
      </c>
      <c r="B6" s="5" t="str">
        <f t="array" ref="B6">index('Derived Continent Data'!$J$3:$J$220,MATCH(A6,'Derived Continent Data'!$K$3:$K$220,0))</f>
        <v>Europe</v>
      </c>
      <c r="C6" s="5">
        <v>3319259.0</v>
      </c>
      <c r="D6" s="5">
        <v>3467961.0</v>
      </c>
      <c r="E6" s="5">
        <v>3148163.0</v>
      </c>
      <c r="F6" s="5">
        <v>3090040.0</v>
      </c>
      <c r="G6" s="5">
        <v>3807175.0</v>
      </c>
      <c r="H6" s="5">
        <v>2916259.0</v>
      </c>
      <c r="I6" s="5">
        <v>3173634.0</v>
      </c>
      <c r="J6" s="5">
        <v>3082504.0</v>
      </c>
      <c r="K6" s="5">
        <v>2952431.0</v>
      </c>
      <c r="L6" s="5">
        <v>3036773.0</v>
      </c>
      <c r="M6" s="5">
        <v>3206042.0</v>
      </c>
      <c r="N6" s="5">
        <v>3351607.0</v>
      </c>
      <c r="O6" s="5">
        <v>3441262.0</v>
      </c>
      <c r="P6" s="5">
        <v>3435778.0</v>
      </c>
      <c r="Q6" s="5">
        <v>3607258.0</v>
      </c>
      <c r="R6" s="5">
        <v>2917678.0</v>
      </c>
      <c r="S6" s="5">
        <v>2622132.0</v>
      </c>
      <c r="T6" s="5">
        <v>2651357.0</v>
      </c>
    </row>
    <row r="7">
      <c r="A7" s="3" t="s">
        <v>28</v>
      </c>
      <c r="B7" s="5" t="str">
        <f t="array" ref="B7">index('Derived Continent Data'!$J$3:$J$220,MATCH(A7,'Derived Continent Data'!$K$3:$K$220,0))</f>
        <v>Europe</v>
      </c>
      <c r="C7" s="5">
        <v>2439717.0</v>
      </c>
      <c r="D7" s="5">
        <v>2344864.0</v>
      </c>
      <c r="E7" s="5">
        <v>2404007.0</v>
      </c>
      <c r="F7" s="5">
        <v>2131795.0</v>
      </c>
      <c r="G7" s="5">
        <v>1994999.0</v>
      </c>
      <c r="H7" s="5">
        <v>2030846.0</v>
      </c>
      <c r="I7" s="5">
        <v>1941253.0</v>
      </c>
      <c r="J7" s="5">
        <v>2044609.0</v>
      </c>
      <c r="K7" s="5">
        <v>2264737.0</v>
      </c>
      <c r="L7" s="5">
        <v>2476435.0</v>
      </c>
      <c r="M7" s="5">
        <v>2633503.0</v>
      </c>
      <c r="N7" s="5">
        <v>2692786.0</v>
      </c>
      <c r="O7" s="5">
        <v>2540617.0</v>
      </c>
      <c r="P7" s="5">
        <v>2367147.0</v>
      </c>
      <c r="Q7" s="5">
        <v>2311140.0</v>
      </c>
      <c r="R7" s="5">
        <v>1631064.0</v>
      </c>
      <c r="S7" s="5">
        <v>1647181.0</v>
      </c>
      <c r="T7" s="5">
        <v>1614063.0</v>
      </c>
    </row>
    <row r="8">
      <c r="A8" s="3" t="s">
        <v>29</v>
      </c>
      <c r="B8" s="5" t="str">
        <f t="array" ref="B8">index('Derived Continent Data'!$J$3:$J$220,MATCH(A8,'Derived Continent Data'!$K$3:$K$220,0))</f>
        <v>South America </v>
      </c>
      <c r="C8" s="5">
        <v>1439822.0</v>
      </c>
      <c r="D8" s="5">
        <v>1632947.0</v>
      </c>
      <c r="E8" s="5">
        <v>2085718.0</v>
      </c>
      <c r="F8" s="5">
        <v>2341300.0</v>
      </c>
      <c r="G8" s="5">
        <v>2643862.0</v>
      </c>
      <c r="H8" s="5">
        <v>2856540.0</v>
      </c>
      <c r="I8" s="5">
        <v>2901647.0</v>
      </c>
      <c r="J8" s="5">
        <v>3115223.0</v>
      </c>
      <c r="K8" s="5">
        <v>3040783.0</v>
      </c>
      <c r="L8" s="5">
        <v>2794687.0</v>
      </c>
      <c r="M8" s="5">
        <v>2123009.0</v>
      </c>
      <c r="N8" s="5">
        <v>1676722.0</v>
      </c>
      <c r="O8" s="5">
        <v>1856450.0</v>
      </c>
      <c r="P8" s="5">
        <v>2101884.0</v>
      </c>
      <c r="Q8" s="5">
        <v>2262069.0</v>
      </c>
      <c r="R8" s="5">
        <v>1615942.0</v>
      </c>
      <c r="S8" s="5">
        <v>1558467.0</v>
      </c>
      <c r="T8" s="5">
        <v>1576666.0</v>
      </c>
    </row>
    <row r="9">
      <c r="A9" s="3" t="s">
        <v>30</v>
      </c>
      <c r="B9" s="5" t="str">
        <f t="array" ref="B9">index('Derived Continent Data'!$J$3:$J$220,MATCH(A9,'Derived Continent Data'!$K$3:$K$220,0))</f>
        <v>Europe</v>
      </c>
      <c r="C9" s="5">
        <v>2118042.0</v>
      </c>
      <c r="D9" s="5">
        <v>2045745.0</v>
      </c>
      <c r="E9" s="5">
        <v>2109672.0</v>
      </c>
      <c r="F9" s="5">
        <v>2091369.0</v>
      </c>
      <c r="G9" s="5">
        <v>2302398.0</v>
      </c>
      <c r="H9" s="5">
        <v>2251669.0</v>
      </c>
      <c r="I9" s="5">
        <v>2204229.0</v>
      </c>
      <c r="J9" s="5">
        <v>1898760.0</v>
      </c>
      <c r="K9" s="5">
        <v>1790456.0</v>
      </c>
      <c r="L9" s="5">
        <v>1795885.0</v>
      </c>
      <c r="M9" s="5">
        <v>1917226.0</v>
      </c>
      <c r="N9" s="5">
        <v>2015177.0</v>
      </c>
      <c r="O9" s="5">
        <v>2110748.0</v>
      </c>
      <c r="P9" s="5">
        <v>2173481.0</v>
      </c>
      <c r="Q9" s="5">
        <v>2214280.0</v>
      </c>
      <c r="R9" s="5">
        <v>1650126.0</v>
      </c>
      <c r="S9" s="5">
        <v>1659005.0</v>
      </c>
      <c r="T9" s="5">
        <v>1532035.0</v>
      </c>
    </row>
    <row r="10">
      <c r="A10" s="3" t="s">
        <v>31</v>
      </c>
      <c r="B10" s="5" t="str">
        <f t="array" ref="B10">index('Derived Continent Data'!$J$3:$J$220,MATCH(A10,'Derived Continent Data'!$K$3:$K$220,0))</f>
        <v>Asia</v>
      </c>
      <c r="C10" s="5">
        <v>893159.0</v>
      </c>
      <c r="D10" s="5">
        <v>932650.0</v>
      </c>
      <c r="E10" s="5">
        <v>1010790.0</v>
      </c>
      <c r="F10" s="5">
        <v>1017595.0</v>
      </c>
      <c r="G10" s="5">
        <v>1221118.0</v>
      </c>
      <c r="H10" s="5">
        <v>1237482.0</v>
      </c>
      <c r="I10" s="5">
        <v>1293501.0</v>
      </c>
      <c r="J10" s="5">
        <v>1256403.0</v>
      </c>
      <c r="K10" s="5">
        <v>1243868.0</v>
      </c>
      <c r="L10" s="5">
        <v>1359834.0</v>
      </c>
      <c r="M10" s="5">
        <v>1533670.0</v>
      </c>
      <c r="N10" s="5">
        <v>1533813.0</v>
      </c>
      <c r="O10" s="5">
        <v>1526660.0</v>
      </c>
      <c r="P10" s="5">
        <v>1525150.0</v>
      </c>
      <c r="Q10" s="5">
        <v>1497035.0</v>
      </c>
      <c r="R10" s="5">
        <v>1618333.0</v>
      </c>
      <c r="S10" s="5">
        <v>1468873.0</v>
      </c>
      <c r="T10" s="5">
        <v>1420486.0</v>
      </c>
    </row>
    <row r="11">
      <c r="A11" s="3" t="s">
        <v>32</v>
      </c>
      <c r="B11" s="5" t="str">
        <f t="array" ref="B11">index('Derived Continent Data'!$J$3:$J$220,MATCH(A11,'Derived Continent Data'!$K$3:$K$220,0))</f>
        <v>Europe</v>
      </c>
      <c r="C11" s="5">
        <v>2244108.0</v>
      </c>
      <c r="D11" s="5">
        <v>2335462.0</v>
      </c>
      <c r="E11" s="5">
        <v>2494115.0</v>
      </c>
      <c r="F11" s="5">
        <v>2161359.0</v>
      </c>
      <c r="G11" s="5">
        <v>2159465.0</v>
      </c>
      <c r="H11" s="5">
        <v>1961580.0</v>
      </c>
      <c r="I11" s="5">
        <v>1749740.0</v>
      </c>
      <c r="J11" s="5">
        <v>1403010.0</v>
      </c>
      <c r="K11" s="5">
        <v>1304648.0</v>
      </c>
      <c r="L11" s="5">
        <v>1360578.0</v>
      </c>
      <c r="M11" s="5">
        <v>1575737.0</v>
      </c>
      <c r="N11" s="5">
        <v>1824968.0</v>
      </c>
      <c r="O11" s="5">
        <v>1970497.0</v>
      </c>
      <c r="P11" s="5">
        <v>1910025.0</v>
      </c>
      <c r="Q11" s="5">
        <v>1916949.0</v>
      </c>
      <c r="R11" s="5">
        <v>1381496.0</v>
      </c>
      <c r="S11" s="5">
        <v>1456674.0</v>
      </c>
      <c r="T11" s="5">
        <v>1316919.0</v>
      </c>
    </row>
    <row r="12">
      <c r="A12" s="3" t="s">
        <v>33</v>
      </c>
      <c r="B12" s="5" t="str">
        <f t="array" ref="B12">index('Derived Continent Data'!$J$3:$J$220,MATCH(A12,'Derived Continent Data'!$K$3:$K$220,0))</f>
        <v>Europe</v>
      </c>
      <c r="C12" s="5">
        <v>1528877.0</v>
      </c>
      <c r="D12" s="5">
        <v>1634608.0</v>
      </c>
      <c r="E12" s="5">
        <v>1614835.0</v>
      </c>
      <c r="F12" s="5">
        <v>1161176.0</v>
      </c>
      <c r="G12" s="5">
        <v>952772.0</v>
      </c>
      <c r="H12" s="5">
        <v>982015.0</v>
      </c>
      <c r="I12" s="5">
        <v>808051.0</v>
      </c>
      <c r="J12" s="5">
        <v>699589.0</v>
      </c>
      <c r="K12" s="5">
        <v>722689.0</v>
      </c>
      <c r="L12" s="5">
        <v>890125.0</v>
      </c>
      <c r="M12" s="5">
        <v>1094077.0</v>
      </c>
      <c r="N12" s="5">
        <v>1147007.0</v>
      </c>
      <c r="O12" s="5">
        <v>1234932.0</v>
      </c>
      <c r="P12" s="5">
        <v>1321438.0</v>
      </c>
      <c r="Q12" s="5">
        <v>1258249.0</v>
      </c>
      <c r="R12" s="5">
        <v>851213.0</v>
      </c>
      <c r="S12" s="5">
        <v>859476.0</v>
      </c>
      <c r="T12" s="5">
        <v>813374.0</v>
      </c>
    </row>
    <row r="13">
      <c r="A13" s="3" t="s">
        <v>34</v>
      </c>
      <c r="B13" s="5" t="str">
        <f t="array" ref="B13">index('Derived Continent Data'!$J$3:$J$220,MATCH(A13,'Derived Continent Data'!$K$3:$K$220,0))</f>
        <v>Asia</v>
      </c>
      <c r="C13" s="5">
        <v>364319.0</v>
      </c>
      <c r="D13" s="5">
        <v>222387.0</v>
      </c>
      <c r="E13" s="5">
        <v>314769.0</v>
      </c>
      <c r="F13" s="5">
        <v>425267.0</v>
      </c>
      <c r="G13" s="5">
        <v>359367.0</v>
      </c>
      <c r="H13" s="5">
        <v>541475.0</v>
      </c>
      <c r="I13" s="5">
        <v>602291.0</v>
      </c>
      <c r="J13" s="5">
        <v>780785.0</v>
      </c>
      <c r="K13" s="5">
        <v>880032.0</v>
      </c>
      <c r="L13" s="5">
        <v>863268.0</v>
      </c>
      <c r="M13" s="5">
        <v>755566.0</v>
      </c>
      <c r="N13" s="5">
        <v>834920.0</v>
      </c>
      <c r="O13" s="5">
        <v>833681.0</v>
      </c>
      <c r="P13" s="5">
        <v>878595.0</v>
      </c>
      <c r="Q13" s="5">
        <v>785539.0</v>
      </c>
      <c r="R13" s="5">
        <v>388925.0</v>
      </c>
      <c r="S13" s="5">
        <v>659809.0</v>
      </c>
      <c r="T13" s="5">
        <v>783563.0</v>
      </c>
    </row>
    <row r="14">
      <c r="A14" s="3" t="s">
        <v>35</v>
      </c>
      <c r="B14" s="5" t="str">
        <f t="array" ref="B14">index('Derived Continent Data'!$J$3:$J$220,MATCH(A14,'Derived Continent Data'!$K$3:$K$220,0))</f>
        <v>Oceania</v>
      </c>
      <c r="C14" s="5">
        <v>608804.0</v>
      </c>
      <c r="D14" s="5">
        <v>598394.0</v>
      </c>
      <c r="E14" s="5">
        <v>637019.0</v>
      </c>
      <c r="F14" s="5">
        <v>596765.0</v>
      </c>
      <c r="G14" s="5">
        <v>540562.0</v>
      </c>
      <c r="H14" s="5">
        <v>592122.0</v>
      </c>
      <c r="I14" s="5">
        <v>559314.0</v>
      </c>
      <c r="J14" s="5">
        <v>576855.0</v>
      </c>
      <c r="K14" s="5">
        <v>566454.0</v>
      </c>
      <c r="L14" s="5">
        <v>531596.0</v>
      </c>
      <c r="M14" s="5">
        <v>924154.0</v>
      </c>
      <c r="N14" s="5">
        <v>927274.0</v>
      </c>
      <c r="O14" s="5">
        <v>915658.0</v>
      </c>
      <c r="P14" s="5">
        <v>873713.0</v>
      </c>
      <c r="Q14" s="5">
        <v>799263.0</v>
      </c>
      <c r="R14" s="5">
        <v>676804.0</v>
      </c>
      <c r="S14" s="5">
        <v>753256.0</v>
      </c>
      <c r="T14" s="5">
        <v>777688.0</v>
      </c>
    </row>
    <row r="15">
      <c r="A15" s="3" t="s">
        <v>36</v>
      </c>
      <c r="B15" s="5" t="str">
        <f t="array" ref="B15">index('Derived Continent Data'!$J$3:$J$220,MATCH(A15,'Derived Continent Data'!$K$3:$K$220,0))</f>
        <v>Europe</v>
      </c>
      <c r="C15" s="5">
        <v>1520225.0</v>
      </c>
      <c r="D15" s="5">
        <v>1911240.0</v>
      </c>
      <c r="E15" s="5">
        <v>2514920.0</v>
      </c>
      <c r="F15" s="5">
        <v>2897459.0</v>
      </c>
      <c r="G15" s="5">
        <v>1465742.0</v>
      </c>
      <c r="H15" s="5">
        <v>1912794.0</v>
      </c>
      <c r="I15" s="5">
        <v>2653688.0</v>
      </c>
      <c r="J15" s="5">
        <v>2755384.0</v>
      </c>
      <c r="K15" s="5">
        <v>2649181.0</v>
      </c>
      <c r="L15" s="5">
        <v>2333067.0</v>
      </c>
      <c r="M15" s="5">
        <v>1282740.0</v>
      </c>
      <c r="N15" s="5">
        <v>1239680.0</v>
      </c>
      <c r="O15" s="5">
        <v>1448700.0</v>
      </c>
      <c r="P15" s="5">
        <v>1606676.0</v>
      </c>
      <c r="Q15" s="5">
        <v>1567809.0</v>
      </c>
      <c r="R15" s="5">
        <v>1433956.0</v>
      </c>
      <c r="S15" s="5">
        <v>1483444.0</v>
      </c>
      <c r="T15" s="5">
        <v>629923.0</v>
      </c>
    </row>
    <row r="16">
      <c r="A16" s="3" t="s">
        <v>37</v>
      </c>
      <c r="B16" s="5" t="str">
        <f t="array" ref="B16">index('Derived Continent Data'!$J$3:$J$220,MATCH(A16,'Derived Continent Data'!$K$3:$K$220,0))</f>
        <v>Asia</v>
      </c>
      <c r="C16" s="5">
        <v>438597.0</v>
      </c>
      <c r="D16" s="5">
        <v>373219.0</v>
      </c>
      <c r="E16" s="5">
        <v>357465.0</v>
      </c>
      <c r="F16" s="5">
        <v>305998.0</v>
      </c>
      <c r="G16" s="5">
        <v>369819.0</v>
      </c>
      <c r="H16" s="5">
        <v>509784.0</v>
      </c>
      <c r="I16" s="5">
        <v>593519.0</v>
      </c>
      <c r="J16" s="5">
        <v>556280.0</v>
      </c>
      <c r="K16" s="5">
        <v>664655.0</v>
      </c>
      <c r="L16" s="5">
        <v>587331.0</v>
      </c>
      <c r="M16" s="5">
        <v>725596.0</v>
      </c>
      <c r="N16" s="5">
        <v>756938.0</v>
      </c>
      <c r="O16" s="5">
        <v>722759.0</v>
      </c>
      <c r="P16" s="5">
        <v>486321.0</v>
      </c>
      <c r="Q16" s="5">
        <v>387256.0</v>
      </c>
      <c r="R16" s="5">
        <v>610109.0</v>
      </c>
      <c r="S16" s="5">
        <v>561853.0</v>
      </c>
      <c r="T16" s="5">
        <v>592660.0</v>
      </c>
    </row>
    <row r="17">
      <c r="A17" s="3" t="s">
        <v>38</v>
      </c>
      <c r="B17" s="5" t="str">
        <f t="array" ref="B17">index('Derived Continent Data'!$J$3:$J$220,MATCH(A17,'Derived Continent Data'!$K$3:$K$220,0))</f>
        <v>Asia</v>
      </c>
      <c r="C17" s="5">
        <v>410892.0</v>
      </c>
      <c r="D17" s="5">
        <v>374169.0</v>
      </c>
      <c r="E17" s="5">
        <v>442885.0</v>
      </c>
      <c r="F17" s="5">
        <v>497459.0</v>
      </c>
      <c r="G17" s="5">
        <v>486342.0</v>
      </c>
      <c r="H17" s="5">
        <v>543594.0</v>
      </c>
      <c r="I17" s="5">
        <v>535113.0</v>
      </c>
      <c r="J17" s="5">
        <v>552189.0</v>
      </c>
      <c r="K17" s="5">
        <v>576657.0</v>
      </c>
      <c r="L17" s="5">
        <v>588348.0</v>
      </c>
      <c r="M17" s="5">
        <v>591275.0</v>
      </c>
      <c r="N17" s="5">
        <v>514545.0</v>
      </c>
      <c r="O17" s="5">
        <v>514680.0</v>
      </c>
      <c r="P17" s="5">
        <v>533201.0</v>
      </c>
      <c r="Q17" s="5">
        <v>550182.0</v>
      </c>
      <c r="R17" s="5">
        <v>480965.0</v>
      </c>
      <c r="S17" s="5">
        <v>452663.0</v>
      </c>
      <c r="T17" s="5">
        <v>544838.0</v>
      </c>
    </row>
    <row r="18">
      <c r="A18" s="3" t="s">
        <v>39</v>
      </c>
      <c r="B18" s="5" t="str">
        <f t="array" ref="B18">index('Derived Continent Data'!$J$3:$J$220,MATCH(A18,'Derived Continent Data'!$K$3:$K$220,0))</f>
        <v>Asia</v>
      </c>
      <c r="C18" s="5">
        <v>407000.0</v>
      </c>
      <c r="D18" s="5">
        <v>399300.0</v>
      </c>
      <c r="E18" s="5">
        <v>403600.0</v>
      </c>
      <c r="F18" s="5">
        <v>400000.0</v>
      </c>
      <c r="G18" s="5">
        <v>390000.0</v>
      </c>
      <c r="H18" s="5">
        <v>450000.0</v>
      </c>
      <c r="I18" s="5">
        <v>460000.0</v>
      </c>
      <c r="J18" s="5">
        <v>540000.0</v>
      </c>
      <c r="K18" s="5">
        <v>570000.0</v>
      </c>
      <c r="L18" s="5">
        <v>632700.0</v>
      </c>
      <c r="M18" s="5">
        <v>672300.0</v>
      </c>
      <c r="N18" s="5">
        <v>549400.0</v>
      </c>
      <c r="O18" s="5">
        <v>424216.0</v>
      </c>
      <c r="P18" s="5">
        <v>340218.0</v>
      </c>
      <c r="Q18" s="5">
        <v>460373.0</v>
      </c>
      <c r="R18" s="5">
        <v>387709.0</v>
      </c>
      <c r="S18" s="5">
        <v>475837.0</v>
      </c>
      <c r="T18" s="5">
        <v>519485.0</v>
      </c>
    </row>
    <row r="19">
      <c r="A19" s="3" t="s">
        <v>40</v>
      </c>
      <c r="B19" s="5" t="str">
        <f t="array" ref="B19">index('Derived Continent Data'!$J$3:$J$220,MATCH(A19,'Derived Continent Data'!$K$3:$K$220,0))</f>
        <v>North America</v>
      </c>
      <c r="C19" s="5">
        <v>714010.0</v>
      </c>
      <c r="D19" s="5">
        <v>680946.0</v>
      </c>
      <c r="E19" s="5">
        <v>641394.0</v>
      </c>
      <c r="F19" s="5">
        <v>589045.0</v>
      </c>
      <c r="G19" s="5">
        <v>439120.0</v>
      </c>
      <c r="H19" s="5">
        <v>503748.0</v>
      </c>
      <c r="I19" s="5">
        <v>592101.0</v>
      </c>
      <c r="J19" s="5">
        <v>649333.0</v>
      </c>
      <c r="K19" s="5">
        <v>698217.0</v>
      </c>
      <c r="L19" s="5">
        <v>745250.0</v>
      </c>
      <c r="M19" s="5">
        <v>892194.0</v>
      </c>
      <c r="N19" s="5">
        <v>1065912.0</v>
      </c>
      <c r="O19" s="5">
        <v>984262.0</v>
      </c>
      <c r="P19" s="5">
        <v>883043.0</v>
      </c>
      <c r="Q19" s="5">
        <v>764175.0</v>
      </c>
      <c r="R19" s="5">
        <v>532097.0</v>
      </c>
      <c r="S19" s="5">
        <v>520112.0</v>
      </c>
      <c r="T19" s="5">
        <v>486962.0</v>
      </c>
    </row>
    <row r="20">
      <c r="A20" s="3" t="s">
        <v>41</v>
      </c>
      <c r="B20" s="5" t="str">
        <f t="array" ref="B20">index('Derived Continent Data'!$J$3:$J$220,MATCH(A20,'Derived Continent Data'!$K$3:$K$220,0))</f>
        <v>Europe</v>
      </c>
      <c r="C20" s="5">
        <v>207007.0</v>
      </c>
      <c r="D20" s="5">
        <v>224728.0</v>
      </c>
      <c r="E20" s="5">
        <v>277427.0</v>
      </c>
      <c r="F20" s="5">
        <v>319190.0</v>
      </c>
      <c r="G20" s="5">
        <v>276220.0</v>
      </c>
      <c r="H20" s="5">
        <v>315855.0</v>
      </c>
      <c r="I20" s="5">
        <v>277427.0</v>
      </c>
      <c r="J20" s="5">
        <v>272719.0</v>
      </c>
      <c r="K20" s="5">
        <v>289913.0</v>
      </c>
      <c r="L20" s="5">
        <v>327709.0</v>
      </c>
      <c r="M20" s="5">
        <v>354975.0</v>
      </c>
      <c r="N20" s="5">
        <v>416123.0</v>
      </c>
      <c r="O20" s="5">
        <v>486352.0</v>
      </c>
      <c r="P20" s="5">
        <v>531889.0</v>
      </c>
      <c r="Q20" s="5">
        <v>555598.0</v>
      </c>
      <c r="R20" s="5">
        <v>428347.0</v>
      </c>
      <c r="S20" s="5">
        <v>446647.0</v>
      </c>
      <c r="T20" s="5">
        <v>419749.0</v>
      </c>
    </row>
    <row r="21">
      <c r="A21" s="3" t="s">
        <v>42</v>
      </c>
      <c r="B21" s="5" t="str">
        <f t="array" ref="B21">index('Derived Continent Data'!$J$3:$J$220,MATCH(A21,'Derived Continent Data'!$K$3:$K$220,0))</f>
        <v>Asia</v>
      </c>
      <c r="C21" s="5">
        <v>325840.0</v>
      </c>
      <c r="D21" s="5">
        <v>218610.0</v>
      </c>
      <c r="E21" s="5">
        <v>213327.0</v>
      </c>
      <c r="F21" s="5">
        <v>141161.0</v>
      </c>
      <c r="G21" s="5">
        <v>187262.0</v>
      </c>
      <c r="H21" s="5">
        <v>208300.0</v>
      </c>
      <c r="I21" s="5">
        <v>235205.0</v>
      </c>
      <c r="J21" s="5">
        <v>211578.0</v>
      </c>
      <c r="K21" s="5">
        <v>211824.0</v>
      </c>
      <c r="L21" s="5">
        <v>235480.0</v>
      </c>
      <c r="M21" s="5">
        <v>212236.0</v>
      </c>
      <c r="N21" s="5">
        <v>206092.0</v>
      </c>
      <c r="O21" s="5">
        <v>399885.0</v>
      </c>
      <c r="P21" s="5">
        <v>389328.0</v>
      </c>
      <c r="Q21" s="5">
        <v>159492.0</v>
      </c>
      <c r="R21" s="5">
        <v>191337.0</v>
      </c>
      <c r="S21" s="5">
        <v>382000.0</v>
      </c>
      <c r="T21" s="5">
        <v>375841.0</v>
      </c>
    </row>
    <row r="22">
      <c r="A22" s="3" t="s">
        <v>43</v>
      </c>
      <c r="B22" s="5" t="str">
        <f t="array" ref="B22">index('Derived Continent Data'!$J$3:$J$220,MATCH(A22,'Derived Continent Data'!$K$3:$K$220,0))</f>
        <v>Europe</v>
      </c>
      <c r="C22" s="5">
        <v>480088.0</v>
      </c>
      <c r="D22" s="5">
        <v>526141.0</v>
      </c>
      <c r="E22" s="5">
        <v>524795.0</v>
      </c>
      <c r="F22" s="5">
        <v>535947.0</v>
      </c>
      <c r="G22" s="5">
        <v>476194.0</v>
      </c>
      <c r="H22" s="5">
        <v>547340.0</v>
      </c>
      <c r="I22" s="5">
        <v>572211.0</v>
      </c>
      <c r="J22" s="5">
        <v>486737.0</v>
      </c>
      <c r="K22" s="5">
        <v>486065.0</v>
      </c>
      <c r="L22" s="5">
        <v>482939.0</v>
      </c>
      <c r="M22" s="5">
        <v>501066.0</v>
      </c>
      <c r="N22" s="5">
        <v>539519.0</v>
      </c>
      <c r="O22" s="5">
        <v>546558.0</v>
      </c>
      <c r="P22" s="5">
        <v>549632.0</v>
      </c>
      <c r="Q22" s="5">
        <v>550008.0</v>
      </c>
      <c r="R22" s="5">
        <v>424492.0</v>
      </c>
      <c r="S22" s="5">
        <v>383123.0</v>
      </c>
      <c r="T22" s="5">
        <v>366333.0</v>
      </c>
    </row>
    <row r="23">
      <c r="A23" s="3" t="s">
        <v>44</v>
      </c>
      <c r="B23" s="5" t="str">
        <f t="array" ref="B23">index('Derived Continent Data'!$J$3:$J$220,MATCH(A23,'Derived Continent Data'!$K$3:$K$220,0))</f>
        <v>Africa</v>
      </c>
      <c r="C23" s="5">
        <v>419868.0</v>
      </c>
      <c r="D23" s="5">
        <v>481558.0</v>
      </c>
      <c r="E23" s="5">
        <v>434653.0</v>
      </c>
      <c r="F23" s="5">
        <v>329262.0</v>
      </c>
      <c r="G23" s="5">
        <v>258129.0</v>
      </c>
      <c r="H23" s="5">
        <v>337130.0</v>
      </c>
      <c r="I23" s="5">
        <v>396292.0</v>
      </c>
      <c r="J23" s="5">
        <v>440002.0</v>
      </c>
      <c r="K23" s="5">
        <v>450561.0</v>
      </c>
      <c r="L23" s="5">
        <v>439264.0</v>
      </c>
      <c r="M23" s="5">
        <v>412670.0</v>
      </c>
      <c r="N23" s="5">
        <v>361289.0</v>
      </c>
      <c r="O23" s="5">
        <v>361289.0</v>
      </c>
      <c r="P23" s="5">
        <v>365242.0</v>
      </c>
      <c r="Q23" s="5">
        <v>355378.0</v>
      </c>
      <c r="R23" s="5">
        <v>247571.0</v>
      </c>
      <c r="S23" s="5">
        <v>304340.0</v>
      </c>
      <c r="T23" s="5">
        <v>363696.0</v>
      </c>
    </row>
    <row r="24">
      <c r="A24" s="3" t="s">
        <v>45</v>
      </c>
      <c r="B24" s="5" t="str">
        <f t="array" ref="B24">index('Derived Continent Data'!$J$3:$J$220,MATCH(A24,'Derived Continent Data'!$K$3:$K$220,0))</f>
        <v>Asia</v>
      </c>
      <c r="C24" s="5">
        <v>178291.0</v>
      </c>
      <c r="D24" s="5">
        <v>184544.0</v>
      </c>
      <c r="E24" s="5">
        <v>172321.0</v>
      </c>
      <c r="F24" s="5">
        <v>226805.0</v>
      </c>
      <c r="G24" s="5">
        <v>230037.0</v>
      </c>
      <c r="H24" s="5">
        <v>346644.0</v>
      </c>
      <c r="I24" s="5">
        <v>360441.0</v>
      </c>
      <c r="J24" s="5">
        <v>660214.0</v>
      </c>
      <c r="K24" s="5">
        <v>631225.0</v>
      </c>
      <c r="L24" s="5">
        <v>369826.0</v>
      </c>
      <c r="M24" s="5">
        <v>356063.0</v>
      </c>
      <c r="N24" s="5">
        <v>328053.0</v>
      </c>
      <c r="O24" s="5">
        <v>665871.0</v>
      </c>
      <c r="P24" s="5">
        <v>729709.0</v>
      </c>
      <c r="Q24" s="5">
        <v>468638.0</v>
      </c>
      <c r="R24" s="5">
        <v>343494.0</v>
      </c>
      <c r="S24" s="5">
        <v>312200.0</v>
      </c>
      <c r="T24" s="5">
        <v>343349.0</v>
      </c>
    </row>
    <row r="25">
      <c r="A25" s="3" t="s">
        <v>46</v>
      </c>
      <c r="B25" s="5" t="str">
        <f t="array" ref="B25">index('Derived Continent Data'!$J$3:$J$220,MATCH(A25,'Derived Continent Data'!$K$3:$K$220,0))</f>
        <v>Europe</v>
      </c>
      <c r="C25" s="5">
        <v>465196.0</v>
      </c>
      <c r="D25" s="5">
        <v>483999.0</v>
      </c>
      <c r="E25" s="5">
        <v>504300.0</v>
      </c>
      <c r="F25" s="5">
        <v>499980.0</v>
      </c>
      <c r="G25" s="5">
        <v>387699.0</v>
      </c>
      <c r="H25" s="5">
        <v>482531.0</v>
      </c>
      <c r="I25" s="5">
        <v>555812.0</v>
      </c>
      <c r="J25" s="5">
        <v>502544.0</v>
      </c>
      <c r="K25" s="5">
        <v>416717.0</v>
      </c>
      <c r="L25" s="5">
        <v>387569.0</v>
      </c>
      <c r="M25" s="5">
        <v>449350.0</v>
      </c>
      <c r="N25" s="5">
        <v>382825.0</v>
      </c>
      <c r="O25" s="5">
        <v>414306.0</v>
      </c>
      <c r="P25" s="5">
        <v>443531.0</v>
      </c>
      <c r="Q25" s="5">
        <v>446057.0</v>
      </c>
      <c r="R25" s="5">
        <v>357996.0</v>
      </c>
      <c r="S25" s="5">
        <v>324336.0</v>
      </c>
      <c r="T25" s="5">
        <v>313609.0</v>
      </c>
    </row>
    <row r="26">
      <c r="A26" s="3" t="s">
        <v>47</v>
      </c>
      <c r="B26" s="5" t="str">
        <f t="array" ref="B26">index('Derived Continent Data'!$J$3:$J$220,MATCH(A26,'Derived Continent Data'!$K$3:$K$220,0))</f>
        <v>South America </v>
      </c>
      <c r="C26" s="5">
        <v>140000.0</v>
      </c>
      <c r="D26" s="5">
        <v>140000.0</v>
      </c>
      <c r="E26" s="5">
        <v>180000.0</v>
      </c>
      <c r="F26" s="5">
        <v>181523.0</v>
      </c>
      <c r="G26" s="5">
        <v>130753.0</v>
      </c>
      <c r="H26" s="5">
        <v>212336.0</v>
      </c>
      <c r="I26" s="5">
        <v>245116.0</v>
      </c>
      <c r="J26" s="5">
        <v>257013.0</v>
      </c>
      <c r="K26" s="5">
        <v>286588.0</v>
      </c>
      <c r="L26" s="5">
        <v>256160.0</v>
      </c>
      <c r="M26" s="5">
        <v>212023.0</v>
      </c>
      <c r="N26" s="5">
        <v>228909.0</v>
      </c>
      <c r="O26" s="5">
        <v>276785.0</v>
      </c>
      <c r="P26" s="5">
        <v>315326.0</v>
      </c>
      <c r="Q26" s="5">
        <v>260683.0</v>
      </c>
      <c r="R26" s="5">
        <v>194128.0</v>
      </c>
      <c r="S26" s="5">
        <v>304045.0</v>
      </c>
      <c r="T26" s="5">
        <v>313589.0</v>
      </c>
    </row>
    <row r="27">
      <c r="A27" s="3" t="s">
        <v>48</v>
      </c>
      <c r="B27" s="5" t="str">
        <f t="array" ref="B27">index('Derived Continent Data'!$J$3:$J$220,MATCH(A27,'Derived Continent Data'!$K$3:$K$220,0))</f>
        <v>Europe</v>
      </c>
      <c r="C27" s="5">
        <v>274301.0</v>
      </c>
      <c r="D27" s="5">
        <v>282766.0</v>
      </c>
      <c r="E27" s="5">
        <v>306794.0</v>
      </c>
      <c r="F27" s="5">
        <v>253982.0</v>
      </c>
      <c r="G27" s="5">
        <v>213408.0</v>
      </c>
      <c r="H27" s="5">
        <v>289684.0</v>
      </c>
      <c r="I27" s="5">
        <v>304984.0</v>
      </c>
      <c r="J27" s="5">
        <v>279899.0</v>
      </c>
      <c r="K27" s="5">
        <v>269599.0</v>
      </c>
      <c r="L27" s="5">
        <v>303948.0</v>
      </c>
      <c r="M27" s="5">
        <v>345108.0</v>
      </c>
      <c r="N27" s="5">
        <v>372318.0</v>
      </c>
      <c r="O27" s="5">
        <v>379393.0</v>
      </c>
      <c r="P27" s="5">
        <v>353729.0</v>
      </c>
      <c r="Q27" s="5">
        <v>356036.0</v>
      </c>
      <c r="R27" s="5">
        <v>292024.0</v>
      </c>
      <c r="S27" s="5">
        <v>301006.0</v>
      </c>
      <c r="T27" s="5">
        <v>288087.0</v>
      </c>
    </row>
    <row r="28">
      <c r="A28" s="3" t="s">
        <v>49</v>
      </c>
      <c r="B28" s="5" t="str">
        <f t="array" ref="B28">index('Derived Continent Data'!$J$3:$J$220,MATCH(A28,'Derived Continent Data'!$K$3:$K$220,0))</f>
        <v>Asia</v>
      </c>
      <c r="C28" s="5">
        <v>24888.0</v>
      </c>
      <c r="D28" s="5">
        <v>23335.0</v>
      </c>
      <c r="E28" s="5">
        <v>40115.0</v>
      </c>
      <c r="F28" s="5">
        <v>50877.0</v>
      </c>
      <c r="G28" s="5">
        <v>62722.0</v>
      </c>
      <c r="H28" s="5">
        <v>57778.0</v>
      </c>
      <c r="I28" s="5">
        <v>64564.0</v>
      </c>
      <c r="J28" s="5">
        <v>44070.0</v>
      </c>
      <c r="K28" s="5">
        <v>59857.0</v>
      </c>
      <c r="L28" s="5">
        <v>79813.0</v>
      </c>
      <c r="M28" s="5">
        <v>117288.0</v>
      </c>
      <c r="N28" s="5">
        <v>159501.0</v>
      </c>
      <c r="O28" s="5">
        <v>152799.0</v>
      </c>
      <c r="P28" s="5">
        <v>197752.0</v>
      </c>
      <c r="Q28" s="5">
        <v>229539.0</v>
      </c>
      <c r="R28" s="5">
        <v>215908.0</v>
      </c>
      <c r="S28" s="5">
        <v>207693.0</v>
      </c>
      <c r="T28" s="5">
        <v>283352.0</v>
      </c>
    </row>
    <row r="29">
      <c r="A29" s="3" t="s">
        <v>50</v>
      </c>
      <c r="B29" s="5" t="str">
        <f t="array" ref="B29">index('Derived Continent Data'!$J$3:$J$220,MATCH(A29,'Derived Continent Data'!$K$3:$K$220,0))</f>
        <v>South America </v>
      </c>
      <c r="C29" s="5">
        <v>290648.0</v>
      </c>
      <c r="D29" s="5">
        <v>336296.0</v>
      </c>
      <c r="E29" s="5">
        <v>422230.0</v>
      </c>
      <c r="F29" s="5">
        <v>452539.0</v>
      </c>
      <c r="G29" s="5">
        <v>373231.0</v>
      </c>
      <c r="H29" s="5">
        <v>522591.0</v>
      </c>
      <c r="I29" s="5">
        <v>673853.0</v>
      </c>
      <c r="J29" s="5">
        <v>596397.0</v>
      </c>
      <c r="K29" s="5">
        <v>684379.0</v>
      </c>
      <c r="L29" s="5">
        <v>432696.0</v>
      </c>
      <c r="M29" s="5">
        <v>480952.0</v>
      </c>
      <c r="N29" s="5">
        <v>525757.0</v>
      </c>
      <c r="O29" s="5">
        <v>663550.0</v>
      </c>
      <c r="P29" s="5">
        <v>610943.0</v>
      </c>
      <c r="Q29" s="5">
        <v>282299.0</v>
      </c>
      <c r="R29" s="5">
        <v>223438.0</v>
      </c>
      <c r="S29" s="5">
        <v>241619.0</v>
      </c>
      <c r="T29" s="5">
        <v>260876.0</v>
      </c>
    </row>
    <row r="30">
      <c r="A30" s="3" t="s">
        <v>51</v>
      </c>
      <c r="B30" s="5" t="str">
        <f t="array" ref="B30">index('Derived Continent Data'!$J$3:$J$220,MATCH(A30,'Derived Continent Data'!$K$3:$K$220,0))</f>
        <v>North America</v>
      </c>
      <c r="C30" s="5">
        <v>847436.0</v>
      </c>
      <c r="D30" s="5">
        <v>858826.0</v>
      </c>
      <c r="E30" s="5">
        <v>841585.0</v>
      </c>
      <c r="F30" s="5">
        <v>872720.0</v>
      </c>
      <c r="G30" s="5">
        <v>729023.0</v>
      </c>
      <c r="H30" s="5">
        <v>694349.0</v>
      </c>
      <c r="I30" s="5">
        <v>681956.0</v>
      </c>
      <c r="J30" s="5">
        <v>748530.0</v>
      </c>
      <c r="K30" s="5">
        <v>755615.0</v>
      </c>
      <c r="L30" s="5">
        <v>760449.0</v>
      </c>
      <c r="M30" s="5">
        <v>712322.0</v>
      </c>
      <c r="N30" s="5">
        <v>661088.0</v>
      </c>
      <c r="O30" s="5">
        <v>639824.0</v>
      </c>
      <c r="P30" s="5">
        <v>577711.0</v>
      </c>
      <c r="Q30" s="5">
        <v>496846.0</v>
      </c>
      <c r="R30" s="5">
        <v>318750.0</v>
      </c>
      <c r="S30" s="5">
        <v>320605.0</v>
      </c>
      <c r="T30" s="5">
        <v>258483.0</v>
      </c>
    </row>
    <row r="31">
      <c r="A31" s="3" t="s">
        <v>52</v>
      </c>
      <c r="B31" s="5" t="str">
        <f t="array" ref="B31">index('Derived Continent Data'!$J$3:$J$220,MATCH(A31,'Derived Continent Data'!$K$3:$K$220,0))</f>
        <v>Asia</v>
      </c>
      <c r="C31" s="5">
        <v>130000.0</v>
      </c>
      <c r="D31" s="5">
        <v>130000.0</v>
      </c>
      <c r="E31" s="5">
        <v>200000.0</v>
      </c>
      <c r="F31" s="5">
        <v>170000.0</v>
      </c>
      <c r="G31" s="5">
        <v>160000.0</v>
      </c>
      <c r="H31" s="5">
        <v>200000.0</v>
      </c>
      <c r="I31" s="5">
        <v>210000.0</v>
      </c>
      <c r="J31" s="5">
        <v>190000.0</v>
      </c>
      <c r="K31" s="5">
        <v>200000.0</v>
      </c>
      <c r="L31" s="5">
        <v>228000.0</v>
      </c>
      <c r="M31" s="5">
        <v>247300.0</v>
      </c>
      <c r="N31" s="5">
        <v>276900.0</v>
      </c>
      <c r="O31" s="5">
        <v>271134.0</v>
      </c>
      <c r="P31" s="5">
        <v>257465.0</v>
      </c>
      <c r="Q31" s="5">
        <v>239671.0</v>
      </c>
      <c r="R31" s="5">
        <v>202366.0</v>
      </c>
      <c r="S31" s="5">
        <v>272646.0</v>
      </c>
      <c r="T31" s="5">
        <v>257743.0</v>
      </c>
    </row>
    <row r="32">
      <c r="A32" s="3" t="s">
        <v>53</v>
      </c>
      <c r="B32" s="5" t="str">
        <f t="array" ref="B32">index('Derived Continent Data'!$J$3:$J$220,MATCH(A32,'Derived Continent Data'!$K$3:$K$220,0))</f>
        <v>Asia</v>
      </c>
      <c r="C32" s="5">
        <v>35063.0</v>
      </c>
      <c r="D32" s="5">
        <v>38131.0</v>
      </c>
      <c r="E32" s="5">
        <v>41107.0</v>
      </c>
      <c r="F32" s="5">
        <v>44313.0</v>
      </c>
      <c r="G32" s="5">
        <v>46111.0</v>
      </c>
      <c r="H32" s="5">
        <v>59623.0</v>
      </c>
      <c r="I32" s="5">
        <v>57768.0</v>
      </c>
      <c r="J32" s="5">
        <v>64165.0</v>
      </c>
      <c r="K32" s="5">
        <v>76822.0</v>
      </c>
      <c r="L32" s="5">
        <v>90287.0</v>
      </c>
      <c r="M32" s="5">
        <v>116381.0</v>
      </c>
      <c r="N32" s="5">
        <v>133188.0</v>
      </c>
      <c r="O32" s="5">
        <v>295459.0</v>
      </c>
      <c r="P32" s="5">
        <v>252848.0</v>
      </c>
      <c r="Q32" s="5">
        <v>258555.0</v>
      </c>
      <c r="R32" s="5">
        <v>153833.0</v>
      </c>
      <c r="S32" s="5">
        <v>180642.0</v>
      </c>
      <c r="T32" s="5">
        <v>226403.0</v>
      </c>
    </row>
    <row r="33">
      <c r="A33" s="3" t="s">
        <v>54</v>
      </c>
      <c r="B33" s="5" t="str">
        <f t="array" ref="B33">index('Derived Continent Data'!$J$3:$J$220,MATCH(A33,'Derived Continent Data'!$K$3:$K$220,0))</f>
        <v>Europe</v>
      </c>
      <c r="C33" s="5">
        <v>266770.0</v>
      </c>
      <c r="D33" s="5">
        <v>269421.0</v>
      </c>
      <c r="E33" s="5">
        <v>284674.0</v>
      </c>
      <c r="F33" s="5">
        <v>288525.0</v>
      </c>
      <c r="G33" s="5">
        <v>266018.0</v>
      </c>
      <c r="H33" s="5">
        <v>294239.0</v>
      </c>
      <c r="I33" s="5">
        <v>318958.0</v>
      </c>
      <c r="J33" s="5">
        <v>328139.0</v>
      </c>
      <c r="K33" s="5">
        <v>307885.0</v>
      </c>
      <c r="L33" s="5">
        <v>301942.0</v>
      </c>
      <c r="M33" s="5">
        <v>323783.0</v>
      </c>
      <c r="N33" s="5">
        <v>317318.0</v>
      </c>
      <c r="O33" s="5">
        <v>311996.0</v>
      </c>
      <c r="P33" s="5">
        <v>299135.0</v>
      </c>
      <c r="Q33" s="5">
        <v>311466.0</v>
      </c>
      <c r="R33" s="5">
        <v>236828.0</v>
      </c>
      <c r="S33" s="5">
        <v>238481.0</v>
      </c>
      <c r="T33" s="5">
        <v>226006.0</v>
      </c>
    </row>
    <row r="34">
      <c r="A34" s="3" t="s">
        <v>55</v>
      </c>
      <c r="B34" s="5" t="str">
        <f t="array" ref="B34">index('Derived Continent Data'!$J$3:$J$220,MATCH(A34,'Derived Continent Data'!$K$3:$K$220,0))</f>
        <v>Europe</v>
      </c>
      <c r="C34" s="5">
        <v>307915.0</v>
      </c>
      <c r="D34" s="5">
        <v>308594.0</v>
      </c>
      <c r="E34" s="5">
        <v>298182.0</v>
      </c>
      <c r="F34" s="5">
        <v>293697.0</v>
      </c>
      <c r="G34" s="5">
        <v>319403.0</v>
      </c>
      <c r="H34" s="5">
        <v>328563.0</v>
      </c>
      <c r="I34" s="5">
        <v>356145.0</v>
      </c>
      <c r="J34" s="5">
        <v>336010.0</v>
      </c>
      <c r="K34" s="5">
        <v>319035.0</v>
      </c>
      <c r="L34" s="5">
        <v>303318.0</v>
      </c>
      <c r="M34" s="5">
        <v>308555.0</v>
      </c>
      <c r="N34" s="5">
        <v>329604.0</v>
      </c>
      <c r="O34" s="5">
        <v>353320.0</v>
      </c>
      <c r="P34" s="5">
        <v>341068.0</v>
      </c>
      <c r="Q34" s="5">
        <v>320381.0</v>
      </c>
      <c r="R34" s="5">
        <v>257721.0</v>
      </c>
      <c r="S34" s="5">
        <v>239803.0</v>
      </c>
      <c r="T34" s="5">
        <v>215050.0</v>
      </c>
    </row>
    <row r="35">
      <c r="A35" s="3" t="s">
        <v>56</v>
      </c>
      <c r="B35" s="5" t="str">
        <f t="array" ref="B35">index('Derived Continent Data'!$J$3:$J$220,MATCH(A35,'Derived Continent Data'!$K$3:$K$220,0))</f>
        <v>South America </v>
      </c>
      <c r="C35" s="5">
        <v>120000.0</v>
      </c>
      <c r="D35" s="5">
        <v>160000.0</v>
      </c>
      <c r="E35" s="5">
        <v>200000.0</v>
      </c>
      <c r="F35" s="5">
        <v>180000.0</v>
      </c>
      <c r="G35" s="5">
        <v>170000.0</v>
      </c>
      <c r="H35" s="5">
        <v>250000.0</v>
      </c>
      <c r="I35" s="5">
        <v>250000.0</v>
      </c>
      <c r="J35" s="5">
        <v>240000.0</v>
      </c>
      <c r="K35" s="5">
        <v>238800.0</v>
      </c>
      <c r="L35" s="5">
        <v>265100.0</v>
      </c>
      <c r="M35" s="5">
        <v>236800.0</v>
      </c>
      <c r="N35" s="5">
        <v>215700.0</v>
      </c>
      <c r="O35" s="5">
        <v>206336.0</v>
      </c>
      <c r="P35" s="5">
        <v>220088.0</v>
      </c>
      <c r="Q35" s="5">
        <v>220581.0</v>
      </c>
      <c r="R35" s="5">
        <v>85282.0</v>
      </c>
      <c r="S35" s="5">
        <v>200914.0</v>
      </c>
      <c r="T35" s="5">
        <v>208160.0</v>
      </c>
    </row>
    <row r="36">
      <c r="A36" s="3" t="s">
        <v>57</v>
      </c>
      <c r="B36" s="5" t="str">
        <f t="array" ref="B36">index('Derived Continent Data'!$J$3:$J$220,MATCH(A36,'Derived Continent Data'!$K$3:$K$220,0))</f>
        <v>Europe</v>
      </c>
      <c r="C36" s="5">
        <v>151699.0</v>
      </c>
      <c r="D36" s="5">
        <v>156686.0</v>
      </c>
      <c r="E36" s="5">
        <v>174456.0</v>
      </c>
      <c r="F36" s="5">
        <v>182554.0</v>
      </c>
      <c r="G36" s="5">
        <v>167708.0</v>
      </c>
      <c r="H36" s="5">
        <v>169580.0</v>
      </c>
      <c r="I36" s="5">
        <v>173595.0</v>
      </c>
      <c r="J36" s="5">
        <v>174009.0</v>
      </c>
      <c r="K36" s="5">
        <v>164736.0</v>
      </c>
      <c r="L36" s="5">
        <v>192314.0</v>
      </c>
      <c r="M36" s="5">
        <v>230857.0</v>
      </c>
      <c r="N36" s="5">
        <v>259693.0</v>
      </c>
      <c r="O36" s="5">
        <v>271595.0</v>
      </c>
      <c r="P36" s="5">
        <v>261437.0</v>
      </c>
      <c r="Q36" s="5">
        <v>249915.0</v>
      </c>
      <c r="R36" s="5">
        <v>202971.0</v>
      </c>
      <c r="S36" s="5">
        <v>206876.0</v>
      </c>
      <c r="T36" s="5">
        <v>192087.0</v>
      </c>
    </row>
    <row r="37">
      <c r="A37" s="3" t="s">
        <v>58</v>
      </c>
      <c r="B37" s="5" t="str">
        <f t="array" ref="B37">index('Derived Continent Data'!$J$3:$J$220,MATCH(A37,'Derived Continent Data'!$K$3:$K$220,0))</f>
        <v>Asia</v>
      </c>
      <c r="C37" s="5">
        <v>141326.0</v>
      </c>
      <c r="D37" s="5">
        <v>160256.0</v>
      </c>
      <c r="E37" s="5">
        <v>159457.0</v>
      </c>
      <c r="F37" s="5">
        <v>127863.0</v>
      </c>
      <c r="G37" s="5">
        <v>94437.0</v>
      </c>
      <c r="H37" s="5">
        <v>130038.0</v>
      </c>
      <c r="I37" s="5">
        <v>140184.0</v>
      </c>
      <c r="J37" s="5">
        <v>136026.0</v>
      </c>
      <c r="K37" s="5">
        <v>121122.0</v>
      </c>
      <c r="L37" s="5">
        <v>123950.0</v>
      </c>
      <c r="M37" s="5">
        <v>182231.0</v>
      </c>
      <c r="N37" s="5">
        <v>177222.0</v>
      </c>
      <c r="O37" s="5">
        <v>203314.0</v>
      </c>
      <c r="P37" s="5">
        <v>217392.0</v>
      </c>
      <c r="Q37" s="5">
        <v>162689.0</v>
      </c>
      <c r="R37" s="5">
        <v>104387.0</v>
      </c>
      <c r="S37" s="5">
        <v>198921.0</v>
      </c>
      <c r="T37" s="5">
        <v>188318.0</v>
      </c>
    </row>
    <row r="38">
      <c r="A38" s="3" t="s">
        <v>59</v>
      </c>
      <c r="B38" s="5" t="str">
        <f t="array" ref="B38">index('Derived Continent Data'!$J$3:$J$220,MATCH(A38,'Derived Continent Data'!$K$3:$K$220,0))</f>
        <v>Europe</v>
      </c>
      <c r="C38" s="5">
        <v>109907.0</v>
      </c>
      <c r="D38" s="5">
        <v>109164.0</v>
      </c>
      <c r="E38" s="5">
        <v>129195.0</v>
      </c>
      <c r="F38" s="5">
        <v>110617.0</v>
      </c>
      <c r="G38" s="5">
        <v>98675.0</v>
      </c>
      <c r="H38" s="5">
        <v>127754.0</v>
      </c>
      <c r="I38" s="5">
        <v>138345.0</v>
      </c>
      <c r="J38" s="5">
        <v>137967.0</v>
      </c>
      <c r="K38" s="5">
        <v>142151.0</v>
      </c>
      <c r="L38" s="5">
        <v>144202.0</v>
      </c>
      <c r="M38" s="5">
        <v>150686.0</v>
      </c>
      <c r="N38" s="5">
        <v>154603.0</v>
      </c>
      <c r="O38" s="5">
        <v>158650.0</v>
      </c>
      <c r="P38" s="5">
        <v>147929.0</v>
      </c>
      <c r="Q38" s="5">
        <v>133964.0</v>
      </c>
      <c r="R38" s="5">
        <v>124424.0</v>
      </c>
      <c r="S38" s="5">
        <v>176276.0</v>
      </c>
      <c r="T38" s="5">
        <v>174329.0</v>
      </c>
    </row>
    <row r="39">
      <c r="A39" s="3" t="s">
        <v>60</v>
      </c>
      <c r="B39" s="5" t="str">
        <f t="array" ref="B39">index('Derived Continent Data'!$J$3:$J$220,MATCH(A39,'Derived Continent Data'!$K$3:$K$220,0))</f>
        <v>Asia</v>
      </c>
      <c r="C39" s="5">
        <v>137000.0</v>
      </c>
      <c r="D39" s="5">
        <v>150000.0</v>
      </c>
      <c r="E39" s="5">
        <v>135000.0</v>
      </c>
      <c r="F39" s="5">
        <v>191544.0</v>
      </c>
      <c r="G39" s="5">
        <v>90238.0</v>
      </c>
      <c r="H39" s="5">
        <v>136979.0</v>
      </c>
      <c r="I39" s="5">
        <v>193268.0</v>
      </c>
      <c r="J39" s="5">
        <v>211500.0</v>
      </c>
      <c r="K39" s="5">
        <v>206700.0</v>
      </c>
      <c r="L39" s="5">
        <v>206700.0</v>
      </c>
      <c r="M39" s="5">
        <v>214000.0</v>
      </c>
      <c r="N39" s="5">
        <v>166400.0</v>
      </c>
      <c r="O39" s="3">
        <v>0.0</v>
      </c>
      <c r="P39" s="3">
        <v>0.0</v>
      </c>
      <c r="Q39" s="5">
        <v>198520.0</v>
      </c>
      <c r="R39" s="5">
        <v>129901.0</v>
      </c>
      <c r="S39" s="5">
        <v>156780.0</v>
      </c>
      <c r="T39" s="5">
        <v>171414.0</v>
      </c>
    </row>
    <row r="40">
      <c r="A40" s="3" t="s">
        <v>61</v>
      </c>
      <c r="B40" s="5" t="str">
        <f t="array" ref="B40">index('Derived Continent Data'!$J$3:$J$220,MATCH(A40,'Derived Continent Data'!$K$3:$K$220,0))</f>
        <v>Europe</v>
      </c>
      <c r="C40" s="5">
        <v>206488.0</v>
      </c>
      <c r="D40" s="5">
        <v>194702.0</v>
      </c>
      <c r="E40" s="5">
        <v>201816.0</v>
      </c>
      <c r="F40" s="5">
        <v>213389.0</v>
      </c>
      <c r="G40" s="5">
        <v>161013.0</v>
      </c>
      <c r="H40" s="5">
        <v>223464.0</v>
      </c>
      <c r="I40" s="5">
        <v>153404.0</v>
      </c>
      <c r="J40" s="5">
        <v>95309.0</v>
      </c>
      <c r="K40" s="5">
        <v>105921.0</v>
      </c>
      <c r="L40" s="5">
        <v>142826.0</v>
      </c>
      <c r="M40" s="5">
        <v>178503.0</v>
      </c>
      <c r="N40" s="5">
        <v>207345.0</v>
      </c>
      <c r="O40" s="5">
        <v>222129.0</v>
      </c>
      <c r="P40" s="5">
        <v>228327.0</v>
      </c>
      <c r="Q40" s="5">
        <v>223799.0</v>
      </c>
      <c r="R40" s="5">
        <v>145417.0</v>
      </c>
      <c r="S40" s="5">
        <v>149740.0</v>
      </c>
      <c r="T40" s="5">
        <v>156304.0</v>
      </c>
    </row>
    <row r="41">
      <c r="A41" s="3" t="s">
        <v>62</v>
      </c>
      <c r="B41" s="5" t="str">
        <f t="array" ref="B41">index('Derived Continent Data'!$J$3:$J$220,MATCH(A41,'Derived Continent Data'!$K$3:$K$220,0))</f>
        <v>Asia</v>
      </c>
      <c r="C41" s="5">
        <v>28500.0</v>
      </c>
      <c r="D41" s="5">
        <v>31100.0</v>
      </c>
      <c r="E41" s="5">
        <v>31700.0</v>
      </c>
      <c r="F41" s="5">
        <v>43000.0</v>
      </c>
      <c r="G41" s="5">
        <v>45000.0</v>
      </c>
      <c r="H41" s="5">
        <v>43500.0</v>
      </c>
      <c r="I41" s="5">
        <v>48000.0</v>
      </c>
      <c r="J41" s="5">
        <v>45000.0</v>
      </c>
      <c r="K41" s="5">
        <v>45500.0</v>
      </c>
      <c r="L41" s="5">
        <v>46000.0</v>
      </c>
      <c r="M41" s="5">
        <v>46000.0</v>
      </c>
      <c r="N41" s="5">
        <v>43900.0</v>
      </c>
      <c r="O41" s="5">
        <v>46000.0</v>
      </c>
      <c r="P41" s="5">
        <v>47500.0</v>
      </c>
      <c r="Q41" s="5">
        <v>147827.0</v>
      </c>
      <c r="R41" s="5">
        <v>146250.0</v>
      </c>
      <c r="S41" s="5">
        <v>138377.0</v>
      </c>
      <c r="T41" s="5">
        <v>153750.0</v>
      </c>
    </row>
    <row r="42">
      <c r="A42" s="3" t="s">
        <v>63</v>
      </c>
      <c r="B42" s="5" t="str">
        <f t="array" ref="B42">index('Derived Continent Data'!$J$3:$J$220,MATCH(A42,'Derived Continent Data'!$K$3:$K$220,0))</f>
        <v>Europe</v>
      </c>
      <c r="C42" s="5">
        <v>148819.0</v>
      </c>
      <c r="D42" s="5">
        <v>156936.0</v>
      </c>
      <c r="E42" s="5">
        <v>162686.0</v>
      </c>
      <c r="F42" s="5">
        <v>150199.0</v>
      </c>
      <c r="G42" s="5">
        <v>112454.0</v>
      </c>
      <c r="H42" s="5">
        <v>153858.0</v>
      </c>
      <c r="I42" s="5">
        <v>170036.0</v>
      </c>
      <c r="J42" s="5">
        <v>170763.0</v>
      </c>
      <c r="K42" s="5">
        <v>182086.0</v>
      </c>
      <c r="L42" s="5">
        <v>189055.0</v>
      </c>
      <c r="M42" s="5">
        <v>207717.0</v>
      </c>
      <c r="N42" s="5">
        <v>222924.0</v>
      </c>
      <c r="O42" s="5">
        <v>221821.0</v>
      </c>
      <c r="P42" s="5">
        <v>218566.0</v>
      </c>
      <c r="Q42" s="5">
        <v>225581.0</v>
      </c>
      <c r="R42" s="5">
        <v>198130.0</v>
      </c>
      <c r="S42" s="5">
        <v>185324.0</v>
      </c>
      <c r="T42" s="5">
        <v>148293.0</v>
      </c>
    </row>
    <row r="43">
      <c r="A43" s="3" t="s">
        <v>64</v>
      </c>
      <c r="B43" s="5" t="str">
        <f t="array" ref="B43">index('Derived Continent Data'!$J$3:$J$220,MATCH(A43,'Derived Continent Data'!$K$3:$K$220,0))</f>
        <v>Africa</v>
      </c>
      <c r="C43" s="5">
        <v>56183.0</v>
      </c>
      <c r="D43" s="5">
        <v>75295.0</v>
      </c>
      <c r="E43" s="5">
        <v>90941.0</v>
      </c>
      <c r="F43" s="5">
        <v>102095.0</v>
      </c>
      <c r="G43" s="5">
        <v>93761.0</v>
      </c>
      <c r="H43" s="5">
        <v>91119.0</v>
      </c>
      <c r="I43" s="5">
        <v>99727.0</v>
      </c>
      <c r="J43" s="5">
        <v>117818.0</v>
      </c>
      <c r="K43" s="5">
        <v>108177.0</v>
      </c>
      <c r="L43" s="5">
        <v>109649.0</v>
      </c>
      <c r="M43" s="5">
        <v>120875.0</v>
      </c>
      <c r="N43" s="5">
        <v>152324.0</v>
      </c>
      <c r="O43" s="5">
        <v>155306.0</v>
      </c>
      <c r="P43" s="5">
        <v>163223.0</v>
      </c>
      <c r="Q43" s="5">
        <v>148354.0</v>
      </c>
      <c r="R43" s="5">
        <v>117046.0</v>
      </c>
      <c r="S43" s="5">
        <v>154284.0</v>
      </c>
      <c r="T43" s="5">
        <v>143265.0</v>
      </c>
    </row>
    <row r="44">
      <c r="A44" s="3" t="s">
        <v>65</v>
      </c>
      <c r="B44" s="5" t="str">
        <f t="array" ref="B44">index('Derived Continent Data'!$J$3:$J$220,MATCH(A44,'Derived Continent Data'!$K$3:$K$220,0))</f>
        <v>Africa</v>
      </c>
      <c r="C44" s="5">
        <v>94538.0</v>
      </c>
      <c r="D44" s="5">
        <v>132373.0</v>
      </c>
      <c r="E44" s="5">
        <v>179149.0</v>
      </c>
      <c r="F44" s="5">
        <v>203729.0</v>
      </c>
      <c r="G44" s="5">
        <v>158926.0</v>
      </c>
      <c r="H44" s="5">
        <v>192848.0</v>
      </c>
      <c r="I44" s="5">
        <v>210300.0</v>
      </c>
      <c r="J44" s="5">
        <v>222700.0</v>
      </c>
      <c r="K44" s="5">
        <v>220000.0</v>
      </c>
      <c r="L44" s="5">
        <v>273500.0</v>
      </c>
      <c r="M44" s="5">
        <v>258400.0</v>
      </c>
      <c r="N44" s="5">
        <v>214800.0</v>
      </c>
      <c r="O44" s="5">
        <v>100533.0</v>
      </c>
      <c r="P44" s="5">
        <v>145873.0</v>
      </c>
      <c r="Q44" s="5">
        <v>127443.0</v>
      </c>
      <c r="R44" s="5">
        <v>167792.0</v>
      </c>
      <c r="S44" s="5">
        <v>215072.0</v>
      </c>
      <c r="T44" s="5">
        <v>133857.0</v>
      </c>
    </row>
    <row r="45">
      <c r="A45" s="3" t="s">
        <v>66</v>
      </c>
      <c r="B45" s="5" t="str">
        <f t="array" ref="B45">index('Derived Continent Data'!$J$3:$J$220,MATCH(A45,'Derived Continent Data'!$K$3:$K$220,0))</f>
        <v>Europe</v>
      </c>
      <c r="C45" s="5">
        <v>214967.0</v>
      </c>
      <c r="D45" s="5">
        <v>247411.0</v>
      </c>
      <c r="E45" s="5">
        <v>312533.0</v>
      </c>
      <c r="F45" s="5">
        <v>285506.0</v>
      </c>
      <c r="G45" s="5">
        <v>116016.0</v>
      </c>
      <c r="H45" s="5">
        <v>94441.0</v>
      </c>
      <c r="I45" s="5">
        <v>81709.0</v>
      </c>
      <c r="J45" s="5">
        <v>66436.0</v>
      </c>
      <c r="K45" s="5">
        <v>57710.0</v>
      </c>
      <c r="L45" s="5">
        <v>82809.0</v>
      </c>
      <c r="M45" s="5">
        <v>98325.0</v>
      </c>
      <c r="N45" s="5">
        <v>115004.0</v>
      </c>
      <c r="O45" s="5">
        <v>105083.0</v>
      </c>
      <c r="P45" s="5">
        <v>129004.0</v>
      </c>
      <c r="Q45" s="5">
        <v>161562.0</v>
      </c>
      <c r="R45" s="5">
        <v>126351.0</v>
      </c>
      <c r="S45" s="5">
        <v>120804.0</v>
      </c>
      <c r="T45" s="5">
        <v>127948.0</v>
      </c>
    </row>
    <row r="46">
      <c r="A46" s="3" t="s">
        <v>67</v>
      </c>
      <c r="B46" s="5" t="str">
        <f t="array" ref="B46">index('Derived Continent Data'!$J$3:$J$220,MATCH(A46,'Derived Continent Data'!$K$3:$K$220,0))</f>
        <v>South America </v>
      </c>
      <c r="C46" s="5">
        <v>14231.0</v>
      </c>
      <c r="D46" s="5">
        <v>20061.0</v>
      </c>
      <c r="E46" s="5">
        <v>28430.0</v>
      </c>
      <c r="F46" s="5">
        <v>55312.0</v>
      </c>
      <c r="G46" s="5">
        <v>48775.0</v>
      </c>
      <c r="H46" s="5">
        <v>73858.0</v>
      </c>
      <c r="I46" s="5">
        <v>93055.0</v>
      </c>
      <c r="J46" s="5">
        <v>128295.0</v>
      </c>
      <c r="K46" s="5">
        <v>139453.0</v>
      </c>
      <c r="L46" s="5">
        <v>140363.0</v>
      </c>
      <c r="M46" s="5">
        <v>137039.0</v>
      </c>
      <c r="N46" s="5">
        <v>133671.0</v>
      </c>
      <c r="O46" s="5">
        <v>134623.0</v>
      </c>
      <c r="P46" s="5">
        <v>115441.0</v>
      </c>
      <c r="Q46" s="5">
        <v>115241.0</v>
      </c>
      <c r="R46" s="5">
        <v>81496.0</v>
      </c>
      <c r="S46" s="5">
        <v>111436.0</v>
      </c>
      <c r="T46" s="5">
        <v>118915.0</v>
      </c>
    </row>
    <row r="47">
      <c r="A47" s="3" t="s">
        <v>68</v>
      </c>
      <c r="B47" s="5" t="str">
        <f t="array" ref="B47">index('Derived Continent Data'!$J$3:$J$220,MATCH(A47,'Derived Continent Data'!$K$3:$K$220,0))</f>
        <v>Oceania</v>
      </c>
      <c r="C47" s="5">
        <v>77825.0</v>
      </c>
      <c r="D47" s="5">
        <v>76804.0</v>
      </c>
      <c r="E47" s="5">
        <v>77454.0</v>
      </c>
      <c r="F47" s="5">
        <v>73397.0</v>
      </c>
      <c r="G47" s="5">
        <v>54404.0</v>
      </c>
      <c r="H47" s="5">
        <v>62029.0</v>
      </c>
      <c r="I47" s="5">
        <v>63471.0</v>
      </c>
      <c r="J47" s="5">
        <v>76871.0</v>
      </c>
      <c r="K47" s="5">
        <v>82433.0</v>
      </c>
      <c r="L47" s="5">
        <v>90131.0</v>
      </c>
      <c r="M47" s="5">
        <v>94964.0</v>
      </c>
      <c r="N47" s="5">
        <v>102514.0</v>
      </c>
      <c r="O47" s="5">
        <v>107951.0</v>
      </c>
      <c r="P47" s="5">
        <v>107674.0</v>
      </c>
      <c r="Q47" s="5">
        <v>103610.0</v>
      </c>
      <c r="R47" s="5">
        <v>80433.0</v>
      </c>
      <c r="S47" s="5">
        <v>111299.0</v>
      </c>
      <c r="T47" s="5">
        <v>116334.0</v>
      </c>
    </row>
    <row r="48">
      <c r="A48" s="3" t="s">
        <v>69</v>
      </c>
      <c r="B48" s="5" t="str">
        <f t="array" ref="B48">index('Derived Continent Data'!$J$3:$J$220,MATCH(A48,'Derived Continent Data'!$K$3:$K$220,0))</f>
        <v>Europe</v>
      </c>
      <c r="C48" s="5">
        <v>198982.0</v>
      </c>
      <c r="D48" s="5">
        <v>187676.0</v>
      </c>
      <c r="E48" s="5">
        <v>171661.0</v>
      </c>
      <c r="F48" s="5">
        <v>153278.0</v>
      </c>
      <c r="G48" s="5">
        <v>60189.0</v>
      </c>
      <c r="H48" s="5">
        <v>43476.0</v>
      </c>
      <c r="I48" s="5">
        <v>45094.0</v>
      </c>
      <c r="J48" s="5">
        <v>53059.0</v>
      </c>
      <c r="K48" s="5">
        <v>56139.0</v>
      </c>
      <c r="L48" s="5">
        <v>67476.0</v>
      </c>
      <c r="M48" s="5">
        <v>77171.0</v>
      </c>
      <c r="N48" s="5">
        <v>96552.0</v>
      </c>
      <c r="O48" s="5">
        <v>116265.0</v>
      </c>
      <c r="P48" s="5">
        <v>136601.0</v>
      </c>
      <c r="Q48" s="5">
        <v>157900.0</v>
      </c>
      <c r="R48" s="5">
        <v>128021.0</v>
      </c>
      <c r="S48" s="5">
        <v>121920.0</v>
      </c>
      <c r="T48" s="5">
        <v>111524.0</v>
      </c>
    </row>
    <row r="49">
      <c r="A49" s="3" t="s">
        <v>70</v>
      </c>
      <c r="B49" s="5" t="str">
        <f t="array" ref="B49">index('Derived Continent Data'!$J$3:$J$220,MATCH(A49,'Derived Continent Data'!$K$3:$K$220,0))</f>
        <v>Europe</v>
      </c>
      <c r="C49" s="5">
        <v>269728.0</v>
      </c>
      <c r="D49" s="5">
        <v>267669.0</v>
      </c>
      <c r="E49" s="5">
        <v>279745.0</v>
      </c>
      <c r="F49" s="5">
        <v>267295.0</v>
      </c>
      <c r="G49" s="5">
        <v>219730.0</v>
      </c>
      <c r="H49" s="5">
        <v>141501.0</v>
      </c>
      <c r="I49" s="5">
        <v>97680.0</v>
      </c>
      <c r="J49" s="5">
        <v>58482.0</v>
      </c>
      <c r="K49" s="5">
        <v>58694.0</v>
      </c>
      <c r="L49" s="5">
        <v>71218.0</v>
      </c>
      <c r="M49" s="5">
        <v>75805.0</v>
      </c>
      <c r="N49" s="5">
        <v>78873.0</v>
      </c>
      <c r="O49" s="5">
        <v>88083.0</v>
      </c>
      <c r="P49" s="5">
        <v>103431.0</v>
      </c>
      <c r="Q49" s="5">
        <v>114109.0</v>
      </c>
      <c r="R49" s="5">
        <v>80977.0</v>
      </c>
      <c r="S49" s="5">
        <v>100916.0</v>
      </c>
      <c r="T49" s="5">
        <v>105283.0</v>
      </c>
    </row>
    <row r="50">
      <c r="A50" s="3" t="s">
        <v>71</v>
      </c>
      <c r="B50" s="5" t="str">
        <f t="array" ref="B50">index('Derived Continent Data'!$J$3:$J$220,MATCH(A50,'Derived Continent Data'!$K$3:$K$220,0))</f>
        <v>Europe</v>
      </c>
      <c r="C50" s="5">
        <v>171742.0</v>
      </c>
      <c r="D50" s="5">
        <v>178484.0</v>
      </c>
      <c r="E50" s="5">
        <v>186325.0</v>
      </c>
      <c r="F50" s="5">
        <v>151607.0</v>
      </c>
      <c r="G50" s="5">
        <v>57453.0</v>
      </c>
      <c r="H50" s="5">
        <v>88446.0</v>
      </c>
      <c r="I50" s="5">
        <v>89911.0</v>
      </c>
      <c r="J50" s="5">
        <v>79498.0</v>
      </c>
      <c r="K50" s="5">
        <v>74367.0</v>
      </c>
      <c r="L50" s="5">
        <v>96284.0</v>
      </c>
      <c r="M50" s="5">
        <v>124804.0</v>
      </c>
      <c r="N50" s="5">
        <v>146600.0</v>
      </c>
      <c r="O50" s="5">
        <v>131332.0</v>
      </c>
      <c r="P50" s="5">
        <v>125557.0</v>
      </c>
      <c r="Q50" s="5">
        <v>117109.0</v>
      </c>
      <c r="R50" s="5">
        <v>88324.0</v>
      </c>
      <c r="S50" s="5">
        <v>104669.0</v>
      </c>
      <c r="T50" s="5">
        <v>105253.0</v>
      </c>
    </row>
    <row r="51">
      <c r="A51" s="3" t="s">
        <v>72</v>
      </c>
      <c r="B51" s="5" t="str">
        <f t="array" ref="B51">index('Derived Continent Data'!$J$3:$J$220,MATCH(A51,'Derived Continent Data'!$K$3:$K$220,0))</f>
        <v>South America </v>
      </c>
      <c r="C51" s="5">
        <v>54342.0</v>
      </c>
      <c r="D51" s="5">
        <v>58900.0</v>
      </c>
      <c r="E51" s="5">
        <v>58334.0</v>
      </c>
      <c r="F51" s="5">
        <v>69556.0</v>
      </c>
      <c r="G51" s="5">
        <v>60596.0</v>
      </c>
      <c r="H51" s="5">
        <v>90250.0</v>
      </c>
      <c r="I51" s="5">
        <v>94297.0</v>
      </c>
      <c r="J51" s="5">
        <v>80644.0</v>
      </c>
      <c r="K51" s="5">
        <v>74169.0</v>
      </c>
      <c r="L51" s="5">
        <v>78495.0</v>
      </c>
      <c r="M51" s="5">
        <v>52101.0</v>
      </c>
      <c r="N51" s="5">
        <v>44816.0</v>
      </c>
      <c r="O51" s="5">
        <v>94635.0</v>
      </c>
      <c r="P51" s="5">
        <v>105046.0</v>
      </c>
      <c r="Q51" s="5">
        <v>97572.0</v>
      </c>
      <c r="R51" s="5">
        <v>61746.0</v>
      </c>
      <c r="S51" s="5">
        <v>86740.0</v>
      </c>
      <c r="T51" s="5">
        <v>100069.0</v>
      </c>
    </row>
    <row r="52">
      <c r="A52" s="3" t="s">
        <v>73</v>
      </c>
      <c r="B52" s="5" t="str">
        <f t="array" ref="B52">index('Derived Continent Data'!$J$3:$J$220,MATCH(A52,'Derived Continent Data'!$K$3:$K$220,0))</f>
        <v>Asia</v>
      </c>
      <c r="C52" s="5">
        <v>39800.0</v>
      </c>
      <c r="D52" s="5">
        <v>39000.0</v>
      </c>
      <c r="E52" s="5">
        <v>39400.0</v>
      </c>
      <c r="F52" s="5">
        <v>39000.0</v>
      </c>
      <c r="G52" s="5">
        <v>40000.0</v>
      </c>
      <c r="H52" s="5">
        <v>24000.0</v>
      </c>
      <c r="I52" s="5">
        <v>38348.0</v>
      </c>
      <c r="J52" s="5">
        <v>86959.0</v>
      </c>
      <c r="K52" s="5">
        <v>153664.0</v>
      </c>
      <c r="L52" s="5">
        <v>151424.0</v>
      </c>
      <c r="M52" s="5">
        <v>81500.0</v>
      </c>
      <c r="N52" s="5">
        <v>86707.0</v>
      </c>
      <c r="O52" s="5">
        <v>41915.0</v>
      </c>
      <c r="P52" s="5">
        <v>52836.0</v>
      </c>
      <c r="Q52" s="5">
        <v>77324.0</v>
      </c>
      <c r="R52" s="5">
        <v>100595.0</v>
      </c>
      <c r="T52" s="5">
        <v>97169.0</v>
      </c>
    </row>
    <row r="53">
      <c r="A53" s="3" t="s">
        <v>74</v>
      </c>
      <c r="B53" s="5" t="str">
        <f t="array" ref="B53">index('Derived Continent Data'!$J$3:$J$220,MATCH(A53,'Derived Continent Data'!$K$3:$K$220,0))</f>
        <v>Asia</v>
      </c>
      <c r="C53" s="5">
        <v>50000.0</v>
      </c>
      <c r="D53" s="5">
        <v>65000.0</v>
      </c>
      <c r="E53" s="5">
        <v>70000.0</v>
      </c>
      <c r="F53" s="5">
        <v>80000.0</v>
      </c>
      <c r="G53" s="5">
        <v>90000.0</v>
      </c>
      <c r="H53" s="5">
        <v>90000.0</v>
      </c>
      <c r="I53" s="5">
        <v>95000.0</v>
      </c>
      <c r="J53" s="5">
        <v>116500.0</v>
      </c>
      <c r="K53" s="5">
        <v>125000.0</v>
      </c>
      <c r="L53" s="5">
        <v>126300.0</v>
      </c>
      <c r="M53" s="5">
        <v>124200.0</v>
      </c>
      <c r="N53" s="5">
        <v>95400.0</v>
      </c>
      <c r="O53" s="5">
        <v>91251.0</v>
      </c>
      <c r="P53" s="5">
        <v>91223.0</v>
      </c>
      <c r="Q53" s="5">
        <v>98454.0</v>
      </c>
      <c r="R53" s="5">
        <v>72648.0</v>
      </c>
      <c r="S53" s="5">
        <v>83460.0</v>
      </c>
      <c r="T53" s="5">
        <v>93465.0</v>
      </c>
    </row>
    <row r="54">
      <c r="A54" s="3" t="s">
        <v>75</v>
      </c>
      <c r="B54" s="5" t="str">
        <f t="array" ref="B54">index('Derived Continent Data'!$J$3:$J$220,MATCH(A54,'Derived Continent Data'!$K$3:$K$220,0))</f>
        <v>Europe</v>
      </c>
      <c r="C54" s="5">
        <v>148161.0</v>
      </c>
      <c r="D54" s="5">
        <v>145700.0</v>
      </c>
      <c r="E54" s="5">
        <v>125608.0</v>
      </c>
      <c r="F54" s="5">
        <v>139669.0</v>
      </c>
      <c r="G54" s="5">
        <v>90574.0</v>
      </c>
      <c r="H54" s="5">
        <v>111968.0</v>
      </c>
      <c r="I54" s="5">
        <v>126123.0</v>
      </c>
      <c r="J54" s="5">
        <v>111251.0</v>
      </c>
      <c r="K54" s="5">
        <v>103455.0</v>
      </c>
      <c r="L54" s="5">
        <v>106237.0</v>
      </c>
      <c r="M54" s="5">
        <v>108819.0</v>
      </c>
      <c r="N54" s="5">
        <v>118991.0</v>
      </c>
      <c r="O54" s="5">
        <v>120480.0</v>
      </c>
      <c r="P54" s="5">
        <v>120480.0</v>
      </c>
      <c r="Q54" s="5">
        <v>114202.0</v>
      </c>
      <c r="R54" s="5">
        <v>96392.0</v>
      </c>
      <c r="S54" s="5">
        <v>98481.0</v>
      </c>
      <c r="T54" s="5">
        <v>81674.0</v>
      </c>
    </row>
    <row r="55">
      <c r="A55" s="3" t="s">
        <v>76</v>
      </c>
      <c r="B55" s="5" t="str">
        <f t="array" ref="B55">index('Derived Continent Data'!$J$3:$J$220,MATCH(A55,'Derived Continent Data'!$K$3:$K$220,0))</f>
        <v>Europe</v>
      </c>
      <c r="C55" s="5">
        <v>56916.0</v>
      </c>
      <c r="D55" s="5">
        <v>59084.0</v>
      </c>
      <c r="E55" s="5">
        <v>59700.0</v>
      </c>
      <c r="F55" s="5">
        <v>70040.0</v>
      </c>
      <c r="G55" s="5">
        <v>74717.0</v>
      </c>
      <c r="H55" s="5">
        <v>64033.0</v>
      </c>
      <c r="I55" s="5">
        <v>68203.0</v>
      </c>
      <c r="J55" s="5">
        <v>69268.0</v>
      </c>
      <c r="K55" s="5">
        <v>65998.0</v>
      </c>
      <c r="L55" s="5">
        <v>72237.0</v>
      </c>
      <c r="M55" s="5">
        <v>77968.0</v>
      </c>
      <c r="N55" s="5">
        <v>88165.0</v>
      </c>
      <c r="O55" s="5">
        <v>96105.0</v>
      </c>
      <c r="P55" s="5">
        <v>98080.0</v>
      </c>
      <c r="Q55" s="5">
        <v>101568.0</v>
      </c>
      <c r="R55" s="5">
        <v>76305.0</v>
      </c>
      <c r="S55" s="5">
        <v>75700.0</v>
      </c>
      <c r="T55" s="5">
        <v>78841.0</v>
      </c>
    </row>
    <row r="56">
      <c r="A56" s="3" t="s">
        <v>77</v>
      </c>
      <c r="B56" s="5" t="str">
        <f t="array" ref="B56">index('Derived Continent Data'!$J$3:$J$220,MATCH(A56,'Derived Continent Data'!$K$3:$K$220,0))</f>
        <v>Europe</v>
      </c>
      <c r="C56" s="5">
        <v>70541.0</v>
      </c>
      <c r="D56" s="5">
        <v>78775.0</v>
      </c>
      <c r="E56" s="5">
        <v>82664.0</v>
      </c>
      <c r="F56" s="5">
        <v>88265.0</v>
      </c>
      <c r="G56" s="5">
        <v>44918.0</v>
      </c>
      <c r="H56" s="5">
        <v>38587.0</v>
      </c>
      <c r="I56" s="5">
        <v>41561.0</v>
      </c>
      <c r="J56" s="5">
        <v>31360.0</v>
      </c>
      <c r="K56" s="5">
        <v>27802.0</v>
      </c>
      <c r="L56" s="5">
        <v>33962.0</v>
      </c>
      <c r="M56" s="5">
        <v>35715.0</v>
      </c>
      <c r="N56" s="5">
        <v>44106.0</v>
      </c>
      <c r="O56" s="5">
        <v>50769.0</v>
      </c>
      <c r="P56" s="5">
        <v>60041.0</v>
      </c>
      <c r="Q56" s="5">
        <v>62977.0</v>
      </c>
      <c r="R56" s="5">
        <v>36057.0</v>
      </c>
      <c r="S56" s="5">
        <v>44929.0</v>
      </c>
      <c r="T56" s="5">
        <v>42955.0</v>
      </c>
    </row>
    <row r="57">
      <c r="A57" s="3" t="s">
        <v>78</v>
      </c>
      <c r="B57" s="5" t="str">
        <f t="array" ref="B57">index('Derived Continent Data'!$J$3:$J$220,MATCH(A57,'Derived Continent Data'!$K$3:$K$220,0))</f>
        <v>Europe</v>
      </c>
      <c r="C57" s="5">
        <v>258395.0</v>
      </c>
      <c r="D57" s="5">
        <v>361549.0</v>
      </c>
      <c r="E57" s="5">
        <v>500357.0</v>
      </c>
      <c r="F57" s="5">
        <v>599985.0</v>
      </c>
      <c r="G57" s="5">
        <v>170085.0</v>
      </c>
      <c r="H57" s="5">
        <v>169540.0</v>
      </c>
      <c r="I57" s="5">
        <v>207453.0</v>
      </c>
      <c r="J57" s="5">
        <v>237602.0</v>
      </c>
      <c r="K57" s="5">
        <v>213322.0</v>
      </c>
      <c r="L57" s="5">
        <v>97020.0</v>
      </c>
      <c r="M57" s="5">
        <v>46546.0</v>
      </c>
      <c r="N57" s="5">
        <v>65562.0</v>
      </c>
      <c r="O57" s="5">
        <v>82330.0</v>
      </c>
      <c r="P57" s="5">
        <v>81877.0</v>
      </c>
      <c r="Q57" s="5">
        <v>88437.0</v>
      </c>
      <c r="R57" s="5">
        <v>85450.0</v>
      </c>
      <c r="S57" s="5">
        <v>103262.0</v>
      </c>
      <c r="T57" s="5">
        <v>37891.0</v>
      </c>
    </row>
    <row r="58">
      <c r="A58" s="3" t="s">
        <v>79</v>
      </c>
      <c r="B58" s="5" t="str">
        <f t="array" ref="B58">index('Derived Continent Data'!$J$3:$J$220,MATCH(A58,'Derived Continent Data'!$K$3:$K$220,0))</f>
        <v>Europe</v>
      </c>
      <c r="C58" s="5">
        <v>25956.0</v>
      </c>
      <c r="D58" s="5">
        <v>36455.0</v>
      </c>
      <c r="E58" s="5">
        <v>43521.0</v>
      </c>
      <c r="F58" s="5">
        <v>45143.0</v>
      </c>
      <c r="G58" s="5">
        <v>22869.0</v>
      </c>
      <c r="H58" s="5">
        <v>16257.0</v>
      </c>
      <c r="I58" s="5">
        <v>19250.0</v>
      </c>
      <c r="J58" s="5">
        <v>19419.0</v>
      </c>
      <c r="K58" s="5">
        <v>19352.0</v>
      </c>
      <c r="L58" s="5">
        <v>23500.0</v>
      </c>
      <c r="M58" s="5">
        <v>23500.0</v>
      </c>
      <c r="N58" s="5">
        <v>26370.0</v>
      </c>
      <c r="O58" s="5">
        <v>33265.0</v>
      </c>
      <c r="P58" s="5">
        <v>37506.0</v>
      </c>
      <c r="Q58" s="5">
        <v>35371.0</v>
      </c>
      <c r="R58" s="5">
        <v>22368.0</v>
      </c>
      <c r="S58" s="5">
        <v>24537.0</v>
      </c>
      <c r="T58" s="5">
        <v>28684.0</v>
      </c>
    </row>
    <row r="59">
      <c r="A59" s="3" t="s">
        <v>80</v>
      </c>
      <c r="B59" s="5" t="str">
        <f t="array" ref="B59">index('Derived Continent Data'!$J$3:$J$220,MATCH(A59,'Derived Continent Data'!$K$3:$K$220,0))</f>
        <v>Europe</v>
      </c>
      <c r="C59" s="3">
        <v>800.0</v>
      </c>
      <c r="D59" s="3">
        <v>800.0</v>
      </c>
      <c r="E59" s="5">
        <v>1600.0</v>
      </c>
      <c r="F59" s="5">
        <v>1600.0</v>
      </c>
      <c r="G59" s="5">
        <v>1000.0</v>
      </c>
      <c r="H59" s="5">
        <v>1600.0</v>
      </c>
      <c r="I59" s="5">
        <v>2100.0</v>
      </c>
      <c r="J59" s="5">
        <v>2300.0</v>
      </c>
      <c r="K59" s="5">
        <v>2300.0</v>
      </c>
      <c r="L59" s="5">
        <v>2500.0</v>
      </c>
      <c r="M59" s="5">
        <v>2500.0</v>
      </c>
      <c r="N59" s="5">
        <v>2500.0</v>
      </c>
      <c r="O59" s="5">
        <v>1370.0</v>
      </c>
      <c r="P59" s="5">
        <v>2175.0</v>
      </c>
      <c r="Q59" s="5">
        <v>3005.0</v>
      </c>
    </row>
    <row r="60">
      <c r="A60" s="3" t="s">
        <v>81</v>
      </c>
      <c r="B60" s="5" t="str">
        <f t="array" ref="B60">index('Derived Continent Data'!$J$3:$J$220,MATCH(A60,'Derived Continent Data'!$K$3:$K$220,0))</f>
        <v>Africa</v>
      </c>
      <c r="C60" s="5">
        <v>71046.0</v>
      </c>
      <c r="D60" s="5">
        <v>81803.0</v>
      </c>
      <c r="E60" s="5">
        <v>97239.0</v>
      </c>
      <c r="F60" s="5">
        <v>111753.0</v>
      </c>
      <c r="G60" s="5">
        <v>131259.0</v>
      </c>
      <c r="H60" s="5">
        <v>97765.0</v>
      </c>
      <c r="I60" s="5">
        <v>165415.0</v>
      </c>
      <c r="J60" s="5">
        <v>188990.0</v>
      </c>
      <c r="K60" s="5">
        <v>222710.0</v>
      </c>
      <c r="L60" s="5">
        <v>178200.0</v>
      </c>
      <c r="M60" s="5">
        <v>177517.0</v>
      </c>
      <c r="N60" s="5">
        <v>85300.0</v>
      </c>
      <c r="O60" s="5">
        <v>97983.0</v>
      </c>
      <c r="P60" s="5">
        <v>123698.0</v>
      </c>
      <c r="Q60" s="5">
        <v>118689.0</v>
      </c>
    </row>
    <row r="61">
      <c r="A61" s="3" t="s">
        <v>82</v>
      </c>
      <c r="B61" s="5" t="str">
        <f t="array" ref="B61">index('Derived Continent Data'!$J$3:$J$220,MATCH(A61,'Derived Continent Data'!$K$3:$K$220,0))</f>
        <v>Africa</v>
      </c>
      <c r="C61" s="5">
        <v>6000.0</v>
      </c>
      <c r="D61" s="5">
        <v>8000.0</v>
      </c>
      <c r="E61" s="5">
        <v>3500.0</v>
      </c>
      <c r="F61" s="5">
        <v>3500.0</v>
      </c>
      <c r="G61" s="5">
        <v>10000.0</v>
      </c>
      <c r="H61" s="5">
        <v>20000.0</v>
      </c>
      <c r="I61" s="5">
        <v>10000.0</v>
      </c>
      <c r="J61" s="5">
        <v>17000.0</v>
      </c>
      <c r="K61" s="5">
        <v>20000.0</v>
      </c>
      <c r="L61" s="5">
        <v>24000.0</v>
      </c>
      <c r="M61" s="5">
        <v>14700.0</v>
      </c>
      <c r="N61" s="5">
        <v>5600.0</v>
      </c>
      <c r="O61" s="5">
        <v>2875.0</v>
      </c>
      <c r="P61" s="5">
        <v>1825.0</v>
      </c>
      <c r="Q61" s="5">
        <v>2080.0</v>
      </c>
    </row>
    <row r="62">
      <c r="A62" s="3" t="s">
        <v>83</v>
      </c>
      <c r="B62" s="5" t="str">
        <f t="array" ref="B62">index('Derived Continent Data'!$J$3:$J$220,MATCH(A62,'Derived Continent Data'!$K$3:$K$220,0))</f>
        <v>Asia</v>
      </c>
      <c r="C62" s="5">
        <v>11000.0</v>
      </c>
      <c r="D62" s="5">
        <v>12000.0</v>
      </c>
      <c r="E62" s="5">
        <v>6000.0</v>
      </c>
      <c r="F62" s="5">
        <v>4000.0</v>
      </c>
      <c r="G62" s="5">
        <v>4000.0</v>
      </c>
      <c r="H62" s="5">
        <v>4000.0</v>
      </c>
      <c r="I62" s="5">
        <v>4000.0</v>
      </c>
      <c r="J62" s="5">
        <v>5000.0</v>
      </c>
      <c r="K62" s="5">
        <v>5000.0</v>
      </c>
      <c r="L62" s="5">
        <v>5200.0</v>
      </c>
      <c r="M62" s="5">
        <v>2300.0</v>
      </c>
      <c r="N62" s="5">
        <v>2500.0</v>
      </c>
      <c r="O62" s="5">
        <v>2200.0</v>
      </c>
      <c r="P62" s="5">
        <v>1200.0</v>
      </c>
      <c r="Q62" s="3">
        <v>970.0</v>
      </c>
    </row>
    <row r="63">
      <c r="A63" s="3" t="s">
        <v>84</v>
      </c>
      <c r="B63" s="5" t="str">
        <f t="array" ref="B63">index('Derived Continent Data'!$J$3:$J$220,MATCH(A63,'Derived Continent Data'!$K$3:$K$220,0))</f>
        <v>Asia</v>
      </c>
      <c r="C63" s="5">
        <v>12100.0</v>
      </c>
      <c r="D63" s="5">
        <v>13000.0</v>
      </c>
      <c r="E63" s="5">
        <v>15000.0</v>
      </c>
      <c r="F63" s="5">
        <v>15000.0</v>
      </c>
      <c r="G63" s="5">
        <v>10000.0</v>
      </c>
      <c r="H63" s="5">
        <v>13000.0</v>
      </c>
      <c r="I63" s="5">
        <v>10000.0</v>
      </c>
      <c r="J63" s="5">
        <v>14000.0</v>
      </c>
      <c r="K63" s="5">
        <v>21000.0</v>
      </c>
      <c r="L63" s="5">
        <v>23300.0</v>
      </c>
      <c r="M63" s="5">
        <v>9100.0</v>
      </c>
      <c r="N63" s="5">
        <v>4300.0</v>
      </c>
      <c r="O63" s="5">
        <v>1700.0</v>
      </c>
      <c r="P63" s="5">
        <v>3200.0</v>
      </c>
      <c r="Q63" s="5">
        <v>6046.0</v>
      </c>
    </row>
    <row r="64">
      <c r="A64" s="3" t="s">
        <v>85</v>
      </c>
      <c r="B64" s="5" t="str">
        <f t="array" ref="B64">index('Derived Continent Data'!$J$3:$J$220,MATCH(A64,'Derived Continent Data'!$K$3:$K$220,0))</f>
        <v>North America</v>
      </c>
      <c r="C64" s="5">
        <v>2500.0</v>
      </c>
      <c r="D64" s="5">
        <v>2000.0</v>
      </c>
      <c r="E64" s="5">
        <v>2000.0</v>
      </c>
      <c r="F64" s="5">
        <v>2000.0</v>
      </c>
      <c r="G64" s="5">
        <v>3500.0</v>
      </c>
      <c r="H64" s="5">
        <v>2000.0</v>
      </c>
      <c r="I64" s="5">
        <v>2000.0</v>
      </c>
      <c r="J64" s="5">
        <v>2500.0</v>
      </c>
      <c r="K64" s="5">
        <v>2000.0</v>
      </c>
      <c r="L64" s="5">
        <v>1600.0</v>
      </c>
      <c r="M64" s="5">
        <v>2800.0</v>
      </c>
      <c r="N64" s="5">
        <v>2700.0</v>
      </c>
      <c r="O64" s="5">
        <v>1332.0</v>
      </c>
      <c r="P64" s="5">
        <v>1332.0</v>
      </c>
      <c r="Q64" s="5">
        <v>1332.0</v>
      </c>
    </row>
    <row r="65">
      <c r="A65" s="3" t="s">
        <v>86</v>
      </c>
      <c r="B65" s="5" t="str">
        <f t="array" ref="B65">index('Derived Continent Data'!$J$3:$J$220,MATCH(A65,'Derived Continent Data'!$K$3:$K$220,0))</f>
        <v>Asia</v>
      </c>
      <c r="C65" s="5">
        <v>18000.0</v>
      </c>
      <c r="D65" s="5">
        <v>18000.0</v>
      </c>
      <c r="E65" s="5">
        <v>20000.0</v>
      </c>
      <c r="F65" s="5">
        <v>30000.0</v>
      </c>
      <c r="G65" s="5">
        <v>28000.0</v>
      </c>
      <c r="H65" s="5">
        <v>29000.0</v>
      </c>
      <c r="I65" s="5">
        <v>26000.0</v>
      </c>
      <c r="J65" s="5">
        <v>40000.0</v>
      </c>
      <c r="K65" s="5">
        <v>43500.0</v>
      </c>
      <c r="L65" s="5">
        <v>49600.0</v>
      </c>
      <c r="M65" s="5">
        <v>47700.0</v>
      </c>
      <c r="N65" s="5">
        <v>39200.0</v>
      </c>
      <c r="O65" s="5">
        <v>32439.0</v>
      </c>
      <c r="P65" s="5">
        <v>31855.0</v>
      </c>
      <c r="Q65" s="5">
        <v>26372.0</v>
      </c>
    </row>
    <row r="66">
      <c r="A66" s="3" t="s">
        <v>87</v>
      </c>
      <c r="B66" s="5" t="str">
        <f t="array" ref="B66">index('Derived Continent Data'!$J$3:$J$220,MATCH(A66,'Derived Continent Data'!$K$3:$K$220,0))</f>
        <v>Asia</v>
      </c>
      <c r="C66" s="5">
        <v>6500.0</v>
      </c>
      <c r="D66" s="5">
        <v>9000.0</v>
      </c>
      <c r="E66" s="5">
        <v>12000.0</v>
      </c>
      <c r="F66" s="5">
        <v>17000.0</v>
      </c>
      <c r="G66" s="5">
        <v>21500.0</v>
      </c>
      <c r="H66" s="5">
        <v>20700.0</v>
      </c>
      <c r="I66" s="5">
        <v>20800.0</v>
      </c>
      <c r="J66" s="5">
        <v>24600.0</v>
      </c>
      <c r="K66" s="5">
        <v>24000.0</v>
      </c>
      <c r="L66" s="5">
        <v>29300.0</v>
      </c>
      <c r="M66" s="5">
        <v>28500.0</v>
      </c>
      <c r="N66" s="5">
        <v>15400.0</v>
      </c>
      <c r="O66" s="5">
        <v>2500.0</v>
      </c>
      <c r="P66" s="5">
        <v>2750.0</v>
      </c>
      <c r="Q66" s="5">
        <v>3000.0</v>
      </c>
    </row>
    <row r="67">
      <c r="A67" s="3" t="s">
        <v>88</v>
      </c>
      <c r="B67" s="5" t="str">
        <f t="array" ref="B67">index('Derived Continent Data'!$J$3:$J$220,MATCH(A67,'Derived Continent Data'!$K$3:$K$220,0))</f>
        <v>Europe</v>
      </c>
      <c r="C67" s="5">
        <v>9000.0</v>
      </c>
      <c r="D67" s="5">
        <v>13000.0</v>
      </c>
      <c r="E67" s="5">
        <v>20000.0</v>
      </c>
      <c r="F67" s="5">
        <v>22000.0</v>
      </c>
      <c r="G67" s="5">
        <v>12000.0</v>
      </c>
      <c r="H67" s="5">
        <v>15000.0</v>
      </c>
      <c r="I67" s="5">
        <v>15000.0</v>
      </c>
      <c r="J67" s="5">
        <v>20000.0</v>
      </c>
      <c r="K67" s="5">
        <v>19600.0</v>
      </c>
      <c r="L67" s="5">
        <v>22300.0</v>
      </c>
      <c r="M67" s="5">
        <v>22400.0</v>
      </c>
      <c r="N67" s="5">
        <v>20200.0</v>
      </c>
      <c r="O67" s="5">
        <v>30659.0</v>
      </c>
      <c r="P67" s="5">
        <v>48315.0</v>
      </c>
      <c r="Q67" s="5">
        <v>56592.0</v>
      </c>
    </row>
    <row r="68">
      <c r="A68" s="3" t="s">
        <v>89</v>
      </c>
      <c r="B68" s="5" t="str">
        <f t="array" ref="B68">index('Derived Continent Data'!$J$3:$J$220,MATCH(A68,'Derived Continent Data'!$K$3:$K$220,0))</f>
        <v>North America</v>
      </c>
      <c r="C68" s="3">
        <v>100.0</v>
      </c>
      <c r="D68" s="3">
        <v>200.0</v>
      </c>
      <c r="E68" s="3">
        <v>100.0</v>
      </c>
      <c r="F68" s="3">
        <v>200.0</v>
      </c>
      <c r="G68" s="3">
        <v>150.0</v>
      </c>
      <c r="H68" s="3">
        <v>100.0</v>
      </c>
      <c r="I68" s="3">
        <v>100.0</v>
      </c>
      <c r="J68" s="3">
        <v>200.0</v>
      </c>
      <c r="K68" s="3">
        <v>200.0</v>
      </c>
      <c r="L68" s="3">
        <v>200.0</v>
      </c>
      <c r="M68" s="3">
        <v>400.0</v>
      </c>
      <c r="N68" s="3">
        <v>400.0</v>
      </c>
      <c r="O68" s="3">
        <v>374.0</v>
      </c>
      <c r="P68" s="3">
        <v>348.0</v>
      </c>
      <c r="Q68" s="3">
        <v>348.0</v>
      </c>
    </row>
    <row r="69">
      <c r="A69" s="3" t="s">
        <v>90</v>
      </c>
      <c r="B69" s="5" t="str">
        <f t="array" ref="B69">index('Derived Continent Data'!$J$3:$J$220,MATCH(A69,'Derived Continent Data'!$K$3:$K$220,0))</f>
        <v>South America </v>
      </c>
      <c r="C69" s="5">
        <v>1000.0</v>
      </c>
      <c r="D69" s="5">
        <v>1500.0</v>
      </c>
      <c r="E69" s="5">
        <v>1500.0</v>
      </c>
      <c r="F69" s="5">
        <v>1500.0</v>
      </c>
      <c r="G69" s="5">
        <v>1000.0</v>
      </c>
      <c r="H69" s="5">
        <v>8000.0</v>
      </c>
      <c r="I69" s="5">
        <v>9500.0</v>
      </c>
      <c r="J69" s="5">
        <v>14000.0</v>
      </c>
      <c r="K69" s="5">
        <v>13900.0</v>
      </c>
      <c r="L69" s="5">
        <v>18500.0</v>
      </c>
      <c r="M69" s="5">
        <v>12800.0</v>
      </c>
      <c r="N69" s="5">
        <v>16900.0</v>
      </c>
      <c r="O69" s="5">
        <v>21807.0</v>
      </c>
      <c r="P69" s="5">
        <v>22612.0</v>
      </c>
      <c r="Q69" s="5">
        <v>20319.0</v>
      </c>
    </row>
    <row r="70">
      <c r="A70" s="3" t="s">
        <v>91</v>
      </c>
      <c r="B70" s="5" t="str">
        <f t="array" ref="B70">index('Derived Continent Data'!$J$3:$J$220,MATCH(A70,'Derived Continent Data'!$K$3:$K$220,0))</f>
        <v>Europe</v>
      </c>
      <c r="C70" s="5">
        <v>10000.0</v>
      </c>
      <c r="D70" s="5">
        <v>10000.0</v>
      </c>
      <c r="E70" s="5">
        <v>15000.0</v>
      </c>
      <c r="F70" s="5">
        <v>13000.0</v>
      </c>
      <c r="G70" s="5">
        <v>12000.0</v>
      </c>
      <c r="H70" s="5">
        <v>10000.0</v>
      </c>
      <c r="I70" s="5">
        <v>10000.0</v>
      </c>
      <c r="J70" s="5">
        <v>10000.0</v>
      </c>
      <c r="K70" s="5">
        <v>9800.0</v>
      </c>
      <c r="L70" s="5">
        <v>8900.0</v>
      </c>
      <c r="M70" s="5">
        <v>8700.0</v>
      </c>
      <c r="N70" s="5">
        <v>9400.0</v>
      </c>
      <c r="O70" s="5">
        <v>21807.0</v>
      </c>
      <c r="P70" s="5">
        <v>22612.0</v>
      </c>
      <c r="Q70" s="5">
        <v>10038.0</v>
      </c>
    </row>
    <row r="71">
      <c r="A71" s="3" t="s">
        <v>92</v>
      </c>
      <c r="B71" s="5" t="str">
        <f t="array" ref="B71">index('Derived Continent Data'!$J$3:$J$220,MATCH(A71,'Derived Continent Data'!$K$3:$K$220,0))</f>
        <v>Africa</v>
      </c>
      <c r="C71" s="5">
        <v>12905.0</v>
      </c>
      <c r="D71" s="5">
        <v>13073.0</v>
      </c>
      <c r="E71" s="5">
        <v>16538.0</v>
      </c>
      <c r="F71" s="5">
        <v>20037.0</v>
      </c>
      <c r="G71" s="5">
        <v>19354.0</v>
      </c>
      <c r="H71" s="5">
        <v>20972.0</v>
      </c>
      <c r="I71" s="5">
        <v>25204.0</v>
      </c>
      <c r="J71" s="5">
        <v>31471.0</v>
      </c>
      <c r="K71" s="5">
        <v>31122.0</v>
      </c>
      <c r="L71" s="5">
        <v>26500.0</v>
      </c>
      <c r="M71" s="5">
        <v>3400.0</v>
      </c>
      <c r="N71" s="5">
        <v>3500.0</v>
      </c>
      <c r="O71" s="5">
        <v>3500.0</v>
      </c>
      <c r="P71" s="5">
        <v>3531.0</v>
      </c>
      <c r="Q71" s="5">
        <v>1050.0</v>
      </c>
    </row>
    <row r="72">
      <c r="A72" s="3" t="s">
        <v>93</v>
      </c>
      <c r="B72" s="5" t="str">
        <f t="array" ref="B72">index('Derived Continent Data'!$J$3:$J$220,MATCH(A72,'Derived Continent Data'!$K$3:$K$220,0))</f>
        <v>Asia</v>
      </c>
      <c r="C72" s="5">
        <v>15000.0</v>
      </c>
      <c r="D72" s="5">
        <v>15000.0</v>
      </c>
      <c r="E72" s="5">
        <v>10000.0</v>
      </c>
      <c r="F72" s="5">
        <v>15000.0</v>
      </c>
      <c r="G72" s="5">
        <v>10000.0</v>
      </c>
      <c r="H72" s="5">
        <v>10000.0</v>
      </c>
      <c r="I72" s="5">
        <v>15000.0</v>
      </c>
      <c r="J72" s="5">
        <v>15000.0</v>
      </c>
      <c r="K72" s="5">
        <v>14700.0</v>
      </c>
      <c r="L72" s="5">
        <v>18100.0</v>
      </c>
      <c r="M72" s="5">
        <v>13900.0</v>
      </c>
      <c r="N72" s="5">
        <v>13400.0</v>
      </c>
      <c r="O72" s="5">
        <v>12052.0</v>
      </c>
      <c r="P72" s="5">
        <v>12200.0</v>
      </c>
      <c r="Q72" s="5">
        <v>10949.0</v>
      </c>
    </row>
    <row r="73">
      <c r="A73" s="3" t="s">
        <v>94</v>
      </c>
      <c r="B73" s="5" t="str">
        <f t="array" ref="B73">index('Derived Continent Data'!$J$3:$J$220,MATCH(A73,'Derived Continent Data'!$K$3:$K$220,0))</f>
        <v>Africa</v>
      </c>
      <c r="C73" s="3">
        <v>500.0</v>
      </c>
      <c r="D73" s="3">
        <v>500.0</v>
      </c>
      <c r="E73" s="3">
        <v>500.0</v>
      </c>
      <c r="F73" s="3">
        <v>600.0</v>
      </c>
      <c r="G73" s="3">
        <v>550.0</v>
      </c>
      <c r="H73" s="3">
        <v>700.0</v>
      </c>
      <c r="I73" s="3">
        <v>500.0</v>
      </c>
      <c r="J73" s="3">
        <v>500.0</v>
      </c>
      <c r="K73" s="3">
        <v>700.0</v>
      </c>
      <c r="L73" s="3">
        <v>700.0</v>
      </c>
      <c r="M73" s="5">
        <v>1100.0</v>
      </c>
      <c r="N73" s="5">
        <v>1800.0</v>
      </c>
      <c r="O73" s="3">
        <v>376.0</v>
      </c>
      <c r="P73" s="3">
        <v>537.0</v>
      </c>
      <c r="Q73" s="3">
        <v>537.0</v>
      </c>
    </row>
    <row r="74">
      <c r="A74" s="3" t="s">
        <v>95</v>
      </c>
      <c r="B74" s="5" t="str">
        <f t="array" ref="B74">index('Derived Continent Data'!$J$3:$J$220,MATCH(A74,'Derived Continent Data'!$K$3:$K$220,0))</f>
        <v>Asia</v>
      </c>
      <c r="C74" s="5">
        <v>1000.0</v>
      </c>
      <c r="D74" s="5">
        <v>1000.0</v>
      </c>
      <c r="E74" s="5">
        <v>1000.0</v>
      </c>
      <c r="F74" s="5">
        <v>1200.0</v>
      </c>
      <c r="G74" s="5">
        <v>1500.0</v>
      </c>
      <c r="H74" s="5">
        <v>1800.0</v>
      </c>
      <c r="I74" s="5">
        <v>1800.0</v>
      </c>
      <c r="J74" s="5">
        <v>2100.0</v>
      </c>
      <c r="K74" s="5">
        <v>2000.0</v>
      </c>
      <c r="L74" s="5">
        <v>1000.0</v>
      </c>
      <c r="M74" s="5">
        <v>1000.0</v>
      </c>
      <c r="N74" s="5">
        <v>1300.0</v>
      </c>
      <c r="O74" s="5">
        <v>2113.0</v>
      </c>
      <c r="P74" s="5">
        <v>4531.0</v>
      </c>
      <c r="Q74" s="5">
        <v>7167.0</v>
      </c>
    </row>
    <row r="75">
      <c r="A75" s="3" t="s">
        <v>96</v>
      </c>
      <c r="B75" s="5" t="str">
        <f t="array" ref="B75">index('Derived Continent Data'!$J$3:$J$220,MATCH(A75,'Derived Continent Data'!$K$3:$K$220,0))</f>
        <v>Africa</v>
      </c>
      <c r="C75" s="3">
        <v>500.0</v>
      </c>
      <c r="D75" s="3">
        <v>500.0</v>
      </c>
      <c r="E75" s="3">
        <v>600.0</v>
      </c>
      <c r="F75" s="3">
        <v>700.0</v>
      </c>
      <c r="G75" s="3">
        <v>700.0</v>
      </c>
      <c r="H75" s="3">
        <v>300.0</v>
      </c>
      <c r="I75" s="3">
        <v>200.0</v>
      </c>
      <c r="J75" s="3">
        <v>210.0</v>
      </c>
      <c r="K75" s="3">
        <v>210.0</v>
      </c>
      <c r="L75" s="3">
        <v>200.0</v>
      </c>
      <c r="M75" s="3">
        <v>200.0</v>
      </c>
      <c r="N75" s="3">
        <v>400.0</v>
      </c>
      <c r="O75" s="3">
        <v>14.0</v>
      </c>
      <c r="P75" s="3">
        <v>10.0</v>
      </c>
      <c r="Q75" s="3">
        <v>10.0</v>
      </c>
    </row>
    <row r="76">
      <c r="A76" s="3" t="s">
        <v>97</v>
      </c>
      <c r="B76" s="5" t="str">
        <f t="array" ref="B76">index('Derived Continent Data'!$J$3:$J$220,MATCH(A76,'Derived Continent Data'!$K$3:$K$220,0))</f>
        <v>Asia</v>
      </c>
      <c r="C76" s="5">
        <v>1000.0</v>
      </c>
      <c r="D76" s="5">
        <v>1000.0</v>
      </c>
      <c r="E76" s="5">
        <v>1500.0</v>
      </c>
      <c r="F76" s="5">
        <v>1500.0</v>
      </c>
      <c r="G76" s="5">
        <v>1500.0</v>
      </c>
      <c r="H76" s="5">
        <v>1500.0</v>
      </c>
      <c r="I76" s="5">
        <v>2000.0</v>
      </c>
      <c r="J76" s="5">
        <v>2000.0</v>
      </c>
      <c r="K76" s="5">
        <v>2000.0</v>
      </c>
      <c r="L76" s="5">
        <v>2400.0</v>
      </c>
      <c r="M76" s="5">
        <v>1000.0</v>
      </c>
      <c r="N76" s="3">
        <v>800.0</v>
      </c>
      <c r="O76" s="3">
        <v>838.0</v>
      </c>
      <c r="P76" s="3">
        <v>811.0</v>
      </c>
      <c r="Q76" s="5">
        <v>1275.0</v>
      </c>
    </row>
    <row r="77">
      <c r="A77" s="3" t="s">
        <v>98</v>
      </c>
      <c r="B77" s="5" t="str">
        <f t="array" ref="B77">index('Derived Continent Data'!$J$3:$J$220,MATCH(A77,'Derived Continent Data'!$K$3:$K$220,0))</f>
        <v>Africa</v>
      </c>
      <c r="C77" s="5">
        <v>1300.0</v>
      </c>
      <c r="D77" s="5">
        <v>1400.0</v>
      </c>
      <c r="E77" s="5">
        <v>1400.0</v>
      </c>
      <c r="F77" s="5">
        <v>1400.0</v>
      </c>
      <c r="G77" s="5">
        <v>1400.0</v>
      </c>
      <c r="H77" s="5">
        <v>1400.0</v>
      </c>
      <c r="I77" s="5">
        <v>1400.0</v>
      </c>
      <c r="J77" s="5">
        <v>1900.0</v>
      </c>
      <c r="K77" s="5">
        <v>2400.0</v>
      </c>
      <c r="L77" s="5">
        <v>2300.0</v>
      </c>
      <c r="M77" s="5">
        <v>1700.0</v>
      </c>
      <c r="N77" s="5">
        <v>1900.0</v>
      </c>
      <c r="O77" s="5">
        <v>1538.0</v>
      </c>
      <c r="P77" s="5">
        <v>1529.0</v>
      </c>
      <c r="Q77" s="5">
        <v>1529.0</v>
      </c>
    </row>
    <row r="78">
      <c r="A78" s="3" t="s">
        <v>99</v>
      </c>
      <c r="B78" s="5" t="str">
        <f t="array" ref="B78">index('Derived Continent Data'!$J$3:$J$220,MATCH(A78,'Derived Continent Data'!$K$3:$K$220,0))</f>
        <v>North America</v>
      </c>
      <c r="C78" s="5">
        <v>13000.0</v>
      </c>
      <c r="D78" s="5">
        <v>15000.0</v>
      </c>
      <c r="E78" s="5">
        <v>13000.0</v>
      </c>
      <c r="F78" s="5">
        <v>15000.0</v>
      </c>
      <c r="G78" s="5">
        <v>12000.0</v>
      </c>
      <c r="H78" s="5">
        <v>20000.0</v>
      </c>
      <c r="I78" s="5">
        <v>30000.0</v>
      </c>
      <c r="J78" s="5">
        <v>30000.0</v>
      </c>
      <c r="K78" s="5">
        <v>29800.0</v>
      </c>
      <c r="L78" s="5">
        <v>35200.0</v>
      </c>
      <c r="M78" s="5">
        <v>41800.0</v>
      </c>
      <c r="N78" s="5">
        <v>48300.0</v>
      </c>
      <c r="O78" s="5">
        <v>41330.0</v>
      </c>
      <c r="P78" s="5">
        <v>33352.0</v>
      </c>
      <c r="Q78" s="5">
        <v>30825.0</v>
      </c>
    </row>
    <row r="79">
      <c r="A79" s="3" t="s">
        <v>100</v>
      </c>
      <c r="B79" s="5" t="str">
        <f t="array" ref="B79">index('Derived Continent Data'!$J$3:$J$220,MATCH(A79,'Derived Continent Data'!$K$3:$K$220,0))</f>
        <v>North America</v>
      </c>
      <c r="C79" s="5">
        <v>2000.0</v>
      </c>
      <c r="D79" s="5">
        <v>2000.0</v>
      </c>
      <c r="E79" s="5">
        <v>3000.0</v>
      </c>
      <c r="F79" s="5">
        <v>3000.0</v>
      </c>
      <c r="G79" s="5">
        <v>1500.0</v>
      </c>
      <c r="H79" s="5">
        <v>2000.0</v>
      </c>
      <c r="I79" s="5">
        <v>3000.0</v>
      </c>
      <c r="J79" s="5">
        <v>4000.0</v>
      </c>
      <c r="K79" s="5">
        <v>4000.0</v>
      </c>
      <c r="L79" s="5">
        <v>4000.0</v>
      </c>
      <c r="M79" s="5">
        <v>4000.0</v>
      </c>
      <c r="N79" s="5">
        <v>5900.0</v>
      </c>
      <c r="O79" s="5">
        <v>4386.0</v>
      </c>
      <c r="P79" s="5">
        <v>4470.0</v>
      </c>
      <c r="Q79" s="5">
        <v>2280.0</v>
      </c>
    </row>
    <row r="80">
      <c r="A80" s="3" t="s">
        <v>101</v>
      </c>
      <c r="B80" s="5" t="str">
        <f t="array" ref="B80">index('Derived Continent Data'!$J$3:$J$220,MATCH(A80,'Derived Continent Data'!$K$3:$K$220,0))</f>
        <v>Asia</v>
      </c>
      <c r="C80" s="5">
        <v>17687.0</v>
      </c>
      <c r="D80" s="5">
        <v>18639.0</v>
      </c>
      <c r="E80" s="5">
        <v>22878.0</v>
      </c>
      <c r="F80" s="5">
        <v>22241.0</v>
      </c>
      <c r="G80" s="5">
        <v>14981.0</v>
      </c>
      <c r="H80" s="5">
        <v>14088.0</v>
      </c>
      <c r="I80" s="5">
        <v>13480.0</v>
      </c>
      <c r="J80" s="5">
        <v>10123.0</v>
      </c>
      <c r="K80" s="5">
        <v>7000.0</v>
      </c>
      <c r="L80" s="5">
        <v>8276.0</v>
      </c>
      <c r="M80" s="5">
        <v>10344.0</v>
      </c>
      <c r="N80" s="5">
        <v>12643.0</v>
      </c>
      <c r="O80" s="5">
        <v>13127.0</v>
      </c>
      <c r="P80" s="5">
        <v>13135.0</v>
      </c>
      <c r="Q80" s="5">
        <v>12438.0</v>
      </c>
    </row>
    <row r="81">
      <c r="A81" s="3" t="s">
        <v>102</v>
      </c>
      <c r="B81" s="5" t="str">
        <f t="array" ref="B81">index('Derived Continent Data'!$J$3:$J$220,MATCH(A81,'Derived Continent Data'!$K$3:$K$220,0))</f>
        <v>North America</v>
      </c>
      <c r="C81" s="5">
        <v>16000.0</v>
      </c>
      <c r="D81" s="5">
        <v>16000.0</v>
      </c>
      <c r="E81" s="5">
        <v>18000.0</v>
      </c>
      <c r="F81" s="5">
        <v>20000.0</v>
      </c>
      <c r="G81" s="5">
        <v>8000.0</v>
      </c>
      <c r="H81" s="5">
        <v>15000.0</v>
      </c>
      <c r="I81" s="5">
        <v>15000.0</v>
      </c>
      <c r="J81" s="5">
        <v>15000.0</v>
      </c>
      <c r="K81" s="5">
        <v>14900.0</v>
      </c>
      <c r="L81" s="5">
        <v>17400.0</v>
      </c>
      <c r="M81" s="5">
        <v>5061.0</v>
      </c>
      <c r="N81" s="5">
        <v>4204.0</v>
      </c>
      <c r="O81" s="3">
        <v>24.0</v>
      </c>
      <c r="P81" s="3">
        <v>108.0</v>
      </c>
      <c r="Q81" s="5">
        <v>12606.0</v>
      </c>
    </row>
    <row r="82">
      <c r="A82" s="3" t="s">
        <v>103</v>
      </c>
      <c r="B82" s="5" t="str">
        <f t="array" ref="B82">index('Derived Continent Data'!$J$3:$J$220,MATCH(A82,'Derived Continent Data'!$K$3:$K$220,0))</f>
        <v>Africa</v>
      </c>
      <c r="M82" s="5">
        <v>2000.0</v>
      </c>
      <c r="N82" s="5">
        <v>1700.0</v>
      </c>
      <c r="O82" s="3">
        <v>245.0</v>
      </c>
      <c r="P82" s="3">
        <v>309.0</v>
      </c>
      <c r="Q82" s="3">
        <v>346.0</v>
      </c>
    </row>
    <row r="83">
      <c r="A83" s="3" t="s">
        <v>104</v>
      </c>
      <c r="B83" s="5" t="str">
        <f t="array" ref="B83">index('Derived Continent Data'!$J$3:$J$220,MATCH(A83,'Derived Continent Data'!$K$3:$K$220,0))</f>
        <v>North America</v>
      </c>
      <c r="C83" s="5">
        <v>4000.0</v>
      </c>
      <c r="D83" s="5">
        <v>6000.0</v>
      </c>
      <c r="E83" s="5">
        <v>8000.0</v>
      </c>
      <c r="F83" s="5">
        <v>10000.0</v>
      </c>
      <c r="G83" s="5">
        <v>2000.0</v>
      </c>
      <c r="H83" s="5">
        <v>3000.0</v>
      </c>
      <c r="I83" s="5">
        <v>3000.0</v>
      </c>
      <c r="J83" s="5">
        <v>5000.0</v>
      </c>
      <c r="K83" s="5">
        <v>5000.0</v>
      </c>
      <c r="L83" s="5">
        <v>5000.0</v>
      </c>
      <c r="M83" s="5">
        <v>5400.0</v>
      </c>
      <c r="N83" s="5">
        <v>4600.0</v>
      </c>
      <c r="O83" s="5">
        <v>7036.0</v>
      </c>
      <c r="P83" s="5">
        <v>7501.0</v>
      </c>
      <c r="Q83" s="5">
        <v>6400.0</v>
      </c>
    </row>
    <row r="84">
      <c r="A84" s="3" t="s">
        <v>105</v>
      </c>
      <c r="B84" s="5" t="str">
        <f t="array" ref="B84">index('Derived Continent Data'!$J$3:$J$220,MATCH(A84,'Derived Continent Data'!$K$3:$K$220,0))</f>
        <v>Europe</v>
      </c>
      <c r="C84" s="5">
        <v>19640.0</v>
      </c>
      <c r="D84" s="5">
        <v>25363.0</v>
      </c>
      <c r="E84" s="5">
        <v>30912.0</v>
      </c>
      <c r="F84" s="5">
        <v>24579.0</v>
      </c>
      <c r="G84" s="5">
        <v>9946.0</v>
      </c>
      <c r="H84" s="5">
        <v>10295.0</v>
      </c>
      <c r="I84" s="5">
        <v>17070.0</v>
      </c>
      <c r="J84" s="5">
        <v>19424.0</v>
      </c>
      <c r="K84" s="5">
        <v>19694.0</v>
      </c>
      <c r="L84" s="5">
        <v>20969.0</v>
      </c>
      <c r="M84" s="5">
        <v>20347.0</v>
      </c>
      <c r="N84" s="5">
        <v>22429.0</v>
      </c>
      <c r="O84" s="5">
        <v>25618.0</v>
      </c>
      <c r="P84" s="5">
        <v>26297.0</v>
      </c>
      <c r="Q84" s="5">
        <v>32132.0</v>
      </c>
    </row>
    <row r="85">
      <c r="A85" s="3" t="s">
        <v>106</v>
      </c>
      <c r="B85" s="5" t="str">
        <f t="array" ref="B85">index('Derived Continent Data'!$J$3:$J$220,MATCH(A85,'Derived Continent Data'!$K$3:$K$220,0))</f>
        <v>Africa</v>
      </c>
      <c r="C85" s="3">
        <v>800.0</v>
      </c>
      <c r="D85" s="5">
        <v>1000.0</v>
      </c>
      <c r="E85" s="5">
        <v>1200.0</v>
      </c>
      <c r="F85" s="5">
        <v>2500.0</v>
      </c>
      <c r="G85" s="5">
        <v>2000.0</v>
      </c>
      <c r="H85" s="5">
        <v>2000.0</v>
      </c>
      <c r="I85" s="5">
        <v>2000.0</v>
      </c>
      <c r="J85" s="5">
        <v>3500.0</v>
      </c>
      <c r="K85" s="5">
        <v>3000.0</v>
      </c>
      <c r="L85" s="5">
        <v>2900.0</v>
      </c>
      <c r="M85" s="5">
        <v>1700.0</v>
      </c>
      <c r="N85" s="5">
        <v>1700.0</v>
      </c>
      <c r="O85" s="3">
        <v>973.0</v>
      </c>
      <c r="P85" s="3">
        <v>993.0</v>
      </c>
      <c r="Q85" s="5">
        <v>1278.0</v>
      </c>
    </row>
    <row r="86">
      <c r="A86" s="3" t="s">
        <v>107</v>
      </c>
      <c r="B86" s="5" t="str">
        <f t="array" ref="B86">index('Derived Continent Data'!$J$3:$J$220,MATCH(A86,'Derived Continent Data'!$K$3:$K$220,0))</f>
        <v>Asia</v>
      </c>
      <c r="C86" s="5">
        <v>1500.0</v>
      </c>
      <c r="D86" s="5">
        <v>2000.0</v>
      </c>
      <c r="E86" s="5">
        <v>6000.0</v>
      </c>
      <c r="F86" s="5">
        <v>8000.0</v>
      </c>
      <c r="G86" s="5">
        <v>1000.0</v>
      </c>
      <c r="H86" s="5">
        <v>4000.0</v>
      </c>
      <c r="I86" s="5">
        <v>3000.0</v>
      </c>
      <c r="J86" s="5">
        <v>4000.0</v>
      </c>
      <c r="K86" s="5">
        <v>4000.0</v>
      </c>
      <c r="L86" s="5">
        <v>4300.0</v>
      </c>
      <c r="M86" s="5">
        <v>3300.0</v>
      </c>
      <c r="N86" s="5">
        <v>3400.0</v>
      </c>
      <c r="O86" s="5">
        <v>2550.0</v>
      </c>
      <c r="P86" s="5">
        <v>2800.0</v>
      </c>
      <c r="Q86" s="5">
        <v>2804.0</v>
      </c>
    </row>
    <row r="87">
      <c r="A87" s="3" t="s">
        <v>108</v>
      </c>
      <c r="B87" s="5" t="str">
        <f t="array" ref="B87">index('Derived Continent Data'!$J$3:$J$220,MATCH(A87,'Derived Continent Data'!$K$3:$K$220,0))</f>
        <v>Africa</v>
      </c>
      <c r="C87" s="5">
        <v>2500.0</v>
      </c>
      <c r="D87" s="5">
        <v>3000.0</v>
      </c>
      <c r="E87" s="5">
        <v>3500.0</v>
      </c>
      <c r="F87" s="5">
        <v>3500.0</v>
      </c>
      <c r="G87" s="5">
        <v>4500.0</v>
      </c>
      <c r="H87" s="5">
        <v>4000.0</v>
      </c>
      <c r="I87" s="5">
        <v>6000.0</v>
      </c>
      <c r="J87" s="5">
        <v>6500.0</v>
      </c>
      <c r="K87" s="5">
        <v>6600.0</v>
      </c>
      <c r="L87" s="5">
        <v>6900.0</v>
      </c>
      <c r="M87" s="5">
        <v>3600.0</v>
      </c>
      <c r="N87" s="5">
        <v>4200.0</v>
      </c>
      <c r="O87" s="5">
        <v>4066.0</v>
      </c>
      <c r="P87" s="5">
        <v>4268.0</v>
      </c>
      <c r="Q87" s="5">
        <v>3394.0</v>
      </c>
    </row>
    <row r="88">
      <c r="A88" s="3" t="s">
        <v>109</v>
      </c>
      <c r="B88" s="5" t="str">
        <f t="array" ref="B88">index('Derived Continent Data'!$J$3:$J$220,MATCH(A88,'Derived Continent Data'!$K$3:$K$220,0))</f>
        <v>North America</v>
      </c>
      <c r="C88" s="5">
        <v>8100.0</v>
      </c>
      <c r="D88" s="5">
        <v>9400.0</v>
      </c>
      <c r="E88" s="5">
        <v>12100.0</v>
      </c>
      <c r="F88" s="5">
        <v>12800.0</v>
      </c>
      <c r="G88" s="5">
        <v>13000.0</v>
      </c>
      <c r="H88" s="5">
        <v>14100.0</v>
      </c>
      <c r="I88" s="5">
        <v>15000.0</v>
      </c>
      <c r="J88" s="5">
        <v>16000.0</v>
      </c>
      <c r="K88" s="5">
        <v>15900.0</v>
      </c>
      <c r="L88" s="5">
        <v>17300.0</v>
      </c>
      <c r="M88" s="5">
        <v>18100.0</v>
      </c>
      <c r="N88" s="5">
        <v>16600.0</v>
      </c>
      <c r="O88" s="5">
        <v>14349.0</v>
      </c>
      <c r="P88" s="5">
        <v>14360.0</v>
      </c>
      <c r="Q88" s="5">
        <v>13407.0</v>
      </c>
    </row>
    <row r="89">
      <c r="A89" s="3" t="s">
        <v>110</v>
      </c>
      <c r="B89" s="5" t="str">
        <f t="array" ref="B89">index('Derived Continent Data'!$J$3:$J$220,MATCH(A89,'Derived Continent Data'!$K$3:$K$220,0))</f>
        <v>South America </v>
      </c>
      <c r="C89" s="5">
        <v>4085.0</v>
      </c>
      <c r="D89" s="5">
        <v>4071.0</v>
      </c>
      <c r="E89" s="5">
        <v>4437.0</v>
      </c>
      <c r="F89" s="5">
        <v>4357.0</v>
      </c>
      <c r="G89" s="5">
        <v>4446.0</v>
      </c>
      <c r="H89" s="5">
        <v>4393.0</v>
      </c>
      <c r="I89" s="5">
        <v>4719.0</v>
      </c>
      <c r="J89" s="5">
        <v>4357.0</v>
      </c>
      <c r="K89" s="5">
        <v>4256.0</v>
      </c>
      <c r="L89" s="5">
        <v>4248.0</v>
      </c>
      <c r="M89" s="5">
        <v>4414.0</v>
      </c>
      <c r="O89" s="5">
        <v>4858.0</v>
      </c>
      <c r="P89" s="5">
        <v>5373.0</v>
      </c>
      <c r="Q89" s="5">
        <v>5450.0</v>
      </c>
    </row>
    <row r="90">
      <c r="A90" s="3" t="s">
        <v>111</v>
      </c>
      <c r="B90" s="5" t="str">
        <f t="array" ref="B90">index('Derived Continent Data'!$J$3:$J$220,MATCH(A90,'Derived Continent Data'!$K$3:$K$220,0))</f>
        <v>North America</v>
      </c>
      <c r="C90" s="5">
        <v>4800.0</v>
      </c>
      <c r="D90" s="5">
        <v>5600.0</v>
      </c>
      <c r="E90" s="5">
        <v>7100.0</v>
      </c>
      <c r="F90" s="5">
        <v>8000.0</v>
      </c>
      <c r="G90" s="5">
        <v>6000.0</v>
      </c>
      <c r="H90" s="5">
        <v>1000.0</v>
      </c>
      <c r="I90" s="5">
        <v>1000.0</v>
      </c>
      <c r="J90" s="5">
        <v>1000.0</v>
      </c>
      <c r="K90" s="5">
        <v>1000.0</v>
      </c>
      <c r="L90" s="5">
        <v>1300.0</v>
      </c>
      <c r="M90" s="3">
        <v>900.0</v>
      </c>
      <c r="N90" s="3">
        <v>800.0</v>
      </c>
      <c r="O90" s="5">
        <v>9766.0</v>
      </c>
      <c r="P90" s="5">
        <v>10321.0</v>
      </c>
      <c r="Q90" s="5">
        <v>9508.0</v>
      </c>
    </row>
    <row r="91">
      <c r="A91" s="3" t="s">
        <v>112</v>
      </c>
      <c r="B91" s="6" t="s">
        <v>113</v>
      </c>
      <c r="C91" s="5">
        <v>27483.0</v>
      </c>
      <c r="D91" s="5">
        <v>27877.0</v>
      </c>
      <c r="E91" s="5">
        <v>33462.0</v>
      </c>
      <c r="F91" s="5">
        <v>35182.0</v>
      </c>
      <c r="G91" s="5">
        <v>28797.0</v>
      </c>
      <c r="H91" s="5">
        <v>41638.0</v>
      </c>
      <c r="I91" s="5">
        <v>44845.0</v>
      </c>
      <c r="J91" s="5">
        <v>45283.0</v>
      </c>
      <c r="K91" s="5">
        <v>46147.0</v>
      </c>
      <c r="L91" s="5">
        <v>48500.0</v>
      </c>
      <c r="M91" s="5">
        <v>44261.0</v>
      </c>
      <c r="N91" s="5">
        <v>36304.0</v>
      </c>
      <c r="O91" s="5">
        <v>37298.0</v>
      </c>
      <c r="P91" s="5">
        <v>34596.0</v>
      </c>
      <c r="Q91" s="5">
        <v>29117.0</v>
      </c>
    </row>
    <row r="92">
      <c r="A92" s="3" t="s">
        <v>114</v>
      </c>
      <c r="B92" s="5" t="str">
        <f t="array" ref="B92">index('Derived Continent Data'!$J$3:$J$220,MATCH(A92,'Derived Continent Data'!$K$3:$K$220,0))</f>
        <v>Europe</v>
      </c>
      <c r="C92" s="5">
        <v>18060.0</v>
      </c>
      <c r="D92" s="5">
        <v>17129.0</v>
      </c>
      <c r="E92" s="5">
        <v>15942.0</v>
      </c>
      <c r="F92" s="5">
        <v>9033.0</v>
      </c>
      <c r="G92" s="5">
        <v>2113.0</v>
      </c>
      <c r="H92" s="5">
        <v>3106.0</v>
      </c>
      <c r="I92" s="5">
        <v>5038.0</v>
      </c>
      <c r="J92" s="5">
        <v>7902.0</v>
      </c>
      <c r="K92" s="5">
        <v>7274.0</v>
      </c>
      <c r="L92" s="5">
        <v>9536.0</v>
      </c>
      <c r="M92" s="5">
        <v>14004.0</v>
      </c>
      <c r="N92" s="5">
        <v>18442.0</v>
      </c>
      <c r="O92" s="5">
        <v>21324.0</v>
      </c>
      <c r="P92" s="5">
        <v>17976.0</v>
      </c>
      <c r="Q92" s="5">
        <v>11692.0</v>
      </c>
    </row>
    <row r="93">
      <c r="A93" s="3" t="s">
        <v>115</v>
      </c>
      <c r="B93" s="5" t="str">
        <f t="array" ref="B93">index('Derived Continent Data'!$J$3:$J$220,MATCH(A93,'Derived Continent Data'!$K$3:$K$220,0))</f>
        <v>Asia</v>
      </c>
      <c r="C93" s="5">
        <v>730000.0</v>
      </c>
      <c r="D93" s="5">
        <v>850000.0</v>
      </c>
      <c r="E93" s="5">
        <v>900000.0</v>
      </c>
      <c r="F93" s="5">
        <v>1000000.0</v>
      </c>
      <c r="G93" s="5">
        <v>1100000.0</v>
      </c>
      <c r="H93" s="5">
        <v>1410403.0</v>
      </c>
      <c r="I93" s="5">
        <v>1452965.0</v>
      </c>
      <c r="J93" s="5">
        <v>901268.0</v>
      </c>
      <c r="K93" s="5">
        <v>691709.0</v>
      </c>
      <c r="L93" s="5">
        <v>1106700.0</v>
      </c>
      <c r="M93" s="5">
        <v>1055400.0</v>
      </c>
      <c r="N93" s="5">
        <v>1320300.0</v>
      </c>
      <c r="O93" s="5">
        <v>1361456.0</v>
      </c>
      <c r="P93" s="5">
        <v>912563.0</v>
      </c>
      <c r="Q93" s="5">
        <v>51103.0</v>
      </c>
    </row>
    <row r="94">
      <c r="A94" s="3" t="s">
        <v>116</v>
      </c>
      <c r="B94" s="5" t="str">
        <f t="array" ref="B94">index('Derived Continent Data'!$J$3:$J$220,MATCH(A94,'Derived Continent Data'!$K$3:$K$220,0))</f>
        <v>Asia</v>
      </c>
      <c r="C94" s="5">
        <v>2000.0</v>
      </c>
      <c r="D94" s="5">
        <v>5000.0</v>
      </c>
      <c r="E94" s="5">
        <v>4000.0</v>
      </c>
      <c r="F94" s="5">
        <v>20000.0</v>
      </c>
      <c r="G94" s="5">
        <v>35000.0</v>
      </c>
      <c r="H94" s="5">
        <v>65000.0</v>
      </c>
      <c r="I94" s="5">
        <v>71500.0</v>
      </c>
      <c r="J94" s="5">
        <v>80000.0</v>
      </c>
      <c r="K94" s="5">
        <v>78200.0</v>
      </c>
      <c r="L94" s="5">
        <v>61000.0</v>
      </c>
      <c r="M94" s="5">
        <v>33500.0</v>
      </c>
      <c r="N94" s="5">
        <v>16000.0</v>
      </c>
      <c r="O94" s="5">
        <v>16766.0</v>
      </c>
      <c r="P94" s="5">
        <v>32309.0</v>
      </c>
      <c r="Q94" s="5">
        <v>619028.0</v>
      </c>
    </row>
    <row r="95">
      <c r="A95" s="3" t="s">
        <v>117</v>
      </c>
      <c r="B95" s="5" t="str">
        <f t="array" ref="B95">index('Derived Continent Data'!$J$3:$J$220,MATCH(A95,'Derived Continent Data'!$K$3:$K$220,0))</f>
        <v>Africa</v>
      </c>
      <c r="C95" s="5">
        <v>2000.0</v>
      </c>
      <c r="D95" s="5">
        <v>2500.0</v>
      </c>
      <c r="E95" s="5">
        <v>2000.0</v>
      </c>
      <c r="F95" s="5">
        <v>2500.0</v>
      </c>
      <c r="G95" s="5">
        <v>3000.0</v>
      </c>
      <c r="H95" s="5">
        <v>3500.0</v>
      </c>
      <c r="I95" s="5">
        <v>3500.0</v>
      </c>
      <c r="J95" s="5">
        <v>5000.0</v>
      </c>
      <c r="K95" s="5">
        <v>4000.0</v>
      </c>
      <c r="L95" s="5">
        <v>4300.0</v>
      </c>
      <c r="M95" s="5">
        <v>4500.0</v>
      </c>
      <c r="N95" s="5">
        <v>4300.0</v>
      </c>
      <c r="O95" s="5">
        <v>5552.0</v>
      </c>
      <c r="P95" s="5">
        <v>6075.0</v>
      </c>
      <c r="Q95" s="5">
        <v>7522.0</v>
      </c>
    </row>
    <row r="96">
      <c r="A96" s="3" t="s">
        <v>118</v>
      </c>
      <c r="B96" s="5" t="str">
        <f t="array" ref="B96">index('Derived Continent Data'!$J$3:$J$220,MATCH(A96,'Derived Continent Data'!$K$3:$K$220,0))</f>
        <v>North America</v>
      </c>
      <c r="C96" s="5">
        <v>3000.0</v>
      </c>
      <c r="D96" s="5">
        <v>3000.0</v>
      </c>
      <c r="E96" s="5">
        <v>3000.0</v>
      </c>
      <c r="F96" s="5">
        <v>3000.0</v>
      </c>
      <c r="G96" s="5">
        <v>4000.0</v>
      </c>
      <c r="H96" s="5">
        <v>2000.0</v>
      </c>
      <c r="I96" s="5">
        <v>2000.0</v>
      </c>
      <c r="J96" s="5">
        <v>2000.0</v>
      </c>
      <c r="K96" s="5">
        <v>2000.0</v>
      </c>
      <c r="L96" s="5">
        <v>2300.0</v>
      </c>
      <c r="M96" s="5">
        <v>2300.0</v>
      </c>
      <c r="N96" s="5">
        <v>2000.0</v>
      </c>
      <c r="O96" s="5">
        <v>1887.0</v>
      </c>
      <c r="P96" s="5">
        <v>5232.0</v>
      </c>
      <c r="Q96" s="5">
        <v>5232.0</v>
      </c>
    </row>
    <row r="97">
      <c r="A97" s="3" t="s">
        <v>119</v>
      </c>
      <c r="B97" s="5" t="str">
        <f t="array" ref="B97">index('Derived Continent Data'!$J$3:$J$220,MATCH(A97,'Derived Continent Data'!$K$3:$K$220,0))</f>
        <v>Asia</v>
      </c>
      <c r="C97" s="5">
        <v>10000.0</v>
      </c>
      <c r="D97" s="5">
        <v>5000.0</v>
      </c>
      <c r="E97" s="5">
        <v>5000.0</v>
      </c>
      <c r="F97" s="5">
        <v>9000.0</v>
      </c>
      <c r="G97" s="5">
        <v>10500.0</v>
      </c>
      <c r="H97" s="5">
        <v>10000.0</v>
      </c>
      <c r="I97" s="5">
        <v>11000.0</v>
      </c>
      <c r="J97" s="5">
        <v>11500.0</v>
      </c>
      <c r="K97" s="5">
        <v>14500.0</v>
      </c>
      <c r="L97" s="5">
        <v>15700.0</v>
      </c>
      <c r="M97" s="5">
        <v>14700.0</v>
      </c>
      <c r="N97" s="5">
        <v>12400.0</v>
      </c>
      <c r="O97" s="5">
        <v>12780.0</v>
      </c>
      <c r="P97" s="5">
        <v>13166.0</v>
      </c>
      <c r="Q97" s="5">
        <v>14000.0</v>
      </c>
      <c r="S97" s="5">
        <v>106304.0</v>
      </c>
    </row>
    <row r="98">
      <c r="A98" s="3" t="s">
        <v>120</v>
      </c>
      <c r="B98" s="5" t="str">
        <f t="array" ref="B98">index('Derived Continent Data'!$J$3:$J$220,MATCH(A98,'Derived Continent Data'!$K$3:$K$220,0))</f>
        <v>Africa</v>
      </c>
      <c r="C98" s="5">
        <v>2000.0</v>
      </c>
      <c r="D98" s="5">
        <v>3000.0</v>
      </c>
      <c r="E98" s="5">
        <v>2000.0</v>
      </c>
      <c r="F98" s="5">
        <v>2000.0</v>
      </c>
      <c r="G98" s="5">
        <v>5000.0</v>
      </c>
      <c r="H98" s="5">
        <v>4000.0</v>
      </c>
      <c r="I98" s="5">
        <v>4000.0</v>
      </c>
      <c r="J98" s="5">
        <v>2000.0</v>
      </c>
      <c r="K98" s="5">
        <v>2500.0</v>
      </c>
      <c r="L98" s="5">
        <v>3000.0</v>
      </c>
      <c r="M98" s="5">
        <v>2900.0</v>
      </c>
      <c r="N98" s="5">
        <v>2400.0</v>
      </c>
      <c r="O98" s="5">
        <v>2124.0</v>
      </c>
      <c r="P98" s="5">
        <v>2861.0</v>
      </c>
      <c r="Q98" s="5">
        <v>2307.0</v>
      </c>
    </row>
    <row r="99">
      <c r="A99" s="3" t="s">
        <v>121</v>
      </c>
      <c r="B99" s="5" t="str">
        <f t="array" ref="B99">index('Derived Continent Data'!$J$3:$J$220,MATCH(A99,'Derived Continent Data'!$K$3:$K$220,0))</f>
        <v>Asia</v>
      </c>
      <c r="C99" s="5">
        <v>5000.0</v>
      </c>
      <c r="D99" s="5">
        <v>5000.0</v>
      </c>
      <c r="E99" s="5">
        <v>5000.0</v>
      </c>
      <c r="F99" s="5">
        <v>4000.0</v>
      </c>
      <c r="G99" s="5">
        <v>4500.0</v>
      </c>
      <c r="H99" s="5">
        <v>4000.0</v>
      </c>
      <c r="I99" s="5">
        <v>5000.0</v>
      </c>
      <c r="J99" s="5">
        <v>4000.0</v>
      </c>
      <c r="K99" s="5">
        <v>4000.0</v>
      </c>
      <c r="L99" s="5">
        <v>4000.0</v>
      </c>
      <c r="M99" s="5">
        <v>4000.0</v>
      </c>
      <c r="N99" s="5">
        <v>1800.0</v>
      </c>
      <c r="O99" s="5">
        <v>2000.0</v>
      </c>
      <c r="P99" s="5">
        <v>2100.0</v>
      </c>
      <c r="Q99" s="5">
        <v>1348.0</v>
      </c>
    </row>
    <row r="100">
      <c r="A100" s="3" t="s">
        <v>122</v>
      </c>
      <c r="B100" s="5" t="str">
        <f t="array" ref="B100">index('Derived Continent Data'!$J$3:$J$220,MATCH(A100,'Derived Continent Data'!$K$3:$K$220,0))</f>
        <v>Asia</v>
      </c>
      <c r="C100" s="5">
        <v>1000.0</v>
      </c>
      <c r="D100" s="5">
        <v>1000.0</v>
      </c>
      <c r="E100" s="5">
        <v>1500.0</v>
      </c>
      <c r="F100" s="5">
        <v>2000.0</v>
      </c>
      <c r="G100" s="5">
        <v>3000.0</v>
      </c>
      <c r="H100" s="5">
        <v>4000.0</v>
      </c>
      <c r="I100" s="5">
        <v>4000.0</v>
      </c>
      <c r="J100" s="5">
        <v>5000.0</v>
      </c>
      <c r="K100" s="5">
        <v>6000.0</v>
      </c>
      <c r="L100" s="5">
        <v>9800.0</v>
      </c>
      <c r="M100" s="5">
        <v>5600.0</v>
      </c>
      <c r="N100" s="5">
        <v>4200.0</v>
      </c>
      <c r="O100" s="5">
        <v>3410.0</v>
      </c>
      <c r="P100" s="5">
        <v>3741.0</v>
      </c>
      <c r="Q100" s="5">
        <v>4064.0</v>
      </c>
    </row>
    <row r="101">
      <c r="A101" s="3" t="s">
        <v>123</v>
      </c>
      <c r="B101" s="5" t="str">
        <f t="array" ref="B101">index('Derived Continent Data'!$J$3:$J$220,MATCH(A101,'Derived Continent Data'!$K$3:$K$220,0))</f>
        <v>Europe</v>
      </c>
      <c r="C101" s="5">
        <v>10467.0</v>
      </c>
      <c r="D101" s="5">
        <v>14234.0</v>
      </c>
      <c r="E101" s="5">
        <v>21606.0</v>
      </c>
      <c r="F101" s="5">
        <v>22217.0</v>
      </c>
      <c r="G101" s="5">
        <v>7515.0</v>
      </c>
      <c r="H101" s="5">
        <v>7970.0</v>
      </c>
      <c r="I101" s="5">
        <v>13234.0</v>
      </c>
      <c r="J101" s="5">
        <v>10665.0</v>
      </c>
      <c r="K101" s="5">
        <v>10636.0</v>
      </c>
      <c r="L101" s="5">
        <v>12452.0</v>
      </c>
      <c r="M101" s="5">
        <v>13765.0</v>
      </c>
      <c r="N101" s="5">
        <v>16359.0</v>
      </c>
      <c r="O101" s="5">
        <v>16698.0</v>
      </c>
      <c r="P101" s="5">
        <v>16878.0</v>
      </c>
      <c r="Q101" s="5">
        <v>16974.0</v>
      </c>
    </row>
    <row r="102">
      <c r="A102" s="3" t="s">
        <v>124</v>
      </c>
      <c r="B102" s="5" t="str">
        <f t="array" ref="B102">index('Derived Continent Data'!$J$3:$J$220,MATCH(A102,'Derived Continent Data'!$K$3:$K$220,0))</f>
        <v>Asia</v>
      </c>
      <c r="C102" s="5">
        <v>15000.0</v>
      </c>
      <c r="D102" s="5">
        <v>15000.0</v>
      </c>
      <c r="E102" s="5">
        <v>20000.0</v>
      </c>
      <c r="F102" s="5">
        <v>33000.0</v>
      </c>
      <c r="G102" s="5">
        <v>32000.0</v>
      </c>
      <c r="H102" s="5">
        <v>33000.0</v>
      </c>
      <c r="I102" s="5">
        <v>31000.0</v>
      </c>
      <c r="J102" s="5">
        <v>35500.0</v>
      </c>
      <c r="K102" s="5">
        <v>35500.0</v>
      </c>
      <c r="L102" s="5">
        <v>38300.0</v>
      </c>
      <c r="M102" s="5">
        <v>38700.0</v>
      </c>
      <c r="N102" s="5">
        <v>35600.0</v>
      </c>
      <c r="O102" s="5">
        <v>37221.0</v>
      </c>
      <c r="P102" s="5">
        <v>33012.0</v>
      </c>
      <c r="Q102" s="5">
        <v>22086.0</v>
      </c>
    </row>
    <row r="103">
      <c r="A103" s="3" t="s">
        <v>125</v>
      </c>
      <c r="B103" s="5" t="str">
        <f t="array" ref="B103">index('Derived Continent Data'!$J$3:$J$220,MATCH(A103,'Derived Continent Data'!$K$3:$K$220,0))</f>
        <v>Africa</v>
      </c>
      <c r="C103" s="3">
        <v>300.0</v>
      </c>
      <c r="D103" s="3">
        <v>200.0</v>
      </c>
      <c r="E103" s="3">
        <v>300.0</v>
      </c>
      <c r="F103" s="3">
        <v>300.0</v>
      </c>
      <c r="G103" s="3">
        <v>200.0</v>
      </c>
      <c r="H103" s="3">
        <v>300.0</v>
      </c>
      <c r="I103" s="3">
        <v>200.0</v>
      </c>
      <c r="J103" s="3">
        <v>210.0</v>
      </c>
      <c r="K103" s="3">
        <v>210.0</v>
      </c>
      <c r="L103" s="3">
        <v>200.0</v>
      </c>
      <c r="M103" s="3">
        <v>200.0</v>
      </c>
      <c r="N103" s="3">
        <v>300.0</v>
      </c>
      <c r="O103" s="3">
        <v>224.0</v>
      </c>
      <c r="P103" s="3">
        <v>80.0</v>
      </c>
      <c r="Q103" s="3">
        <v>68.0</v>
      </c>
    </row>
    <row r="104">
      <c r="A104" s="3" t="s">
        <v>126</v>
      </c>
      <c r="B104" s="5" t="str">
        <f t="array" ref="B104">index('Derived Continent Data'!$J$3:$J$220,MATCH(A104,'Derived Continent Data'!$K$3:$K$220,0))</f>
        <v>Africa</v>
      </c>
      <c r="C104" s="5">
        <v>35000.0</v>
      </c>
      <c r="D104" s="5">
        <v>35000.0</v>
      </c>
      <c r="E104" s="5">
        <v>36000.0</v>
      </c>
      <c r="F104" s="5">
        <v>37000.0</v>
      </c>
      <c r="G104" s="5">
        <v>37500.0</v>
      </c>
      <c r="H104" s="5">
        <v>38000.0</v>
      </c>
      <c r="I104" s="5">
        <v>39000.0</v>
      </c>
      <c r="J104" s="5">
        <v>20000.0</v>
      </c>
      <c r="K104" s="5">
        <v>30000.0</v>
      </c>
      <c r="L104" s="5">
        <v>30000.0</v>
      </c>
      <c r="M104" s="5">
        <v>38500.0</v>
      </c>
      <c r="N104" s="5">
        <v>31600.0</v>
      </c>
      <c r="O104" s="5">
        <v>11000.0</v>
      </c>
      <c r="P104" s="5">
        <v>12500.0</v>
      </c>
      <c r="Q104" s="5">
        <v>16100.0</v>
      </c>
    </row>
    <row r="105">
      <c r="A105" s="3" t="s">
        <v>127</v>
      </c>
      <c r="B105" s="5" t="str">
        <f t="array" ref="B105">index('Derived Continent Data'!$J$3:$J$220,MATCH(A105,'Derived Continent Data'!$K$3:$K$220,0))</f>
        <v>Europe</v>
      </c>
      <c r="C105" s="5">
        <v>16602.0</v>
      </c>
      <c r="D105" s="5">
        <v>25582.0</v>
      </c>
      <c r="E105" s="5">
        <v>32771.0</v>
      </c>
      <c r="F105" s="5">
        <v>19831.0</v>
      </c>
      <c r="G105" s="5">
        <v>5367.0</v>
      </c>
      <c r="H105" s="5">
        <v>6365.0</v>
      </c>
      <c r="I105" s="5">
        <v>10980.0</v>
      </c>
      <c r="J105" s="5">
        <v>12165.0</v>
      </c>
      <c r="K105" s="5">
        <v>12163.0</v>
      </c>
      <c r="L105" s="5">
        <v>14503.0</v>
      </c>
      <c r="M105" s="5">
        <v>17085.0</v>
      </c>
      <c r="N105" s="5">
        <v>20320.0</v>
      </c>
      <c r="O105" s="5">
        <v>25836.0</v>
      </c>
      <c r="P105" s="5">
        <v>32382.0</v>
      </c>
      <c r="Q105" s="5">
        <v>43109.0</v>
      </c>
    </row>
    <row r="106">
      <c r="A106" s="3" t="s">
        <v>128</v>
      </c>
      <c r="B106" s="5" t="str">
        <f t="array" ref="B106">index('Derived Continent Data'!$J$3:$J$220,MATCH(A106,'Derived Continent Data'!$K$3:$K$220,0))</f>
        <v>Europe</v>
      </c>
      <c r="C106" s="5">
        <v>48517.0</v>
      </c>
      <c r="D106" s="5">
        <v>50837.0</v>
      </c>
      <c r="E106" s="5">
        <v>51332.0</v>
      </c>
      <c r="F106" s="5">
        <v>52359.0</v>
      </c>
      <c r="G106" s="5">
        <v>47265.0</v>
      </c>
      <c r="H106" s="5">
        <v>49726.0</v>
      </c>
      <c r="I106" s="5">
        <v>49881.0</v>
      </c>
      <c r="J106" s="5">
        <v>50398.0</v>
      </c>
      <c r="K106" s="5">
        <v>46624.0</v>
      </c>
      <c r="L106" s="5">
        <v>49793.0</v>
      </c>
      <c r="M106" s="5">
        <v>46473.0</v>
      </c>
      <c r="N106" s="5">
        <v>50561.0</v>
      </c>
      <c r="O106" s="5">
        <v>52775.0</v>
      </c>
      <c r="P106" s="5">
        <v>52786.0</v>
      </c>
      <c r="Q106" s="5">
        <v>54938.0</v>
      </c>
    </row>
    <row r="107">
      <c r="A107" s="3" t="s">
        <v>129</v>
      </c>
      <c r="B107" s="5" t="str">
        <f t="array" ref="B107">index('Derived Continent Data'!$J$3:$J$220,MATCH(A107,'Derived Continent Data'!$K$3:$K$220,0))</f>
        <v>Africa</v>
      </c>
      <c r="C107" s="3">
        <v>930.0</v>
      </c>
      <c r="D107" s="5">
        <v>1100.0</v>
      </c>
      <c r="E107" s="5">
        <v>1100.0</v>
      </c>
      <c r="F107" s="5">
        <v>1000.0</v>
      </c>
      <c r="G107" s="3">
        <v>900.0</v>
      </c>
      <c r="H107" s="3">
        <v>900.0</v>
      </c>
      <c r="I107" s="5">
        <v>1100.0</v>
      </c>
      <c r="J107" s="5">
        <v>1200.0</v>
      </c>
      <c r="K107" s="5">
        <v>1200.0</v>
      </c>
      <c r="L107" s="5">
        <v>1600.0</v>
      </c>
      <c r="M107" s="5">
        <v>1200.0</v>
      </c>
      <c r="N107" s="3">
        <v>800.0</v>
      </c>
      <c r="O107" s="5">
        <v>1199.0</v>
      </c>
      <c r="P107" s="5">
        <v>1138.0</v>
      </c>
      <c r="Q107" s="5">
        <v>1043.0</v>
      </c>
    </row>
    <row r="108">
      <c r="A108" s="3" t="s">
        <v>130</v>
      </c>
      <c r="B108" s="5" t="str">
        <f t="array" ref="B108">index('Derived Continent Data'!$J$3:$J$220,MATCH(A108,'Derived Continent Data'!$K$3:$K$220,0))</f>
        <v>Africa</v>
      </c>
      <c r="C108" s="3">
        <v>930.0</v>
      </c>
      <c r="D108" s="5">
        <v>1100.0</v>
      </c>
      <c r="E108" s="5">
        <v>1100.0</v>
      </c>
      <c r="F108" s="5">
        <v>1000.0</v>
      </c>
      <c r="G108" s="5">
        <v>1000.0</v>
      </c>
      <c r="H108" s="5">
        <v>1500.0</v>
      </c>
      <c r="I108" s="5">
        <v>1500.0</v>
      </c>
      <c r="J108" s="5">
        <v>1000.0</v>
      </c>
      <c r="K108" s="5">
        <v>1000.0</v>
      </c>
      <c r="L108" s="5">
        <v>1100.0</v>
      </c>
      <c r="M108" s="5">
        <v>1200.0</v>
      </c>
      <c r="N108" s="5">
        <v>1500.0</v>
      </c>
      <c r="O108" s="3">
        <v>569.0</v>
      </c>
      <c r="P108" s="3">
        <v>724.0</v>
      </c>
      <c r="Q108" s="3">
        <v>598.0</v>
      </c>
    </row>
    <row r="109">
      <c r="A109" s="3" t="s">
        <v>131</v>
      </c>
      <c r="B109" s="5" t="str">
        <f t="array" ref="B109">index('Derived Continent Data'!$J$3:$J$220,MATCH(A109,'Derived Continent Data'!$K$3:$K$220,0))</f>
        <v>Europe</v>
      </c>
      <c r="C109" s="5">
        <v>6552.0</v>
      </c>
      <c r="D109" s="5">
        <v>6745.0</v>
      </c>
      <c r="E109" s="5">
        <v>6240.0</v>
      </c>
      <c r="F109" s="5">
        <v>5423.0</v>
      </c>
      <c r="G109" s="5">
        <v>5894.0</v>
      </c>
      <c r="H109" s="5">
        <v>4056.0</v>
      </c>
      <c r="I109" s="5">
        <v>5428.0</v>
      </c>
      <c r="J109" s="5">
        <v>5884.0</v>
      </c>
      <c r="K109" s="5">
        <v>5749.0</v>
      </c>
      <c r="L109" s="5">
        <v>6451.0</v>
      </c>
      <c r="M109" s="5">
        <v>7121.0</v>
      </c>
      <c r="N109" s="5">
        <v>7333.0</v>
      </c>
      <c r="O109" s="5">
        <v>7825.0</v>
      </c>
      <c r="P109" s="5">
        <v>8128.0</v>
      </c>
      <c r="Q109" s="5">
        <v>7621.0</v>
      </c>
    </row>
    <row r="110">
      <c r="A110" s="3" t="s">
        <v>132</v>
      </c>
      <c r="B110" s="5" t="str">
        <f t="array" ref="B110">index('Derived Continent Data'!$J$3:$J$220,MATCH(A110,'Derived Continent Data'!$K$3:$K$220,0))</f>
        <v>Africa</v>
      </c>
      <c r="C110" s="5">
        <v>2900.0</v>
      </c>
      <c r="D110" s="5">
        <v>3500.0</v>
      </c>
      <c r="E110" s="5">
        <v>4000.0</v>
      </c>
      <c r="F110" s="5">
        <v>4000.0</v>
      </c>
      <c r="G110" s="5">
        <v>3000.0</v>
      </c>
      <c r="H110" s="5">
        <v>4000.0</v>
      </c>
      <c r="I110" s="5">
        <v>3000.0</v>
      </c>
      <c r="J110" s="5">
        <v>7000.0</v>
      </c>
      <c r="K110" s="5">
        <v>7500.0</v>
      </c>
      <c r="L110" s="5">
        <v>8600.0</v>
      </c>
      <c r="M110" s="5">
        <v>8000.0</v>
      </c>
      <c r="N110" s="5">
        <v>8700.0</v>
      </c>
      <c r="O110" s="5">
        <v>8753.0</v>
      </c>
      <c r="P110" s="5">
        <v>8288.0</v>
      </c>
      <c r="Q110" s="5">
        <v>7722.0</v>
      </c>
    </row>
    <row r="111">
      <c r="A111" s="3" t="s">
        <v>133</v>
      </c>
      <c r="B111" s="5" t="str">
        <f t="array" ref="B111">index('Derived Continent Data'!$J$3:$J$220,MATCH(A111,'Derived Continent Data'!$K$3:$K$220,0))</f>
        <v>Europe</v>
      </c>
      <c r="C111" s="5">
        <v>4000.0</v>
      </c>
      <c r="D111" s="5">
        <v>5000.0</v>
      </c>
      <c r="E111" s="5">
        <v>7000.0</v>
      </c>
      <c r="F111" s="5">
        <v>11000.0</v>
      </c>
      <c r="G111" s="5">
        <v>4000.0</v>
      </c>
      <c r="H111" s="5">
        <v>5000.0</v>
      </c>
      <c r="I111" s="5">
        <v>5500.0</v>
      </c>
      <c r="J111" s="5">
        <v>5000.0</v>
      </c>
      <c r="K111" s="5">
        <v>5000.0</v>
      </c>
      <c r="L111" s="5">
        <v>5600.0</v>
      </c>
      <c r="M111" s="5">
        <v>3700.0</v>
      </c>
      <c r="N111" s="5">
        <v>4300.0</v>
      </c>
      <c r="O111" s="5">
        <v>5260.0</v>
      </c>
      <c r="P111" s="5">
        <v>5960.0</v>
      </c>
      <c r="Q111" s="5">
        <v>6406.0</v>
      </c>
    </row>
    <row r="112">
      <c r="A112" s="3" t="s">
        <v>134</v>
      </c>
      <c r="B112" s="5" t="str">
        <f t="array" ref="B112">index('Derived Continent Data'!$J$3:$J$220,MATCH(A112,'Derived Continent Data'!$K$3:$K$220,0))</f>
        <v>Asia</v>
      </c>
      <c r="C112" s="3">
        <v>500.0</v>
      </c>
      <c r="D112" s="3">
        <v>500.0</v>
      </c>
      <c r="E112" s="5">
        <v>1000.0</v>
      </c>
      <c r="F112" s="5">
        <v>3000.0</v>
      </c>
      <c r="G112" s="5">
        <v>3000.0</v>
      </c>
      <c r="H112" s="5">
        <v>3000.0</v>
      </c>
      <c r="I112" s="5">
        <v>3000.0</v>
      </c>
      <c r="J112" s="5">
        <v>2000.0</v>
      </c>
      <c r="K112" s="5">
        <v>1500.0</v>
      </c>
      <c r="L112" s="5">
        <v>1100.0</v>
      </c>
      <c r="M112" s="3">
        <v>700.0</v>
      </c>
      <c r="N112" s="5">
        <v>1300.0</v>
      </c>
      <c r="O112" s="5">
        <v>5260.0</v>
      </c>
      <c r="P112" s="5">
        <v>5960.0</v>
      </c>
      <c r="Q112" s="5">
        <v>2970.0</v>
      </c>
    </row>
    <row r="113">
      <c r="A113" s="3" t="s">
        <v>135</v>
      </c>
      <c r="B113" s="6" t="s">
        <v>136</v>
      </c>
      <c r="C113" s="5">
        <v>7397.0</v>
      </c>
      <c r="D113" s="5">
        <v>7251.0</v>
      </c>
      <c r="E113" s="5">
        <v>7717.0</v>
      </c>
      <c r="F113" s="5">
        <v>7853.0</v>
      </c>
      <c r="G113" s="5">
        <v>7246.0</v>
      </c>
      <c r="H113" s="5">
        <v>7354.0</v>
      </c>
      <c r="I113" s="5">
        <v>7525.0</v>
      </c>
      <c r="J113" s="5">
        <v>7250.0</v>
      </c>
      <c r="K113" s="5">
        <v>6272.0</v>
      </c>
      <c r="L113" s="5">
        <v>6469.0</v>
      </c>
      <c r="M113" s="5">
        <v>6068.0</v>
      </c>
      <c r="N113" s="5">
        <v>5662.0</v>
      </c>
      <c r="O113" s="5">
        <v>5921.0</v>
      </c>
      <c r="P113" s="5">
        <v>5571.0</v>
      </c>
      <c r="Q113" s="5">
        <v>5818.0</v>
      </c>
    </row>
    <row r="114">
      <c r="A114" s="3" t="s">
        <v>137</v>
      </c>
      <c r="B114" s="5" t="str">
        <f t="array" ref="B114">index('Derived Continent Data'!$J$3:$J$220,MATCH(A114,'Derived Continent Data'!$K$3:$K$220,0))</f>
        <v>Asia</v>
      </c>
      <c r="C114" s="5">
        <v>1000.0</v>
      </c>
      <c r="D114" s="5">
        <v>1000.0</v>
      </c>
      <c r="E114" s="5">
        <v>2000.0</v>
      </c>
      <c r="F114" s="5">
        <v>1500.0</v>
      </c>
      <c r="G114" s="5">
        <v>2000.0</v>
      </c>
      <c r="H114" s="5">
        <v>1000.0</v>
      </c>
      <c r="I114" s="5">
        <v>3000.0</v>
      </c>
      <c r="J114" s="5">
        <v>3600.0</v>
      </c>
      <c r="K114" s="5">
        <v>3500.0</v>
      </c>
      <c r="L114" s="5">
        <v>5300.0</v>
      </c>
      <c r="M114" s="5">
        <v>4000.0</v>
      </c>
      <c r="N114" s="5">
        <v>6400.0</v>
      </c>
      <c r="O114" s="5">
        <v>7445.0</v>
      </c>
      <c r="P114" s="5">
        <v>6759.0</v>
      </c>
      <c r="Q114" s="5">
        <v>7505.0</v>
      </c>
    </row>
    <row r="115">
      <c r="A115" s="3" t="s">
        <v>138</v>
      </c>
      <c r="B115" s="5" t="str">
        <f t="array" ref="B115">index('Derived Continent Data'!$J$3:$J$220,MATCH(A115,'Derived Continent Data'!$K$3:$K$220,0))</f>
        <v>North America</v>
      </c>
      <c r="C115" s="5">
        <v>3000.0</v>
      </c>
      <c r="D115" s="5">
        <v>6000.0</v>
      </c>
      <c r="E115" s="5">
        <v>6000.0</v>
      </c>
      <c r="F115" s="5">
        <v>6000.0</v>
      </c>
      <c r="G115" s="5">
        <v>4000.0</v>
      </c>
      <c r="H115" s="5">
        <v>3000.0</v>
      </c>
      <c r="I115" s="5">
        <v>3000.0</v>
      </c>
      <c r="J115" s="5">
        <v>3000.0</v>
      </c>
      <c r="K115" s="5">
        <v>4000.0</v>
      </c>
      <c r="L115" s="5">
        <v>5200.0</v>
      </c>
      <c r="M115" s="5">
        <v>4800.0</v>
      </c>
      <c r="N115" s="5">
        <v>5400.0</v>
      </c>
      <c r="O115" s="5">
        <v>7699.0</v>
      </c>
      <c r="P115" s="5">
        <v>9567.0</v>
      </c>
      <c r="Q115" s="5">
        <v>1296.0</v>
      </c>
    </row>
    <row r="116">
      <c r="A116" s="3" t="s">
        <v>139</v>
      </c>
      <c r="B116" s="5" t="str">
        <f t="array" ref="B116">index('Derived Continent Data'!$J$3:$J$220,MATCH(A116,'Derived Continent Data'!$K$3:$K$220,0))</f>
        <v>Africa</v>
      </c>
      <c r="C116" s="5">
        <v>16000.0</v>
      </c>
      <c r="D116" s="5">
        <v>22000.0</v>
      </c>
      <c r="E116" s="5">
        <v>7000.0</v>
      </c>
      <c r="F116" s="5">
        <v>7000.0</v>
      </c>
      <c r="G116" s="5">
        <v>34000.0</v>
      </c>
      <c r="H116" s="5">
        <v>25000.0</v>
      </c>
      <c r="I116" s="5">
        <v>30000.0</v>
      </c>
      <c r="J116" s="5">
        <v>40000.0</v>
      </c>
      <c r="K116" s="5">
        <v>40000.0</v>
      </c>
      <c r="L116" s="5">
        <v>42000.0</v>
      </c>
      <c r="M116" s="5">
        <v>15600.0</v>
      </c>
      <c r="N116" s="5">
        <v>19200.0</v>
      </c>
      <c r="O116" s="5">
        <v>4700.0</v>
      </c>
      <c r="P116" s="5">
        <v>8550.0</v>
      </c>
      <c r="Q116" s="5">
        <v>5100.0</v>
      </c>
    </row>
    <row r="117">
      <c r="A117" s="3" t="s">
        <v>140</v>
      </c>
      <c r="B117" s="5" t="str">
        <f t="array" ref="B117">index('Derived Continent Data'!$J$3:$J$220,MATCH(A117,'Derived Continent Data'!$K$3:$K$220,0))</f>
        <v>Europe</v>
      </c>
      <c r="C117" s="5">
        <v>9300.0</v>
      </c>
      <c r="D117" s="5">
        <v>10000.0</v>
      </c>
      <c r="E117" s="5">
        <v>10200.0</v>
      </c>
      <c r="F117" s="5">
        <v>10500.0</v>
      </c>
      <c r="G117" s="5">
        <v>6000.0</v>
      </c>
      <c r="H117" s="5">
        <v>8500.0</v>
      </c>
      <c r="I117" s="5">
        <v>8500.0</v>
      </c>
      <c r="J117" s="5">
        <v>5000.0</v>
      </c>
      <c r="K117" s="5">
        <v>2000.0</v>
      </c>
      <c r="L117" s="5">
        <v>2700.0</v>
      </c>
      <c r="M117" s="5">
        <v>3200.0</v>
      </c>
      <c r="N117" s="5">
        <v>3800.0</v>
      </c>
      <c r="O117" s="5">
        <v>3273.0</v>
      </c>
      <c r="P117" s="5">
        <v>3885.0</v>
      </c>
      <c r="Q117" s="5">
        <v>4060.0</v>
      </c>
    </row>
    <row r="118">
      <c r="A118" s="3" t="s">
        <v>141</v>
      </c>
      <c r="B118" s="5" t="str">
        <f t="array" ref="B118">index('Derived Continent Data'!$J$3:$J$220,MATCH(A118,'Derived Continent Data'!$K$3:$K$220,0))</f>
        <v>Asia</v>
      </c>
      <c r="C118" s="5">
        <v>147500.0</v>
      </c>
      <c r="D118" s="5">
        <v>144700.0</v>
      </c>
      <c r="E118" s="5">
        <v>146300.0</v>
      </c>
      <c r="F118" s="5">
        <v>145000.0</v>
      </c>
      <c r="G118" s="5">
        <v>105000.0</v>
      </c>
      <c r="H118" s="5">
        <v>115000.0</v>
      </c>
      <c r="I118" s="5">
        <v>115000.0</v>
      </c>
      <c r="J118" s="5">
        <v>130000.0</v>
      </c>
      <c r="K118" s="5">
        <v>140000.0</v>
      </c>
      <c r="L118" s="5">
        <v>138600.0</v>
      </c>
      <c r="M118" s="5">
        <v>121100.0</v>
      </c>
      <c r="N118" s="5">
        <v>115700.0</v>
      </c>
      <c r="O118" s="5">
        <v>63789.0</v>
      </c>
      <c r="P118" s="5">
        <v>49777.0</v>
      </c>
      <c r="Q118" s="5">
        <v>49924.0</v>
      </c>
    </row>
    <row r="119">
      <c r="A119" s="3" t="s">
        <v>142</v>
      </c>
      <c r="B119" s="5" t="str">
        <f t="array" ref="B119">index('Derived Continent Data'!$J$3:$J$220,MATCH(A119,'Derived Continent Data'!$K$3:$K$220,0))</f>
        <v>Asia</v>
      </c>
      <c r="C119" s="5">
        <v>13500.0</v>
      </c>
      <c r="D119" s="5">
        <v>15700.0</v>
      </c>
      <c r="E119" s="5">
        <v>16400.0</v>
      </c>
      <c r="F119" s="5">
        <v>18400.0</v>
      </c>
      <c r="G119" s="5">
        <v>13400.0</v>
      </c>
      <c r="H119" s="5">
        <v>17400.0</v>
      </c>
      <c r="I119" s="5">
        <v>19700.0</v>
      </c>
      <c r="J119" s="5">
        <v>21600.0</v>
      </c>
      <c r="K119" s="5">
        <v>21100.0</v>
      </c>
      <c r="L119" s="5">
        <v>21100.0</v>
      </c>
      <c r="M119" s="5">
        <v>21100.0</v>
      </c>
      <c r="N119" s="5">
        <v>21100.0</v>
      </c>
      <c r="O119" s="3">
        <v>496.0</v>
      </c>
      <c r="P119" s="3">
        <v>146.0</v>
      </c>
      <c r="Q119" s="3">
        <v>109.0</v>
      </c>
    </row>
    <row r="120">
      <c r="A120" s="3" t="s">
        <v>143</v>
      </c>
      <c r="B120" s="5" t="str">
        <f t="array" ref="B120">index('Derived Continent Data'!$J$3:$J$220,MATCH(A120,'Derived Continent Data'!$K$3:$K$220,0))</f>
        <v>North America</v>
      </c>
      <c r="C120" s="5">
        <v>10000.0</v>
      </c>
      <c r="D120" s="5">
        <v>15000.0</v>
      </c>
      <c r="E120" s="5">
        <v>22000.0</v>
      </c>
      <c r="F120" s="5">
        <v>30000.0</v>
      </c>
      <c r="G120" s="5">
        <v>25000.0</v>
      </c>
      <c r="H120" s="5">
        <v>30000.0</v>
      </c>
      <c r="I120" s="5">
        <v>35000.0</v>
      </c>
      <c r="J120" s="5">
        <v>40000.0</v>
      </c>
      <c r="K120" s="5">
        <v>39800.0</v>
      </c>
      <c r="L120" s="5">
        <v>43000.0</v>
      </c>
      <c r="M120" s="5">
        <v>46700.0</v>
      </c>
      <c r="N120" s="5">
        <v>46200.0</v>
      </c>
      <c r="O120" s="5">
        <v>44009.0</v>
      </c>
      <c r="P120" s="5">
        <v>36401.0</v>
      </c>
      <c r="Q120" s="5">
        <v>39049.0</v>
      </c>
    </row>
    <row r="121">
      <c r="A121" s="3" t="s">
        <v>144</v>
      </c>
      <c r="B121" s="5" t="str">
        <f t="array" ref="B121">index('Derived Continent Data'!$J$3:$J$220,MATCH(A121,'Derived Continent Data'!$K$3:$K$220,0))</f>
        <v>South America </v>
      </c>
      <c r="C121" s="5">
        <v>3000.0</v>
      </c>
      <c r="D121" s="5">
        <v>5000.0</v>
      </c>
      <c r="E121" s="5">
        <v>6000.0</v>
      </c>
      <c r="F121" s="5">
        <v>12000.0</v>
      </c>
      <c r="G121" s="5">
        <v>7000.0</v>
      </c>
      <c r="H121" s="5">
        <v>11000.0</v>
      </c>
      <c r="I121" s="5">
        <v>20000.0</v>
      </c>
      <c r="J121" s="5">
        <v>20000.0</v>
      </c>
      <c r="K121" s="5">
        <v>19900.0</v>
      </c>
      <c r="L121" s="5">
        <v>21500.0</v>
      </c>
      <c r="M121" s="5">
        <v>18700.0</v>
      </c>
      <c r="N121" s="5">
        <v>16000.0</v>
      </c>
      <c r="O121" s="5">
        <v>18848.0</v>
      </c>
      <c r="P121" s="5">
        <v>25204.0</v>
      </c>
      <c r="Q121" s="5">
        <v>20599.0</v>
      </c>
    </row>
    <row r="122">
      <c r="A122" s="3" t="s">
        <v>145</v>
      </c>
      <c r="B122" s="6" t="s">
        <v>146</v>
      </c>
      <c r="C122" s="5">
        <v>96000.0</v>
      </c>
      <c r="D122" s="5">
        <v>85000.0</v>
      </c>
      <c r="E122" s="5">
        <v>92000.0</v>
      </c>
      <c r="F122" s="5">
        <v>65000.0</v>
      </c>
      <c r="G122" s="5">
        <v>65000.0</v>
      </c>
      <c r="H122" s="5">
        <v>45000.0</v>
      </c>
      <c r="I122" s="5">
        <v>55000.0</v>
      </c>
      <c r="J122" s="5">
        <v>55000.0</v>
      </c>
      <c r="K122" s="5">
        <v>54700.0</v>
      </c>
      <c r="L122" s="5">
        <v>58500.0</v>
      </c>
      <c r="M122" s="5">
        <v>49000.0</v>
      </c>
      <c r="N122" s="5">
        <v>66500.0</v>
      </c>
      <c r="O122" s="5">
        <v>84470.0</v>
      </c>
      <c r="P122" s="5">
        <v>73080.0</v>
      </c>
      <c r="Q122" s="5">
        <v>82607.0</v>
      </c>
      <c r="S122" s="5">
        <v>85486.0</v>
      </c>
    </row>
    <row r="123">
      <c r="A123" s="3" t="s">
        <v>147</v>
      </c>
      <c r="B123" s="5" t="str">
        <f t="array" ref="B123">index('Derived Continent Data'!$J$3:$J$220,MATCH(A123,'Derived Continent Data'!$K$3:$K$220,0))</f>
        <v>Asia</v>
      </c>
      <c r="C123" s="5">
        <v>61100.0</v>
      </c>
      <c r="D123" s="5">
        <v>59900.0</v>
      </c>
      <c r="E123" s="5">
        <v>60500.0</v>
      </c>
      <c r="F123" s="5">
        <v>60000.0</v>
      </c>
      <c r="G123" s="5">
        <v>40000.0</v>
      </c>
      <c r="H123" s="5">
        <v>40000.0</v>
      </c>
      <c r="I123" s="5">
        <v>45000.0</v>
      </c>
      <c r="J123" s="5">
        <v>60000.0</v>
      </c>
      <c r="K123" s="5">
        <v>65000.0</v>
      </c>
      <c r="L123" s="5">
        <v>71500.0</v>
      </c>
      <c r="M123" s="5">
        <v>69200.0</v>
      </c>
      <c r="N123" s="5">
        <v>50200.0</v>
      </c>
      <c r="O123" s="5">
        <v>41176.0</v>
      </c>
      <c r="P123" s="5">
        <v>38816.0</v>
      </c>
      <c r="Q123" s="5">
        <v>39679.0</v>
      </c>
    </row>
    <row r="124">
      <c r="A124" s="3" t="s">
        <v>148</v>
      </c>
      <c r="B124" s="5" t="str">
        <f t="array" ref="B124">index('Derived Continent Data'!$J$3:$J$220,MATCH(A124,'Derived Continent Data'!$K$3:$K$220,0))</f>
        <v>Africa</v>
      </c>
      <c r="C124" s="3">
        <v>200.0</v>
      </c>
      <c r="D124" s="3">
        <v>200.0</v>
      </c>
      <c r="E124" s="3">
        <v>200.0</v>
      </c>
      <c r="F124" s="3">
        <v>500.0</v>
      </c>
      <c r="G124" s="5">
        <v>1500.0</v>
      </c>
      <c r="H124" s="5">
        <v>1500.0</v>
      </c>
      <c r="I124" s="5">
        <v>1500.0</v>
      </c>
      <c r="J124" s="5">
        <v>1500.0</v>
      </c>
      <c r="K124" s="5">
        <v>1500.0</v>
      </c>
      <c r="L124" s="5">
        <v>1500.0</v>
      </c>
      <c r="M124" s="5">
        <v>1600.0</v>
      </c>
    </row>
    <row r="125">
      <c r="A125" s="3" t="s">
        <v>149</v>
      </c>
      <c r="B125" s="5" t="str">
        <f t="array" ref="B125">index('Derived Continent Data'!$J$3:$J$220,MATCH(A125,'Derived Continent Data'!$K$3:$K$220,0))</f>
        <v>Africa</v>
      </c>
      <c r="C125" s="5">
        <v>3000.0</v>
      </c>
      <c r="D125" s="5">
        <v>3000.0</v>
      </c>
      <c r="E125" s="5">
        <v>3000.0</v>
      </c>
      <c r="F125" s="5">
        <v>3000.0</v>
      </c>
      <c r="G125" s="5">
        <v>4000.0</v>
      </c>
      <c r="H125" s="5">
        <v>4000.0</v>
      </c>
      <c r="I125" s="5">
        <v>3500.0</v>
      </c>
      <c r="J125" s="5">
        <v>4000.0</v>
      </c>
      <c r="K125" s="5">
        <v>4000.0</v>
      </c>
      <c r="L125" s="5">
        <v>4500.0</v>
      </c>
      <c r="M125" s="5">
        <v>3700.0</v>
      </c>
      <c r="N125" s="5">
        <v>4400.0</v>
      </c>
      <c r="O125" s="5">
        <v>3773.0</v>
      </c>
      <c r="P125" s="5">
        <v>3558.0</v>
      </c>
      <c r="Q125" s="5">
        <v>3320.0</v>
      </c>
    </row>
    <row r="126">
      <c r="A126" s="3" t="s">
        <v>150</v>
      </c>
      <c r="B126" s="5" t="str">
        <f t="array" ref="B126">index('Derived Continent Data'!$J$3:$J$220,MATCH(A126,'Derived Continent Data'!$K$3:$K$220,0))</f>
        <v>Europe</v>
      </c>
      <c r="C126" s="5">
        <v>21603.0</v>
      </c>
      <c r="D126" s="5">
        <v>25610.0</v>
      </c>
      <c r="E126" s="5">
        <v>32772.0</v>
      </c>
      <c r="F126" s="5">
        <v>36177.0</v>
      </c>
      <c r="G126" s="5">
        <v>30000.0</v>
      </c>
      <c r="H126" s="5">
        <v>28951.0</v>
      </c>
      <c r="I126" s="5">
        <v>22181.0</v>
      </c>
      <c r="J126" s="5">
        <v>22800.0</v>
      </c>
      <c r="K126" s="5">
        <v>23000.0</v>
      </c>
      <c r="L126" s="5">
        <v>23900.0</v>
      </c>
      <c r="M126" s="5">
        <v>21700.0</v>
      </c>
      <c r="N126" s="5">
        <v>23300.0</v>
      </c>
      <c r="O126" s="5">
        <v>22090.0</v>
      </c>
      <c r="P126" s="5">
        <v>24006.0</v>
      </c>
      <c r="Q126" s="5">
        <v>25514.0</v>
      </c>
    </row>
    <row r="127">
      <c r="A127" s="3" t="s">
        <v>151</v>
      </c>
      <c r="B127" s="5" t="str">
        <f t="array" ref="B127">index('Derived Continent Data'!$J$3:$J$220,MATCH(A127,'Derived Continent Data'!$K$3:$K$220,0))</f>
        <v>Asia</v>
      </c>
      <c r="C127" s="5">
        <v>109167.0</v>
      </c>
      <c r="D127" s="5">
        <v>116849.0</v>
      </c>
      <c r="E127" s="5">
        <v>110814.0</v>
      </c>
      <c r="F127" s="5">
        <v>100979.0</v>
      </c>
      <c r="G127" s="5">
        <v>73183.0</v>
      </c>
      <c r="H127" s="5">
        <v>47273.0</v>
      </c>
      <c r="I127" s="5">
        <v>33493.0</v>
      </c>
      <c r="J127" s="5">
        <v>32724.0</v>
      </c>
      <c r="K127" s="5">
        <v>27955.0</v>
      </c>
      <c r="L127" s="5">
        <v>32807.0</v>
      </c>
      <c r="M127" s="5">
        <v>61512.0</v>
      </c>
      <c r="N127" s="5">
        <v>91096.0</v>
      </c>
      <c r="O127" s="5">
        <v>94692.0</v>
      </c>
      <c r="P127" s="5">
        <v>81625.0</v>
      </c>
      <c r="Q127" s="5">
        <v>76476.0</v>
      </c>
    </row>
    <row r="128">
      <c r="A128" s="3" t="s">
        <v>152</v>
      </c>
      <c r="B128" s="5" t="str">
        <f t="array" ref="B128">index('Derived Continent Data'!$J$3:$J$220,MATCH(A128,'Derived Continent Data'!$K$3:$K$220,0))</f>
        <v>Europe</v>
      </c>
      <c r="C128" s="5">
        <v>59324.0</v>
      </c>
      <c r="D128" s="5">
        <v>59578.0</v>
      </c>
      <c r="E128" s="5">
        <v>68719.0</v>
      </c>
      <c r="F128" s="5">
        <v>71575.0</v>
      </c>
      <c r="G128" s="5">
        <v>57967.0</v>
      </c>
      <c r="H128" s="5">
        <v>61142.0</v>
      </c>
      <c r="I128" s="5">
        <v>60193.0</v>
      </c>
      <c r="J128" s="5">
        <v>50091.0</v>
      </c>
      <c r="K128" s="5">
        <v>52268.0</v>
      </c>
      <c r="L128" s="5">
        <v>53296.0</v>
      </c>
      <c r="M128" s="5">
        <v>59450.0</v>
      </c>
      <c r="N128" s="5">
        <v>63674.0</v>
      </c>
      <c r="O128" s="5">
        <v>62522.0</v>
      </c>
      <c r="P128" s="5">
        <v>65115.0</v>
      </c>
      <c r="Q128" s="5">
        <v>70904.0</v>
      </c>
    </row>
    <row r="129">
      <c r="A129" s="3" t="s">
        <v>153</v>
      </c>
      <c r="B129" s="5" t="str">
        <f t="array" ref="B129">index('Derived Continent Data'!$J$3:$J$220,MATCH(A129,'Derived Continent Data'!$K$3:$K$220,0))</f>
        <v>Asia</v>
      </c>
      <c r="C129" s="5">
        <v>2600.0</v>
      </c>
      <c r="D129" s="5">
        <v>2800.0</v>
      </c>
      <c r="E129" s="5">
        <v>2900.0</v>
      </c>
      <c r="F129" s="5">
        <v>3000.0</v>
      </c>
      <c r="G129" s="5">
        <v>3000.0</v>
      </c>
      <c r="H129" s="5">
        <v>2000.0</v>
      </c>
      <c r="I129" s="5">
        <v>7000.0</v>
      </c>
      <c r="J129" s="5">
        <v>8000.0</v>
      </c>
      <c r="K129" s="5">
        <v>10000.0</v>
      </c>
      <c r="L129" s="5">
        <v>13800.0</v>
      </c>
      <c r="M129" s="5">
        <v>12500.0</v>
      </c>
      <c r="N129" s="5">
        <v>26300.0</v>
      </c>
      <c r="O129" s="5">
        <v>11796.0</v>
      </c>
      <c r="P129" s="5">
        <v>10981.0</v>
      </c>
      <c r="Q129" s="5">
        <v>8100.0</v>
      </c>
    </row>
    <row r="130">
      <c r="A130" s="3" t="s">
        <v>154</v>
      </c>
      <c r="B130" s="5" t="str">
        <f t="array" ref="B130">index('Derived Continent Data'!$J$3:$J$220,MATCH(A130,'Derived Continent Data'!$K$3:$K$220,0))</f>
        <v>Africa</v>
      </c>
      <c r="C130" s="5">
        <v>2000.0</v>
      </c>
      <c r="D130" s="5">
        <v>2000.0</v>
      </c>
      <c r="E130" s="5">
        <v>2500.0</v>
      </c>
      <c r="F130" s="5">
        <v>3000.0</v>
      </c>
      <c r="G130" s="5">
        <v>7000.0</v>
      </c>
      <c r="H130" s="5">
        <v>2000.0</v>
      </c>
      <c r="I130" s="5">
        <v>2000.0</v>
      </c>
      <c r="J130" s="5">
        <v>2000.0</v>
      </c>
      <c r="K130" s="5">
        <v>1500.0</v>
      </c>
      <c r="L130" s="5">
        <v>1800.0</v>
      </c>
      <c r="M130" s="5">
        <v>2200.0</v>
      </c>
      <c r="O130" s="5">
        <v>1450.0</v>
      </c>
      <c r="P130" s="5">
        <v>1140.0</v>
      </c>
      <c r="Q130" s="3">
        <v>996.0</v>
      </c>
    </row>
    <row r="131">
      <c r="A131" s="3" t="s">
        <v>155</v>
      </c>
      <c r="B131" s="5" t="str">
        <f t="array" ref="B131">index('Derived Continent Data'!$J$3:$J$220,MATCH(A131,'Derived Continent Data'!$K$3:$K$220,0))</f>
        <v>Asia</v>
      </c>
      <c r="C131" s="5">
        <v>32985.0</v>
      </c>
      <c r="D131" s="5">
        <v>45467.0</v>
      </c>
      <c r="E131" s="5">
        <v>36000.0</v>
      </c>
      <c r="F131" s="5">
        <v>42000.0</v>
      </c>
      <c r="G131" s="5">
        <v>46000.0</v>
      </c>
      <c r="H131" s="5">
        <v>78147.0</v>
      </c>
      <c r="I131" s="5">
        <v>33160.0</v>
      </c>
      <c r="J131" s="5">
        <v>36300.0</v>
      </c>
      <c r="K131" s="5">
        <v>35500.0</v>
      </c>
      <c r="L131" s="5">
        <v>33400.0</v>
      </c>
      <c r="M131" s="5">
        <v>33400.0</v>
      </c>
      <c r="N131" s="5">
        <v>33400.0</v>
      </c>
      <c r="O131" s="5">
        <v>4500.0</v>
      </c>
      <c r="P131" s="5">
        <v>6996.0</v>
      </c>
      <c r="Q131" s="5">
        <v>11428.0</v>
      </c>
    </row>
    <row r="132">
      <c r="A132" s="3" t="s">
        <v>156</v>
      </c>
      <c r="B132" s="5" t="str">
        <f t="array" ref="B132">index('Derived Continent Data'!$J$3:$J$220,MATCH(A132,'Derived Continent Data'!$K$3:$K$220,0))</f>
        <v>Asia</v>
      </c>
      <c r="C132" s="5">
        <v>5300.0</v>
      </c>
      <c r="D132" s="5">
        <v>5700.0</v>
      </c>
      <c r="E132" s="5">
        <v>5800.0</v>
      </c>
      <c r="F132" s="5">
        <v>6000.0</v>
      </c>
      <c r="G132" s="5">
        <v>7000.0</v>
      </c>
      <c r="H132" s="5">
        <v>6500.0</v>
      </c>
      <c r="I132" s="5">
        <v>7500.0</v>
      </c>
      <c r="J132" s="5">
        <v>6000.0</v>
      </c>
      <c r="K132" s="5">
        <v>6000.0</v>
      </c>
      <c r="L132" s="5">
        <v>6100.0</v>
      </c>
      <c r="M132" s="5">
        <v>6100.0</v>
      </c>
      <c r="N132" s="5">
        <v>1900.0</v>
      </c>
      <c r="O132" s="5">
        <v>2000.0</v>
      </c>
      <c r="P132" s="5">
        <v>2200.0</v>
      </c>
      <c r="Q132" s="5">
        <v>2200.0</v>
      </c>
    </row>
    <row r="133">
      <c r="A133" s="3" t="s">
        <v>157</v>
      </c>
      <c r="B133" s="5" t="str">
        <f t="array" ref="B133">index('Derived Continent Data'!$J$3:$J$220,MATCH(A133,'Derived Continent Data'!$K$3:$K$220,0))</f>
        <v>Africa</v>
      </c>
      <c r="C133" s="5">
        <v>2000.0</v>
      </c>
      <c r="D133" s="5">
        <v>2000.0</v>
      </c>
      <c r="E133" s="5">
        <v>2000.0</v>
      </c>
      <c r="F133" s="5">
        <v>2000.0</v>
      </c>
      <c r="G133" s="5">
        <v>2000.0</v>
      </c>
      <c r="H133" s="5">
        <v>2000.0</v>
      </c>
      <c r="I133" s="5">
        <v>3000.0</v>
      </c>
      <c r="J133" s="5">
        <v>3000.0</v>
      </c>
      <c r="K133" s="5">
        <v>3500.0</v>
      </c>
      <c r="L133" s="5">
        <v>1000.0</v>
      </c>
      <c r="M133" s="5">
        <v>2600.0</v>
      </c>
      <c r="N133" s="5">
        <v>2300.0</v>
      </c>
      <c r="O133" s="3">
        <v>938.0</v>
      </c>
      <c r="P133" s="3">
        <v>998.0</v>
      </c>
      <c r="Q133" s="3">
        <v>675.0</v>
      </c>
    </row>
    <row r="134">
      <c r="A134" s="3" t="s">
        <v>158</v>
      </c>
      <c r="B134" s="5" t="str">
        <f t="array" ref="B134">index('Derived Continent Data'!$J$3:$J$220,MATCH(A134,'Derived Continent Data'!$K$3:$K$220,0))</f>
        <v>South America </v>
      </c>
      <c r="C134" s="5">
        <v>10000.0</v>
      </c>
      <c r="D134" s="5">
        <v>10000.0</v>
      </c>
      <c r="E134" s="5">
        <v>5000.0</v>
      </c>
      <c r="F134" s="5">
        <v>10000.0</v>
      </c>
      <c r="G134" s="5">
        <v>10000.0</v>
      </c>
      <c r="H134" s="5">
        <v>10000.0</v>
      </c>
      <c r="I134" s="5">
        <v>10000.0</v>
      </c>
      <c r="J134" s="5">
        <v>8000.0</v>
      </c>
      <c r="K134" s="5">
        <v>8000.0</v>
      </c>
      <c r="L134" s="5">
        <v>6300.0</v>
      </c>
      <c r="M134" s="5">
        <v>10500.0</v>
      </c>
      <c r="N134" s="5">
        <v>13900.0</v>
      </c>
      <c r="O134" s="5">
        <v>9840.0</v>
      </c>
      <c r="P134" s="5">
        <v>9712.0</v>
      </c>
      <c r="Q134" s="5">
        <v>10707.0</v>
      </c>
    </row>
    <row r="135">
      <c r="A135" s="3" t="s">
        <v>159</v>
      </c>
      <c r="B135" s="5" t="str">
        <f t="array" ref="B135">index('Derived Continent Data'!$J$3:$J$220,MATCH(A135,'Derived Continent Data'!$K$3:$K$220,0))</f>
        <v>Africa</v>
      </c>
      <c r="C135" s="5">
        <v>25000.0</v>
      </c>
      <c r="D135" s="5">
        <v>30000.0</v>
      </c>
      <c r="E135" s="5">
        <v>30000.0</v>
      </c>
      <c r="F135" s="5">
        <v>33000.0</v>
      </c>
      <c r="G135" s="5">
        <v>35000.0</v>
      </c>
      <c r="H135" s="5">
        <v>45000.0</v>
      </c>
      <c r="I135" s="5">
        <v>35000.0</v>
      </c>
      <c r="J135" s="5">
        <v>37000.0</v>
      </c>
      <c r="K135" s="5">
        <v>35000.0</v>
      </c>
      <c r="L135" s="5">
        <v>37100.0</v>
      </c>
      <c r="M135" s="5">
        <v>36100.0</v>
      </c>
      <c r="N135" s="5">
        <v>36400.0</v>
      </c>
      <c r="O135" s="5">
        <v>45886.0</v>
      </c>
      <c r="P135" s="5">
        <v>35343.0</v>
      </c>
      <c r="Q135" s="5">
        <v>34387.0</v>
      </c>
    </row>
    <row r="136">
      <c r="A136" s="3" t="s">
        <v>160</v>
      </c>
      <c r="B136" s="5" t="str">
        <f t="array" ref="B136">index('Derived Continent Data'!$J$3:$J$220,MATCH(A136,'Derived Continent Data'!$K$3:$K$220,0))</f>
        <v>Asia</v>
      </c>
      <c r="C136" s="5">
        <v>3900.0</v>
      </c>
      <c r="D136" s="5">
        <v>4200.0</v>
      </c>
      <c r="E136" s="5">
        <v>4300.0</v>
      </c>
      <c r="F136" s="5">
        <v>4500.0</v>
      </c>
      <c r="G136" s="5">
        <v>4500.0</v>
      </c>
      <c r="H136" s="5">
        <v>4500.0</v>
      </c>
      <c r="I136" s="5">
        <v>5000.0</v>
      </c>
      <c r="J136" s="5">
        <v>4500.0</v>
      </c>
      <c r="K136" s="5">
        <v>4500.0</v>
      </c>
      <c r="L136" s="5">
        <v>4600.0</v>
      </c>
      <c r="M136" s="5">
        <v>4600.0</v>
      </c>
      <c r="N136" s="5">
        <v>4500.0</v>
      </c>
      <c r="O136" s="5">
        <v>4800.0</v>
      </c>
      <c r="P136" s="5">
        <v>5100.0</v>
      </c>
      <c r="Q136" s="5">
        <v>5225.0</v>
      </c>
    </row>
    <row r="137">
      <c r="A137" s="3" t="s">
        <v>161</v>
      </c>
      <c r="B137" s="5" t="str">
        <f t="array" ref="B137">index('Derived Continent Data'!$J$3:$J$220,MATCH(A137,'Derived Continent Data'!$K$3:$K$220,0))</f>
        <v>Africa</v>
      </c>
      <c r="C137" s="5">
        <v>3000.0</v>
      </c>
      <c r="D137" s="5">
        <v>3500.0</v>
      </c>
      <c r="E137" s="5">
        <v>3000.0</v>
      </c>
      <c r="F137" s="5">
        <v>3000.0</v>
      </c>
      <c r="G137" s="5">
        <v>3000.0</v>
      </c>
      <c r="H137" s="5">
        <v>3000.0</v>
      </c>
      <c r="I137" s="5">
        <v>3000.0</v>
      </c>
      <c r="J137" s="5">
        <v>3000.0</v>
      </c>
      <c r="K137" s="5">
        <v>3000.0</v>
      </c>
      <c r="L137" s="5">
        <v>3000.0</v>
      </c>
      <c r="M137" s="5">
        <v>2200.0</v>
      </c>
      <c r="N137" s="5">
        <v>2900.0</v>
      </c>
      <c r="O137" s="3">
        <v>721.0</v>
      </c>
      <c r="P137" s="3">
        <v>770.0</v>
      </c>
      <c r="Q137" s="3">
        <v>832.0</v>
      </c>
    </row>
    <row r="138">
      <c r="A138" s="3" t="s">
        <v>162</v>
      </c>
      <c r="B138" s="5" t="str">
        <f t="array" ref="B138">index('Derived Continent Data'!$J$3:$J$220,MATCH(A138,'Derived Continent Data'!$K$3:$K$220,0))</f>
        <v>South America </v>
      </c>
      <c r="C138" s="5">
        <v>10000.0</v>
      </c>
      <c r="D138" s="5">
        <v>10000.0</v>
      </c>
      <c r="E138" s="5">
        <v>12000.0</v>
      </c>
      <c r="F138" s="5">
        <v>15000.0</v>
      </c>
      <c r="G138" s="5">
        <v>30000.0</v>
      </c>
      <c r="H138" s="5">
        <v>40000.0</v>
      </c>
      <c r="I138" s="5">
        <v>38308.0</v>
      </c>
      <c r="J138" s="5">
        <v>38109.0</v>
      </c>
      <c r="K138" s="5">
        <v>41785.0</v>
      </c>
      <c r="L138" s="5">
        <v>40171.0</v>
      </c>
      <c r="M138" s="5">
        <v>39472.0</v>
      </c>
      <c r="N138" s="5">
        <v>35924.0</v>
      </c>
      <c r="O138" s="5">
        <v>41549.0</v>
      </c>
      <c r="P138" s="5">
        <v>34377.0</v>
      </c>
      <c r="Q138" s="5">
        <v>30063.0</v>
      </c>
    </row>
    <row r="139">
      <c r="A139" s="3" t="s">
        <v>163</v>
      </c>
      <c r="B139" s="5" t="str">
        <f t="array" ref="B139">index('Derived Continent Data'!$J$3:$J$220,MATCH(A139,'Derived Continent Data'!$K$3:$K$220,0))</f>
        <v>South America </v>
      </c>
      <c r="C139" s="5">
        <v>128601.0</v>
      </c>
      <c r="D139" s="5">
        <v>184108.0</v>
      </c>
      <c r="E139" s="5">
        <v>267932.0</v>
      </c>
      <c r="F139" s="5">
        <v>135882.0</v>
      </c>
      <c r="G139" s="5">
        <v>67047.0</v>
      </c>
      <c r="H139" s="5">
        <v>68210.0</v>
      </c>
      <c r="I139" s="5">
        <v>65339.0</v>
      </c>
      <c r="J139" s="5">
        <v>60776.0</v>
      </c>
      <c r="K139" s="5">
        <v>43887.0</v>
      </c>
      <c r="L139" s="5">
        <v>10400.0</v>
      </c>
      <c r="M139" s="5">
        <v>7700.0</v>
      </c>
      <c r="N139" s="5">
        <v>3200.0</v>
      </c>
      <c r="O139" s="5">
        <v>2500.0</v>
      </c>
      <c r="P139" s="5">
        <v>1159.0</v>
      </c>
      <c r="Q139" s="5">
        <v>3000.0</v>
      </c>
    </row>
    <row r="140">
      <c r="A140" s="3" t="s">
        <v>164</v>
      </c>
      <c r="B140" s="5" t="str">
        <f t="array" ref="B140">index('Derived Continent Data'!$J$3:$J$220,MATCH(A140,'Derived Continent Data'!$K$3:$K$220,0))</f>
        <v>Asia</v>
      </c>
      <c r="C140" s="5">
        <v>4000.0</v>
      </c>
      <c r="D140" s="5">
        <v>4700.0</v>
      </c>
      <c r="E140" s="5">
        <v>4800.0</v>
      </c>
      <c r="F140" s="5">
        <v>5000.0</v>
      </c>
      <c r="G140" s="5">
        <v>5000.0</v>
      </c>
      <c r="H140" s="5">
        <v>2000.0</v>
      </c>
      <c r="I140" s="5">
        <v>2000.0</v>
      </c>
      <c r="J140" s="5">
        <v>2000.0</v>
      </c>
      <c r="K140" s="5">
        <v>2000.0</v>
      </c>
      <c r="L140" s="5">
        <v>2500.0</v>
      </c>
      <c r="M140" s="5">
        <v>2300.0</v>
      </c>
      <c r="N140" s="5">
        <v>1100.0</v>
      </c>
      <c r="O140" s="3">
        <v>828.0</v>
      </c>
      <c r="P140" s="3">
        <v>552.0</v>
      </c>
      <c r="Q140" s="3">
        <v>552.0</v>
      </c>
    </row>
    <row r="141">
      <c r="A141" s="3" t="s">
        <v>165</v>
      </c>
      <c r="B141" s="5" t="str">
        <f t="array" ref="B141">index('Derived Continent Data'!$J$3:$J$220,MATCH(A141,'Derived Continent Data'!$K$3:$K$220,0))</f>
        <v>Africa</v>
      </c>
      <c r="C141" s="5">
        <v>2300.0</v>
      </c>
      <c r="D141" s="5">
        <v>2700.0</v>
      </c>
      <c r="E141" s="5">
        <v>2800.0</v>
      </c>
      <c r="F141" s="5">
        <v>2600.0</v>
      </c>
      <c r="G141" s="5">
        <v>3000.0</v>
      </c>
      <c r="H141" s="5">
        <v>2000.0</v>
      </c>
      <c r="I141" s="5">
        <v>2000.0</v>
      </c>
      <c r="J141" s="5">
        <v>2000.0</v>
      </c>
      <c r="K141" s="5">
        <v>2000.0</v>
      </c>
      <c r="L141" s="5">
        <v>2000.0</v>
      </c>
      <c r="M141" s="5">
        <v>1700.0</v>
      </c>
      <c r="N141" s="5">
        <v>2300.0</v>
      </c>
      <c r="O141" s="3">
        <v>848.0</v>
      </c>
      <c r="P141" s="5">
        <v>1118.0</v>
      </c>
      <c r="Q141" s="5">
        <v>1094.0</v>
      </c>
    </row>
    <row r="142">
      <c r="A142" s="3" t="s">
        <v>166</v>
      </c>
      <c r="B142" s="5" t="str">
        <f t="array" ref="B142">index('Derived Continent Data'!$J$3:$J$220,MATCH(A142,'Derived Continent Data'!$K$3:$K$220,0))</f>
        <v>Africa</v>
      </c>
      <c r="C142" s="5">
        <v>7000.0</v>
      </c>
      <c r="D142" s="5">
        <v>6000.0</v>
      </c>
      <c r="E142" s="5">
        <v>3000.0</v>
      </c>
      <c r="F142" s="5">
        <v>3000.0</v>
      </c>
      <c r="G142" s="5">
        <v>3000.0</v>
      </c>
      <c r="H142" s="5">
        <v>2000.0</v>
      </c>
      <c r="I142" s="5">
        <v>3000.0</v>
      </c>
      <c r="J142" s="5">
        <v>3000.0</v>
      </c>
      <c r="K142" s="5">
        <v>3000.0</v>
      </c>
      <c r="L142" s="5">
        <v>4100.0</v>
      </c>
      <c r="M142" s="5">
        <v>1500.0</v>
      </c>
      <c r="N142" s="5">
        <v>1300.0</v>
      </c>
      <c r="O142" s="5">
        <v>1094.0</v>
      </c>
      <c r="P142" s="3">
        <v>906.0</v>
      </c>
      <c r="Q142" s="3">
        <v>532.0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3.63"/>
    <col customWidth="1" min="11" max="11" width="21.5"/>
  </cols>
  <sheetData>
    <row r="1">
      <c r="A1" s="7" t="s">
        <v>167</v>
      </c>
      <c r="J1" s="8" t="s">
        <v>168</v>
      </c>
    </row>
    <row r="2">
      <c r="A2" s="9" t="str">
        <f>IFERROR(__xludf.DUMMYFUNCTION("IMPORTHTML(""https://simple.wikipedia.org/wiki/List_of_countries_by_continents"",""table"",4,""en_us"")"),"")</f>
        <v/>
      </c>
      <c r="B2" s="9" t="str">
        <f>IFERROR(__xludf.DUMMYFUNCTION("""COMPUTED_VALUE"""),"Flag")</f>
        <v>Flag</v>
      </c>
      <c r="C2" s="9" t="str">
        <f>IFERROR(__xludf.DUMMYFUNCTION("""COMPUTED_VALUE"""),"English Name")</f>
        <v>English Name</v>
      </c>
      <c r="D2" s="9" t="str">
        <f>IFERROR(__xludf.DUMMYFUNCTION("""COMPUTED_VALUE"""),"Capital")</f>
        <v>Capital</v>
      </c>
      <c r="E2" s="9" t="str">
        <f>IFERROR(__xludf.DUMMYFUNCTION("""COMPUTED_VALUE"""),"Population 2021 
[7][8]")</f>
        <v>Population 2021 
[7][8]</v>
      </c>
      <c r="F2" s="9" t="str">
        <f>IFERROR(__xludf.DUMMYFUNCTION("""COMPUTED_VALUE"""),"Area[a][b]
[9]")</f>
        <v>Area[a][b]
[9]</v>
      </c>
      <c r="G2" s="9" t="str">
        <f>IFERROR(__xludf.DUMMYFUNCTION("""COMPUTED_VALUE"""),"Currency 
[12]")</f>
        <v>Currency 
[12]</v>
      </c>
      <c r="H2" s="9" t="str">
        <f>IFERROR(__xludf.DUMMYFUNCTION("""COMPUTED_VALUE"""),"Map")</f>
        <v>Map</v>
      </c>
      <c r="J2" s="10" t="s">
        <v>4</v>
      </c>
      <c r="K2" s="10" t="s">
        <v>169</v>
      </c>
    </row>
    <row r="3">
      <c r="A3" s="9">
        <f>IFERROR(__xludf.DUMMYFUNCTION("""COMPUTED_VALUE"""),1.0)</f>
        <v>1</v>
      </c>
      <c r="B3" s="9"/>
      <c r="C3" s="9" t="str">
        <f>IFERROR(__xludf.DUMMYFUNCTION("""COMPUTED_VALUE"""),"Albania[a]")</f>
        <v>Albania[a]</v>
      </c>
      <c r="D3" s="9" t="str">
        <f>IFERROR(__xludf.DUMMYFUNCTION("""COMPUTED_VALUE"""),"Tirana")</f>
        <v>Tirana</v>
      </c>
      <c r="E3" s="11">
        <f>IFERROR(__xludf.DUMMYFUNCTION("""COMPUTED_VALUE"""),2854710.0)</f>
        <v>2854710</v>
      </c>
      <c r="F3" s="9" t="str">
        <f>IFERROR(__xludf.DUMMYFUNCTION("""COMPUTED_VALUE"""),"28,748 km2 (11,100 sq mi)")</f>
        <v>28,748 km2 (11,100 sq mi)</v>
      </c>
      <c r="G3" s="9" t="str">
        <f>IFERROR(__xludf.DUMMYFUNCTION("""COMPUTED_VALUE"""),"Albanian lek")</f>
        <v>Albanian lek</v>
      </c>
      <c r="H3" s="9"/>
      <c r="J3" s="3" t="s">
        <v>136</v>
      </c>
      <c r="K3" s="3" t="s">
        <v>80</v>
      </c>
    </row>
    <row r="4">
      <c r="A4" s="9">
        <f>IFERROR(__xludf.DUMMYFUNCTION("""COMPUTED_VALUE"""),2.0)</f>
        <v>2</v>
      </c>
      <c r="B4" s="9"/>
      <c r="C4" s="9" t="str">
        <f>IFERROR(__xludf.DUMMYFUNCTION("""COMPUTED_VALUE"""),"Andorra")</f>
        <v>Andorra</v>
      </c>
      <c r="D4" s="9" t="str">
        <f>IFERROR(__xludf.DUMMYFUNCTION("""COMPUTED_VALUE"""),"Andorra la Vella")</f>
        <v>Andorra la Vella</v>
      </c>
      <c r="E4" s="11">
        <f>IFERROR(__xludf.DUMMYFUNCTION("""COMPUTED_VALUE"""),79034.0)</f>
        <v>79034</v>
      </c>
      <c r="F4" s="9" t="str">
        <f>IFERROR(__xludf.DUMMYFUNCTION("""COMPUTED_VALUE"""),"468 km2 (181 sq mi)")</f>
        <v>468 km2 (181 sq mi)</v>
      </c>
      <c r="G4" s="9" t="str">
        <f>IFERROR(__xludf.DUMMYFUNCTION("""COMPUTED_VALUE"""),"Euro")</f>
        <v>Euro</v>
      </c>
      <c r="H4" s="9"/>
      <c r="J4" s="3" t="s">
        <v>136</v>
      </c>
      <c r="K4" s="9" t="s">
        <v>170</v>
      </c>
    </row>
    <row r="5">
      <c r="A5" s="9">
        <f>IFERROR(__xludf.DUMMYFUNCTION("""COMPUTED_VALUE"""),3.0)</f>
        <v>3</v>
      </c>
      <c r="B5" s="9"/>
      <c r="C5" s="9" t="str">
        <f>IFERROR(__xludf.DUMMYFUNCTION("""COMPUTED_VALUE"""),"Austria*")</f>
        <v>Austria*</v>
      </c>
      <c r="D5" s="9" t="str">
        <f>IFERROR(__xludf.DUMMYFUNCTION("""COMPUTED_VALUE"""),"Vienna")</f>
        <v>Vienna</v>
      </c>
      <c r="E5" s="11">
        <f>IFERROR(__xludf.DUMMYFUNCTION("""COMPUTED_VALUE"""),8922082.0)</f>
        <v>8922082</v>
      </c>
      <c r="F5" s="9" t="str">
        <f>IFERROR(__xludf.DUMMYFUNCTION("""COMPUTED_VALUE"""),"83,871 km2 (32,383 sq mi)")</f>
        <v>83,871 km2 (32,383 sq mi)</v>
      </c>
      <c r="G5" s="9" t="str">
        <f>IFERROR(__xludf.DUMMYFUNCTION("""COMPUTED_VALUE"""),"Euro")</f>
        <v>Euro</v>
      </c>
      <c r="H5" s="9"/>
      <c r="J5" s="3" t="s">
        <v>136</v>
      </c>
      <c r="K5" s="3" t="s">
        <v>55</v>
      </c>
    </row>
    <row r="6">
      <c r="A6" s="9">
        <f>IFERROR(__xludf.DUMMYFUNCTION("""COMPUTED_VALUE"""),4.0)</f>
        <v>4</v>
      </c>
      <c r="B6" s="9"/>
      <c r="C6" s="9" t="str">
        <f>IFERROR(__xludf.DUMMYFUNCTION("""COMPUTED_VALUE"""),"Belarus")</f>
        <v>Belarus</v>
      </c>
      <c r="D6" s="9" t="str">
        <f>IFERROR(__xludf.DUMMYFUNCTION("""COMPUTED_VALUE"""),"Minsk")</f>
        <v>Minsk</v>
      </c>
      <c r="E6" s="11">
        <f>IFERROR(__xludf.DUMMYFUNCTION("""COMPUTED_VALUE"""),9578167.0)</f>
        <v>9578167</v>
      </c>
      <c r="F6" s="9" t="str">
        <f>IFERROR(__xludf.DUMMYFUNCTION("""COMPUTED_VALUE"""),"207,600 km2 (80,155 sq mi)")</f>
        <v>207,600 km2 (80,155 sq mi)</v>
      </c>
      <c r="G6" s="9" t="str">
        <f>IFERROR(__xludf.DUMMYFUNCTION("""COMPUTED_VALUE"""),"Belarusian rouble")</f>
        <v>Belarusian rouble</v>
      </c>
      <c r="H6" s="9"/>
      <c r="J6" s="3" t="s">
        <v>136</v>
      </c>
      <c r="K6" s="9" t="s">
        <v>88</v>
      </c>
    </row>
    <row r="7">
      <c r="A7" s="9">
        <f>IFERROR(__xludf.DUMMYFUNCTION("""COMPUTED_VALUE"""),5.0)</f>
        <v>5</v>
      </c>
      <c r="B7" s="9"/>
      <c r="C7" s="9" t="str">
        <f>IFERROR(__xludf.DUMMYFUNCTION("""COMPUTED_VALUE"""),"Belgium")</f>
        <v>Belgium</v>
      </c>
      <c r="D7" s="9" t="str">
        <f>IFERROR(__xludf.DUMMYFUNCTION("""COMPUTED_VALUE"""),"Brussels")</f>
        <v>Brussels</v>
      </c>
      <c r="E7" s="11">
        <f>IFERROR(__xludf.DUMMYFUNCTION("""COMPUTED_VALUE"""),1.1611419E7)</f>
        <v>11611419</v>
      </c>
      <c r="F7" s="9" t="str">
        <f>IFERROR(__xludf.DUMMYFUNCTION("""COMPUTED_VALUE"""),"30,528 km2 (11,787 sq mi)")</f>
        <v>30,528 km2 (11,787 sq mi)</v>
      </c>
      <c r="G7" s="9" t="str">
        <f>IFERROR(__xludf.DUMMYFUNCTION("""COMPUTED_VALUE"""),"Euro")</f>
        <v>Euro</v>
      </c>
      <c r="H7" s="9"/>
      <c r="J7" s="3" t="s">
        <v>136</v>
      </c>
      <c r="K7" s="9" t="s">
        <v>43</v>
      </c>
    </row>
    <row r="8">
      <c r="A8" s="9">
        <f>IFERROR(__xludf.DUMMYFUNCTION("""COMPUTED_VALUE"""),6.0)</f>
        <v>6</v>
      </c>
      <c r="B8" s="9"/>
      <c r="C8" s="9" t="str">
        <f>IFERROR(__xludf.DUMMYFUNCTION("""COMPUTED_VALUE"""),"Bosnia and Herzegovina")</f>
        <v>Bosnia and Herzegovina</v>
      </c>
      <c r="D8" s="9" t="str">
        <f>IFERROR(__xludf.DUMMYFUNCTION("""COMPUTED_VALUE"""),"Sarajevo")</f>
        <v>Sarajevo</v>
      </c>
      <c r="E8" s="11">
        <f>IFERROR(__xludf.DUMMYFUNCTION("""COMPUTED_VALUE"""),3270943.0)</f>
        <v>3270943</v>
      </c>
      <c r="F8" s="9" t="str">
        <f>IFERROR(__xludf.DUMMYFUNCTION("""COMPUTED_VALUE"""),"51,197 km2 (19,767 sq mi)")</f>
        <v>51,197 km2 (19,767 sq mi)</v>
      </c>
      <c r="G8" s="9" t="str">
        <f>IFERROR(__xludf.DUMMYFUNCTION("""COMPUTED_VALUE"""),"Bosnia and Herzegovina convertible mark")</f>
        <v>Bosnia and Herzegovina convertible mark</v>
      </c>
      <c r="H8" s="9"/>
      <c r="J8" s="3" t="s">
        <v>136</v>
      </c>
      <c r="K8" s="3" t="s">
        <v>91</v>
      </c>
    </row>
    <row r="9">
      <c r="A9" s="9">
        <f>IFERROR(__xludf.DUMMYFUNCTION("""COMPUTED_VALUE"""),7.0)</f>
        <v>7</v>
      </c>
      <c r="B9" s="9"/>
      <c r="C9" s="9" t="str">
        <f>IFERROR(__xludf.DUMMYFUNCTION("""COMPUTED_VALUE"""),"Bulgaria")</f>
        <v>Bulgaria</v>
      </c>
      <c r="D9" s="9" t="str">
        <f>IFERROR(__xludf.DUMMYFUNCTION("""COMPUTED_VALUE"""),"Sofia")</f>
        <v>Sofia</v>
      </c>
      <c r="E9" s="11">
        <f>IFERROR(__xludf.DUMMYFUNCTION("""COMPUTED_VALUE"""),6885868.0)</f>
        <v>6885868</v>
      </c>
      <c r="F9" s="9" t="str">
        <f>IFERROR(__xludf.DUMMYFUNCTION("""COMPUTED_VALUE"""),"110,879 km2 (42,811 sq mi)")</f>
        <v>110,879 km2 (42,811 sq mi)</v>
      </c>
      <c r="G9" s="9" t="str">
        <f>IFERROR(__xludf.DUMMYFUNCTION("""COMPUTED_VALUE"""),"Bulgarian lev")</f>
        <v>Bulgarian lev</v>
      </c>
      <c r="H9" s="9"/>
      <c r="J9" s="3" t="s">
        <v>136</v>
      </c>
      <c r="K9" s="9" t="s">
        <v>79</v>
      </c>
    </row>
    <row r="10">
      <c r="A10" s="9">
        <f>IFERROR(__xludf.DUMMYFUNCTION("""COMPUTED_VALUE"""),8.0)</f>
        <v>8</v>
      </c>
      <c r="B10" s="9"/>
      <c r="C10" s="9" t="str">
        <f>IFERROR(__xludf.DUMMYFUNCTION("""COMPUTED_VALUE"""),"Croatia")</f>
        <v>Croatia</v>
      </c>
      <c r="D10" s="9" t="str">
        <f>IFERROR(__xludf.DUMMYFUNCTION("""COMPUTED_VALUE"""),"Zagreb")</f>
        <v>Zagreb</v>
      </c>
      <c r="E10" s="11">
        <f>IFERROR(__xludf.DUMMYFUNCTION("""COMPUTED_VALUE"""),4060135.0)</f>
        <v>4060135</v>
      </c>
      <c r="F10" s="9" t="str">
        <f>IFERROR(__xludf.DUMMYFUNCTION("""COMPUTED_VALUE"""),"56,594 km2 (21,851 sq mi)")</f>
        <v>56,594 km2 (21,851 sq mi)</v>
      </c>
      <c r="G10" s="9" t="str">
        <f>IFERROR(__xludf.DUMMYFUNCTION("""COMPUTED_VALUE"""),"Euro")</f>
        <v>Euro</v>
      </c>
      <c r="H10" s="9"/>
      <c r="J10" s="3" t="s">
        <v>136</v>
      </c>
      <c r="K10" s="9" t="s">
        <v>77</v>
      </c>
    </row>
    <row r="11">
      <c r="A11" s="9">
        <f>IFERROR(__xludf.DUMMYFUNCTION("""COMPUTED_VALUE"""),9.0)</f>
        <v>9</v>
      </c>
      <c r="B11" s="9"/>
      <c r="C11" s="9" t="str">
        <f>IFERROR(__xludf.DUMMYFUNCTION("""COMPUTED_VALUE"""),"Czechia")</f>
        <v>Czechia</v>
      </c>
      <c r="D11" s="9" t="str">
        <f>IFERROR(__xludf.DUMMYFUNCTION("""COMPUTED_VALUE"""),"Prague")</f>
        <v>Prague</v>
      </c>
      <c r="E11" s="11">
        <f>IFERROR(__xludf.DUMMYFUNCTION("""COMPUTED_VALUE"""),1.0510751E7)</f>
        <v>10510751</v>
      </c>
      <c r="F11" s="9" t="str">
        <f>IFERROR(__xludf.DUMMYFUNCTION("""COMPUTED_VALUE"""),"78,867 km2 (30,451 sq mi)")</f>
        <v>78,867 km2 (30,451 sq mi)</v>
      </c>
      <c r="G11" s="9" t="str">
        <f>IFERROR(__xludf.DUMMYFUNCTION("""COMPUTED_VALUE"""),"Czech koruna")</f>
        <v>Czech koruna</v>
      </c>
      <c r="H11" s="9"/>
      <c r="J11" s="3" t="s">
        <v>136</v>
      </c>
      <c r="K11" s="9" t="s">
        <v>57</v>
      </c>
    </row>
    <row r="12">
      <c r="A12" s="9">
        <f>IFERROR(__xludf.DUMMYFUNCTION("""COMPUTED_VALUE"""),10.0)</f>
        <v>10</v>
      </c>
      <c r="B12" s="9"/>
      <c r="C12" s="9" t="str">
        <f>IFERROR(__xludf.DUMMYFUNCTION("""COMPUTED_VALUE"""),"Denmark")</f>
        <v>Denmark</v>
      </c>
      <c r="D12" s="9" t="str">
        <f>IFERROR(__xludf.DUMMYFUNCTION("""COMPUTED_VALUE"""),"Copenhagen")</f>
        <v>Copenhagen</v>
      </c>
      <c r="E12" s="11">
        <f>IFERROR(__xludf.DUMMYFUNCTION("""COMPUTED_VALUE"""),5854240.0)</f>
        <v>5854240</v>
      </c>
      <c r="F12" s="9" t="str">
        <f>IFERROR(__xludf.DUMMYFUNCTION("""COMPUTED_VALUE"""),"2,210,573 km2 (853,507 sq mi)")</f>
        <v>2,210,573 km2 (853,507 sq mi)</v>
      </c>
      <c r="G12" s="9" t="str">
        <f>IFERROR(__xludf.DUMMYFUNCTION("""COMPUTED_VALUE"""),"Danish krone")</f>
        <v>Danish krone</v>
      </c>
      <c r="H12" s="9"/>
      <c r="J12" s="3" t="s">
        <v>136</v>
      </c>
      <c r="K12" s="9" t="s">
        <v>63</v>
      </c>
    </row>
    <row r="13">
      <c r="A13" s="9">
        <f>IFERROR(__xludf.DUMMYFUNCTION("""COMPUTED_VALUE"""),11.0)</f>
        <v>11</v>
      </c>
      <c r="B13" s="9"/>
      <c r="C13" s="9" t="str">
        <f>IFERROR(__xludf.DUMMYFUNCTION("""COMPUTED_VALUE"""),"Estonia")</f>
        <v>Estonia</v>
      </c>
      <c r="D13" s="9" t="str">
        <f>IFERROR(__xludf.DUMMYFUNCTION("""COMPUTED_VALUE"""),"Tallinn")</f>
        <v>Tallinn</v>
      </c>
      <c r="E13" s="11">
        <f>IFERROR(__xludf.DUMMYFUNCTION("""COMPUTED_VALUE"""),1328701.0)</f>
        <v>1328701</v>
      </c>
      <c r="F13" s="9" t="str">
        <f>IFERROR(__xludf.DUMMYFUNCTION("""COMPUTED_VALUE"""),"45,228 km2 (17,463 sq mi)")</f>
        <v>45,228 km2 (17,463 sq mi)</v>
      </c>
      <c r="G13" s="9" t="str">
        <f>IFERROR(__xludf.DUMMYFUNCTION("""COMPUTED_VALUE"""),"Euro")</f>
        <v>Euro</v>
      </c>
      <c r="H13" s="9"/>
      <c r="J13" s="3" t="s">
        <v>136</v>
      </c>
      <c r="K13" s="9" t="s">
        <v>105</v>
      </c>
    </row>
    <row r="14">
      <c r="A14" s="9">
        <f>IFERROR(__xludf.DUMMYFUNCTION("""COMPUTED_VALUE"""),12.0)</f>
        <v>12</v>
      </c>
      <c r="B14" s="9"/>
      <c r="C14" s="9" t="str">
        <f>IFERROR(__xludf.DUMMYFUNCTION("""COMPUTED_VALUE"""),"Finland")</f>
        <v>Finland</v>
      </c>
      <c r="D14" s="9" t="str">
        <f>IFERROR(__xludf.DUMMYFUNCTION("""COMPUTED_VALUE"""),"Helsinki")</f>
        <v>Helsinki</v>
      </c>
      <c r="E14" s="11">
        <f>IFERROR(__xludf.DUMMYFUNCTION("""COMPUTED_VALUE"""),5535992.0)</f>
        <v>5535992</v>
      </c>
      <c r="F14" s="9" t="str">
        <f>IFERROR(__xludf.DUMMYFUNCTION("""COMPUTED_VALUE"""),"338,145 km2 (130,559 sq mi)")</f>
        <v>338,145 km2 (130,559 sq mi)</v>
      </c>
      <c r="G14" s="9" t="str">
        <f>IFERROR(__xludf.DUMMYFUNCTION("""COMPUTED_VALUE"""),"Euro")</f>
        <v>Euro</v>
      </c>
      <c r="H14" s="9"/>
      <c r="J14" s="3" t="s">
        <v>136</v>
      </c>
      <c r="K14" s="9" t="s">
        <v>75</v>
      </c>
    </row>
    <row r="15">
      <c r="A15" s="9">
        <f>IFERROR(__xludf.DUMMYFUNCTION("""COMPUTED_VALUE"""),13.0)</f>
        <v>13</v>
      </c>
      <c r="B15" s="9"/>
      <c r="C15" s="9" t="str">
        <f>IFERROR(__xludf.DUMMYFUNCTION("""COMPUTED_VALUE"""),"France")</f>
        <v>France</v>
      </c>
      <c r="D15" s="9" t="str">
        <f>IFERROR(__xludf.DUMMYFUNCTION("""COMPUTED_VALUE"""),"Paris")</f>
        <v>Paris</v>
      </c>
      <c r="E15" s="11">
        <f>IFERROR(__xludf.DUMMYFUNCTION("""COMPUTED_VALUE"""),6.4531444E7)</f>
        <v>64531444</v>
      </c>
      <c r="F15" s="9" t="str">
        <f>IFERROR(__xludf.DUMMYFUNCTION("""COMPUTED_VALUE"""),"643,427 km2 (248,429 sq mi)")</f>
        <v>643,427 km2 (248,429 sq mi)</v>
      </c>
      <c r="G15" s="9" t="str">
        <f>IFERROR(__xludf.DUMMYFUNCTION("""COMPUTED_VALUE"""),"Euro")</f>
        <v>Euro</v>
      </c>
      <c r="H15" s="9"/>
      <c r="J15" s="3" t="s">
        <v>136</v>
      </c>
      <c r="K15" s="9" t="s">
        <v>30</v>
      </c>
    </row>
    <row r="16">
      <c r="A16" s="9">
        <f>IFERROR(__xludf.DUMMYFUNCTION("""COMPUTED_VALUE"""),14.0)</f>
        <v>14</v>
      </c>
      <c r="B16" s="9"/>
      <c r="C16" s="9" t="str">
        <f>IFERROR(__xludf.DUMMYFUNCTION("""COMPUTED_VALUE"""),"Germany")</f>
        <v>Germany</v>
      </c>
      <c r="D16" s="9" t="str">
        <f>IFERROR(__xludf.DUMMYFUNCTION("""COMPUTED_VALUE"""),"Berlin")</f>
        <v>Berlin</v>
      </c>
      <c r="E16" s="11">
        <f>IFERROR(__xludf.DUMMYFUNCTION("""COMPUTED_VALUE"""),8.3408554E7)</f>
        <v>83408554</v>
      </c>
      <c r="F16" s="9" t="str">
        <f>IFERROR(__xludf.DUMMYFUNCTION("""COMPUTED_VALUE"""),"357,022 km2 (137,847 sq mi)")</f>
        <v>357,022 km2 (137,847 sq mi)</v>
      </c>
      <c r="G16" s="9" t="str">
        <f>IFERROR(__xludf.DUMMYFUNCTION("""COMPUTED_VALUE"""),"Euro")</f>
        <v>Euro</v>
      </c>
      <c r="H16" s="9"/>
      <c r="J16" s="3" t="s">
        <v>136</v>
      </c>
      <c r="K16" s="9" t="s">
        <v>27</v>
      </c>
    </row>
    <row r="17">
      <c r="A17" s="9">
        <f>IFERROR(__xludf.DUMMYFUNCTION("""COMPUTED_VALUE"""),15.0)</f>
        <v>15</v>
      </c>
      <c r="B17" s="9"/>
      <c r="C17" s="9" t="str">
        <f>IFERROR(__xludf.DUMMYFUNCTION("""COMPUTED_VALUE"""),"Greece")</f>
        <v>Greece</v>
      </c>
      <c r="D17" s="9" t="str">
        <f>IFERROR(__xludf.DUMMYFUNCTION("""COMPUTED_VALUE"""),"Athens
Greek: Αθήνα(*Athína*)")</f>
        <v>Athens
Greek: Αθήνα(*Athína*)</v>
      </c>
      <c r="E17" s="11">
        <f>IFERROR(__xludf.DUMMYFUNCTION("""COMPUTED_VALUE"""),1.0445365E7)</f>
        <v>10445365</v>
      </c>
      <c r="F17" s="9" t="str">
        <f>IFERROR(__xludf.DUMMYFUNCTION("""COMPUTED_VALUE"""),"131,957 km2 (50,949 sq mi)")</f>
        <v>131,957 km2 (50,949 sq mi)</v>
      </c>
      <c r="G17" s="9" t="str">
        <f>IFERROR(__xludf.DUMMYFUNCTION("""COMPUTED_VALUE"""),"Euro")</f>
        <v>Euro</v>
      </c>
      <c r="H17" s="9"/>
      <c r="J17" s="3" t="s">
        <v>136</v>
      </c>
      <c r="K17" s="9" t="s">
        <v>70</v>
      </c>
    </row>
    <row r="18">
      <c r="A18" s="9">
        <f>IFERROR(__xludf.DUMMYFUNCTION("""COMPUTED_VALUE"""),16.0)</f>
        <v>16</v>
      </c>
      <c r="B18" s="9"/>
      <c r="C18" s="9" t="str">
        <f>IFERROR(__xludf.DUMMYFUNCTION("""COMPUTED_VALUE"""),"Hungary")</f>
        <v>Hungary</v>
      </c>
      <c r="D18" s="9" t="str">
        <f>IFERROR(__xludf.DUMMYFUNCTION("""COMPUTED_VALUE"""),"Budapest")</f>
        <v>Budapest</v>
      </c>
      <c r="E18" s="11">
        <f>IFERROR(__xludf.DUMMYFUNCTION("""COMPUTED_VALUE"""),9709786.0)</f>
        <v>9709786</v>
      </c>
      <c r="F18" s="9" t="str">
        <f>IFERROR(__xludf.DUMMYFUNCTION("""COMPUTED_VALUE"""),"93,028 km2 (35,918 sq mi)")</f>
        <v>93,028 km2 (35,918 sq mi)</v>
      </c>
      <c r="G18" s="9" t="str">
        <f>IFERROR(__xludf.DUMMYFUNCTION("""COMPUTED_VALUE"""),"Hungarian forint")</f>
        <v>Hungarian forint</v>
      </c>
      <c r="H18" s="9"/>
      <c r="J18" s="3" t="s">
        <v>136</v>
      </c>
      <c r="K18" s="9" t="s">
        <v>69</v>
      </c>
    </row>
    <row r="19">
      <c r="A19" s="9">
        <f>IFERROR(__xludf.DUMMYFUNCTION("""COMPUTED_VALUE"""),17.0)</f>
        <v>17</v>
      </c>
      <c r="B19" s="9"/>
      <c r="C19" s="9" t="str">
        <f>IFERROR(__xludf.DUMMYFUNCTION("""COMPUTED_VALUE"""),"Iceland")</f>
        <v>Iceland</v>
      </c>
      <c r="D19" s="9" t="str">
        <f>IFERROR(__xludf.DUMMYFUNCTION("""COMPUTED_VALUE"""),"Reykjavík")</f>
        <v>Reykjavík</v>
      </c>
      <c r="E19" s="11">
        <f>IFERROR(__xludf.DUMMYFUNCTION("""COMPUTED_VALUE"""),370335.0)</f>
        <v>370335</v>
      </c>
      <c r="F19" s="9" t="str">
        <f>IFERROR(__xludf.DUMMYFUNCTION("""COMPUTED_VALUE"""),"103,000 km2 (39,769 sq mi)")</f>
        <v>103,000 km2 (39,769 sq mi)</v>
      </c>
      <c r="G19" s="9" t="str">
        <f>IFERROR(__xludf.DUMMYFUNCTION("""COMPUTED_VALUE"""),"Icelandic króna")</f>
        <v>Icelandic króna</v>
      </c>
      <c r="H19" s="9"/>
      <c r="J19" s="3" t="s">
        <v>136</v>
      </c>
      <c r="K19" s="9" t="s">
        <v>114</v>
      </c>
    </row>
    <row r="20">
      <c r="A20" s="9">
        <f>IFERROR(__xludf.DUMMYFUNCTION("""COMPUTED_VALUE"""),18.0)</f>
        <v>18</v>
      </c>
      <c r="B20" s="9"/>
      <c r="C20" s="9" t="str">
        <f>IFERROR(__xludf.DUMMYFUNCTION("""COMPUTED_VALUE"""),"Ireland")</f>
        <v>Ireland</v>
      </c>
      <c r="D20" s="9" t="str">
        <f>IFERROR(__xludf.DUMMYFUNCTION("""COMPUTED_VALUE"""),"Dublin")</f>
        <v>Dublin</v>
      </c>
      <c r="E20" s="11">
        <f>IFERROR(__xludf.DUMMYFUNCTION("""COMPUTED_VALUE"""),4986526.0)</f>
        <v>4986526</v>
      </c>
      <c r="F20" s="9" t="str">
        <f>IFERROR(__xludf.DUMMYFUNCTION("""COMPUTED_VALUE"""),"70,273 km2 (27,133 sq mi)")</f>
        <v>70,273 km2 (27,133 sq mi)</v>
      </c>
      <c r="G20" s="9" t="str">
        <f>IFERROR(__xludf.DUMMYFUNCTION("""COMPUTED_VALUE"""),"Euro")</f>
        <v>Euro</v>
      </c>
      <c r="H20" s="9"/>
      <c r="J20" s="3" t="s">
        <v>136</v>
      </c>
      <c r="K20" s="9" t="s">
        <v>71</v>
      </c>
    </row>
    <row r="21">
      <c r="A21" s="9">
        <f>IFERROR(__xludf.DUMMYFUNCTION("""COMPUTED_VALUE"""),19.0)</f>
        <v>19</v>
      </c>
      <c r="B21" s="9"/>
      <c r="C21" s="9" t="str">
        <f>IFERROR(__xludf.DUMMYFUNCTION("""COMPUTED_VALUE"""),"Italy")</f>
        <v>Italy</v>
      </c>
      <c r="D21" s="9" t="str">
        <f>IFERROR(__xludf.DUMMYFUNCTION("""COMPUTED_VALUE"""),"Rome")</f>
        <v>Rome</v>
      </c>
      <c r="E21" s="11">
        <f>IFERROR(__xludf.DUMMYFUNCTION("""COMPUTED_VALUE"""),5.9240329E7)</f>
        <v>59240329</v>
      </c>
      <c r="F21" s="9" t="str">
        <f>IFERROR(__xludf.DUMMYFUNCTION("""COMPUTED_VALUE"""),"302,068 km2 (116,629 sq mi)")</f>
        <v>302,068 km2 (116,629 sq mi)</v>
      </c>
      <c r="G21" s="9" t="str">
        <f>IFERROR(__xludf.DUMMYFUNCTION("""COMPUTED_VALUE"""),"Euro")</f>
        <v>Euro</v>
      </c>
      <c r="H21" s="9"/>
      <c r="J21" s="3" t="s">
        <v>136</v>
      </c>
      <c r="K21" s="9" t="s">
        <v>32</v>
      </c>
    </row>
    <row r="22">
      <c r="A22" s="9">
        <f>IFERROR(__xludf.DUMMYFUNCTION("""COMPUTED_VALUE"""),20.0)</f>
        <v>20</v>
      </c>
      <c r="B22" s="9"/>
      <c r="C22" s="9" t="str">
        <f>IFERROR(__xludf.DUMMYFUNCTION("""COMPUTED_VALUE"""),"Kosovo")</f>
        <v>Kosovo</v>
      </c>
      <c r="D22" s="9" t="str">
        <f>IFERROR(__xludf.DUMMYFUNCTION("""COMPUTED_VALUE"""),"Pristina[16]")</f>
        <v>Pristina[16]</v>
      </c>
      <c r="E22" s="9" t="str">
        <f>IFERROR(__xludf.DUMMYFUNCTION("""COMPUTED_VALUE"""),"1,836,529[17]")</f>
        <v>1,836,529[17]</v>
      </c>
      <c r="F22" s="9" t="str">
        <f>IFERROR(__xludf.DUMMYFUNCTION("""COMPUTED_VALUE"""),"10,887 km2 (4,203 sq mi)[18]")</f>
        <v>10,887 km2 (4,203 sq mi)[18]</v>
      </c>
      <c r="G22" s="9" t="str">
        <f>IFERROR(__xludf.DUMMYFUNCTION("""COMPUTED_VALUE"""),"Euro")</f>
        <v>Euro</v>
      </c>
      <c r="H22" s="9"/>
      <c r="J22" s="3" t="s">
        <v>136</v>
      </c>
      <c r="K22" s="9" t="s">
        <v>171</v>
      </c>
    </row>
    <row r="23">
      <c r="A23" s="9">
        <f>IFERROR(__xludf.DUMMYFUNCTION("""COMPUTED_VALUE"""),21.0)</f>
        <v>21</v>
      </c>
      <c r="B23" s="9"/>
      <c r="C23" s="9" t="str">
        <f>IFERROR(__xludf.DUMMYFUNCTION("""COMPUTED_VALUE"""),"Latvia")</f>
        <v>Latvia</v>
      </c>
      <c r="D23" s="9" t="str">
        <f>IFERROR(__xludf.DUMMYFUNCTION("""COMPUTED_VALUE"""),"Riga")</f>
        <v>Riga</v>
      </c>
      <c r="E23" s="11">
        <f>IFERROR(__xludf.DUMMYFUNCTION("""COMPUTED_VALUE"""),1873919.0)</f>
        <v>1873919</v>
      </c>
      <c r="F23" s="9" t="str">
        <f>IFERROR(__xludf.DUMMYFUNCTION("""COMPUTED_VALUE"""),"64,589 km2 (24,938 sq mi)")</f>
        <v>64,589 km2 (24,938 sq mi)</v>
      </c>
      <c r="G23" s="9" t="str">
        <f>IFERROR(__xludf.DUMMYFUNCTION("""COMPUTED_VALUE"""),"Euro")</f>
        <v>Euro</v>
      </c>
      <c r="H23" s="9"/>
      <c r="J23" s="3" t="s">
        <v>136</v>
      </c>
      <c r="K23" s="9" t="s">
        <v>123</v>
      </c>
    </row>
    <row r="24">
      <c r="A24" s="9">
        <f>IFERROR(__xludf.DUMMYFUNCTION("""COMPUTED_VALUE"""),22.0)</f>
        <v>22</v>
      </c>
      <c r="B24" s="9"/>
      <c r="C24" s="9" t="str">
        <f>IFERROR(__xludf.DUMMYFUNCTION("""COMPUTED_VALUE"""),"Liechtenstein")</f>
        <v>Liechtenstein</v>
      </c>
      <c r="D24" s="9" t="str">
        <f>IFERROR(__xludf.DUMMYFUNCTION("""COMPUTED_VALUE"""),"Vaduz")</f>
        <v>Vaduz</v>
      </c>
      <c r="E24" s="11">
        <f>IFERROR(__xludf.DUMMYFUNCTION("""COMPUTED_VALUE"""),39039.0)</f>
        <v>39039</v>
      </c>
      <c r="F24" s="9" t="str">
        <f>IFERROR(__xludf.DUMMYFUNCTION("""COMPUTED_VALUE"""),"160 km2 (62 sq mi)")</f>
        <v>160 km2 (62 sq mi)</v>
      </c>
      <c r="G24" s="9" t="str">
        <f>IFERROR(__xludf.DUMMYFUNCTION("""COMPUTED_VALUE"""),"Liechtenstein franc")</f>
        <v>Liechtenstein franc</v>
      </c>
      <c r="H24" s="9"/>
      <c r="J24" s="3" t="s">
        <v>136</v>
      </c>
      <c r="K24" s="9" t="s">
        <v>172</v>
      </c>
    </row>
    <row r="25">
      <c r="A25" s="9">
        <f>IFERROR(__xludf.DUMMYFUNCTION("""COMPUTED_VALUE"""),23.0)</f>
        <v>23</v>
      </c>
      <c r="B25" s="9"/>
      <c r="C25" s="9" t="str">
        <f>IFERROR(__xludf.DUMMYFUNCTION("""COMPUTED_VALUE"""),"Lithuania")</f>
        <v>Lithuania</v>
      </c>
      <c r="D25" s="9" t="str">
        <f>IFERROR(__xludf.DUMMYFUNCTION("""COMPUTED_VALUE"""),"Vilnius")</f>
        <v>Vilnius</v>
      </c>
      <c r="E25" s="11">
        <f>IFERROR(__xludf.DUMMYFUNCTION("""COMPUTED_VALUE"""),2786651.0)</f>
        <v>2786651</v>
      </c>
      <c r="F25" s="9" t="str">
        <f>IFERROR(__xludf.DUMMYFUNCTION("""COMPUTED_VALUE"""),"65,300 km2 (25,212 sq mi)")</f>
        <v>65,300 km2 (25,212 sq mi)</v>
      </c>
      <c r="G25" s="9" t="str">
        <f>IFERROR(__xludf.DUMMYFUNCTION("""COMPUTED_VALUE"""),"Euro")</f>
        <v>Euro</v>
      </c>
      <c r="H25" s="9"/>
      <c r="J25" s="3" t="s">
        <v>136</v>
      </c>
      <c r="K25" s="9" t="s">
        <v>127</v>
      </c>
    </row>
    <row r="26">
      <c r="A26" s="9">
        <f>IFERROR(__xludf.DUMMYFUNCTION("""COMPUTED_VALUE"""),24.0)</f>
        <v>24</v>
      </c>
      <c r="B26" s="9"/>
      <c r="C26" s="9" t="str">
        <f>IFERROR(__xludf.DUMMYFUNCTION("""COMPUTED_VALUE"""),"Luxembourg")</f>
        <v>Luxembourg</v>
      </c>
      <c r="D26" s="9" t="str">
        <f>IFERROR(__xludf.DUMMYFUNCTION("""COMPUTED_VALUE"""),"Luxembourg")</f>
        <v>Luxembourg</v>
      </c>
      <c r="E26" s="11">
        <f>IFERROR(__xludf.DUMMYFUNCTION("""COMPUTED_VALUE"""),639321.0)</f>
        <v>639321</v>
      </c>
      <c r="F26" s="9" t="str">
        <f>IFERROR(__xludf.DUMMYFUNCTION("""COMPUTED_VALUE"""),"2,586 km2 (998 sq mi)")</f>
        <v>2,586 km2 (998 sq mi)</v>
      </c>
      <c r="G26" s="9" t="str">
        <f>IFERROR(__xludf.DUMMYFUNCTION("""COMPUTED_VALUE"""),"Euro")</f>
        <v>Euro</v>
      </c>
      <c r="H26" s="9"/>
      <c r="J26" s="3" t="s">
        <v>136</v>
      </c>
      <c r="K26" s="9" t="s">
        <v>128</v>
      </c>
    </row>
    <row r="27">
      <c r="A27" s="9">
        <f>IFERROR(__xludf.DUMMYFUNCTION("""COMPUTED_VALUE"""),25.0)</f>
        <v>25</v>
      </c>
      <c r="B27" s="9"/>
      <c r="C27" s="9" t="str">
        <f>IFERROR(__xludf.DUMMYFUNCTION("""COMPUTED_VALUE"""),"Malta")</f>
        <v>Malta</v>
      </c>
      <c r="D27" s="9" t="str">
        <f>IFERROR(__xludf.DUMMYFUNCTION("""COMPUTED_VALUE"""),"Valletta")</f>
        <v>Valletta</v>
      </c>
      <c r="E27" s="11">
        <f>IFERROR(__xludf.DUMMYFUNCTION("""COMPUTED_VALUE"""),526748.0)</f>
        <v>526748</v>
      </c>
      <c r="F27" s="9" t="str">
        <f>IFERROR(__xludf.DUMMYFUNCTION("""COMPUTED_VALUE"""),"316 km2 (122 sq mi)")</f>
        <v>316 km2 (122 sq mi)</v>
      </c>
      <c r="G27" s="9" t="str">
        <f>IFERROR(__xludf.DUMMYFUNCTION("""COMPUTED_VALUE"""),"Euro")</f>
        <v>Euro</v>
      </c>
      <c r="H27" s="9"/>
      <c r="J27" s="3" t="s">
        <v>136</v>
      </c>
      <c r="K27" s="9" t="s">
        <v>131</v>
      </c>
    </row>
    <row r="28">
      <c r="A28" s="9">
        <f>IFERROR(__xludf.DUMMYFUNCTION("""COMPUTED_VALUE"""),26.0)</f>
        <v>26</v>
      </c>
      <c r="B28" s="9"/>
      <c r="C28" s="9" t="str">
        <f>IFERROR(__xludf.DUMMYFUNCTION("""COMPUTED_VALUE"""),"Moldova[a]")</f>
        <v>Moldova[a]</v>
      </c>
      <c r="D28" s="9" t="str">
        <f>IFERROR(__xludf.DUMMYFUNCTION("""COMPUTED_VALUE"""),"Chișinău")</f>
        <v>Chișinău</v>
      </c>
      <c r="E28" s="11">
        <f>IFERROR(__xludf.DUMMYFUNCTION("""COMPUTED_VALUE"""),3061506.0)</f>
        <v>3061506</v>
      </c>
      <c r="F28" s="9" t="str">
        <f>IFERROR(__xludf.DUMMYFUNCTION("""COMPUTED_VALUE"""),"33,851 km2 (13,070 sq mi)")</f>
        <v>33,851 km2 (13,070 sq mi)</v>
      </c>
      <c r="G28" s="9" t="str">
        <f>IFERROR(__xludf.DUMMYFUNCTION("""COMPUTED_VALUE"""),"Moldovan leu")</f>
        <v>Moldovan leu</v>
      </c>
      <c r="H28" s="9"/>
      <c r="J28" s="3" t="s">
        <v>136</v>
      </c>
      <c r="K28" s="3" t="s">
        <v>133</v>
      </c>
    </row>
    <row r="29">
      <c r="A29" s="9">
        <f>IFERROR(__xludf.DUMMYFUNCTION("""COMPUTED_VALUE"""),27.0)</f>
        <v>27</v>
      </c>
      <c r="B29" s="9"/>
      <c r="C29" s="9" t="str">
        <f>IFERROR(__xludf.DUMMYFUNCTION("""COMPUTED_VALUE"""),"Monaco")</f>
        <v>Monaco</v>
      </c>
      <c r="D29" s="9" t="str">
        <f>IFERROR(__xludf.DUMMYFUNCTION("""COMPUTED_VALUE"""),"Monaco")</f>
        <v>Monaco</v>
      </c>
      <c r="E29" s="11">
        <f>IFERROR(__xludf.DUMMYFUNCTION("""COMPUTED_VALUE"""),36686.0)</f>
        <v>36686</v>
      </c>
      <c r="F29" s="9" t="str">
        <f>IFERROR(__xludf.DUMMYFUNCTION("""COMPUTED_VALUE"""),"2 km2 (0.8 sq mi)")</f>
        <v>2 km2 (0.8 sq mi)</v>
      </c>
      <c r="G29" s="9" t="str">
        <f>IFERROR(__xludf.DUMMYFUNCTION("""COMPUTED_VALUE"""),"Euro")</f>
        <v>Euro</v>
      </c>
      <c r="H29" s="9"/>
      <c r="J29" s="3" t="s">
        <v>136</v>
      </c>
      <c r="K29" s="9" t="s">
        <v>173</v>
      </c>
    </row>
    <row r="30">
      <c r="A30" s="9">
        <f>IFERROR(__xludf.DUMMYFUNCTION("""COMPUTED_VALUE"""),28.0)</f>
        <v>28</v>
      </c>
      <c r="B30" s="9"/>
      <c r="C30" s="9" t="str">
        <f>IFERROR(__xludf.DUMMYFUNCTION("""COMPUTED_VALUE"""),"Montenegro")</f>
        <v>Montenegro</v>
      </c>
      <c r="D30" s="9" t="str">
        <f>IFERROR(__xludf.DUMMYFUNCTION("""COMPUTED_VALUE"""),"Podgorica")</f>
        <v>Podgorica</v>
      </c>
      <c r="E30" s="11">
        <f>IFERROR(__xludf.DUMMYFUNCTION("""COMPUTED_VALUE"""),627859.0)</f>
        <v>627859</v>
      </c>
      <c r="F30" s="9" t="str">
        <f>IFERROR(__xludf.DUMMYFUNCTION("""COMPUTED_VALUE"""),"13,812 km2 (5,333 sq mi)")</f>
        <v>13,812 km2 (5,333 sq mi)</v>
      </c>
      <c r="G30" s="9" t="str">
        <f>IFERROR(__xludf.DUMMYFUNCTION("""COMPUTED_VALUE"""),"Euro")</f>
        <v>Euro</v>
      </c>
      <c r="H30" s="9"/>
      <c r="J30" s="3" t="s">
        <v>136</v>
      </c>
      <c r="K30" s="9" t="s">
        <v>174</v>
      </c>
    </row>
    <row r="31">
      <c r="A31" s="9">
        <f>IFERROR(__xludf.DUMMYFUNCTION("""COMPUTED_VALUE"""),29.0)</f>
        <v>29</v>
      </c>
      <c r="B31" s="9"/>
      <c r="C31" s="9" t="str">
        <f>IFERROR(__xludf.DUMMYFUNCTION("""COMPUTED_VALUE"""),"Netherlands")</f>
        <v>Netherlands</v>
      </c>
      <c r="D31" s="9" t="str">
        <f>IFERROR(__xludf.DUMMYFUNCTION("""COMPUTED_VALUE"""),"Amsterdam")</f>
        <v>Amsterdam</v>
      </c>
      <c r="E31" s="11">
        <f>IFERROR(__xludf.DUMMYFUNCTION("""COMPUTED_VALUE"""),1.7501696E7)</f>
        <v>17501696</v>
      </c>
      <c r="F31" s="9" t="str">
        <f>IFERROR(__xludf.DUMMYFUNCTION("""COMPUTED_VALUE"""),"41,543 km2 (16,040 sq mi)")</f>
        <v>41,543 km2 (16,040 sq mi)</v>
      </c>
      <c r="G31" s="9" t="str">
        <f>IFERROR(__xludf.DUMMYFUNCTION("""COMPUTED_VALUE"""),"Euro")</f>
        <v>Euro</v>
      </c>
      <c r="H31" s="9"/>
      <c r="J31" s="3" t="s">
        <v>136</v>
      </c>
      <c r="K31" s="9" t="s">
        <v>46</v>
      </c>
    </row>
    <row r="32">
      <c r="A32" s="9">
        <f>IFERROR(__xludf.DUMMYFUNCTION("""COMPUTED_VALUE"""),30.0)</f>
        <v>30</v>
      </c>
      <c r="B32" s="9"/>
      <c r="C32" s="9" t="str">
        <f>IFERROR(__xludf.DUMMYFUNCTION("""COMPUTED_VALUE"""),"North Macedonia")</f>
        <v>North Macedonia</v>
      </c>
      <c r="D32" s="9" t="str">
        <f>IFERROR(__xludf.DUMMYFUNCTION("""COMPUTED_VALUE"""),"Skopje")</f>
        <v>Skopje</v>
      </c>
      <c r="E32" s="11">
        <f>IFERROR(__xludf.DUMMYFUNCTION("""COMPUTED_VALUE"""),2103330.0)</f>
        <v>2103330</v>
      </c>
      <c r="F32" s="9" t="str">
        <f>IFERROR(__xludf.DUMMYFUNCTION("""COMPUTED_VALUE"""),"25,713 km2 (9,928 sq mi)")</f>
        <v>25,713 km2 (9,928 sq mi)</v>
      </c>
      <c r="G32" s="9" t="str">
        <f>IFERROR(__xludf.DUMMYFUNCTION("""COMPUTED_VALUE"""),"Macedonian denar")</f>
        <v>Macedonian denar</v>
      </c>
      <c r="H32" s="9"/>
      <c r="J32" s="3" t="s">
        <v>136</v>
      </c>
      <c r="K32" s="9" t="s">
        <v>140</v>
      </c>
    </row>
    <row r="33">
      <c r="A33" s="9">
        <f>IFERROR(__xludf.DUMMYFUNCTION("""COMPUTED_VALUE"""),31.0)</f>
        <v>31</v>
      </c>
      <c r="B33" s="9"/>
      <c r="C33" s="9" t="str">
        <f>IFERROR(__xludf.DUMMYFUNCTION("""COMPUTED_VALUE"""),"Norway")</f>
        <v>Norway</v>
      </c>
      <c r="D33" s="9" t="str">
        <f>IFERROR(__xludf.DUMMYFUNCTION("""COMPUTED_VALUE"""),"Oslo")</f>
        <v>Oslo</v>
      </c>
      <c r="E33" s="11">
        <f>IFERROR(__xludf.DUMMYFUNCTION("""COMPUTED_VALUE"""),5403021.0)</f>
        <v>5403021</v>
      </c>
      <c r="F33" s="9" t="str">
        <f>IFERROR(__xludf.DUMMYFUNCTION("""COMPUTED_VALUE"""),"386,324 km2 (149,161 sq mi)")</f>
        <v>386,324 km2 (149,161 sq mi)</v>
      </c>
      <c r="G33" s="9" t="str">
        <f>IFERROR(__xludf.DUMMYFUNCTION("""COMPUTED_VALUE"""),"Norwegian krone")</f>
        <v>Norwegian krone</v>
      </c>
      <c r="H33" s="9"/>
      <c r="J33" s="3" t="s">
        <v>136</v>
      </c>
      <c r="K33" s="9" t="s">
        <v>59</v>
      </c>
    </row>
    <row r="34">
      <c r="A34" s="9">
        <f>IFERROR(__xludf.DUMMYFUNCTION("""COMPUTED_VALUE"""),32.0)</f>
        <v>32</v>
      </c>
      <c r="B34" s="9"/>
      <c r="C34" s="9" t="str">
        <f>IFERROR(__xludf.DUMMYFUNCTION("""COMPUTED_VALUE"""),"Poland")</f>
        <v>Poland</v>
      </c>
      <c r="D34" s="9" t="str">
        <f>IFERROR(__xludf.DUMMYFUNCTION("""COMPUTED_VALUE"""),"Warsaw")</f>
        <v>Warsaw</v>
      </c>
      <c r="E34" s="11">
        <f>IFERROR(__xludf.DUMMYFUNCTION("""COMPUTED_VALUE"""),3.8307726E7)</f>
        <v>38307726</v>
      </c>
      <c r="F34" s="9" t="str">
        <f>IFERROR(__xludf.DUMMYFUNCTION("""COMPUTED_VALUE"""),"312,685 km2 (120,728 sq mi)")</f>
        <v>312,685 km2 (120,728 sq mi)</v>
      </c>
      <c r="G34" s="9" t="str">
        <f>IFERROR(__xludf.DUMMYFUNCTION("""COMPUTED_VALUE"""),"Polish złoty")</f>
        <v>Polish złoty</v>
      </c>
      <c r="H34" s="9"/>
      <c r="J34" s="3" t="s">
        <v>136</v>
      </c>
      <c r="K34" s="9" t="s">
        <v>41</v>
      </c>
    </row>
    <row r="35">
      <c r="A35" s="9">
        <f>IFERROR(__xludf.DUMMYFUNCTION("""COMPUTED_VALUE"""),33.0)</f>
        <v>33</v>
      </c>
      <c r="B35" s="9"/>
      <c r="C35" s="9" t="str">
        <f>IFERROR(__xludf.DUMMYFUNCTION("""COMPUTED_VALUE"""),"Portugal")</f>
        <v>Portugal</v>
      </c>
      <c r="D35" s="9" t="str">
        <f>IFERROR(__xludf.DUMMYFUNCTION("""COMPUTED_VALUE"""),"Lisbon")</f>
        <v>Lisbon</v>
      </c>
      <c r="E35" s="11">
        <f>IFERROR(__xludf.DUMMYFUNCTION("""COMPUTED_VALUE"""),1.0290103E7)</f>
        <v>10290103</v>
      </c>
      <c r="F35" s="9" t="str">
        <f>IFERROR(__xludf.DUMMYFUNCTION("""COMPUTED_VALUE"""),"92,090 km2 (35,556 sq mi)")</f>
        <v>92,090 km2 (35,556 sq mi)</v>
      </c>
      <c r="G35" s="9" t="str">
        <f>IFERROR(__xludf.DUMMYFUNCTION("""COMPUTED_VALUE"""),"Euro")</f>
        <v>Euro</v>
      </c>
      <c r="H35" s="9"/>
      <c r="J35" s="3" t="s">
        <v>136</v>
      </c>
      <c r="K35" s="9" t="s">
        <v>61</v>
      </c>
    </row>
    <row r="36">
      <c r="A36" s="9">
        <f>IFERROR(__xludf.DUMMYFUNCTION("""COMPUTED_VALUE"""),34.0)</f>
        <v>34</v>
      </c>
      <c r="B36" s="9"/>
      <c r="C36" s="9" t="str">
        <f>IFERROR(__xludf.DUMMYFUNCTION("""COMPUTED_VALUE"""),"Romania")</f>
        <v>Romania</v>
      </c>
      <c r="D36" s="9" t="str">
        <f>IFERROR(__xludf.DUMMYFUNCTION("""COMPUTED_VALUE"""),"Bucharest")</f>
        <v>Bucharest</v>
      </c>
      <c r="E36" s="11">
        <f>IFERROR(__xludf.DUMMYFUNCTION("""COMPUTED_VALUE"""),1.932856E7)</f>
        <v>19328560</v>
      </c>
      <c r="F36" s="9" t="str">
        <f>IFERROR(__xludf.DUMMYFUNCTION("""COMPUTED_VALUE"""),"238,391 km2 (92,043 sq mi)")</f>
        <v>238,391 km2 (92,043 sq mi)</v>
      </c>
      <c r="G36" s="9" t="str">
        <f>IFERROR(__xludf.DUMMYFUNCTION("""COMPUTED_VALUE"""),"Romanian leu")</f>
        <v>Romanian leu</v>
      </c>
      <c r="H36" s="9"/>
      <c r="J36" s="3" t="s">
        <v>136</v>
      </c>
      <c r="K36" s="9" t="s">
        <v>66</v>
      </c>
    </row>
    <row r="37">
      <c r="A37" s="9">
        <f>IFERROR(__xludf.DUMMYFUNCTION("""COMPUTED_VALUE"""),35.0)</f>
        <v>35</v>
      </c>
      <c r="B37" s="9"/>
      <c r="C37" s="9" t="str">
        <f>IFERROR(__xludf.DUMMYFUNCTION("""COMPUTED_VALUE"""),"Russia")</f>
        <v>Russia</v>
      </c>
      <c r="D37" s="9" t="str">
        <f>IFERROR(__xludf.DUMMYFUNCTION("""COMPUTED_VALUE"""),"Moscow")</f>
        <v>Moscow</v>
      </c>
      <c r="E37" s="11">
        <f>IFERROR(__xludf.DUMMYFUNCTION("""COMPUTED_VALUE"""),1.45102755E8)</f>
        <v>145102755</v>
      </c>
      <c r="F37" s="9" t="str">
        <f>IFERROR(__xludf.DUMMYFUNCTION("""COMPUTED_VALUE"""),"17,125,242 km2 (6,612,093 sq mi)")</f>
        <v>17,125,242 km2 (6,612,093 sq mi)</v>
      </c>
      <c r="G37" s="9" t="str">
        <f>IFERROR(__xludf.DUMMYFUNCTION("""COMPUTED_VALUE"""),"Russian rouble")</f>
        <v>Russian rouble</v>
      </c>
      <c r="H37" s="9"/>
      <c r="J37" s="3" t="s">
        <v>136</v>
      </c>
      <c r="K37" s="9" t="s">
        <v>36</v>
      </c>
    </row>
    <row r="38">
      <c r="A38" s="9">
        <f>IFERROR(__xludf.DUMMYFUNCTION("""COMPUTED_VALUE"""),36.0)</f>
        <v>36</v>
      </c>
      <c r="B38" s="9"/>
      <c r="C38" s="9" t="str">
        <f>IFERROR(__xludf.DUMMYFUNCTION("""COMPUTED_VALUE"""),"San Marino")</f>
        <v>San Marino</v>
      </c>
      <c r="D38" s="9" t="str">
        <f>IFERROR(__xludf.DUMMYFUNCTION("""COMPUTED_VALUE"""),"San Marino")</f>
        <v>San Marino</v>
      </c>
      <c r="E38" s="11">
        <f>IFERROR(__xludf.DUMMYFUNCTION("""COMPUTED_VALUE"""),33745.0)</f>
        <v>33745</v>
      </c>
      <c r="F38" s="9" t="str">
        <f>IFERROR(__xludf.DUMMYFUNCTION("""COMPUTED_VALUE"""),"61 km2 (24 sq mi)")</f>
        <v>61 km2 (24 sq mi)</v>
      </c>
      <c r="G38" s="9" t="str">
        <f>IFERROR(__xludf.DUMMYFUNCTION("""COMPUTED_VALUE"""),"Euro")</f>
        <v>Euro</v>
      </c>
      <c r="H38" s="9"/>
      <c r="J38" s="3" t="s">
        <v>136</v>
      </c>
      <c r="K38" s="9" t="s">
        <v>175</v>
      </c>
    </row>
    <row r="39">
      <c r="A39" s="9">
        <f>IFERROR(__xludf.DUMMYFUNCTION("""COMPUTED_VALUE"""),37.0)</f>
        <v>37</v>
      </c>
      <c r="B39" s="9"/>
      <c r="C39" s="9" t="str">
        <f>IFERROR(__xludf.DUMMYFUNCTION("""COMPUTED_VALUE"""),"Serbia[a]")</f>
        <v>Serbia[a]</v>
      </c>
      <c r="D39" s="9" t="str">
        <f>IFERROR(__xludf.DUMMYFUNCTION("""COMPUTED_VALUE"""),"Belgrade")</f>
        <v>Belgrade</v>
      </c>
      <c r="E39" s="11">
        <f>IFERROR(__xludf.DUMMYFUNCTION("""COMPUTED_VALUE"""),7296769.0)</f>
        <v>7296769</v>
      </c>
      <c r="F39" s="9" t="str">
        <f>IFERROR(__xludf.DUMMYFUNCTION("""COMPUTED_VALUE"""),"77,474 km2 (29,913 sq mi)")</f>
        <v>77,474 km2 (29,913 sq mi)</v>
      </c>
      <c r="G39" s="9" t="str">
        <f>IFERROR(__xludf.DUMMYFUNCTION("""COMPUTED_VALUE"""),"Serbian dinar")</f>
        <v>Serbian dinar</v>
      </c>
      <c r="H39" s="9"/>
      <c r="J39" s="3" t="s">
        <v>136</v>
      </c>
      <c r="K39" s="3" t="s">
        <v>150</v>
      </c>
    </row>
    <row r="40">
      <c r="A40" s="9">
        <f>IFERROR(__xludf.DUMMYFUNCTION("""COMPUTED_VALUE"""),38.0)</f>
        <v>38</v>
      </c>
      <c r="B40" s="9"/>
      <c r="C40" s="9" t="str">
        <f>IFERROR(__xludf.DUMMYFUNCTION("""COMPUTED_VALUE"""),"Slovakia")</f>
        <v>Slovakia</v>
      </c>
      <c r="D40" s="9" t="str">
        <f>IFERROR(__xludf.DUMMYFUNCTION("""COMPUTED_VALUE"""),"Bratislava")</f>
        <v>Bratislava</v>
      </c>
      <c r="E40" s="11">
        <f>IFERROR(__xludf.DUMMYFUNCTION("""COMPUTED_VALUE"""),5447622.0)</f>
        <v>5447622</v>
      </c>
      <c r="F40" s="9" t="str">
        <f>IFERROR(__xludf.DUMMYFUNCTION("""COMPUTED_VALUE"""),"49,035 km2 (18,933 sq mi)")</f>
        <v>49,035 km2 (18,933 sq mi)</v>
      </c>
      <c r="G40" s="9" t="str">
        <f>IFERROR(__xludf.DUMMYFUNCTION("""COMPUTED_VALUE"""),"Euro")</f>
        <v>Euro</v>
      </c>
      <c r="H40" s="9"/>
      <c r="J40" s="3" t="s">
        <v>136</v>
      </c>
      <c r="K40" s="9" t="s">
        <v>76</v>
      </c>
    </row>
    <row r="41">
      <c r="A41" s="9">
        <f>IFERROR(__xludf.DUMMYFUNCTION("""COMPUTED_VALUE"""),39.0)</f>
        <v>39</v>
      </c>
      <c r="B41" s="9"/>
      <c r="C41" s="9" t="str">
        <f>IFERROR(__xludf.DUMMYFUNCTION("""COMPUTED_VALUE"""),"Slovenia")</f>
        <v>Slovenia</v>
      </c>
      <c r="D41" s="9" t="str">
        <f>IFERROR(__xludf.DUMMYFUNCTION("""COMPUTED_VALUE"""),"Ljubljana")</f>
        <v>Ljubljana</v>
      </c>
      <c r="E41" s="11">
        <f>IFERROR(__xludf.DUMMYFUNCTION("""COMPUTED_VALUE"""),2119410.0)</f>
        <v>2119410</v>
      </c>
      <c r="F41" s="9" t="str">
        <f>IFERROR(__xludf.DUMMYFUNCTION("""COMPUTED_VALUE"""),"20,273 km2 (7,827 sq mi)")</f>
        <v>20,273 km2 (7,827 sq mi)</v>
      </c>
      <c r="G41" s="9" t="str">
        <f>IFERROR(__xludf.DUMMYFUNCTION("""COMPUTED_VALUE"""),"Euro")</f>
        <v>Euro</v>
      </c>
      <c r="H41" s="9"/>
      <c r="J41" s="3" t="s">
        <v>136</v>
      </c>
      <c r="K41" s="9" t="s">
        <v>152</v>
      </c>
    </row>
    <row r="42">
      <c r="A42" s="9">
        <f>IFERROR(__xludf.DUMMYFUNCTION("""COMPUTED_VALUE"""),40.0)</f>
        <v>40</v>
      </c>
      <c r="B42" s="9"/>
      <c r="C42" s="9" t="str">
        <f>IFERROR(__xludf.DUMMYFUNCTION("""COMPUTED_VALUE"""),"Spain")</f>
        <v>Spain</v>
      </c>
      <c r="D42" s="9" t="str">
        <f>IFERROR(__xludf.DUMMYFUNCTION("""COMPUTED_VALUE"""),"Madrid")</f>
        <v>Madrid</v>
      </c>
      <c r="E42" s="11">
        <f>IFERROR(__xludf.DUMMYFUNCTION("""COMPUTED_VALUE"""),4.7486935E7)</f>
        <v>47486935</v>
      </c>
      <c r="F42" s="9" t="str">
        <f>IFERROR(__xludf.DUMMYFUNCTION("""COMPUTED_VALUE"""),"506,009 km2 (195,371 sq mi)")</f>
        <v>506,009 km2 (195,371 sq mi)</v>
      </c>
      <c r="G42" s="9" t="str">
        <f>IFERROR(__xludf.DUMMYFUNCTION("""COMPUTED_VALUE"""),"Euro")</f>
        <v>Euro</v>
      </c>
      <c r="H42" s="9"/>
      <c r="J42" s="3" t="s">
        <v>136</v>
      </c>
      <c r="K42" s="9" t="s">
        <v>33</v>
      </c>
    </row>
    <row r="43">
      <c r="A43" s="9">
        <f>IFERROR(__xludf.DUMMYFUNCTION("""COMPUTED_VALUE"""),41.0)</f>
        <v>41</v>
      </c>
      <c r="B43" s="9"/>
      <c r="C43" s="9" t="str">
        <f>IFERROR(__xludf.DUMMYFUNCTION("""COMPUTED_VALUE"""),"Sweden")</f>
        <v>Sweden</v>
      </c>
      <c r="D43" s="9" t="str">
        <f>IFERROR(__xludf.DUMMYFUNCTION("""COMPUTED_VALUE"""),"Stockholm")</f>
        <v>Stockholm</v>
      </c>
      <c r="E43" s="11">
        <f>IFERROR(__xludf.DUMMYFUNCTION("""COMPUTED_VALUE"""),1.0467097E7)</f>
        <v>10467097</v>
      </c>
      <c r="F43" s="9" t="str">
        <f>IFERROR(__xludf.DUMMYFUNCTION("""COMPUTED_VALUE"""),"450,295 km2 (173,860 sq mi)")</f>
        <v>450,295 km2 (173,860 sq mi)</v>
      </c>
      <c r="G43" s="9" t="str">
        <f>IFERROR(__xludf.DUMMYFUNCTION("""COMPUTED_VALUE"""),"Swedish krona")</f>
        <v>Swedish krona</v>
      </c>
      <c r="H43" s="9"/>
      <c r="J43" s="3" t="s">
        <v>136</v>
      </c>
      <c r="K43" s="9" t="s">
        <v>48</v>
      </c>
    </row>
    <row r="44">
      <c r="A44" s="9">
        <f>IFERROR(__xludf.DUMMYFUNCTION("""COMPUTED_VALUE"""),42.0)</f>
        <v>42</v>
      </c>
      <c r="B44" s="9"/>
      <c r="C44" s="9" t="str">
        <f>IFERROR(__xludf.DUMMYFUNCTION("""COMPUTED_VALUE"""),"Switzerland")</f>
        <v>Switzerland</v>
      </c>
      <c r="D44" s="9" t="str">
        <f>IFERROR(__xludf.DUMMYFUNCTION("""COMPUTED_VALUE"""),"Bern")</f>
        <v>Bern</v>
      </c>
      <c r="E44" s="11">
        <f>IFERROR(__xludf.DUMMYFUNCTION("""COMPUTED_VALUE"""),8691406.0)</f>
        <v>8691406</v>
      </c>
      <c r="F44" s="9" t="str">
        <f>IFERROR(__xludf.DUMMYFUNCTION("""COMPUTED_VALUE"""),"41,277 km2 (15,937 sq mi)")</f>
        <v>41,277 km2 (15,937 sq mi)</v>
      </c>
      <c r="G44" s="9" t="str">
        <f>IFERROR(__xludf.DUMMYFUNCTION("""COMPUTED_VALUE"""),"Swiss franc")</f>
        <v>Swiss franc</v>
      </c>
      <c r="H44" s="9"/>
      <c r="J44" s="3" t="s">
        <v>136</v>
      </c>
      <c r="K44" s="9" t="s">
        <v>54</v>
      </c>
    </row>
    <row r="45">
      <c r="A45" s="9">
        <f>IFERROR(__xludf.DUMMYFUNCTION("""COMPUTED_VALUE"""),43.0)</f>
        <v>43</v>
      </c>
      <c r="B45" s="9"/>
      <c r="C45" s="9" t="str">
        <f>IFERROR(__xludf.DUMMYFUNCTION("""COMPUTED_VALUE"""),"Ukraine[a]")</f>
        <v>Ukraine[a]</v>
      </c>
      <c r="D45" s="9" t="str">
        <f>IFERROR(__xludf.DUMMYFUNCTION("""COMPUTED_VALUE"""),"Kyiv")</f>
        <v>Kyiv</v>
      </c>
      <c r="E45" s="11">
        <f>IFERROR(__xludf.DUMMYFUNCTION("""COMPUTED_VALUE"""),4.3531422E7)</f>
        <v>43531422</v>
      </c>
      <c r="F45" s="9" t="str">
        <f>IFERROR(__xludf.DUMMYFUNCTION("""COMPUTED_VALUE"""),"576,550 km2 (222,607 sq mi)")</f>
        <v>576,550 km2 (222,607 sq mi)</v>
      </c>
      <c r="G45" s="9" t="str">
        <f>IFERROR(__xludf.DUMMYFUNCTION("""COMPUTED_VALUE"""),"Ukrainian hryvnia")</f>
        <v>Ukrainian hryvnia</v>
      </c>
      <c r="H45" s="9"/>
      <c r="J45" s="3" t="s">
        <v>136</v>
      </c>
      <c r="K45" s="3" t="s">
        <v>78</v>
      </c>
    </row>
    <row r="46">
      <c r="A46" s="9">
        <f>IFERROR(__xludf.DUMMYFUNCTION("""COMPUTED_VALUE"""),44.0)</f>
        <v>44</v>
      </c>
      <c r="B46" s="9"/>
      <c r="C46" s="9" t="str">
        <f>IFERROR(__xludf.DUMMYFUNCTION("""COMPUTED_VALUE"""),"United Kingdom")</f>
        <v>United Kingdom</v>
      </c>
      <c r="D46" s="9" t="str">
        <f>IFERROR(__xludf.DUMMYFUNCTION("""COMPUTED_VALUE"""),"London")</f>
        <v>London</v>
      </c>
      <c r="E46" s="11">
        <f>IFERROR(__xludf.DUMMYFUNCTION("""COMPUTED_VALUE"""),6.7281039E7)</f>
        <v>67281039</v>
      </c>
      <c r="F46" s="9" t="str">
        <f>IFERROR(__xludf.DUMMYFUNCTION("""COMPUTED_VALUE"""),"266,702 km2 (102,974 sq mi)")</f>
        <v>266,702 km2 (102,974 sq mi)</v>
      </c>
      <c r="G46" s="9" t="str">
        <f>IFERROR(__xludf.DUMMYFUNCTION("""COMPUTED_VALUE"""),"Sterling")</f>
        <v>Sterling</v>
      </c>
      <c r="H46" s="9"/>
      <c r="J46" s="3" t="s">
        <v>136</v>
      </c>
      <c r="K46" s="3" t="s">
        <v>28</v>
      </c>
    </row>
    <row r="47">
      <c r="A47" s="9">
        <f>IFERROR(__xludf.DUMMYFUNCTION("""COMPUTED_VALUE"""),45.0)</f>
        <v>45</v>
      </c>
      <c r="B47" s="9"/>
      <c r="C47" s="9" t="str">
        <f>IFERROR(__xludf.DUMMYFUNCTION("""COMPUTED_VALUE"""),"Vatican City")</f>
        <v>Vatican City</v>
      </c>
      <c r="D47" s="9" t="str">
        <f>IFERROR(__xludf.DUMMYFUNCTION("""COMPUTED_VALUE"""),"Vatican City")</f>
        <v>Vatican City</v>
      </c>
      <c r="E47" s="9">
        <f>IFERROR(__xludf.DUMMYFUNCTION("""COMPUTED_VALUE"""),511.0)</f>
        <v>511</v>
      </c>
      <c r="F47" s="9" t="str">
        <f>IFERROR(__xludf.DUMMYFUNCTION("""COMPUTED_VALUE"""),"0.44 km2 (0.17 sq mi)")</f>
        <v>0.44 km2 (0.17 sq mi)</v>
      </c>
      <c r="G47" s="9" t="str">
        <f>IFERROR(__xludf.DUMMYFUNCTION("""COMPUTED_VALUE"""),"Euro")</f>
        <v>Euro</v>
      </c>
      <c r="H47" s="9"/>
      <c r="J47" s="3" t="s">
        <v>136</v>
      </c>
      <c r="K47" s="9" t="s">
        <v>176</v>
      </c>
    </row>
    <row r="51">
      <c r="A51" s="9" t="str">
        <f>IFERROR(__xludf.DUMMYFUNCTION("IMPORTHTML(""https://simple.wikipedia.org/wiki/List_of_countries_by_continents"",""table"",2,""en_us"")"),"")</f>
        <v/>
      </c>
      <c r="B51" s="9" t="str">
        <f>IFERROR(__xludf.DUMMYFUNCTION("""COMPUTED_VALUE"""),"Flag")</f>
        <v>Flag</v>
      </c>
      <c r="C51" s="9" t="str">
        <f>IFERROR(__xludf.DUMMYFUNCTION("""COMPUTED_VALUE"""),"English 
Names [1][2][3][4]")</f>
        <v>English 
Names [1][2][3][4]</v>
      </c>
      <c r="D51" s="9" t="str">
        <f>IFERROR(__xludf.DUMMYFUNCTION("""COMPUTED_VALUE"""),"Capital 
[3][5][6]")</f>
        <v>Capital 
[3][5][6]</v>
      </c>
      <c r="E51" s="9" t="str">
        <f>IFERROR(__xludf.DUMMYFUNCTION("""COMPUTED_VALUE"""),"Population 2021 
[7][8]")</f>
        <v>Population 2021 
[7][8]</v>
      </c>
      <c r="F51" s="9" t="str">
        <f>IFERROR(__xludf.DUMMYFUNCTION("""COMPUTED_VALUE"""),"Area[a][b]
[9]")</f>
        <v>Area[a][b]
[9]</v>
      </c>
      <c r="G51" s="9" t="str">
        <f>IFERROR(__xludf.DUMMYFUNCTION("""COMPUTED_VALUE"""),"Currency 
[3]")</f>
        <v>Currency 
[3]</v>
      </c>
      <c r="H51" s="9" t="str">
        <f>IFERROR(__xludf.DUMMYFUNCTION("""COMPUTED_VALUE"""),"Map")</f>
        <v>Map</v>
      </c>
      <c r="J51" s="10" t="s">
        <v>4</v>
      </c>
      <c r="K51" s="10" t="s">
        <v>169</v>
      </c>
    </row>
    <row r="52">
      <c r="A52" s="9">
        <f>IFERROR(__xludf.DUMMYFUNCTION("""COMPUTED_VALUE"""),1.0)</f>
        <v>1</v>
      </c>
      <c r="B52" s="9"/>
      <c r="C52" s="9" t="str">
        <f>IFERROR(__xludf.DUMMYFUNCTION("""COMPUTED_VALUE"""),"Algeria")</f>
        <v>Algeria</v>
      </c>
      <c r="D52" s="9" t="str">
        <f>IFERROR(__xludf.DUMMYFUNCTION("""COMPUTED_VALUE"""),"Algiers")</f>
        <v>Algiers</v>
      </c>
      <c r="E52" s="11">
        <f>IFERROR(__xludf.DUMMYFUNCTION("""COMPUTED_VALUE"""),4.4177969E7)</f>
        <v>44177969</v>
      </c>
      <c r="F52" s="9" t="str">
        <f>IFERROR(__xludf.DUMMYFUNCTION("""COMPUTED_VALUE"""),"2,381,740 km2 (919,595 sq mi)")</f>
        <v>2,381,740 km2 (919,595 sq mi)</v>
      </c>
      <c r="G52" s="9" t="str">
        <f>IFERROR(__xludf.DUMMYFUNCTION("""COMPUTED_VALUE"""),"Algerian dinar")</f>
        <v>Algerian dinar</v>
      </c>
      <c r="H52" s="9"/>
      <c r="J52" s="3" t="s">
        <v>177</v>
      </c>
      <c r="K52" s="9" t="s">
        <v>81</v>
      </c>
    </row>
    <row r="53">
      <c r="A53" s="9">
        <f>IFERROR(__xludf.DUMMYFUNCTION("""COMPUTED_VALUE"""),2.0)</f>
        <v>2</v>
      </c>
      <c r="B53" s="9"/>
      <c r="C53" s="9" t="str">
        <f>IFERROR(__xludf.DUMMYFUNCTION("""COMPUTED_VALUE"""),"Angola")</f>
        <v>Angola</v>
      </c>
      <c r="D53" s="9" t="str">
        <f>IFERROR(__xludf.DUMMYFUNCTION("""COMPUTED_VALUE"""),"Luanda")</f>
        <v>Luanda</v>
      </c>
      <c r="E53" s="11">
        <f>IFERROR(__xludf.DUMMYFUNCTION("""COMPUTED_VALUE"""),3.4503774E7)</f>
        <v>34503774</v>
      </c>
      <c r="F53" s="9" t="str">
        <f>IFERROR(__xludf.DUMMYFUNCTION("""COMPUTED_VALUE"""),"1,246,700 km2 (481,354 sq mi)")</f>
        <v>1,246,700 km2 (481,354 sq mi)</v>
      </c>
      <c r="G53" s="9" t="str">
        <f>IFERROR(__xludf.DUMMYFUNCTION("""COMPUTED_VALUE"""),"kwanza")</f>
        <v>kwanza</v>
      </c>
      <c r="H53" s="9"/>
      <c r="J53" s="3" t="s">
        <v>177</v>
      </c>
      <c r="K53" s="9" t="s">
        <v>82</v>
      </c>
    </row>
    <row r="54">
      <c r="A54" s="9">
        <f>IFERROR(__xludf.DUMMYFUNCTION("""COMPUTED_VALUE"""),3.0)</f>
        <v>3</v>
      </c>
      <c r="B54" s="9"/>
      <c r="C54" s="9" t="str">
        <f>IFERROR(__xludf.DUMMYFUNCTION("""COMPUTED_VALUE"""),"Benin")</f>
        <v>Benin</v>
      </c>
      <c r="D54" s="9" t="str">
        <f>IFERROR(__xludf.DUMMYFUNCTION("""COMPUTED_VALUE"""),"Porto-Novo")</f>
        <v>Porto-Novo</v>
      </c>
      <c r="E54" s="11">
        <f>IFERROR(__xludf.DUMMYFUNCTION("""COMPUTED_VALUE"""),1.2996895E7)</f>
        <v>12996895</v>
      </c>
      <c r="F54" s="9" t="str">
        <f>IFERROR(__xludf.DUMMYFUNCTION("""COMPUTED_VALUE"""),"112,622 km2 (43,484 sq mi)")</f>
        <v>112,622 km2 (43,484 sq mi)</v>
      </c>
      <c r="G54" s="9" t="str">
        <f>IFERROR(__xludf.DUMMYFUNCTION("""COMPUTED_VALUE"""),"CFA franc")</f>
        <v>CFA franc</v>
      </c>
      <c r="H54" s="9"/>
      <c r="J54" s="3" t="s">
        <v>177</v>
      </c>
      <c r="K54" s="9" t="s">
        <v>178</v>
      </c>
    </row>
    <row r="55">
      <c r="A55" s="9">
        <f>IFERROR(__xludf.DUMMYFUNCTION("""COMPUTED_VALUE"""),4.0)</f>
        <v>4</v>
      </c>
      <c r="B55" s="9"/>
      <c r="C55" s="9" t="str">
        <f>IFERROR(__xludf.DUMMYFUNCTION("""COMPUTED_VALUE"""),"Botswana")</f>
        <v>Botswana</v>
      </c>
      <c r="D55" s="9" t="str">
        <f>IFERROR(__xludf.DUMMYFUNCTION("""COMPUTED_VALUE"""),"Gaborone")</f>
        <v>Gaborone</v>
      </c>
      <c r="E55" s="11">
        <f>IFERROR(__xludf.DUMMYFUNCTION("""COMPUTED_VALUE"""),2588423.0)</f>
        <v>2588423</v>
      </c>
      <c r="F55" s="9" t="str">
        <f>IFERROR(__xludf.DUMMYFUNCTION("""COMPUTED_VALUE"""),"581,726 km2 (224,606 sq mi)")</f>
        <v>581,726 km2 (224,606 sq mi)</v>
      </c>
      <c r="G55" s="9" t="str">
        <f>IFERROR(__xludf.DUMMYFUNCTION("""COMPUTED_VALUE"""),"pula")</f>
        <v>pula</v>
      </c>
      <c r="H55" s="9"/>
      <c r="J55" s="3" t="s">
        <v>177</v>
      </c>
      <c r="K55" s="9" t="s">
        <v>92</v>
      </c>
    </row>
    <row r="56">
      <c r="A56" s="9">
        <f>IFERROR(__xludf.DUMMYFUNCTION("""COMPUTED_VALUE"""),5.0)</f>
        <v>5</v>
      </c>
      <c r="B56" s="9"/>
      <c r="C56" s="9" t="str">
        <f>IFERROR(__xludf.DUMMYFUNCTION("""COMPUTED_VALUE"""),"Burkina Faso")</f>
        <v>Burkina Faso</v>
      </c>
      <c r="D56" s="9" t="str">
        <f>IFERROR(__xludf.DUMMYFUNCTION("""COMPUTED_VALUE"""),"Ouagadougou")</f>
        <v>Ouagadougou</v>
      </c>
      <c r="E56" s="11">
        <f>IFERROR(__xludf.DUMMYFUNCTION("""COMPUTED_VALUE"""),2.2100683E7)</f>
        <v>22100683</v>
      </c>
      <c r="F56" s="9" t="str">
        <f>IFERROR(__xludf.DUMMYFUNCTION("""COMPUTED_VALUE"""),"274,000 km2 (105,792 sq mi)")</f>
        <v>274,000 km2 (105,792 sq mi)</v>
      </c>
      <c r="G56" s="9" t="str">
        <f>IFERROR(__xludf.DUMMYFUNCTION("""COMPUTED_VALUE"""),"CFA franc")</f>
        <v>CFA franc</v>
      </c>
      <c r="H56" s="9"/>
      <c r="J56" s="3" t="s">
        <v>177</v>
      </c>
      <c r="K56" s="9" t="s">
        <v>94</v>
      </c>
    </row>
    <row r="57">
      <c r="A57" s="9">
        <f>IFERROR(__xludf.DUMMYFUNCTION("""COMPUTED_VALUE"""),6.0)</f>
        <v>6</v>
      </c>
      <c r="B57" s="9"/>
      <c r="C57" s="9" t="str">
        <f>IFERROR(__xludf.DUMMYFUNCTION("""COMPUTED_VALUE"""),"Burundi")</f>
        <v>Burundi</v>
      </c>
      <c r="D57" s="9" t="str">
        <f>IFERROR(__xludf.DUMMYFUNCTION("""COMPUTED_VALUE"""),"Gitega")</f>
        <v>Gitega</v>
      </c>
      <c r="E57" s="11">
        <f>IFERROR(__xludf.DUMMYFUNCTION("""COMPUTED_VALUE"""),1.2551213E7)</f>
        <v>12551213</v>
      </c>
      <c r="F57" s="9" t="str">
        <f>IFERROR(__xludf.DUMMYFUNCTION("""COMPUTED_VALUE"""),"27,830 km2 (10,745 sq mi)")</f>
        <v>27,830 km2 (10,745 sq mi)</v>
      </c>
      <c r="G57" s="9" t="str">
        <f>IFERROR(__xludf.DUMMYFUNCTION("""COMPUTED_VALUE"""),"Burundi franc")</f>
        <v>Burundi franc</v>
      </c>
      <c r="H57" s="9"/>
      <c r="J57" s="3" t="s">
        <v>177</v>
      </c>
      <c r="K57" s="9" t="s">
        <v>96</v>
      </c>
    </row>
    <row r="58">
      <c r="A58" s="9">
        <f>IFERROR(__xludf.DUMMYFUNCTION("""COMPUTED_VALUE"""),7.0)</f>
        <v>7</v>
      </c>
      <c r="B58" s="9"/>
      <c r="C58" s="9" t="str">
        <f>IFERROR(__xludf.DUMMYFUNCTION("""COMPUTED_VALUE"""),"Cameroon")</f>
        <v>Cameroon</v>
      </c>
      <c r="D58" s="9" t="str">
        <f>IFERROR(__xludf.DUMMYFUNCTION("""COMPUTED_VALUE"""),"Yaoundé")</f>
        <v>Yaoundé</v>
      </c>
      <c r="E58" s="11">
        <f>IFERROR(__xludf.DUMMYFUNCTION("""COMPUTED_VALUE"""),2.7198628E7)</f>
        <v>27198628</v>
      </c>
      <c r="F58" s="9" t="str">
        <f>IFERROR(__xludf.DUMMYFUNCTION("""COMPUTED_VALUE"""),"475,442 km2 (183,569 sq mi)")</f>
        <v>475,442 km2 (183,569 sq mi)</v>
      </c>
      <c r="G58" s="9" t="str">
        <f>IFERROR(__xludf.DUMMYFUNCTION("""COMPUTED_VALUE"""),"CFA franc")</f>
        <v>CFA franc</v>
      </c>
      <c r="H58" s="9"/>
      <c r="J58" s="3" t="s">
        <v>177</v>
      </c>
      <c r="K58" s="9" t="s">
        <v>98</v>
      </c>
    </row>
    <row r="59">
      <c r="A59" s="9">
        <f>IFERROR(__xludf.DUMMYFUNCTION("""COMPUTED_VALUE"""),8.0)</f>
        <v>8</v>
      </c>
      <c r="B59" s="9"/>
      <c r="C59" s="9" t="str">
        <f>IFERROR(__xludf.DUMMYFUNCTION("""COMPUTED_VALUE"""),"Cape Verde")</f>
        <v>Cape Verde</v>
      </c>
      <c r="D59" s="9" t="str">
        <f>IFERROR(__xludf.DUMMYFUNCTION("""COMPUTED_VALUE"""),"Praia")</f>
        <v>Praia</v>
      </c>
      <c r="E59" s="11">
        <f>IFERROR(__xludf.DUMMYFUNCTION("""COMPUTED_VALUE"""),587925.0)</f>
        <v>587925</v>
      </c>
      <c r="F59" s="9" t="str">
        <f>IFERROR(__xludf.DUMMYFUNCTION("""COMPUTED_VALUE"""),"4,033 km2 (1,557 sq mi)")</f>
        <v>4,033 km2 (1,557 sq mi)</v>
      </c>
      <c r="G59" s="9" t="str">
        <f>IFERROR(__xludf.DUMMYFUNCTION("""COMPUTED_VALUE"""),"Cape Verdean escudo")</f>
        <v>Cape Verdean escudo</v>
      </c>
      <c r="H59" s="9"/>
      <c r="J59" s="3" t="s">
        <v>177</v>
      </c>
      <c r="K59" s="9" t="s">
        <v>179</v>
      </c>
    </row>
    <row r="60">
      <c r="A60" s="9">
        <f>IFERROR(__xludf.DUMMYFUNCTION("""COMPUTED_VALUE"""),9.0)</f>
        <v>9</v>
      </c>
      <c r="B60" s="9"/>
      <c r="C60" s="9" t="str">
        <f>IFERROR(__xludf.DUMMYFUNCTION("""COMPUTED_VALUE"""),"Central African Republic")</f>
        <v>Central African Republic</v>
      </c>
      <c r="D60" s="9" t="str">
        <f>IFERROR(__xludf.DUMMYFUNCTION("""COMPUTED_VALUE"""),"Bangui")</f>
        <v>Bangui</v>
      </c>
      <c r="E60" s="11">
        <f>IFERROR(__xludf.DUMMYFUNCTION("""COMPUTED_VALUE"""),5457154.0)</f>
        <v>5457154</v>
      </c>
      <c r="F60" s="9" t="str">
        <f>IFERROR(__xludf.DUMMYFUNCTION("""COMPUTED_VALUE"""),"622,984 km2 (240,535 sq mi)")</f>
        <v>622,984 km2 (240,535 sq mi)</v>
      </c>
      <c r="G60" s="9" t="str">
        <f>IFERROR(__xludf.DUMMYFUNCTION("""COMPUTED_VALUE"""),"CFA franc")</f>
        <v>CFA franc</v>
      </c>
      <c r="H60" s="9"/>
      <c r="J60" s="3" t="s">
        <v>177</v>
      </c>
      <c r="K60" s="9" t="s">
        <v>180</v>
      </c>
    </row>
    <row r="61">
      <c r="A61" s="9">
        <f>IFERROR(__xludf.DUMMYFUNCTION("""COMPUTED_VALUE"""),10.0)</f>
        <v>10</v>
      </c>
      <c r="B61" s="9"/>
      <c r="C61" s="9" t="str">
        <f>IFERROR(__xludf.DUMMYFUNCTION("""COMPUTED_VALUE"""),"Chad")</f>
        <v>Chad</v>
      </c>
      <c r="D61" s="9" t="str">
        <f>IFERROR(__xludf.DUMMYFUNCTION("""COMPUTED_VALUE"""),"N'Djamena")</f>
        <v>N'Djamena</v>
      </c>
      <c r="E61" s="11">
        <f>IFERROR(__xludf.DUMMYFUNCTION("""COMPUTED_VALUE"""),1.717974E7)</f>
        <v>17179740</v>
      </c>
      <c r="F61" s="9" t="str">
        <f>IFERROR(__xludf.DUMMYFUNCTION("""COMPUTED_VALUE"""),"1,284,000 km2 (495,755 sq mi)")</f>
        <v>1,284,000 km2 (495,755 sq mi)</v>
      </c>
      <c r="G61" s="9" t="str">
        <f>IFERROR(__xludf.DUMMYFUNCTION("""COMPUTED_VALUE"""),"CFA franc")</f>
        <v>CFA franc</v>
      </c>
      <c r="H61" s="9"/>
      <c r="J61" s="3" t="s">
        <v>177</v>
      </c>
      <c r="K61" s="9" t="s">
        <v>181</v>
      </c>
    </row>
    <row r="62">
      <c r="A62" s="9">
        <f>IFERROR(__xludf.DUMMYFUNCTION("""COMPUTED_VALUE"""),11.0)</f>
        <v>11</v>
      </c>
      <c r="B62" s="9"/>
      <c r="C62" s="9" t="str">
        <f>IFERROR(__xludf.DUMMYFUNCTION("""COMPUTED_VALUE"""),"Comoros")</f>
        <v>Comoros</v>
      </c>
      <c r="D62" s="9" t="str">
        <f>IFERROR(__xludf.DUMMYFUNCTION("""COMPUTED_VALUE"""),"Moroni")</f>
        <v>Moroni</v>
      </c>
      <c r="E62" s="11">
        <f>IFERROR(__xludf.DUMMYFUNCTION("""COMPUTED_VALUE"""),821625.0)</f>
        <v>821625</v>
      </c>
      <c r="F62" s="9" t="str">
        <f>IFERROR(__xludf.DUMMYFUNCTION("""COMPUTED_VALUE"""),"2,235 km2 (863 sq mi)")</f>
        <v>2,235 km2 (863 sq mi)</v>
      </c>
      <c r="G62" s="9" t="str">
        <f>IFERROR(__xludf.DUMMYFUNCTION("""COMPUTED_VALUE"""),"Comorian franc")</f>
        <v>Comorian franc</v>
      </c>
      <c r="H62" s="9"/>
      <c r="J62" s="3" t="s">
        <v>177</v>
      </c>
      <c r="K62" s="9" t="s">
        <v>182</v>
      </c>
    </row>
    <row r="63">
      <c r="A63" s="9">
        <f>IFERROR(__xludf.DUMMYFUNCTION("""COMPUTED_VALUE"""),12.0)</f>
        <v>12</v>
      </c>
      <c r="B63" s="9"/>
      <c r="C63" s="9" t="str">
        <f>IFERROR(__xludf.DUMMYFUNCTION("""COMPUTED_VALUE"""),"Democratic Congo[n 1]")</f>
        <v>Democratic Congo[n 1]</v>
      </c>
      <c r="D63" s="9" t="str">
        <f>IFERROR(__xludf.DUMMYFUNCTION("""COMPUTED_VALUE"""),"Kinshasa")</f>
        <v>Kinshasa</v>
      </c>
      <c r="E63" s="11">
        <f>IFERROR(__xludf.DUMMYFUNCTION("""COMPUTED_VALUE"""),9.5894118E7)</f>
        <v>95894118</v>
      </c>
      <c r="F63" s="9" t="str">
        <f>IFERROR(__xludf.DUMMYFUNCTION("""COMPUTED_VALUE"""),"2,344,858 km2 (905,355 sq mi)")</f>
        <v>2,344,858 km2 (905,355 sq mi)</v>
      </c>
      <c r="G63" s="9" t="str">
        <f>IFERROR(__xludf.DUMMYFUNCTION("""COMPUTED_VALUE"""),"Congolese franc")</f>
        <v>Congolese franc</v>
      </c>
      <c r="H63" s="9"/>
      <c r="J63" s="3" t="s">
        <v>177</v>
      </c>
      <c r="K63" s="3" t="s">
        <v>103</v>
      </c>
    </row>
    <row r="64">
      <c r="A64" s="9">
        <f>IFERROR(__xludf.DUMMYFUNCTION("""COMPUTED_VALUE"""),13.0)</f>
        <v>13</v>
      </c>
      <c r="B64" s="9"/>
      <c r="C64" s="9" t="str">
        <f>IFERROR(__xludf.DUMMYFUNCTION("""COMPUTED_VALUE"""),"Congo[n 2]")</f>
        <v>Congo[n 2]</v>
      </c>
      <c r="D64" s="9" t="str">
        <f>IFERROR(__xludf.DUMMYFUNCTION("""COMPUTED_VALUE"""),"Brazzaville")</f>
        <v>Brazzaville</v>
      </c>
      <c r="E64" s="11">
        <f>IFERROR(__xludf.DUMMYFUNCTION("""COMPUTED_VALUE"""),5835806.0)</f>
        <v>5835806</v>
      </c>
      <c r="F64" s="9" t="str">
        <f>IFERROR(__xludf.DUMMYFUNCTION("""COMPUTED_VALUE"""),"342,000 km2 (132,047 sq mi)")</f>
        <v>342,000 km2 (132,047 sq mi)</v>
      </c>
      <c r="G64" s="9" t="str">
        <f>IFERROR(__xludf.DUMMYFUNCTION("""COMPUTED_VALUE"""),"CFA franc")</f>
        <v>CFA franc</v>
      </c>
      <c r="H64" s="9"/>
      <c r="J64" s="3" t="s">
        <v>177</v>
      </c>
      <c r="K64" s="3" t="s">
        <v>148</v>
      </c>
    </row>
    <row r="65">
      <c r="A65" s="9">
        <f>IFERROR(__xludf.DUMMYFUNCTION("""COMPUTED_VALUE"""),14.0)</f>
        <v>14</v>
      </c>
      <c r="B65" s="9"/>
      <c r="C65" s="9" t="str">
        <f>IFERROR(__xludf.DUMMYFUNCTION("""COMPUTED_VALUE"""),"Djibouti")</f>
        <v>Djibouti</v>
      </c>
      <c r="D65" s="9" t="str">
        <f>IFERROR(__xludf.DUMMYFUNCTION("""COMPUTED_VALUE"""),"Djibouti")</f>
        <v>Djibouti</v>
      </c>
      <c r="E65" s="11">
        <f>IFERROR(__xludf.DUMMYFUNCTION("""COMPUTED_VALUE"""),1105557.0)</f>
        <v>1105557</v>
      </c>
      <c r="F65" s="9" t="str">
        <f>IFERROR(__xludf.DUMMYFUNCTION("""COMPUTED_VALUE"""),"23,200 km2 (8,958 sq mi)")</f>
        <v>23,200 km2 (8,958 sq mi)</v>
      </c>
      <c r="G65" s="9" t="str">
        <f>IFERROR(__xludf.DUMMYFUNCTION("""COMPUTED_VALUE"""),"Djibouti franc")</f>
        <v>Djibouti franc</v>
      </c>
      <c r="H65" s="9"/>
      <c r="J65" s="3" t="s">
        <v>177</v>
      </c>
      <c r="K65" s="9" t="s">
        <v>183</v>
      </c>
    </row>
    <row r="66">
      <c r="A66" s="9">
        <f>IFERROR(__xludf.DUMMYFUNCTION("""COMPUTED_VALUE"""),15.0)</f>
        <v>15</v>
      </c>
      <c r="B66" s="9"/>
      <c r="C66" s="9" t="str">
        <f>IFERROR(__xludf.DUMMYFUNCTION("""COMPUTED_VALUE"""),"Egypt")</f>
        <v>Egypt</v>
      </c>
      <c r="D66" s="9" t="str">
        <f>IFERROR(__xludf.DUMMYFUNCTION("""COMPUTED_VALUE"""),"Cairo")</f>
        <v>Cairo</v>
      </c>
      <c r="E66" s="11">
        <f>IFERROR(__xludf.DUMMYFUNCTION("""COMPUTED_VALUE"""),1.09262178E8)</f>
        <v>109262178</v>
      </c>
      <c r="F66" s="9" t="str">
        <f>IFERROR(__xludf.DUMMYFUNCTION("""COMPUTED_VALUE"""),"1,001,449 km2 (386,662 sq mi)")</f>
        <v>1,001,449 km2 (386,662 sq mi)</v>
      </c>
      <c r="G66" s="9" t="str">
        <f>IFERROR(__xludf.DUMMYFUNCTION("""COMPUTED_VALUE"""),"Egyptian pound")</f>
        <v>Egyptian pound</v>
      </c>
      <c r="H66" s="9"/>
      <c r="J66" s="3" t="s">
        <v>177</v>
      </c>
      <c r="K66" s="9" t="s">
        <v>65</v>
      </c>
    </row>
    <row r="67">
      <c r="A67" s="9">
        <f>IFERROR(__xludf.DUMMYFUNCTION("""COMPUTED_VALUE"""),16.0)</f>
        <v>16</v>
      </c>
      <c r="B67" s="9"/>
      <c r="C67" s="9" t="str">
        <f>IFERROR(__xludf.DUMMYFUNCTION("""COMPUTED_VALUE"""),"Equatorial Guinea")</f>
        <v>Equatorial Guinea</v>
      </c>
      <c r="D67" s="9" t="str">
        <f>IFERROR(__xludf.DUMMYFUNCTION("""COMPUTED_VALUE"""),"Malabo[n 3]")</f>
        <v>Malabo[n 3]</v>
      </c>
      <c r="E67" s="11">
        <f>IFERROR(__xludf.DUMMYFUNCTION("""COMPUTED_VALUE"""),1634466.0)</f>
        <v>1634466</v>
      </c>
      <c r="F67" s="9" t="str">
        <f>IFERROR(__xludf.DUMMYFUNCTION("""COMPUTED_VALUE"""),"28,051 km2 (10,831 sq mi)")</f>
        <v>28,051 km2 (10,831 sq mi)</v>
      </c>
      <c r="G67" s="9" t="str">
        <f>IFERROR(__xludf.DUMMYFUNCTION("""COMPUTED_VALUE"""),"CFA franc")</f>
        <v>CFA franc</v>
      </c>
      <c r="H67" s="9"/>
      <c r="J67" s="3" t="s">
        <v>177</v>
      </c>
      <c r="K67" s="9" t="s">
        <v>184</v>
      </c>
    </row>
    <row r="68">
      <c r="A68" s="9">
        <f>IFERROR(__xludf.DUMMYFUNCTION("""COMPUTED_VALUE"""),17.0)</f>
        <v>17</v>
      </c>
      <c r="B68" s="9"/>
      <c r="C68" s="9" t="str">
        <f>IFERROR(__xludf.DUMMYFUNCTION("""COMPUTED_VALUE"""),"Eritrea")</f>
        <v>Eritrea</v>
      </c>
      <c r="D68" s="9" t="str">
        <f>IFERROR(__xludf.DUMMYFUNCTION("""COMPUTED_VALUE"""),"Asmara")</f>
        <v>Asmara</v>
      </c>
      <c r="E68" s="11">
        <f>IFERROR(__xludf.DUMMYFUNCTION("""COMPUTED_VALUE"""),3620312.0)</f>
        <v>3620312</v>
      </c>
      <c r="F68" s="9" t="str">
        <f>IFERROR(__xludf.DUMMYFUNCTION("""COMPUTED_VALUE"""),"117,600 km2 (45,406 sq mi)")</f>
        <v>117,600 km2 (45,406 sq mi)</v>
      </c>
      <c r="G68" s="9" t="str">
        <f>IFERROR(__xludf.DUMMYFUNCTION("""COMPUTED_VALUE"""),"nakfa")</f>
        <v>nakfa</v>
      </c>
      <c r="H68" s="9"/>
      <c r="J68" s="3" t="s">
        <v>177</v>
      </c>
      <c r="K68" s="9" t="s">
        <v>185</v>
      </c>
    </row>
    <row r="69">
      <c r="A69" s="9">
        <f>IFERROR(__xludf.DUMMYFUNCTION("""COMPUTED_VALUE"""),18.0)</f>
        <v>18</v>
      </c>
      <c r="B69" s="9"/>
      <c r="C69" s="9" t="str">
        <f>IFERROR(__xludf.DUMMYFUNCTION("""COMPUTED_VALUE"""),"Eswatini")</f>
        <v>Eswatini</v>
      </c>
      <c r="D69" s="9" t="str">
        <f>IFERROR(__xludf.DUMMYFUNCTION("""COMPUTED_VALUE"""),"Lobamba")</f>
        <v>Lobamba</v>
      </c>
      <c r="E69" s="11">
        <f>IFERROR(__xludf.DUMMYFUNCTION("""COMPUTED_VALUE"""),1192271.0)</f>
        <v>1192271</v>
      </c>
      <c r="F69" s="9" t="str">
        <f>IFERROR(__xludf.DUMMYFUNCTION("""COMPUTED_VALUE"""),"17,364 km2 (6,704 sq mi)")</f>
        <v>17,364 km2 (6,704 sq mi)</v>
      </c>
      <c r="G69" s="9" t="str">
        <f>IFERROR(__xludf.DUMMYFUNCTION("""COMPUTED_VALUE"""),"lilangeni")</f>
        <v>lilangeni</v>
      </c>
      <c r="H69" s="9"/>
      <c r="J69" s="3" t="s">
        <v>177</v>
      </c>
      <c r="K69" s="9" t="s">
        <v>186</v>
      </c>
    </row>
    <row r="70">
      <c r="A70" s="9">
        <f>IFERROR(__xludf.DUMMYFUNCTION("""COMPUTED_VALUE"""),19.0)</f>
        <v>19</v>
      </c>
      <c r="B70" s="9"/>
      <c r="C70" s="9" t="str">
        <f>IFERROR(__xludf.DUMMYFUNCTION("""COMPUTED_VALUE"""),"Ethiopia")</f>
        <v>Ethiopia</v>
      </c>
      <c r="D70" s="9" t="str">
        <f>IFERROR(__xludf.DUMMYFUNCTION("""COMPUTED_VALUE"""),"Addis Ababa")</f>
        <v>Addis Ababa</v>
      </c>
      <c r="E70" s="11">
        <f>IFERROR(__xludf.DUMMYFUNCTION("""COMPUTED_VALUE"""),1.20283026E8)</f>
        <v>120283026</v>
      </c>
      <c r="F70" s="9" t="str">
        <f>IFERROR(__xludf.DUMMYFUNCTION("""COMPUTED_VALUE"""),"1,104,300 km2 (426,373 sq mi)")</f>
        <v>1,104,300 km2 (426,373 sq mi)</v>
      </c>
      <c r="G70" s="9" t="str">
        <f>IFERROR(__xludf.DUMMYFUNCTION("""COMPUTED_VALUE"""),"Ethiopian birr")</f>
        <v>Ethiopian birr</v>
      </c>
      <c r="H70" s="9"/>
      <c r="J70" s="3" t="s">
        <v>177</v>
      </c>
      <c r="K70" s="9" t="s">
        <v>187</v>
      </c>
    </row>
    <row r="71">
      <c r="A71" s="9">
        <f>IFERROR(__xludf.DUMMYFUNCTION("""COMPUTED_VALUE"""),20.0)</f>
        <v>20</v>
      </c>
      <c r="B71" s="9"/>
      <c r="C71" s="9" t="str">
        <f>IFERROR(__xludf.DUMMYFUNCTION("""COMPUTED_VALUE"""),"Gabon")</f>
        <v>Gabon</v>
      </c>
      <c r="D71" s="9" t="str">
        <f>IFERROR(__xludf.DUMMYFUNCTION("""COMPUTED_VALUE"""),"Libreville")</f>
        <v>Libreville</v>
      </c>
      <c r="E71" s="11">
        <f>IFERROR(__xludf.DUMMYFUNCTION("""COMPUTED_VALUE"""),2341179.0)</f>
        <v>2341179</v>
      </c>
      <c r="F71" s="9" t="str">
        <f>IFERROR(__xludf.DUMMYFUNCTION("""COMPUTED_VALUE"""),"267,668 km2 (103,347 sq mi)")</f>
        <v>267,668 km2 (103,347 sq mi)</v>
      </c>
      <c r="G71" s="9" t="str">
        <f>IFERROR(__xludf.DUMMYFUNCTION("""COMPUTED_VALUE"""),"CFA franc")</f>
        <v>CFA franc</v>
      </c>
      <c r="H71" s="9"/>
      <c r="J71" s="3" t="s">
        <v>177</v>
      </c>
      <c r="K71" s="9" t="s">
        <v>106</v>
      </c>
    </row>
    <row r="72">
      <c r="A72" s="9">
        <f>IFERROR(__xludf.DUMMYFUNCTION("""COMPUTED_VALUE"""),21.0)</f>
        <v>21</v>
      </c>
      <c r="B72" s="9"/>
      <c r="C72" s="9" t="str">
        <f>IFERROR(__xludf.DUMMYFUNCTION("""COMPUTED_VALUE"""),"Gambia")</f>
        <v>Gambia</v>
      </c>
      <c r="D72" s="9" t="str">
        <f>IFERROR(__xludf.DUMMYFUNCTION("""COMPUTED_VALUE"""),"Banjul")</f>
        <v>Banjul</v>
      </c>
      <c r="E72" s="11">
        <f>IFERROR(__xludf.DUMMYFUNCTION("""COMPUTED_VALUE"""),2639916.0)</f>
        <v>2639916</v>
      </c>
      <c r="F72" s="9" t="str">
        <f>IFERROR(__xludf.DUMMYFUNCTION("""COMPUTED_VALUE"""),"10,380 km2 (4,008 sq mi)")</f>
        <v>10,380 km2 (4,008 sq mi)</v>
      </c>
      <c r="G72" s="9" t="str">
        <f>IFERROR(__xludf.DUMMYFUNCTION("""COMPUTED_VALUE"""),"dalasi")</f>
        <v>dalasi</v>
      </c>
      <c r="H72" s="9"/>
      <c r="J72" s="3" t="s">
        <v>177</v>
      </c>
      <c r="K72" s="9" t="s">
        <v>188</v>
      </c>
    </row>
    <row r="73">
      <c r="A73" s="9">
        <f>IFERROR(__xludf.DUMMYFUNCTION("""COMPUTED_VALUE"""),22.0)</f>
        <v>22</v>
      </c>
      <c r="B73" s="9"/>
      <c r="C73" s="9" t="str">
        <f>IFERROR(__xludf.DUMMYFUNCTION("""COMPUTED_VALUE"""),"Ghana")</f>
        <v>Ghana</v>
      </c>
      <c r="D73" s="9" t="str">
        <f>IFERROR(__xludf.DUMMYFUNCTION("""COMPUTED_VALUE"""),"Accra")</f>
        <v>Accra</v>
      </c>
      <c r="E73" s="11">
        <f>IFERROR(__xludf.DUMMYFUNCTION("""COMPUTED_VALUE"""),3.2833031E7)</f>
        <v>32833031</v>
      </c>
      <c r="F73" s="9" t="str">
        <f>IFERROR(__xludf.DUMMYFUNCTION("""COMPUTED_VALUE"""),"238,534 km2 (92,098 sq mi)")</f>
        <v>238,534 km2 (92,098 sq mi)</v>
      </c>
      <c r="G73" s="9" t="str">
        <f>IFERROR(__xludf.DUMMYFUNCTION("""COMPUTED_VALUE"""),"Ghana cedi")</f>
        <v>Ghana cedi</v>
      </c>
      <c r="H73" s="9"/>
      <c r="J73" s="3" t="s">
        <v>177</v>
      </c>
      <c r="K73" s="9" t="s">
        <v>108</v>
      </c>
    </row>
    <row r="74">
      <c r="A74" s="9">
        <f>IFERROR(__xludf.DUMMYFUNCTION("""COMPUTED_VALUE"""),23.0)</f>
        <v>23</v>
      </c>
      <c r="B74" s="9"/>
      <c r="C74" s="9" t="str">
        <f>IFERROR(__xludf.DUMMYFUNCTION("""COMPUTED_VALUE"""),"Guinea[n 4]")</f>
        <v>Guinea[n 4]</v>
      </c>
      <c r="D74" s="9" t="str">
        <f>IFERROR(__xludf.DUMMYFUNCTION("""COMPUTED_VALUE"""),"Conakry")</f>
        <v>Conakry</v>
      </c>
      <c r="E74" s="11">
        <f>IFERROR(__xludf.DUMMYFUNCTION("""COMPUTED_VALUE"""),1.3531906E7)</f>
        <v>13531906</v>
      </c>
      <c r="F74" s="9" t="str">
        <f>IFERROR(__xludf.DUMMYFUNCTION("""COMPUTED_VALUE"""),"245,857 km2 (94,926 sq mi)")</f>
        <v>245,857 km2 (94,926 sq mi)</v>
      </c>
      <c r="G74" s="9" t="str">
        <f>IFERROR(__xludf.DUMMYFUNCTION("""COMPUTED_VALUE"""),"Guinean franc")</f>
        <v>Guinean franc</v>
      </c>
      <c r="H74" s="9"/>
      <c r="J74" s="3" t="s">
        <v>177</v>
      </c>
      <c r="K74" s="3" t="s">
        <v>189</v>
      </c>
    </row>
    <row r="75">
      <c r="A75" s="9">
        <f>IFERROR(__xludf.DUMMYFUNCTION("""COMPUTED_VALUE"""),24.0)</f>
        <v>24</v>
      </c>
      <c r="B75" s="9"/>
      <c r="C75" s="9" t="str">
        <f>IFERROR(__xludf.DUMMYFUNCTION("""COMPUTED_VALUE"""),"Guinea-Bissau")</f>
        <v>Guinea-Bissau</v>
      </c>
      <c r="D75" s="9" t="str">
        <f>IFERROR(__xludf.DUMMYFUNCTION("""COMPUTED_VALUE"""),"Bissau")</f>
        <v>Bissau</v>
      </c>
      <c r="E75" s="11">
        <f>IFERROR(__xludf.DUMMYFUNCTION("""COMPUTED_VALUE"""),2060721.0)</f>
        <v>2060721</v>
      </c>
      <c r="F75" s="9" t="str">
        <f>IFERROR(__xludf.DUMMYFUNCTION("""COMPUTED_VALUE"""),"36,125 km2 (13,948 sq mi)")</f>
        <v>36,125 km2 (13,948 sq mi)</v>
      </c>
      <c r="G75" s="9" t="str">
        <f>IFERROR(__xludf.DUMMYFUNCTION("""COMPUTED_VALUE"""),"CFA franc")</f>
        <v>CFA franc</v>
      </c>
      <c r="H75" s="9"/>
      <c r="J75" s="3" t="s">
        <v>177</v>
      </c>
      <c r="K75" s="9" t="s">
        <v>190</v>
      </c>
    </row>
    <row r="76">
      <c r="A76" s="9">
        <f>IFERROR(__xludf.DUMMYFUNCTION("""COMPUTED_VALUE"""),25.0)</f>
        <v>25</v>
      </c>
      <c r="B76" s="9"/>
      <c r="C76" s="9" t="str">
        <f>IFERROR(__xludf.DUMMYFUNCTION("""COMPUTED_VALUE"""),"Côte d'Ivoire")</f>
        <v>Côte d'Ivoire</v>
      </c>
      <c r="D76" s="9" t="str">
        <f>IFERROR(__xludf.DUMMYFUNCTION("""COMPUTED_VALUE"""),"Yamoussoukro")</f>
        <v>Yamoussoukro</v>
      </c>
      <c r="E76" s="11">
        <f>IFERROR(__xludf.DUMMYFUNCTION("""COMPUTED_VALUE"""),2.7478249E7)</f>
        <v>27478249</v>
      </c>
      <c r="F76" s="9" t="str">
        <f>IFERROR(__xludf.DUMMYFUNCTION("""COMPUTED_VALUE"""),"322,460 km2 (124,503 sq mi)")</f>
        <v>322,460 km2 (124,503 sq mi)</v>
      </c>
      <c r="G76" s="9" t="str">
        <f>IFERROR(__xludf.DUMMYFUNCTION("""COMPUTED_VALUE"""),"CFA franc")</f>
        <v>CFA franc</v>
      </c>
      <c r="H76" s="9"/>
      <c r="J76" s="3" t="s">
        <v>177</v>
      </c>
      <c r="K76" s="3" t="s">
        <v>117</v>
      </c>
    </row>
    <row r="77">
      <c r="A77" s="9">
        <f>IFERROR(__xludf.DUMMYFUNCTION("""COMPUTED_VALUE"""),26.0)</f>
        <v>26</v>
      </c>
      <c r="B77" s="9"/>
      <c r="C77" s="9" t="str">
        <f>IFERROR(__xludf.DUMMYFUNCTION("""COMPUTED_VALUE"""),"Kenya")</f>
        <v>Kenya</v>
      </c>
      <c r="D77" s="9" t="str">
        <f>IFERROR(__xludf.DUMMYFUNCTION("""COMPUTED_VALUE"""),"Nairobi")</f>
        <v>Nairobi</v>
      </c>
      <c r="E77" s="11">
        <f>IFERROR(__xludf.DUMMYFUNCTION("""COMPUTED_VALUE"""),5.3005614E7)</f>
        <v>53005614</v>
      </c>
      <c r="F77" s="9" t="str">
        <f>IFERROR(__xludf.DUMMYFUNCTION("""COMPUTED_VALUE"""),"580,367 km2 (224,081 sq mi)")</f>
        <v>580,367 km2 (224,081 sq mi)</v>
      </c>
      <c r="G77" s="9" t="str">
        <f>IFERROR(__xludf.DUMMYFUNCTION("""COMPUTED_VALUE"""),"Kenyan shilling")</f>
        <v>Kenyan shilling</v>
      </c>
      <c r="H77" s="9"/>
      <c r="J77" s="3" t="s">
        <v>177</v>
      </c>
      <c r="K77" s="9" t="s">
        <v>120</v>
      </c>
    </row>
    <row r="78">
      <c r="A78" s="9">
        <f>IFERROR(__xludf.DUMMYFUNCTION("""COMPUTED_VALUE"""),27.0)</f>
        <v>27</v>
      </c>
      <c r="B78" s="9"/>
      <c r="C78" s="9" t="str">
        <f>IFERROR(__xludf.DUMMYFUNCTION("""COMPUTED_VALUE"""),"Lesotho")</f>
        <v>Lesotho</v>
      </c>
      <c r="D78" s="9" t="str">
        <f>IFERROR(__xludf.DUMMYFUNCTION("""COMPUTED_VALUE"""),"Maseru")</f>
        <v>Maseru</v>
      </c>
      <c r="E78" s="11">
        <f>IFERROR(__xludf.DUMMYFUNCTION("""COMPUTED_VALUE"""),2281454.0)</f>
        <v>2281454</v>
      </c>
      <c r="F78" s="9" t="str">
        <f>IFERROR(__xludf.DUMMYFUNCTION("""COMPUTED_VALUE"""),"30,355 km2 (11,720 sq mi)")</f>
        <v>30,355 km2 (11,720 sq mi)</v>
      </c>
      <c r="G78" s="9" t="str">
        <f>IFERROR(__xludf.DUMMYFUNCTION("""COMPUTED_VALUE"""),"loti")</f>
        <v>loti</v>
      </c>
      <c r="H78" s="9"/>
      <c r="J78" s="3" t="s">
        <v>177</v>
      </c>
      <c r="K78" s="9" t="s">
        <v>191</v>
      </c>
    </row>
    <row r="79">
      <c r="A79" s="9">
        <f>IFERROR(__xludf.DUMMYFUNCTION("""COMPUTED_VALUE"""),28.0)</f>
        <v>28</v>
      </c>
      <c r="B79" s="9"/>
      <c r="C79" s="9" t="str">
        <f>IFERROR(__xludf.DUMMYFUNCTION("""COMPUTED_VALUE"""),"Liberia")</f>
        <v>Liberia</v>
      </c>
      <c r="D79" s="9" t="str">
        <f>IFERROR(__xludf.DUMMYFUNCTION("""COMPUTED_VALUE"""),"Monrovia")</f>
        <v>Monrovia</v>
      </c>
      <c r="E79" s="11">
        <f>IFERROR(__xludf.DUMMYFUNCTION("""COMPUTED_VALUE"""),5193416.0)</f>
        <v>5193416</v>
      </c>
      <c r="F79" s="9" t="str">
        <f>IFERROR(__xludf.DUMMYFUNCTION("""COMPUTED_VALUE"""),"111,369 km2 (43,000 sq mi)")</f>
        <v>111,369 km2 (43,000 sq mi)</v>
      </c>
      <c r="G79" s="9" t="str">
        <f>IFERROR(__xludf.DUMMYFUNCTION("""COMPUTED_VALUE"""),"Liberian dollar")</f>
        <v>Liberian dollar</v>
      </c>
      <c r="H79" s="9"/>
      <c r="J79" s="3" t="s">
        <v>177</v>
      </c>
      <c r="K79" s="9" t="s">
        <v>125</v>
      </c>
    </row>
    <row r="80">
      <c r="A80" s="9">
        <f>IFERROR(__xludf.DUMMYFUNCTION("""COMPUTED_VALUE"""),29.0)</f>
        <v>29</v>
      </c>
      <c r="B80" s="9"/>
      <c r="C80" s="9" t="str">
        <f>IFERROR(__xludf.DUMMYFUNCTION("""COMPUTED_VALUE"""),"Libya")</f>
        <v>Libya</v>
      </c>
      <c r="D80" s="9" t="str">
        <f>IFERROR(__xludf.DUMMYFUNCTION("""COMPUTED_VALUE"""),"Tripoli")</f>
        <v>Tripoli</v>
      </c>
      <c r="E80" s="11">
        <f>IFERROR(__xludf.DUMMYFUNCTION("""COMPUTED_VALUE"""),6735277.0)</f>
        <v>6735277</v>
      </c>
      <c r="F80" s="9" t="str">
        <f>IFERROR(__xludf.DUMMYFUNCTION("""COMPUTED_VALUE"""),"1,759,540 km2 (679,362 sq mi)")</f>
        <v>1,759,540 km2 (679,362 sq mi)</v>
      </c>
      <c r="G80" s="9" t="str">
        <f>IFERROR(__xludf.DUMMYFUNCTION("""COMPUTED_VALUE"""),"Libyan dinar")</f>
        <v>Libyan dinar</v>
      </c>
      <c r="H80" s="9"/>
      <c r="J80" s="3" t="s">
        <v>177</v>
      </c>
      <c r="K80" s="9" t="s">
        <v>126</v>
      </c>
    </row>
    <row r="81">
      <c r="A81" s="9">
        <f>IFERROR(__xludf.DUMMYFUNCTION("""COMPUTED_VALUE"""),30.0)</f>
        <v>30</v>
      </c>
      <c r="B81" s="9"/>
      <c r="C81" s="9" t="str">
        <f>IFERROR(__xludf.DUMMYFUNCTION("""COMPUTED_VALUE"""),"Madagascar")</f>
        <v>Madagascar</v>
      </c>
      <c r="D81" s="9" t="str">
        <f>IFERROR(__xludf.DUMMYFUNCTION("""COMPUTED_VALUE"""),"Antananarivo")</f>
        <v>Antananarivo</v>
      </c>
      <c r="E81" s="11">
        <f>IFERROR(__xludf.DUMMYFUNCTION("""COMPUTED_VALUE"""),2.8915653E7)</f>
        <v>28915653</v>
      </c>
      <c r="F81" s="9" t="str">
        <f>IFERROR(__xludf.DUMMYFUNCTION("""COMPUTED_VALUE"""),"587,041 km2 (226,658 sq mi)")</f>
        <v>587,041 km2 (226,658 sq mi)</v>
      </c>
      <c r="G81" s="9" t="str">
        <f>IFERROR(__xludf.DUMMYFUNCTION("""COMPUTED_VALUE"""),"ariary")</f>
        <v>ariary</v>
      </c>
      <c r="H81" s="9"/>
      <c r="J81" s="3" t="s">
        <v>177</v>
      </c>
      <c r="K81" s="9" t="s">
        <v>129</v>
      </c>
    </row>
    <row r="82">
      <c r="A82" s="9">
        <f>IFERROR(__xludf.DUMMYFUNCTION("""COMPUTED_VALUE"""),31.0)</f>
        <v>31</v>
      </c>
      <c r="B82" s="9"/>
      <c r="C82" s="9" t="str">
        <f>IFERROR(__xludf.DUMMYFUNCTION("""COMPUTED_VALUE"""),"Malawi")</f>
        <v>Malawi</v>
      </c>
      <c r="D82" s="9" t="str">
        <f>IFERROR(__xludf.DUMMYFUNCTION("""COMPUTED_VALUE"""),"Lilongwe")</f>
        <v>Lilongwe</v>
      </c>
      <c r="E82" s="11">
        <f>IFERROR(__xludf.DUMMYFUNCTION("""COMPUTED_VALUE"""),1.9889742E7)</f>
        <v>19889742</v>
      </c>
      <c r="F82" s="9" t="str">
        <f>IFERROR(__xludf.DUMMYFUNCTION("""COMPUTED_VALUE"""),"118,484 km2 (45,747 sq mi)")</f>
        <v>118,484 km2 (45,747 sq mi)</v>
      </c>
      <c r="G82" s="9" t="str">
        <f>IFERROR(__xludf.DUMMYFUNCTION("""COMPUTED_VALUE"""),"Malawian kwacha")</f>
        <v>Malawian kwacha</v>
      </c>
      <c r="H82" s="9"/>
      <c r="J82" s="3" t="s">
        <v>177</v>
      </c>
      <c r="K82" s="9" t="s">
        <v>130</v>
      </c>
    </row>
    <row r="83">
      <c r="A83" s="9">
        <f>IFERROR(__xludf.DUMMYFUNCTION("""COMPUTED_VALUE"""),32.0)</f>
        <v>32</v>
      </c>
      <c r="B83" s="9"/>
      <c r="C83" s="9" t="str">
        <f>IFERROR(__xludf.DUMMYFUNCTION("""COMPUTED_VALUE"""),"Mali")</f>
        <v>Mali</v>
      </c>
      <c r="D83" s="9" t="str">
        <f>IFERROR(__xludf.DUMMYFUNCTION("""COMPUTED_VALUE"""),"Bamako")</f>
        <v>Bamako</v>
      </c>
      <c r="E83" s="11">
        <f>IFERROR(__xludf.DUMMYFUNCTION("""COMPUTED_VALUE"""),2.1904983E7)</f>
        <v>21904983</v>
      </c>
      <c r="F83" s="9" t="str">
        <f>IFERROR(__xludf.DUMMYFUNCTION("""COMPUTED_VALUE"""),"1,240,192 km2 (478,841 sq mi)")</f>
        <v>1,240,192 km2 (478,841 sq mi)</v>
      </c>
      <c r="G83" s="9" t="str">
        <f>IFERROR(__xludf.DUMMYFUNCTION("""COMPUTED_VALUE"""),"CFA franc")</f>
        <v>CFA franc</v>
      </c>
      <c r="H83" s="9"/>
      <c r="J83" s="3" t="s">
        <v>177</v>
      </c>
      <c r="K83" s="9" t="s">
        <v>192</v>
      </c>
    </row>
    <row r="84">
      <c r="A84" s="9">
        <f>IFERROR(__xludf.DUMMYFUNCTION("""COMPUTED_VALUE"""),33.0)</f>
        <v>33</v>
      </c>
      <c r="B84" s="9"/>
      <c r="C84" s="9" t="str">
        <f>IFERROR(__xludf.DUMMYFUNCTION("""COMPUTED_VALUE"""),"Mauritania")</f>
        <v>Mauritania</v>
      </c>
      <c r="D84" s="9" t="str">
        <f>IFERROR(__xludf.DUMMYFUNCTION("""COMPUTED_VALUE"""),"Nouakchott")</f>
        <v>Nouakchott</v>
      </c>
      <c r="E84" s="11">
        <f>IFERROR(__xludf.DUMMYFUNCTION("""COMPUTED_VALUE"""),4614974.0)</f>
        <v>4614974</v>
      </c>
      <c r="F84" s="9" t="str">
        <f>IFERROR(__xludf.DUMMYFUNCTION("""COMPUTED_VALUE"""),"1,030,700 km2 (397,955 sq mi)")</f>
        <v>1,030,700 km2 (397,955 sq mi)</v>
      </c>
      <c r="G84" s="9" t="str">
        <f>IFERROR(__xludf.DUMMYFUNCTION("""COMPUTED_VALUE"""),"ouguiya")</f>
        <v>ouguiya</v>
      </c>
      <c r="H84" s="9"/>
      <c r="J84" s="3" t="s">
        <v>177</v>
      </c>
      <c r="K84" s="9" t="s">
        <v>193</v>
      </c>
    </row>
    <row r="85">
      <c r="A85" s="9">
        <f>IFERROR(__xludf.DUMMYFUNCTION("""COMPUTED_VALUE"""),34.0)</f>
        <v>34</v>
      </c>
      <c r="B85" s="9"/>
      <c r="C85" s="9" t="str">
        <f>IFERROR(__xludf.DUMMYFUNCTION("""COMPUTED_VALUE"""),"Mauritius")</f>
        <v>Mauritius</v>
      </c>
      <c r="D85" s="9" t="str">
        <f>IFERROR(__xludf.DUMMYFUNCTION("""COMPUTED_VALUE"""),"Port Louis")</f>
        <v>Port Louis</v>
      </c>
      <c r="E85" s="11">
        <f>IFERROR(__xludf.DUMMYFUNCTION("""COMPUTED_VALUE"""),1298915.0)</f>
        <v>1298915</v>
      </c>
      <c r="F85" s="9" t="str">
        <f>IFERROR(__xludf.DUMMYFUNCTION("""COMPUTED_VALUE"""),"2,040 km2 (788 sq mi)")</f>
        <v>2,040 km2 (788 sq mi)</v>
      </c>
      <c r="G85" s="9" t="str">
        <f>IFERROR(__xludf.DUMMYFUNCTION("""COMPUTED_VALUE"""),"Mauritian rupee")</f>
        <v>Mauritian rupee</v>
      </c>
      <c r="H85" s="9"/>
      <c r="J85" s="3" t="s">
        <v>177</v>
      </c>
      <c r="K85" s="9" t="s">
        <v>132</v>
      </c>
    </row>
    <row r="86">
      <c r="A86" s="9">
        <f>IFERROR(__xludf.DUMMYFUNCTION("""COMPUTED_VALUE"""),35.0)</f>
        <v>35</v>
      </c>
      <c r="B86" s="9"/>
      <c r="C86" s="9" t="str">
        <f>IFERROR(__xludf.DUMMYFUNCTION("""COMPUTED_VALUE"""),"Morocco")</f>
        <v>Morocco</v>
      </c>
      <c r="D86" s="9" t="str">
        <f>IFERROR(__xludf.DUMMYFUNCTION("""COMPUTED_VALUE"""),"Rabat")</f>
        <v>Rabat</v>
      </c>
      <c r="E86" s="11">
        <f>IFERROR(__xludf.DUMMYFUNCTION("""COMPUTED_VALUE"""),3.7076584E7)</f>
        <v>37076584</v>
      </c>
      <c r="F86" s="9" t="str">
        <f>IFERROR(__xludf.DUMMYFUNCTION("""COMPUTED_VALUE"""),"710,850 km2 (274,461 sq mi)")</f>
        <v>710,850 km2 (274,461 sq mi)</v>
      </c>
      <c r="G86" s="9" t="str">
        <f>IFERROR(__xludf.DUMMYFUNCTION("""COMPUTED_VALUE"""),"Moroccan dirham")</f>
        <v>Moroccan dirham</v>
      </c>
      <c r="H86" s="9"/>
      <c r="J86" s="3" t="s">
        <v>177</v>
      </c>
      <c r="K86" s="9" t="s">
        <v>64</v>
      </c>
    </row>
    <row r="87">
      <c r="A87" s="9">
        <f>IFERROR(__xludf.DUMMYFUNCTION("""COMPUTED_VALUE"""),36.0)</f>
        <v>36</v>
      </c>
      <c r="B87" s="9"/>
      <c r="C87" s="9" t="str">
        <f>IFERROR(__xludf.DUMMYFUNCTION("""COMPUTED_VALUE"""),"Mozambique")</f>
        <v>Mozambique</v>
      </c>
      <c r="D87" s="9" t="str">
        <f>IFERROR(__xludf.DUMMYFUNCTION("""COMPUTED_VALUE"""),"Maputo")</f>
        <v>Maputo</v>
      </c>
      <c r="E87" s="11">
        <f>IFERROR(__xludf.DUMMYFUNCTION("""COMPUTED_VALUE"""),3.2077072E7)</f>
        <v>32077072</v>
      </c>
      <c r="F87" s="9" t="str">
        <f>IFERROR(__xludf.DUMMYFUNCTION("""COMPUTED_VALUE"""),"801,590 km2 (309,496 sq mi)")</f>
        <v>801,590 km2 (309,496 sq mi)</v>
      </c>
      <c r="G87" s="9" t="str">
        <f>IFERROR(__xludf.DUMMYFUNCTION("""COMPUTED_VALUE"""),"metical")</f>
        <v>metical</v>
      </c>
      <c r="H87" s="9"/>
      <c r="J87" s="3" t="s">
        <v>177</v>
      </c>
      <c r="K87" s="9" t="s">
        <v>194</v>
      </c>
    </row>
    <row r="88">
      <c r="A88" s="9">
        <f>IFERROR(__xludf.DUMMYFUNCTION("""COMPUTED_VALUE"""),37.0)</f>
        <v>37</v>
      </c>
      <c r="B88" s="9"/>
      <c r="C88" s="9" t="str">
        <f>IFERROR(__xludf.DUMMYFUNCTION("""COMPUTED_VALUE"""),"Namibia")</f>
        <v>Namibia</v>
      </c>
      <c r="D88" s="9" t="str">
        <f>IFERROR(__xludf.DUMMYFUNCTION("""COMPUTED_VALUE"""),"Windhoek")</f>
        <v>Windhoek</v>
      </c>
      <c r="E88" s="11">
        <f>IFERROR(__xludf.DUMMYFUNCTION("""COMPUTED_VALUE"""),2530151.0)</f>
        <v>2530151</v>
      </c>
      <c r="F88" s="9" t="str">
        <f>IFERROR(__xludf.DUMMYFUNCTION("""COMPUTED_VALUE"""),"825,418 km2 (318,696 sq mi)")</f>
        <v>825,418 km2 (318,696 sq mi)</v>
      </c>
      <c r="G88" s="9" t="str">
        <f>IFERROR(__xludf.DUMMYFUNCTION("""COMPUTED_VALUE"""),"Namibian dollar")</f>
        <v>Namibian dollar</v>
      </c>
      <c r="H88" s="9"/>
      <c r="J88" s="3" t="s">
        <v>177</v>
      </c>
      <c r="K88" s="9" t="s">
        <v>195</v>
      </c>
    </row>
    <row r="89">
      <c r="A89" s="9">
        <f>IFERROR(__xludf.DUMMYFUNCTION("""COMPUTED_VALUE"""),38.0)</f>
        <v>38</v>
      </c>
      <c r="B89" s="9"/>
      <c r="C89" s="9" t="str">
        <f>IFERROR(__xludf.DUMMYFUNCTION("""COMPUTED_VALUE"""),"Niger")</f>
        <v>Niger</v>
      </c>
      <c r="D89" s="9" t="str">
        <f>IFERROR(__xludf.DUMMYFUNCTION("""COMPUTED_VALUE"""),"Niamey")</f>
        <v>Niamey</v>
      </c>
      <c r="E89" s="11">
        <f>IFERROR(__xludf.DUMMYFUNCTION("""COMPUTED_VALUE"""),2.5252722E7)</f>
        <v>25252722</v>
      </c>
      <c r="F89" s="9" t="str">
        <f>IFERROR(__xludf.DUMMYFUNCTION("""COMPUTED_VALUE"""),"1,267,000 km2 (489,191 sq mi)")</f>
        <v>1,267,000 km2 (489,191 sq mi)</v>
      </c>
      <c r="G89" s="9" t="str">
        <f>IFERROR(__xludf.DUMMYFUNCTION("""COMPUTED_VALUE"""),"CFA franc")</f>
        <v>CFA franc</v>
      </c>
      <c r="H89" s="9"/>
      <c r="J89" s="3" t="s">
        <v>177</v>
      </c>
      <c r="K89" s="9" t="s">
        <v>196</v>
      </c>
    </row>
    <row r="90">
      <c r="A90" s="9">
        <f>IFERROR(__xludf.DUMMYFUNCTION("""COMPUTED_VALUE"""),39.0)</f>
        <v>39</v>
      </c>
      <c r="B90" s="9"/>
      <c r="C90" s="9" t="str">
        <f>IFERROR(__xludf.DUMMYFUNCTION("""COMPUTED_VALUE"""),"Nigeria")</f>
        <v>Nigeria</v>
      </c>
      <c r="D90" s="9" t="str">
        <f>IFERROR(__xludf.DUMMYFUNCTION("""COMPUTED_VALUE"""),"Abuja")</f>
        <v>Abuja</v>
      </c>
      <c r="E90" s="11">
        <f>IFERROR(__xludf.DUMMYFUNCTION("""COMPUTED_VALUE"""),2.13401323E8)</f>
        <v>213401323</v>
      </c>
      <c r="F90" s="9" t="str">
        <f>IFERROR(__xludf.DUMMYFUNCTION("""COMPUTED_VALUE"""),"923,768 km2 (356,669 sq mi)")</f>
        <v>923,768 km2 (356,669 sq mi)</v>
      </c>
      <c r="G90" s="9" t="str">
        <f>IFERROR(__xludf.DUMMYFUNCTION("""COMPUTED_VALUE"""),"naira")</f>
        <v>naira</v>
      </c>
      <c r="H90" s="9"/>
      <c r="J90" s="3" t="s">
        <v>177</v>
      </c>
      <c r="K90" s="9" t="s">
        <v>139</v>
      </c>
    </row>
    <row r="91">
      <c r="A91" s="9">
        <f>IFERROR(__xludf.DUMMYFUNCTION("""COMPUTED_VALUE"""),40.0)</f>
        <v>40</v>
      </c>
      <c r="B91" s="9"/>
      <c r="C91" s="9" t="str">
        <f>IFERROR(__xludf.DUMMYFUNCTION("""COMPUTED_VALUE"""),"Rwanda")</f>
        <v>Rwanda</v>
      </c>
      <c r="D91" s="9" t="str">
        <f>IFERROR(__xludf.DUMMYFUNCTION("""COMPUTED_VALUE"""),"Kigali")</f>
        <v>Kigali</v>
      </c>
      <c r="E91" s="11">
        <f>IFERROR(__xludf.DUMMYFUNCTION("""COMPUTED_VALUE"""),1.3461888E7)</f>
        <v>13461888</v>
      </c>
      <c r="F91" s="9" t="str">
        <f>IFERROR(__xludf.DUMMYFUNCTION("""COMPUTED_VALUE"""),"26,798 km2 (10,347 sq mi)")</f>
        <v>26,798 km2 (10,347 sq mi)</v>
      </c>
      <c r="G91" s="9" t="str">
        <f>IFERROR(__xludf.DUMMYFUNCTION("""COMPUTED_VALUE"""),"Rwandese franc")</f>
        <v>Rwandese franc</v>
      </c>
      <c r="H91" s="9"/>
      <c r="J91" s="3" t="s">
        <v>177</v>
      </c>
      <c r="K91" s="9" t="s">
        <v>197</v>
      </c>
    </row>
    <row r="92">
      <c r="A92" s="9">
        <f>IFERROR(__xludf.DUMMYFUNCTION("""COMPUTED_VALUE"""),41.0)</f>
        <v>41</v>
      </c>
      <c r="B92" s="9"/>
      <c r="C92" s="9" t="str">
        <f>IFERROR(__xludf.DUMMYFUNCTION("""COMPUTED_VALUE"""),"São Tomé and Príncipe")</f>
        <v>São Tomé and Príncipe</v>
      </c>
      <c r="D92" s="9" t="str">
        <f>IFERROR(__xludf.DUMMYFUNCTION("""COMPUTED_VALUE"""),"São Tomé")</f>
        <v>São Tomé</v>
      </c>
      <c r="E92" s="11">
        <f>IFERROR(__xludf.DUMMYFUNCTION("""COMPUTED_VALUE"""),223107.0)</f>
        <v>223107</v>
      </c>
      <c r="F92" s="9" t="str">
        <f>IFERROR(__xludf.DUMMYFUNCTION("""COMPUTED_VALUE"""),"964 km2 (372 sq mi)")</f>
        <v>964 km2 (372 sq mi)</v>
      </c>
      <c r="G92" s="9" t="str">
        <f>IFERROR(__xludf.DUMMYFUNCTION("""COMPUTED_VALUE"""),"Dobra")</f>
        <v>Dobra</v>
      </c>
      <c r="H92" s="9"/>
      <c r="J92" s="3" t="s">
        <v>177</v>
      </c>
      <c r="K92" s="9" t="s">
        <v>198</v>
      </c>
    </row>
    <row r="93">
      <c r="A93" s="9">
        <f>IFERROR(__xludf.DUMMYFUNCTION("""COMPUTED_VALUE"""),42.0)</f>
        <v>42</v>
      </c>
      <c r="B93" s="9"/>
      <c r="C93" s="9" t="str">
        <f>IFERROR(__xludf.DUMMYFUNCTION("""COMPUTED_VALUE"""),"Senegal")</f>
        <v>Senegal</v>
      </c>
      <c r="D93" s="9" t="str">
        <f>IFERROR(__xludf.DUMMYFUNCTION("""COMPUTED_VALUE"""),"Dakar")</f>
        <v>Dakar</v>
      </c>
      <c r="E93" s="11">
        <f>IFERROR(__xludf.DUMMYFUNCTION("""COMPUTED_VALUE"""),1.687672E7)</f>
        <v>16876720</v>
      </c>
      <c r="F93" s="9" t="str">
        <f>IFERROR(__xludf.DUMMYFUNCTION("""COMPUTED_VALUE"""),"196,723 km2 (75,955 sq mi)")</f>
        <v>196,723 km2 (75,955 sq mi)</v>
      </c>
      <c r="G93" s="9" t="str">
        <f>IFERROR(__xludf.DUMMYFUNCTION("""COMPUTED_VALUE"""),"CFA franc")</f>
        <v>CFA franc</v>
      </c>
      <c r="H93" s="9"/>
      <c r="J93" s="3" t="s">
        <v>177</v>
      </c>
      <c r="K93" s="9" t="s">
        <v>149</v>
      </c>
    </row>
    <row r="94">
      <c r="A94" s="9">
        <f>IFERROR(__xludf.DUMMYFUNCTION("""COMPUTED_VALUE"""),43.0)</f>
        <v>43</v>
      </c>
      <c r="B94" s="9"/>
      <c r="C94" s="9" t="str">
        <f>IFERROR(__xludf.DUMMYFUNCTION("""COMPUTED_VALUE"""),"Seychelles")</f>
        <v>Seychelles</v>
      </c>
      <c r="D94" s="9" t="str">
        <f>IFERROR(__xludf.DUMMYFUNCTION("""COMPUTED_VALUE"""),"Victoria")</f>
        <v>Victoria</v>
      </c>
      <c r="E94" s="11">
        <f>IFERROR(__xludf.DUMMYFUNCTION("""COMPUTED_VALUE"""),106471.0)</f>
        <v>106471</v>
      </c>
      <c r="F94" s="9" t="str">
        <f>IFERROR(__xludf.DUMMYFUNCTION("""COMPUTED_VALUE"""),"451 km2 (174 sq mi)")</f>
        <v>451 km2 (174 sq mi)</v>
      </c>
      <c r="G94" s="9" t="str">
        <f>IFERROR(__xludf.DUMMYFUNCTION("""COMPUTED_VALUE"""),"Seychelles rupee")</f>
        <v>Seychelles rupee</v>
      </c>
      <c r="H94" s="9"/>
      <c r="J94" s="3" t="s">
        <v>177</v>
      </c>
      <c r="K94" s="9" t="s">
        <v>199</v>
      </c>
    </row>
    <row r="95">
      <c r="A95" s="9">
        <f>IFERROR(__xludf.DUMMYFUNCTION("""COMPUTED_VALUE"""),44.0)</f>
        <v>44</v>
      </c>
      <c r="B95" s="9"/>
      <c r="C95" s="9" t="str">
        <f>IFERROR(__xludf.DUMMYFUNCTION("""COMPUTED_VALUE"""),"Sierra Leone")</f>
        <v>Sierra Leone</v>
      </c>
      <c r="D95" s="9" t="str">
        <f>IFERROR(__xludf.DUMMYFUNCTION("""COMPUTED_VALUE"""),"Freetown")</f>
        <v>Freetown</v>
      </c>
      <c r="E95" s="11">
        <f>IFERROR(__xludf.DUMMYFUNCTION("""COMPUTED_VALUE"""),8420641.0)</f>
        <v>8420641</v>
      </c>
      <c r="F95" s="9" t="str">
        <f>IFERROR(__xludf.DUMMYFUNCTION("""COMPUTED_VALUE"""),"71,740 km2 (27,699 sq mi)")</f>
        <v>71,740 km2 (27,699 sq mi)</v>
      </c>
      <c r="G95" s="9" t="str">
        <f>IFERROR(__xludf.DUMMYFUNCTION("""COMPUTED_VALUE"""),"leone")</f>
        <v>leone</v>
      </c>
      <c r="H95" s="9"/>
      <c r="J95" s="3" t="s">
        <v>177</v>
      </c>
      <c r="K95" s="9" t="s">
        <v>200</v>
      </c>
    </row>
    <row r="96">
      <c r="A96" s="9">
        <f>IFERROR(__xludf.DUMMYFUNCTION("""COMPUTED_VALUE"""),45.0)</f>
        <v>45</v>
      </c>
      <c r="B96" s="9"/>
      <c r="C96" s="9" t="str">
        <f>IFERROR(__xludf.DUMMYFUNCTION("""COMPUTED_VALUE"""),"Somalia")</f>
        <v>Somalia</v>
      </c>
      <c r="D96" s="9" t="str">
        <f>IFERROR(__xludf.DUMMYFUNCTION("""COMPUTED_VALUE"""),"Mogadishu")</f>
        <v>Mogadishu</v>
      </c>
      <c r="E96" s="11">
        <f>IFERROR(__xludf.DUMMYFUNCTION("""COMPUTED_VALUE"""),1.7065581E7)</f>
        <v>17065581</v>
      </c>
      <c r="F96" s="9" t="str">
        <f>IFERROR(__xludf.DUMMYFUNCTION("""COMPUTED_VALUE"""),"637,657 km2 (246,201 sq mi)")</f>
        <v>637,657 km2 (246,201 sq mi)</v>
      </c>
      <c r="G96" s="9" t="str">
        <f>IFERROR(__xludf.DUMMYFUNCTION("""COMPUTED_VALUE"""),"Somali shilling")</f>
        <v>Somali shilling</v>
      </c>
      <c r="H96" s="9"/>
      <c r="J96" s="3" t="s">
        <v>177</v>
      </c>
      <c r="K96" s="9" t="s">
        <v>201</v>
      </c>
    </row>
    <row r="97">
      <c r="A97" s="9">
        <f>IFERROR(__xludf.DUMMYFUNCTION("""COMPUTED_VALUE"""),46.0)</f>
        <v>46</v>
      </c>
      <c r="B97" s="9"/>
      <c r="C97" s="9" t="str">
        <f>IFERROR(__xludf.DUMMYFUNCTION("""COMPUTED_VALUE"""),"South Africa")</f>
        <v>South Africa</v>
      </c>
      <c r="D97" s="9" t="str">
        <f>IFERROR(__xludf.DUMMYFUNCTION("""COMPUTED_VALUE"""),"Cape Town")</f>
        <v>Cape Town</v>
      </c>
      <c r="E97" s="11">
        <f>IFERROR(__xludf.DUMMYFUNCTION("""COMPUTED_VALUE"""),5.9392255E7)</f>
        <v>59392255</v>
      </c>
      <c r="F97" s="9" t="str">
        <f>IFERROR(__xludf.DUMMYFUNCTION("""COMPUTED_VALUE"""),"1,221,037 km2 (471,445 sq mi)")</f>
        <v>1,221,037 km2 (471,445 sq mi)</v>
      </c>
      <c r="G97" s="9" t="str">
        <f>IFERROR(__xludf.DUMMYFUNCTION("""COMPUTED_VALUE"""),"rand")</f>
        <v>rand</v>
      </c>
      <c r="H97" s="9"/>
      <c r="J97" s="3" t="s">
        <v>177</v>
      </c>
      <c r="K97" s="9" t="s">
        <v>44</v>
      </c>
    </row>
    <row r="98">
      <c r="A98" s="9">
        <f>IFERROR(__xludf.DUMMYFUNCTION("""COMPUTED_VALUE"""),47.0)</f>
        <v>47</v>
      </c>
      <c r="B98" s="9"/>
      <c r="C98" s="9" t="str">
        <f>IFERROR(__xludf.DUMMYFUNCTION("""COMPUTED_VALUE"""),"South Sudan")</f>
        <v>South Sudan</v>
      </c>
      <c r="D98" s="9" t="str">
        <f>IFERROR(__xludf.DUMMYFUNCTION("""COMPUTED_VALUE"""),"Juba")</f>
        <v>Juba</v>
      </c>
      <c r="E98" s="11">
        <f>IFERROR(__xludf.DUMMYFUNCTION("""COMPUTED_VALUE"""),1.0748272E7)</f>
        <v>10748272</v>
      </c>
      <c r="F98" s="9" t="str">
        <f>IFERROR(__xludf.DUMMYFUNCTION("""COMPUTED_VALUE"""),"644,329 km2 (248,777 sq mi)")</f>
        <v>644,329 km2 (248,777 sq mi)</v>
      </c>
      <c r="G98" s="9" t="str">
        <f>IFERROR(__xludf.DUMMYFUNCTION("""COMPUTED_VALUE"""),"South Sudanese pound")</f>
        <v>South Sudanese pound</v>
      </c>
      <c r="H98" s="9"/>
      <c r="J98" s="3" t="s">
        <v>177</v>
      </c>
      <c r="K98" s="9" t="s">
        <v>202</v>
      </c>
    </row>
    <row r="99">
      <c r="A99" s="9">
        <f>IFERROR(__xludf.DUMMYFUNCTION("""COMPUTED_VALUE"""),48.0)</f>
        <v>48</v>
      </c>
      <c r="B99" s="9"/>
      <c r="C99" s="9" t="str">
        <f>IFERROR(__xludf.DUMMYFUNCTION("""COMPUTED_VALUE"""),"Sudan")</f>
        <v>Sudan</v>
      </c>
      <c r="D99" s="9" t="str">
        <f>IFERROR(__xludf.DUMMYFUNCTION("""COMPUTED_VALUE"""),"Khartoum")</f>
        <v>Khartoum</v>
      </c>
      <c r="E99" s="11">
        <f>IFERROR(__xludf.DUMMYFUNCTION("""COMPUTED_VALUE"""),4.5657202E7)</f>
        <v>45657202</v>
      </c>
      <c r="F99" s="9" t="str">
        <f>IFERROR(__xludf.DUMMYFUNCTION("""COMPUTED_VALUE"""),"1,861,484 km2 (718,723 sq mi)")</f>
        <v>1,861,484 km2 (718,723 sq mi)</v>
      </c>
      <c r="G99" s="9" t="str">
        <f>IFERROR(__xludf.DUMMYFUNCTION("""COMPUTED_VALUE"""),"Sudanese pound")</f>
        <v>Sudanese pound</v>
      </c>
      <c r="H99" s="9"/>
      <c r="J99" s="3" t="s">
        <v>177</v>
      </c>
      <c r="K99" s="9" t="s">
        <v>154</v>
      </c>
    </row>
    <row r="100">
      <c r="A100" s="9">
        <f>IFERROR(__xludf.DUMMYFUNCTION("""COMPUTED_VALUE"""),49.0)</f>
        <v>49</v>
      </c>
      <c r="B100" s="9"/>
      <c r="C100" s="9" t="str">
        <f>IFERROR(__xludf.DUMMYFUNCTION("""COMPUTED_VALUE"""),"Tanzania")</f>
        <v>Tanzania</v>
      </c>
      <c r="D100" s="9" t="str">
        <f>IFERROR(__xludf.DUMMYFUNCTION("""COMPUTED_VALUE"""),"Dar es Salaam")</f>
        <v>Dar es Salaam</v>
      </c>
      <c r="E100" s="11">
        <f>IFERROR(__xludf.DUMMYFUNCTION("""COMPUTED_VALUE"""),6.3588334E7)</f>
        <v>63588334</v>
      </c>
      <c r="F100" s="9" t="str">
        <f>IFERROR(__xludf.DUMMYFUNCTION("""COMPUTED_VALUE"""),"945,203 km2 (364,945 sq mi)")</f>
        <v>945,203 km2 (364,945 sq mi)</v>
      </c>
      <c r="G100" s="9" t="str">
        <f>IFERROR(__xludf.DUMMYFUNCTION("""COMPUTED_VALUE"""),"Tanzanian shilling")</f>
        <v>Tanzanian shilling</v>
      </c>
      <c r="H100" s="9"/>
      <c r="J100" s="3" t="s">
        <v>177</v>
      </c>
      <c r="K100" s="9" t="s">
        <v>157</v>
      </c>
    </row>
    <row r="101">
      <c r="A101" s="9">
        <f>IFERROR(__xludf.DUMMYFUNCTION("""COMPUTED_VALUE"""),50.0)</f>
        <v>50</v>
      </c>
      <c r="B101" s="9"/>
      <c r="C101" s="9" t="str">
        <f>IFERROR(__xludf.DUMMYFUNCTION("""COMPUTED_VALUE"""),"Togo")</f>
        <v>Togo</v>
      </c>
      <c r="D101" s="9" t="str">
        <f>IFERROR(__xludf.DUMMYFUNCTION("""COMPUTED_VALUE"""),"Lomé")</f>
        <v>Lomé</v>
      </c>
      <c r="E101" s="11">
        <f>IFERROR(__xludf.DUMMYFUNCTION("""COMPUTED_VALUE"""),8644829.0)</f>
        <v>8644829</v>
      </c>
      <c r="F101" s="9" t="str">
        <f>IFERROR(__xludf.DUMMYFUNCTION("""COMPUTED_VALUE"""),"56,785 km2 (21,925 sq mi)")</f>
        <v>56,785 km2 (21,925 sq mi)</v>
      </c>
      <c r="G101" s="9" t="str">
        <f>IFERROR(__xludf.DUMMYFUNCTION("""COMPUTED_VALUE"""),"CFA franc")</f>
        <v>CFA franc</v>
      </c>
      <c r="H101" s="9"/>
      <c r="J101" s="3" t="s">
        <v>177</v>
      </c>
      <c r="K101" s="9" t="s">
        <v>203</v>
      </c>
    </row>
    <row r="102">
      <c r="A102" s="9">
        <f>IFERROR(__xludf.DUMMYFUNCTION("""COMPUTED_VALUE"""),51.0)</f>
        <v>51</v>
      </c>
      <c r="B102" s="9"/>
      <c r="C102" s="9" t="str">
        <f>IFERROR(__xludf.DUMMYFUNCTION("""COMPUTED_VALUE"""),"Tunisia")</f>
        <v>Tunisia</v>
      </c>
      <c r="D102" s="9" t="str">
        <f>IFERROR(__xludf.DUMMYFUNCTION("""COMPUTED_VALUE"""),"Tunis")</f>
        <v>Tunis</v>
      </c>
      <c r="E102" s="11">
        <f>IFERROR(__xludf.DUMMYFUNCTION("""COMPUTED_VALUE"""),1.2262946E7)</f>
        <v>12262946</v>
      </c>
      <c r="F102" s="9" t="str">
        <f>IFERROR(__xludf.DUMMYFUNCTION("""COMPUTED_VALUE"""),"163,610 km2 (63,170 sq mi)")</f>
        <v>163,610 km2 (63,170 sq mi)</v>
      </c>
      <c r="G102" s="9" t="str">
        <f>IFERROR(__xludf.DUMMYFUNCTION("""COMPUTED_VALUE"""),"Tunisian dinar")</f>
        <v>Tunisian dinar</v>
      </c>
      <c r="H102" s="9"/>
      <c r="J102" s="3" t="s">
        <v>177</v>
      </c>
      <c r="K102" s="9" t="s">
        <v>159</v>
      </c>
    </row>
    <row r="103">
      <c r="A103" s="9">
        <f>IFERROR(__xludf.DUMMYFUNCTION("""COMPUTED_VALUE"""),52.0)</f>
        <v>52</v>
      </c>
      <c r="B103" s="9"/>
      <c r="C103" s="9" t="str">
        <f>IFERROR(__xludf.DUMMYFUNCTION("""COMPUTED_VALUE"""),"Uganda")</f>
        <v>Uganda</v>
      </c>
      <c r="D103" s="9" t="str">
        <f>IFERROR(__xludf.DUMMYFUNCTION("""COMPUTED_VALUE"""),"Kampala")</f>
        <v>Kampala</v>
      </c>
      <c r="E103" s="11">
        <f>IFERROR(__xludf.DUMMYFUNCTION("""COMPUTED_VALUE"""),4.5853778E7)</f>
        <v>45853778</v>
      </c>
      <c r="F103" s="9" t="str">
        <f>IFERROR(__xludf.DUMMYFUNCTION("""COMPUTED_VALUE"""),"236,040 km2 (91,136 sq mi)")</f>
        <v>236,040 km2 (91,136 sq mi)</v>
      </c>
      <c r="G103" s="9" t="str">
        <f>IFERROR(__xludf.DUMMYFUNCTION("""COMPUTED_VALUE"""),"Ugandan shilling")</f>
        <v>Ugandan shilling</v>
      </c>
      <c r="H103" s="9"/>
      <c r="J103" s="3" t="s">
        <v>177</v>
      </c>
      <c r="K103" s="9" t="s">
        <v>161</v>
      </c>
    </row>
    <row r="104">
      <c r="A104" s="9">
        <f>IFERROR(__xludf.DUMMYFUNCTION("""COMPUTED_VALUE"""),53.0)</f>
        <v>53</v>
      </c>
      <c r="B104" s="9"/>
      <c r="C104" s="9" t="str">
        <f>IFERROR(__xludf.DUMMYFUNCTION("""COMPUTED_VALUE"""),"Zambia")</f>
        <v>Zambia</v>
      </c>
      <c r="D104" s="9" t="str">
        <f>IFERROR(__xludf.DUMMYFUNCTION("""COMPUTED_VALUE"""),"Lusaka")</f>
        <v>Lusaka</v>
      </c>
      <c r="E104" s="11">
        <f>IFERROR(__xludf.DUMMYFUNCTION("""COMPUTED_VALUE"""),1.9473125E7)</f>
        <v>19473125</v>
      </c>
      <c r="F104" s="9" t="str">
        <f>IFERROR(__xludf.DUMMYFUNCTION("""COMPUTED_VALUE"""),"752,614 km2 (290,586 sq mi)")</f>
        <v>752,614 km2 (290,586 sq mi)</v>
      </c>
      <c r="G104" s="9" t="str">
        <f>IFERROR(__xludf.DUMMYFUNCTION("""COMPUTED_VALUE"""),"Zambian kwacha")</f>
        <v>Zambian kwacha</v>
      </c>
      <c r="H104" s="9"/>
      <c r="J104" s="3" t="s">
        <v>177</v>
      </c>
      <c r="K104" s="9" t="s">
        <v>165</v>
      </c>
    </row>
    <row r="105">
      <c r="A105" s="9">
        <f>IFERROR(__xludf.DUMMYFUNCTION("""COMPUTED_VALUE"""),54.0)</f>
        <v>54</v>
      </c>
      <c r="B105" s="9"/>
      <c r="C105" s="9" t="str">
        <f>IFERROR(__xludf.DUMMYFUNCTION("""COMPUTED_VALUE"""),"Zimbabwe")</f>
        <v>Zimbabwe</v>
      </c>
      <c r="D105" s="9" t="str">
        <f>IFERROR(__xludf.DUMMYFUNCTION("""COMPUTED_VALUE"""),"Harare")</f>
        <v>Harare</v>
      </c>
      <c r="E105" s="11">
        <f>IFERROR(__xludf.DUMMYFUNCTION("""COMPUTED_VALUE"""),1.5993524E7)</f>
        <v>15993524</v>
      </c>
      <c r="F105" s="9" t="str">
        <f>IFERROR(__xludf.DUMMYFUNCTION("""COMPUTED_VALUE"""),"390,757 km2 (150,872 sq mi)")</f>
        <v>390,757 km2 (150,872 sq mi)</v>
      </c>
      <c r="G105" s="9" t="str">
        <f>IFERROR(__xludf.DUMMYFUNCTION("""COMPUTED_VALUE"""),"Zimbabwe dollar")</f>
        <v>Zimbabwe dollar</v>
      </c>
      <c r="H105" s="9"/>
      <c r="J105" s="3" t="s">
        <v>177</v>
      </c>
      <c r="K105" s="9" t="s">
        <v>166</v>
      </c>
    </row>
    <row r="109">
      <c r="A109" s="9" t="str">
        <f>IFERROR(__xludf.DUMMYFUNCTION("IMPORTHTML(""https://simple.wikipedia.org/wiki/List_of_countries_by_continents"",""table"",3,""en_us"")"),"")</f>
        <v/>
      </c>
      <c r="B109" s="9" t="str">
        <f>IFERROR(__xludf.DUMMYFUNCTION("""COMPUTED_VALUE"""),"Flag")</f>
        <v>Flag</v>
      </c>
      <c r="C109" s="9" t="str">
        <f>IFERROR(__xludf.DUMMYFUNCTION("""COMPUTED_VALUE"""),"English Names 
[4][10][11][12]")</f>
        <v>English Names 
[4][10][11][12]</v>
      </c>
      <c r="D109" s="9" t="str">
        <f>IFERROR(__xludf.DUMMYFUNCTION("""COMPUTED_VALUE"""),"Capital 
[12][13][14]")</f>
        <v>Capital 
[12][13][14]</v>
      </c>
      <c r="E109" s="9" t="str">
        <f>IFERROR(__xludf.DUMMYFUNCTION("""COMPUTED_VALUE"""),"Population 2021 
[7][8]")</f>
        <v>Population 2021 
[7][8]</v>
      </c>
      <c r="F109" s="9" t="str">
        <f>IFERROR(__xludf.DUMMYFUNCTION("""COMPUTED_VALUE"""),"Area[a][b]
[9]")</f>
        <v>Area[a][b]
[9]</v>
      </c>
      <c r="G109" s="9" t="str">
        <f>IFERROR(__xludf.DUMMYFUNCTION("""COMPUTED_VALUE"""),"Map")</f>
        <v>Map</v>
      </c>
      <c r="J109" s="10" t="s">
        <v>4</v>
      </c>
      <c r="K109" s="10" t="s">
        <v>169</v>
      </c>
    </row>
    <row r="110">
      <c r="A110" s="9">
        <f>IFERROR(__xludf.DUMMYFUNCTION("""COMPUTED_VALUE"""),1.0)</f>
        <v>1</v>
      </c>
      <c r="B110" s="9"/>
      <c r="C110" s="9" t="str">
        <f>IFERROR(__xludf.DUMMYFUNCTION("""COMPUTED_VALUE"""),"Afghanistan")</f>
        <v>Afghanistan</v>
      </c>
      <c r="D110" s="9" t="str">
        <f>IFERROR(__xludf.DUMMYFUNCTION("""COMPUTED_VALUE"""),"Kabul")</f>
        <v>Kabul</v>
      </c>
      <c r="E110" s="11">
        <f>IFERROR(__xludf.DUMMYFUNCTION("""COMPUTED_VALUE"""),4.0099462E7)</f>
        <v>40099462</v>
      </c>
      <c r="F110" s="9" t="str">
        <f>IFERROR(__xludf.DUMMYFUNCTION("""COMPUTED_VALUE"""),"652,230 km2 (251,827 sq mi)")</f>
        <v>652,230 km2 (251,827 sq mi)</v>
      </c>
      <c r="G110" s="9"/>
      <c r="J110" s="3" t="s">
        <v>113</v>
      </c>
      <c r="K110" s="9" t="s">
        <v>204</v>
      </c>
    </row>
    <row r="111">
      <c r="A111" s="9">
        <f>IFERROR(__xludf.DUMMYFUNCTION("""COMPUTED_VALUE"""),2.0)</f>
        <v>2</v>
      </c>
      <c r="B111" s="9"/>
      <c r="C111" s="9" t="str">
        <f>IFERROR(__xludf.DUMMYFUNCTION("""COMPUTED_VALUE"""),"Armenia")</f>
        <v>Armenia</v>
      </c>
      <c r="D111" s="9" t="str">
        <f>IFERROR(__xludf.DUMMYFUNCTION("""COMPUTED_VALUE"""),"Yerevan")</f>
        <v>Yerevan</v>
      </c>
      <c r="E111" s="11">
        <f>IFERROR(__xludf.DUMMYFUNCTION("""COMPUTED_VALUE"""),2790974.0)</f>
        <v>2790974</v>
      </c>
      <c r="F111" s="9" t="str">
        <f>IFERROR(__xludf.DUMMYFUNCTION("""COMPUTED_VALUE"""),"29,743 km2 (11,484 sq mi)")</f>
        <v>29,743 km2 (11,484 sq mi)</v>
      </c>
      <c r="G111" s="9"/>
      <c r="J111" s="3" t="s">
        <v>113</v>
      </c>
      <c r="K111" s="9" t="s">
        <v>83</v>
      </c>
    </row>
    <row r="112">
      <c r="A112" s="9">
        <f>IFERROR(__xludf.DUMMYFUNCTION("""COMPUTED_VALUE"""),3.0)</f>
        <v>3</v>
      </c>
      <c r="B112" s="9"/>
      <c r="C112" s="9" t="str">
        <f>IFERROR(__xludf.DUMMYFUNCTION("""COMPUTED_VALUE"""),"Azerbaijan[a][b]")</f>
        <v>Azerbaijan[a][b]</v>
      </c>
      <c r="D112" s="9" t="str">
        <f>IFERROR(__xludf.DUMMYFUNCTION("""COMPUTED_VALUE"""),"Baku")</f>
        <v>Baku</v>
      </c>
      <c r="E112" s="11">
        <f>IFERROR(__xludf.DUMMYFUNCTION("""COMPUTED_VALUE"""),1.0312992E7)</f>
        <v>10312992</v>
      </c>
      <c r="F112" s="9" t="str">
        <f>IFERROR(__xludf.DUMMYFUNCTION("""COMPUTED_VALUE"""),"86,600 km2 (33,436 sq mi)")</f>
        <v>86,600 km2 (33,436 sq mi)</v>
      </c>
      <c r="G112" s="9"/>
      <c r="J112" s="3" t="s">
        <v>113</v>
      </c>
      <c r="K112" s="3" t="s">
        <v>84</v>
      </c>
    </row>
    <row r="113">
      <c r="A113" s="9">
        <f>IFERROR(__xludf.DUMMYFUNCTION("""COMPUTED_VALUE"""),4.0)</f>
        <v>4</v>
      </c>
      <c r="B113" s="9"/>
      <c r="C113" s="9" t="str">
        <f>IFERROR(__xludf.DUMMYFUNCTION("""COMPUTED_VALUE"""),"Bahrain")</f>
        <v>Bahrain</v>
      </c>
      <c r="D113" s="9" t="str">
        <f>IFERROR(__xludf.DUMMYFUNCTION("""COMPUTED_VALUE"""),"Manama")</f>
        <v>Manama</v>
      </c>
      <c r="E113" s="11">
        <f>IFERROR(__xludf.DUMMYFUNCTION("""COMPUTED_VALUE"""),1463265.0)</f>
        <v>1463265</v>
      </c>
      <c r="F113" s="9" t="str">
        <f>IFERROR(__xludf.DUMMYFUNCTION("""COMPUTED_VALUE"""),"760 km2 (293 sq mi)")</f>
        <v>760 km2 (293 sq mi)</v>
      </c>
      <c r="G113" s="9"/>
      <c r="J113" s="3" t="s">
        <v>113</v>
      </c>
      <c r="K113" s="9" t="s">
        <v>86</v>
      </c>
    </row>
    <row r="114">
      <c r="A114" s="9">
        <f>IFERROR(__xludf.DUMMYFUNCTION("""COMPUTED_VALUE"""),5.0)</f>
        <v>5</v>
      </c>
      <c r="B114" s="9"/>
      <c r="C114" s="9" t="str">
        <f>IFERROR(__xludf.DUMMYFUNCTION("""COMPUTED_VALUE"""),"Bangladesh")</f>
        <v>Bangladesh</v>
      </c>
      <c r="D114" s="9" t="str">
        <f>IFERROR(__xludf.DUMMYFUNCTION("""COMPUTED_VALUE"""),"Dhaka")</f>
        <v>Dhaka</v>
      </c>
      <c r="E114" s="11">
        <f>IFERROR(__xludf.DUMMYFUNCTION("""COMPUTED_VALUE"""),1.69356251E8)</f>
        <v>169356251</v>
      </c>
      <c r="F114" s="9" t="str">
        <f>IFERROR(__xludf.DUMMYFUNCTION("""COMPUTED_VALUE"""),"147,570 km2 (56,977 sq mi)")</f>
        <v>147,570 km2 (56,977 sq mi)</v>
      </c>
      <c r="G114" s="9"/>
      <c r="J114" s="3" t="s">
        <v>113</v>
      </c>
      <c r="K114" s="9" t="s">
        <v>87</v>
      </c>
    </row>
    <row r="115">
      <c r="A115" s="9">
        <f>IFERROR(__xludf.DUMMYFUNCTION("""COMPUTED_VALUE"""),6.0)</f>
        <v>6</v>
      </c>
      <c r="B115" s="9"/>
      <c r="C115" s="9" t="str">
        <f>IFERROR(__xludf.DUMMYFUNCTION("""COMPUTED_VALUE"""),"Bhutan")</f>
        <v>Bhutan</v>
      </c>
      <c r="D115" s="9" t="str">
        <f>IFERROR(__xludf.DUMMYFUNCTION("""COMPUTED_VALUE"""),"Thimphu")</f>
        <v>Thimphu</v>
      </c>
      <c r="E115" s="11">
        <f>IFERROR(__xludf.DUMMYFUNCTION("""COMPUTED_VALUE"""),777486.0)</f>
        <v>777486</v>
      </c>
      <c r="F115" s="9" t="str">
        <f>IFERROR(__xludf.DUMMYFUNCTION("""COMPUTED_VALUE"""),"38,394 km2 (14,824 sq mi)")</f>
        <v>38,394 km2 (14,824 sq mi)</v>
      </c>
      <c r="G115" s="9"/>
      <c r="J115" s="3" t="s">
        <v>113</v>
      </c>
      <c r="K115" s="9" t="s">
        <v>205</v>
      </c>
    </row>
    <row r="116">
      <c r="A116" s="9">
        <f>IFERROR(__xludf.DUMMYFUNCTION("""COMPUTED_VALUE"""),7.0)</f>
        <v>7</v>
      </c>
      <c r="B116" s="9"/>
      <c r="C116" s="9" t="str">
        <f>IFERROR(__xludf.DUMMYFUNCTION("""COMPUTED_VALUE"""),"Brunei")</f>
        <v>Brunei</v>
      </c>
      <c r="D116" s="9" t="str">
        <f>IFERROR(__xludf.DUMMYFUNCTION("""COMPUTED_VALUE"""),"Bandar Seri Begawan")</f>
        <v>Bandar Seri Begawan</v>
      </c>
      <c r="E116" s="11">
        <f>IFERROR(__xludf.DUMMYFUNCTION("""COMPUTED_VALUE"""),460356.0)</f>
        <v>460356</v>
      </c>
      <c r="F116" s="9" t="str">
        <f>IFERROR(__xludf.DUMMYFUNCTION("""COMPUTED_VALUE"""),"5,765 km2 (2,226 sq mi)")</f>
        <v>5,765 km2 (2,226 sq mi)</v>
      </c>
      <c r="G116" s="9"/>
      <c r="J116" s="3" t="s">
        <v>113</v>
      </c>
      <c r="K116" s="9" t="s">
        <v>93</v>
      </c>
    </row>
    <row r="117">
      <c r="A117" s="9">
        <f>IFERROR(__xludf.DUMMYFUNCTION("""COMPUTED_VALUE"""),8.0)</f>
        <v>8</v>
      </c>
      <c r="B117" s="9"/>
      <c r="C117" s="9" t="str">
        <f>IFERROR(__xludf.DUMMYFUNCTION("""COMPUTED_VALUE"""),"Cambodia")</f>
        <v>Cambodia</v>
      </c>
      <c r="D117" s="9" t="str">
        <f>IFERROR(__xludf.DUMMYFUNCTION("""COMPUTED_VALUE"""),"Phnom Penh")</f>
        <v>Phnom Penh</v>
      </c>
      <c r="E117" s="11">
        <f>IFERROR(__xludf.DUMMYFUNCTION("""COMPUTED_VALUE"""),1.6589023E7)</f>
        <v>16589023</v>
      </c>
      <c r="F117" s="9" t="str">
        <f>IFERROR(__xludf.DUMMYFUNCTION("""COMPUTED_VALUE"""),"181,035 km2 (69,898 sq mi)")</f>
        <v>181,035 km2 (69,898 sq mi)</v>
      </c>
      <c r="G117" s="9"/>
      <c r="J117" s="3" t="s">
        <v>113</v>
      </c>
      <c r="K117" s="9" t="s">
        <v>97</v>
      </c>
    </row>
    <row r="118">
      <c r="A118" s="9">
        <f>IFERROR(__xludf.DUMMYFUNCTION("""COMPUTED_VALUE"""),9.0)</f>
        <v>9</v>
      </c>
      <c r="B118" s="9"/>
      <c r="C118" s="9" t="str">
        <f>IFERROR(__xludf.DUMMYFUNCTION("""COMPUTED_VALUE"""),"China[b]")</f>
        <v>China[b]</v>
      </c>
      <c r="D118" s="9" t="str">
        <f>IFERROR(__xludf.DUMMYFUNCTION("""COMPUTED_VALUE"""),"Beijing")</f>
        <v>Beijing</v>
      </c>
      <c r="E118" s="11">
        <f>IFERROR(__xludf.DUMMYFUNCTION("""COMPUTED_VALUE"""),1.425893465E9)</f>
        <v>1425893465</v>
      </c>
      <c r="F118" s="9" t="str">
        <f>IFERROR(__xludf.DUMMYFUNCTION("""COMPUTED_VALUE"""),"9,596,961 km2 (3,705,407 sq mi)")</f>
        <v>9,596,961 km2 (3,705,407 sq mi)</v>
      </c>
      <c r="G118" s="9"/>
      <c r="J118" s="3" t="s">
        <v>113</v>
      </c>
      <c r="K118" s="3" t="s">
        <v>23</v>
      </c>
    </row>
    <row r="119">
      <c r="A119" s="9">
        <f>IFERROR(__xludf.DUMMYFUNCTION("""COMPUTED_VALUE"""),10.0)</f>
        <v>10</v>
      </c>
      <c r="B119" s="9"/>
      <c r="C119" s="9" t="str">
        <f>IFERROR(__xludf.DUMMYFUNCTION("""COMPUTED_VALUE"""),"Cyprus[b]")</f>
        <v>Cyprus[b]</v>
      </c>
      <c r="D119" s="9" t="str">
        <f>IFERROR(__xludf.DUMMYFUNCTION("""COMPUTED_VALUE"""),"Nicosia")</f>
        <v>Nicosia</v>
      </c>
      <c r="E119" s="11">
        <f>IFERROR(__xludf.DUMMYFUNCTION("""COMPUTED_VALUE"""),1244188.0)</f>
        <v>1244188</v>
      </c>
      <c r="F119" s="9" t="str">
        <f>IFERROR(__xludf.DUMMYFUNCTION("""COMPUTED_VALUE"""),"9,251 km2 (3,572 sq mi)")</f>
        <v>9,251 km2 (3,572 sq mi)</v>
      </c>
      <c r="G119" s="9"/>
      <c r="J119" s="3" t="s">
        <v>113</v>
      </c>
      <c r="K119" s="3" t="s">
        <v>101</v>
      </c>
    </row>
    <row r="120">
      <c r="A120" s="9">
        <f>IFERROR(__xludf.DUMMYFUNCTION("""COMPUTED_VALUE"""),11.0)</f>
        <v>11</v>
      </c>
      <c r="B120" s="9"/>
      <c r="C120" s="9" t="str">
        <f>IFERROR(__xludf.DUMMYFUNCTION("""COMPUTED_VALUE"""),"East Timor[a]")</f>
        <v>East Timor[a]</v>
      </c>
      <c r="D120" s="9" t="str">
        <f>IFERROR(__xludf.DUMMYFUNCTION("""COMPUTED_VALUE"""),"Dili")</f>
        <v>Dili</v>
      </c>
      <c r="E120" s="11">
        <f>IFERROR(__xludf.DUMMYFUNCTION("""COMPUTED_VALUE"""),1320942.0)</f>
        <v>1320942</v>
      </c>
      <c r="F120" s="9" t="str">
        <f>IFERROR(__xludf.DUMMYFUNCTION("""COMPUTED_VALUE"""),"14,874 km2 (5,743 sq mi)")</f>
        <v>14,874 km2 (5,743 sq mi)</v>
      </c>
      <c r="G120" s="9"/>
      <c r="J120" s="3" t="s">
        <v>113</v>
      </c>
      <c r="K120" s="3" t="s">
        <v>206</v>
      </c>
    </row>
    <row r="121">
      <c r="A121" s="9">
        <f>IFERROR(__xludf.DUMMYFUNCTION("""COMPUTED_VALUE"""),12.0)</f>
        <v>12</v>
      </c>
      <c r="B121" s="9"/>
      <c r="C121" s="9" t="str">
        <f>IFERROR(__xludf.DUMMYFUNCTION("""COMPUTED_VALUE"""),"Georgia[a][b]")</f>
        <v>Georgia[a][b]</v>
      </c>
      <c r="D121" s="9" t="str">
        <f>IFERROR(__xludf.DUMMYFUNCTION("""COMPUTED_VALUE"""),"Tbilisi")</f>
        <v>Tbilisi</v>
      </c>
      <c r="E121" s="11">
        <f>IFERROR(__xludf.DUMMYFUNCTION("""COMPUTED_VALUE"""),3757980.0)</f>
        <v>3757980</v>
      </c>
      <c r="F121" s="9" t="str">
        <f>IFERROR(__xludf.DUMMYFUNCTION("""COMPUTED_VALUE"""),"69,700 km2 (26,911 sq mi)")</f>
        <v>69,700 km2 (26,911 sq mi)</v>
      </c>
      <c r="G121" s="9"/>
      <c r="J121" s="3" t="s">
        <v>113</v>
      </c>
      <c r="K121" s="3" t="s">
        <v>107</v>
      </c>
    </row>
    <row r="122">
      <c r="A122" s="9">
        <f>IFERROR(__xludf.DUMMYFUNCTION("""COMPUTED_VALUE"""),13.0)</f>
        <v>13</v>
      </c>
      <c r="B122" s="9"/>
      <c r="C122" s="9" t="str">
        <f>IFERROR(__xludf.DUMMYFUNCTION("""COMPUTED_VALUE"""),"India")</f>
        <v>India</v>
      </c>
      <c r="D122" s="9" t="str">
        <f>IFERROR(__xludf.DUMMYFUNCTION("""COMPUTED_VALUE"""),"New Delhi")</f>
        <v>New Delhi</v>
      </c>
      <c r="E122" s="11">
        <f>IFERROR(__xludf.DUMMYFUNCTION("""COMPUTED_VALUE"""),1.407563842E9)</f>
        <v>1407563842</v>
      </c>
      <c r="F122" s="9" t="str">
        <f>IFERROR(__xludf.DUMMYFUNCTION("""COMPUTED_VALUE"""),"3,287,263 km2 (1,269,219 sq mi)")</f>
        <v>3,287,263 km2 (1,269,219 sq mi)</v>
      </c>
      <c r="G122" s="9"/>
      <c r="J122" s="3" t="s">
        <v>113</v>
      </c>
      <c r="K122" s="9" t="s">
        <v>24</v>
      </c>
    </row>
    <row r="123">
      <c r="A123" s="9">
        <f>IFERROR(__xludf.DUMMYFUNCTION("""COMPUTED_VALUE"""),14.0)</f>
        <v>14</v>
      </c>
      <c r="B123" s="9"/>
      <c r="C123" s="9" t="str">
        <f>IFERROR(__xludf.DUMMYFUNCTION("""COMPUTED_VALUE"""),"Indonesia[a]")</f>
        <v>Indonesia[a]</v>
      </c>
      <c r="D123" s="9" t="str">
        <f>IFERROR(__xludf.DUMMYFUNCTION("""COMPUTED_VALUE"""),"Jakarta")</f>
        <v>Jakarta</v>
      </c>
      <c r="E123" s="11">
        <f>IFERROR(__xludf.DUMMYFUNCTION("""COMPUTED_VALUE"""),2.73753191E8)</f>
        <v>273753191</v>
      </c>
      <c r="F123" s="9" t="str">
        <f>IFERROR(__xludf.DUMMYFUNCTION("""COMPUTED_VALUE"""),"1,904,569 km2 (735,358 sq mi)")</f>
        <v>1,904,569 km2 (735,358 sq mi)</v>
      </c>
      <c r="G123" s="9"/>
      <c r="J123" s="3" t="s">
        <v>113</v>
      </c>
      <c r="K123" s="3" t="s">
        <v>34</v>
      </c>
    </row>
    <row r="124">
      <c r="A124" s="9">
        <f>IFERROR(__xludf.DUMMYFUNCTION("""COMPUTED_VALUE"""),15.0)</f>
        <v>15</v>
      </c>
      <c r="B124" s="9"/>
      <c r="C124" s="9" t="str">
        <f>IFERROR(__xludf.DUMMYFUNCTION("""COMPUTED_VALUE"""),"Iran")</f>
        <v>Iran</v>
      </c>
      <c r="D124" s="9" t="str">
        <f>IFERROR(__xludf.DUMMYFUNCTION("""COMPUTED_VALUE"""),"Tehran")</f>
        <v>Tehran</v>
      </c>
      <c r="E124" s="11">
        <f>IFERROR(__xludf.DUMMYFUNCTION("""COMPUTED_VALUE"""),8.7923432E7)</f>
        <v>87923432</v>
      </c>
      <c r="F124" s="9" t="str">
        <f>IFERROR(__xludf.DUMMYFUNCTION("""COMPUTED_VALUE"""),"1,648,195 km2 (636,372 sq mi)")</f>
        <v>1,648,195 km2 (636,372 sq mi)</v>
      </c>
      <c r="G124" s="9"/>
      <c r="J124" s="3" t="s">
        <v>113</v>
      </c>
      <c r="K124" s="9" t="s">
        <v>115</v>
      </c>
    </row>
    <row r="125">
      <c r="A125" s="9">
        <f>IFERROR(__xludf.DUMMYFUNCTION("""COMPUTED_VALUE"""),16.0)</f>
        <v>16</v>
      </c>
      <c r="B125" s="9"/>
      <c r="C125" s="9" t="str">
        <f>IFERROR(__xludf.DUMMYFUNCTION("""COMPUTED_VALUE"""),"Iraq")</f>
        <v>Iraq</v>
      </c>
      <c r="D125" s="9" t="str">
        <f>IFERROR(__xludf.DUMMYFUNCTION("""COMPUTED_VALUE"""),"Baghdad")</f>
        <v>Baghdad</v>
      </c>
      <c r="E125" s="11">
        <f>IFERROR(__xludf.DUMMYFUNCTION("""COMPUTED_VALUE"""),4.3533592E7)</f>
        <v>43533592</v>
      </c>
      <c r="F125" s="9" t="str">
        <f>IFERROR(__xludf.DUMMYFUNCTION("""COMPUTED_VALUE"""),"438,317 km2 (169,235 sq mi)")</f>
        <v>438,317 km2 (169,235 sq mi)</v>
      </c>
      <c r="G125" s="9"/>
      <c r="J125" s="3" t="s">
        <v>113</v>
      </c>
      <c r="K125" s="9" t="s">
        <v>116</v>
      </c>
    </row>
    <row r="126">
      <c r="A126" s="9">
        <f>IFERROR(__xludf.DUMMYFUNCTION("""COMPUTED_VALUE"""),17.0)</f>
        <v>17</v>
      </c>
      <c r="B126" s="9"/>
      <c r="C126" s="9" t="str">
        <f>IFERROR(__xludf.DUMMYFUNCTION("""COMPUTED_VALUE"""),"Israel")</f>
        <v>Israel</v>
      </c>
      <c r="D126" s="9" t="str">
        <f>IFERROR(__xludf.DUMMYFUNCTION("""COMPUTED_VALUE"""),"Jerusalem")</f>
        <v>Jerusalem</v>
      </c>
      <c r="E126" s="11">
        <f>IFERROR(__xludf.DUMMYFUNCTION("""COMPUTED_VALUE"""),8900059.0)</f>
        <v>8900059</v>
      </c>
      <c r="F126" s="9" t="str">
        <f>IFERROR(__xludf.DUMMYFUNCTION("""COMPUTED_VALUE"""),"20,770 km2 (8,019 sq mi)")</f>
        <v>20,770 km2 (8,019 sq mi)</v>
      </c>
      <c r="G126" s="9"/>
      <c r="J126" s="3" t="s">
        <v>113</v>
      </c>
      <c r="K126" s="9" t="s">
        <v>52</v>
      </c>
    </row>
    <row r="127">
      <c r="A127" s="9">
        <f>IFERROR(__xludf.DUMMYFUNCTION("""COMPUTED_VALUE"""),18.0)</f>
        <v>18</v>
      </c>
      <c r="B127" s="9"/>
      <c r="C127" s="9" t="str">
        <f>IFERROR(__xludf.DUMMYFUNCTION("""COMPUTED_VALUE"""),"Japan")</f>
        <v>Japan</v>
      </c>
      <c r="D127" s="9" t="str">
        <f>IFERROR(__xludf.DUMMYFUNCTION("""COMPUTED_VALUE"""),"Tokyo")</f>
        <v>Tokyo</v>
      </c>
      <c r="E127" s="11">
        <f>IFERROR(__xludf.DUMMYFUNCTION("""COMPUTED_VALUE"""),1.2461253E8)</f>
        <v>124612530</v>
      </c>
      <c r="F127" s="9" t="str">
        <f>IFERROR(__xludf.DUMMYFUNCTION("""COMPUTED_VALUE"""),"377,915 km2 (145,914 sq mi)")</f>
        <v>377,915 km2 (145,914 sq mi)</v>
      </c>
      <c r="G127" s="9"/>
      <c r="J127" s="3" t="s">
        <v>113</v>
      </c>
      <c r="K127" s="9" t="s">
        <v>25</v>
      </c>
    </row>
    <row r="128">
      <c r="A128" s="9">
        <f>IFERROR(__xludf.DUMMYFUNCTION("""COMPUTED_VALUE"""),19.0)</f>
        <v>19</v>
      </c>
      <c r="B128" s="9"/>
      <c r="C128" s="9" t="str">
        <f>IFERROR(__xludf.DUMMYFUNCTION("""COMPUTED_VALUE"""),"Jordan")</f>
        <v>Jordan</v>
      </c>
      <c r="D128" s="9" t="str">
        <f>IFERROR(__xludf.DUMMYFUNCTION("""COMPUTED_VALUE"""),"Amman")</f>
        <v>Amman</v>
      </c>
      <c r="E128" s="11">
        <f>IFERROR(__xludf.DUMMYFUNCTION("""COMPUTED_VALUE"""),1.1148278E7)</f>
        <v>11148278</v>
      </c>
      <c r="F128" s="9" t="str">
        <f>IFERROR(__xludf.DUMMYFUNCTION("""COMPUTED_VALUE"""),"89,342 km2 (34,495 sq mi)")</f>
        <v>89,342 km2 (34,495 sq mi)</v>
      </c>
      <c r="G128" s="9"/>
      <c r="J128" s="3" t="s">
        <v>113</v>
      </c>
      <c r="K128" s="9" t="s">
        <v>119</v>
      </c>
    </row>
    <row r="129">
      <c r="A129" s="9">
        <f>IFERROR(__xludf.DUMMYFUNCTION("""COMPUTED_VALUE"""),20.0)</f>
        <v>20</v>
      </c>
      <c r="B129" s="9"/>
      <c r="C129" s="9" t="str">
        <f>IFERROR(__xludf.DUMMYFUNCTION("""COMPUTED_VALUE"""),"Kazakhstan[a]")</f>
        <v>Kazakhstan[a]</v>
      </c>
      <c r="D129" s="9" t="str">
        <f>IFERROR(__xludf.DUMMYFUNCTION("""COMPUTED_VALUE"""),"Astana")</f>
        <v>Astana</v>
      </c>
      <c r="E129" s="11">
        <f>IFERROR(__xludf.DUMMYFUNCTION("""COMPUTED_VALUE"""),1.9196465E7)</f>
        <v>19196465</v>
      </c>
      <c r="F129" s="9" t="str">
        <f>IFERROR(__xludf.DUMMYFUNCTION("""COMPUTED_VALUE"""),"2,724,900 km2 (1,052,090 sq mi)")</f>
        <v>2,724,900 km2 (1,052,090 sq mi)</v>
      </c>
      <c r="G129" s="9"/>
      <c r="J129" s="3" t="s">
        <v>113</v>
      </c>
      <c r="K129" s="3" t="s">
        <v>73</v>
      </c>
    </row>
    <row r="130">
      <c r="A130" s="9">
        <f>IFERROR(__xludf.DUMMYFUNCTION("""COMPUTED_VALUE"""),21.0)</f>
        <v>21</v>
      </c>
      <c r="B130" s="9"/>
      <c r="C130" s="9" t="str">
        <f>IFERROR(__xludf.DUMMYFUNCTION("""COMPUTED_VALUE"""),"North Korea")</f>
        <v>North Korea</v>
      </c>
      <c r="D130" s="9" t="str">
        <f>IFERROR(__xludf.DUMMYFUNCTION("""COMPUTED_VALUE"""),"Pyongyang")</f>
        <v>Pyongyang</v>
      </c>
      <c r="E130" s="11">
        <f>IFERROR(__xludf.DUMMYFUNCTION("""COMPUTED_VALUE"""),2.5971909E7)</f>
        <v>25971909</v>
      </c>
      <c r="F130" s="9" t="str">
        <f>IFERROR(__xludf.DUMMYFUNCTION("""COMPUTED_VALUE"""),"120,538 km2 (46,540 sq mi)")</f>
        <v>120,538 km2 (46,540 sq mi)</v>
      </c>
      <c r="G130" s="9"/>
      <c r="J130" s="3" t="s">
        <v>113</v>
      </c>
      <c r="K130" s="9" t="s">
        <v>207</v>
      </c>
    </row>
    <row r="131">
      <c r="A131" s="9">
        <f>IFERROR(__xludf.DUMMYFUNCTION("""COMPUTED_VALUE"""),22.0)</f>
        <v>22</v>
      </c>
      <c r="B131" s="9"/>
      <c r="C131" s="9" t="str">
        <f>IFERROR(__xludf.DUMMYFUNCTION("""COMPUTED_VALUE"""),"South Korea")</f>
        <v>South Korea</v>
      </c>
      <c r="D131" s="9" t="str">
        <f>IFERROR(__xludf.DUMMYFUNCTION("""COMPUTED_VALUE"""),"Seoul")</f>
        <v>Seoul</v>
      </c>
      <c r="E131" s="11">
        <f>IFERROR(__xludf.DUMMYFUNCTION("""COMPUTED_VALUE"""),5.1830139E7)</f>
        <v>51830139</v>
      </c>
      <c r="F131" s="9" t="str">
        <f>IFERROR(__xludf.DUMMYFUNCTION("""COMPUTED_VALUE"""),"99,720 km2 (38,502 sq mi)")</f>
        <v>99,720 km2 (38,502 sq mi)</v>
      </c>
      <c r="G131" s="9"/>
      <c r="J131" s="3" t="s">
        <v>113</v>
      </c>
      <c r="K131" s="9" t="s">
        <v>31</v>
      </c>
    </row>
    <row r="132">
      <c r="A132" s="9">
        <f>IFERROR(__xludf.DUMMYFUNCTION("""COMPUTED_VALUE"""),23.0)</f>
        <v>23</v>
      </c>
      <c r="B132" s="9"/>
      <c r="C132" s="9" t="str">
        <f>IFERROR(__xludf.DUMMYFUNCTION("""COMPUTED_VALUE"""),"Kuwait")</f>
        <v>Kuwait</v>
      </c>
      <c r="D132" s="9" t="str">
        <f>IFERROR(__xludf.DUMMYFUNCTION("""COMPUTED_VALUE"""),"Kuwait City")</f>
        <v>Kuwait City</v>
      </c>
      <c r="E132" s="11">
        <f>IFERROR(__xludf.DUMMYFUNCTION("""COMPUTED_VALUE"""),4250114.0)</f>
        <v>4250114</v>
      </c>
      <c r="F132" s="9" t="str">
        <f>IFERROR(__xludf.DUMMYFUNCTION("""COMPUTED_VALUE"""),"17,818 km2 (6,880 sq mi)")</f>
        <v>17,818 km2 (6,880 sq mi)</v>
      </c>
      <c r="G132" s="9"/>
      <c r="J132" s="3" t="s">
        <v>113</v>
      </c>
      <c r="K132" s="9" t="s">
        <v>74</v>
      </c>
    </row>
    <row r="133">
      <c r="A133" s="9">
        <f>IFERROR(__xludf.DUMMYFUNCTION("""COMPUTED_VALUE"""),24.0)</f>
        <v>24</v>
      </c>
      <c r="B133" s="9"/>
      <c r="C133" s="9" t="str">
        <f>IFERROR(__xludf.DUMMYFUNCTION("""COMPUTED_VALUE"""),"Kyrgyzstan")</f>
        <v>Kyrgyzstan</v>
      </c>
      <c r="D133" s="9" t="str">
        <f>IFERROR(__xludf.DUMMYFUNCTION("""COMPUTED_VALUE"""),"Bishkek")</f>
        <v>Bishkek</v>
      </c>
      <c r="E133" s="11">
        <f>IFERROR(__xludf.DUMMYFUNCTION("""COMPUTED_VALUE"""),6527743.0)</f>
        <v>6527743</v>
      </c>
      <c r="F133" s="9" t="str">
        <f>IFERROR(__xludf.DUMMYFUNCTION("""COMPUTED_VALUE"""),"199,951 km2 (77,202 sq mi)")</f>
        <v>199,951 km2 (77,202 sq mi)</v>
      </c>
      <c r="G133" s="9"/>
      <c r="J133" s="3" t="s">
        <v>113</v>
      </c>
      <c r="K133" s="9" t="s">
        <v>121</v>
      </c>
    </row>
    <row r="134">
      <c r="A134" s="9">
        <f>IFERROR(__xludf.DUMMYFUNCTION("""COMPUTED_VALUE"""),25.0)</f>
        <v>25</v>
      </c>
      <c r="B134" s="9"/>
      <c r="C134" s="9" t="str">
        <f>IFERROR(__xludf.DUMMYFUNCTION("""COMPUTED_VALUE"""),"Laos")</f>
        <v>Laos</v>
      </c>
      <c r="D134" s="9" t="str">
        <f>IFERROR(__xludf.DUMMYFUNCTION("""COMPUTED_VALUE"""),"Vientiane")</f>
        <v>Vientiane</v>
      </c>
      <c r="E134" s="11">
        <f>IFERROR(__xludf.DUMMYFUNCTION("""COMPUTED_VALUE"""),7425057.0)</f>
        <v>7425057</v>
      </c>
      <c r="F134" s="9" t="str">
        <f>IFERROR(__xludf.DUMMYFUNCTION("""COMPUTED_VALUE"""),"236,800 km2 (91,429 sq mi)")</f>
        <v>236,800 km2 (91,429 sq mi)</v>
      </c>
      <c r="G134" s="9"/>
      <c r="J134" s="3" t="s">
        <v>113</v>
      </c>
      <c r="K134" s="9" t="s">
        <v>122</v>
      </c>
    </row>
    <row r="135">
      <c r="A135" s="9">
        <f>IFERROR(__xludf.DUMMYFUNCTION("""COMPUTED_VALUE"""),26.0)</f>
        <v>26</v>
      </c>
      <c r="B135" s="9"/>
      <c r="C135" s="9" t="str">
        <f>IFERROR(__xludf.DUMMYFUNCTION("""COMPUTED_VALUE"""),"Lebanon")</f>
        <v>Lebanon</v>
      </c>
      <c r="D135" s="9" t="str">
        <f>IFERROR(__xludf.DUMMYFUNCTION("""COMPUTED_VALUE"""),"Beirut")</f>
        <v>Beirut</v>
      </c>
      <c r="E135" s="11">
        <f>IFERROR(__xludf.DUMMYFUNCTION("""COMPUTED_VALUE"""),5592631.0)</f>
        <v>5592631</v>
      </c>
      <c r="F135" s="9" t="str">
        <f>IFERROR(__xludf.DUMMYFUNCTION("""COMPUTED_VALUE"""),"10,452 km2 (4,036 sq mi)")</f>
        <v>10,452 km2 (4,036 sq mi)</v>
      </c>
      <c r="G135" s="9"/>
      <c r="J135" s="3" t="s">
        <v>113</v>
      </c>
      <c r="K135" s="9" t="s">
        <v>124</v>
      </c>
    </row>
    <row r="136">
      <c r="A136" s="9">
        <f>IFERROR(__xludf.DUMMYFUNCTION("""COMPUTED_VALUE"""),27.0)</f>
        <v>27</v>
      </c>
      <c r="B136" s="9"/>
      <c r="C136" s="9" t="str">
        <f>IFERROR(__xludf.DUMMYFUNCTION("""COMPUTED_VALUE"""),"Malaysia")</f>
        <v>Malaysia</v>
      </c>
      <c r="D136" s="9" t="str">
        <f>IFERROR(__xludf.DUMMYFUNCTION("""COMPUTED_VALUE"""),"Kuala Lumpur[e]")</f>
        <v>Kuala Lumpur[e]</v>
      </c>
      <c r="E136" s="11">
        <f>IFERROR(__xludf.DUMMYFUNCTION("""COMPUTED_VALUE"""),3.3573874E7)</f>
        <v>33573874</v>
      </c>
      <c r="F136" s="9" t="str">
        <f>IFERROR(__xludf.DUMMYFUNCTION("""COMPUTED_VALUE"""),"329,847 km2 (127,355 sq mi)")</f>
        <v>329,847 km2 (127,355 sq mi)</v>
      </c>
      <c r="G136" s="9"/>
      <c r="J136" s="3" t="s">
        <v>113</v>
      </c>
      <c r="K136" s="9" t="s">
        <v>38</v>
      </c>
    </row>
    <row r="137">
      <c r="A137" s="9">
        <f>IFERROR(__xludf.DUMMYFUNCTION("""COMPUTED_VALUE"""),28.0)</f>
        <v>28</v>
      </c>
      <c r="B137" s="9"/>
      <c r="C137" s="9" t="str">
        <f>IFERROR(__xludf.DUMMYFUNCTION("""COMPUTED_VALUE"""),"Maldives")</f>
        <v>Maldives</v>
      </c>
      <c r="D137" s="9" t="str">
        <f>IFERROR(__xludf.DUMMYFUNCTION("""COMPUTED_VALUE"""),"Malé")</f>
        <v>Malé</v>
      </c>
      <c r="E137" s="11">
        <f>IFERROR(__xludf.DUMMYFUNCTION("""COMPUTED_VALUE"""),521457.0)</f>
        <v>521457</v>
      </c>
      <c r="F137" s="9" t="str">
        <f>IFERROR(__xludf.DUMMYFUNCTION("""COMPUTED_VALUE"""),"298 km2 (115 sq mi)")</f>
        <v>298 km2 (115 sq mi)</v>
      </c>
      <c r="G137" s="9"/>
      <c r="J137" s="3" t="s">
        <v>113</v>
      </c>
      <c r="K137" s="9" t="s">
        <v>208</v>
      </c>
    </row>
    <row r="138">
      <c r="A138" s="9">
        <f>IFERROR(__xludf.DUMMYFUNCTION("""COMPUTED_VALUE"""),29.0)</f>
        <v>29</v>
      </c>
      <c r="B138" s="9"/>
      <c r="C138" s="9" t="str">
        <f>IFERROR(__xludf.DUMMYFUNCTION("""COMPUTED_VALUE"""),"Mongolia")</f>
        <v>Mongolia</v>
      </c>
      <c r="D138" s="9" t="str">
        <f>IFERROR(__xludf.DUMMYFUNCTION("""COMPUTED_VALUE"""),"Ulaanbaatar")</f>
        <v>Ulaanbaatar</v>
      </c>
      <c r="E138" s="11">
        <f>IFERROR(__xludf.DUMMYFUNCTION("""COMPUTED_VALUE"""),3347782.0)</f>
        <v>3347782</v>
      </c>
      <c r="F138" s="9" t="str">
        <f>IFERROR(__xludf.DUMMYFUNCTION("""COMPUTED_VALUE"""),"1,564,116 km2 (603,909 sq mi)")</f>
        <v>1,564,116 km2 (603,909 sq mi)</v>
      </c>
      <c r="G138" s="9"/>
      <c r="J138" s="3" t="s">
        <v>113</v>
      </c>
      <c r="K138" s="9" t="s">
        <v>134</v>
      </c>
    </row>
    <row r="139">
      <c r="A139" s="9">
        <f>IFERROR(__xludf.DUMMYFUNCTION("""COMPUTED_VALUE"""),30.0)</f>
        <v>30</v>
      </c>
      <c r="B139" s="9"/>
      <c r="C139" s="9" t="str">
        <f>IFERROR(__xludf.DUMMYFUNCTION("""COMPUTED_VALUE"""),"Myanmar")</f>
        <v>Myanmar</v>
      </c>
      <c r="D139" s="9" t="str">
        <f>IFERROR(__xludf.DUMMYFUNCTION("""COMPUTED_VALUE"""),"Nay Pyi Taw")</f>
        <v>Nay Pyi Taw</v>
      </c>
      <c r="E139" s="11">
        <f>IFERROR(__xludf.DUMMYFUNCTION("""COMPUTED_VALUE"""),5.3798084E7)</f>
        <v>53798084</v>
      </c>
      <c r="F139" s="9" t="str">
        <f>IFERROR(__xludf.DUMMYFUNCTION("""COMPUTED_VALUE"""),"676,578 km2 (261,228 sq mi)")</f>
        <v>676,578 km2 (261,228 sq mi)</v>
      </c>
      <c r="G139" s="9"/>
      <c r="J139" s="3" t="s">
        <v>113</v>
      </c>
      <c r="K139" s="3" t="s">
        <v>95</v>
      </c>
    </row>
    <row r="140">
      <c r="A140" s="9">
        <f>IFERROR(__xludf.DUMMYFUNCTION("""COMPUTED_VALUE"""),31.0)</f>
        <v>31</v>
      </c>
      <c r="B140" s="9"/>
      <c r="C140" s="9" t="str">
        <f>IFERROR(__xludf.DUMMYFUNCTION("""COMPUTED_VALUE"""),"Nepal")</f>
        <v>Nepal</v>
      </c>
      <c r="D140" s="9" t="str">
        <f>IFERROR(__xludf.DUMMYFUNCTION("""COMPUTED_VALUE"""),"Kathmandu")</f>
        <v>Kathmandu</v>
      </c>
      <c r="E140" s="11">
        <f>IFERROR(__xludf.DUMMYFUNCTION("""COMPUTED_VALUE"""),3.0034989E7)</f>
        <v>30034989</v>
      </c>
      <c r="F140" s="9" t="str">
        <f>IFERROR(__xludf.DUMMYFUNCTION("""COMPUTED_VALUE"""),"147,516 km2 (56,956 sq mi)")</f>
        <v>147,516 km2 (56,956 sq mi)</v>
      </c>
      <c r="G140" s="9"/>
      <c r="J140" s="3" t="s">
        <v>113</v>
      </c>
      <c r="K140" s="9" t="s">
        <v>137</v>
      </c>
    </row>
    <row r="141">
      <c r="A141" s="9">
        <f>IFERROR(__xludf.DUMMYFUNCTION("""COMPUTED_VALUE"""),32.0)</f>
        <v>32</v>
      </c>
      <c r="B141" s="9"/>
      <c r="C141" s="9" t="str">
        <f>IFERROR(__xludf.DUMMYFUNCTION("""COMPUTED_VALUE"""),"Oman")</f>
        <v>Oman</v>
      </c>
      <c r="D141" s="9" t="str">
        <f>IFERROR(__xludf.DUMMYFUNCTION("""COMPUTED_VALUE"""),"Muscat")</f>
        <v>Muscat</v>
      </c>
      <c r="E141" s="11">
        <f>IFERROR(__xludf.DUMMYFUNCTION("""COMPUTED_VALUE"""),4520471.0)</f>
        <v>4520471</v>
      </c>
      <c r="F141" s="9" t="str">
        <f>IFERROR(__xludf.DUMMYFUNCTION("""COMPUTED_VALUE"""),"309,500 km2 (119,499 sq mi)")</f>
        <v>309,500 km2 (119,499 sq mi)</v>
      </c>
      <c r="G141" s="9"/>
      <c r="J141" s="3" t="s">
        <v>113</v>
      </c>
      <c r="K141" s="9" t="s">
        <v>141</v>
      </c>
    </row>
    <row r="142">
      <c r="A142" s="9">
        <f>IFERROR(__xludf.DUMMYFUNCTION("""COMPUTED_VALUE"""),33.0)</f>
        <v>33</v>
      </c>
      <c r="B142" s="9"/>
      <c r="C142" s="9" t="str">
        <f>IFERROR(__xludf.DUMMYFUNCTION("""COMPUTED_VALUE"""),"Pakistan")</f>
        <v>Pakistan</v>
      </c>
      <c r="D142" s="9" t="str">
        <f>IFERROR(__xludf.DUMMYFUNCTION("""COMPUTED_VALUE"""),"Islamabad")</f>
        <v>Islamabad</v>
      </c>
      <c r="E142" s="11">
        <f>IFERROR(__xludf.DUMMYFUNCTION("""COMPUTED_VALUE"""),2.31402117E8)</f>
        <v>231402117</v>
      </c>
      <c r="F142" s="9" t="str">
        <f>IFERROR(__xludf.DUMMYFUNCTION("""COMPUTED_VALUE"""),"881,913 km2 (340,509 sq mi)")</f>
        <v>881,913 km2 (340,509 sq mi)</v>
      </c>
      <c r="G142" s="9"/>
      <c r="J142" s="3" t="s">
        <v>113</v>
      </c>
      <c r="K142" s="9" t="s">
        <v>58</v>
      </c>
    </row>
    <row r="143">
      <c r="A143" s="9">
        <f>IFERROR(__xludf.DUMMYFUNCTION("""COMPUTED_VALUE"""),34.0)</f>
        <v>34</v>
      </c>
      <c r="B143" s="9"/>
      <c r="C143" s="9" t="str">
        <f>IFERROR(__xludf.DUMMYFUNCTION("""COMPUTED_VALUE"""),"Palestine")</f>
        <v>Palestine</v>
      </c>
      <c r="D143" s="9" t="str">
        <f>IFERROR(__xludf.DUMMYFUNCTION("""COMPUTED_VALUE"""),"Ramallah")</f>
        <v>Ramallah</v>
      </c>
      <c r="E143" s="11">
        <f>IFERROR(__xludf.DUMMYFUNCTION("""COMPUTED_VALUE"""),5483450.0)</f>
        <v>5483450</v>
      </c>
      <c r="F143" s="9" t="str">
        <f>IFERROR(__xludf.DUMMYFUNCTION("""COMPUTED_VALUE"""),"6,220 km2 (2,402 sq mi)")</f>
        <v>6,220 km2 (2,402 sq mi)</v>
      </c>
      <c r="G143" s="9"/>
      <c r="J143" s="3" t="s">
        <v>113</v>
      </c>
      <c r="K143" s="9" t="s">
        <v>142</v>
      </c>
    </row>
    <row r="144">
      <c r="A144" s="9">
        <f>IFERROR(__xludf.DUMMYFUNCTION("""COMPUTED_VALUE"""),35.0)</f>
        <v>35</v>
      </c>
      <c r="B144" s="9"/>
      <c r="C144" s="9" t="str">
        <f>IFERROR(__xludf.DUMMYFUNCTION("""COMPUTED_VALUE"""),"Philippines")</f>
        <v>Philippines</v>
      </c>
      <c r="D144" s="9" t="str">
        <f>IFERROR(__xludf.DUMMYFUNCTION("""COMPUTED_VALUE"""),"Manila")</f>
        <v>Manila</v>
      </c>
      <c r="E144" s="11">
        <f>IFERROR(__xludf.DUMMYFUNCTION("""COMPUTED_VALUE"""),1.13880328E8)</f>
        <v>113880328</v>
      </c>
      <c r="F144" s="9" t="str">
        <f>IFERROR(__xludf.DUMMYFUNCTION("""COMPUTED_VALUE"""),"343,448 km2 (132,606 sq mi)")</f>
        <v>343,448 km2 (132,606 sq mi)</v>
      </c>
      <c r="G144" s="9"/>
      <c r="J144" s="3" t="s">
        <v>113</v>
      </c>
      <c r="K144" s="9" t="s">
        <v>53</v>
      </c>
    </row>
    <row r="145">
      <c r="A145" s="9">
        <f>IFERROR(__xludf.DUMMYFUNCTION("""COMPUTED_VALUE"""),36.0)</f>
        <v>36</v>
      </c>
      <c r="B145" s="9"/>
      <c r="C145" s="9" t="str">
        <f>IFERROR(__xludf.DUMMYFUNCTION("""COMPUTED_VALUE"""),"Qatar")</f>
        <v>Qatar</v>
      </c>
      <c r="D145" s="9" t="str">
        <f>IFERROR(__xludf.DUMMYFUNCTION("""COMPUTED_VALUE"""),"Doha")</f>
        <v>Doha</v>
      </c>
      <c r="E145" s="11">
        <f>IFERROR(__xludf.DUMMYFUNCTION("""COMPUTED_VALUE"""),2688235.0)</f>
        <v>2688235</v>
      </c>
      <c r="F145" s="9" t="str">
        <f>IFERROR(__xludf.DUMMYFUNCTION("""COMPUTED_VALUE"""),"11,586 km2 (4,473 sq mi)")</f>
        <v>11,586 km2 (4,473 sq mi)</v>
      </c>
      <c r="G145" s="9"/>
      <c r="J145" s="3" t="s">
        <v>113</v>
      </c>
      <c r="K145" s="9" t="s">
        <v>147</v>
      </c>
    </row>
    <row r="146">
      <c r="A146" s="9">
        <f>IFERROR(__xludf.DUMMYFUNCTION("""COMPUTED_VALUE"""),37.0)</f>
        <v>37</v>
      </c>
      <c r="B146" s="9"/>
      <c r="C146" s="9" t="str">
        <f>IFERROR(__xludf.DUMMYFUNCTION("""COMPUTED_VALUE"""),"Saudi Arabia")</f>
        <v>Saudi Arabia</v>
      </c>
      <c r="D146" s="9" t="str">
        <f>IFERROR(__xludf.DUMMYFUNCTION("""COMPUTED_VALUE"""),"Riyadh")</f>
        <v>Riyadh</v>
      </c>
      <c r="E146" s="11">
        <f>IFERROR(__xludf.DUMMYFUNCTION("""COMPUTED_VALUE"""),3.5950396E7)</f>
        <v>35950396</v>
      </c>
      <c r="F146" s="9" t="str">
        <f>IFERROR(__xludf.DUMMYFUNCTION("""COMPUTED_VALUE"""),"2,149,690 km2 (830,000 sq mi)")</f>
        <v>2,149,690 km2 (830,000 sq mi)</v>
      </c>
      <c r="G146" s="9"/>
      <c r="J146" s="3" t="s">
        <v>113</v>
      </c>
      <c r="K146" s="9" t="s">
        <v>39</v>
      </c>
    </row>
    <row r="147">
      <c r="A147" s="9">
        <f>IFERROR(__xludf.DUMMYFUNCTION("""COMPUTED_VALUE"""),38.0)</f>
        <v>38</v>
      </c>
      <c r="B147" s="9"/>
      <c r="C147" s="9" t="str">
        <f>IFERROR(__xludf.DUMMYFUNCTION("""COMPUTED_VALUE"""),"Singapore")</f>
        <v>Singapore</v>
      </c>
      <c r="D147" s="9" t="str">
        <f>IFERROR(__xludf.DUMMYFUNCTION("""COMPUTED_VALUE"""),"Singapore)")</f>
        <v>Singapore)</v>
      </c>
      <c r="E147" s="11">
        <f>IFERROR(__xludf.DUMMYFUNCTION("""COMPUTED_VALUE"""),5941060.0)</f>
        <v>5941060</v>
      </c>
      <c r="F147" s="9" t="str">
        <f>IFERROR(__xludf.DUMMYFUNCTION("""COMPUTED_VALUE"""),"697 km2 (269 sq mi)")</f>
        <v>697 km2 (269 sq mi)</v>
      </c>
      <c r="G147" s="9"/>
      <c r="J147" s="3" t="s">
        <v>113</v>
      </c>
      <c r="K147" s="9" t="s">
        <v>151</v>
      </c>
    </row>
    <row r="148">
      <c r="A148" s="9">
        <f>IFERROR(__xludf.DUMMYFUNCTION("""COMPUTED_VALUE"""),39.0)</f>
        <v>39</v>
      </c>
      <c r="B148" s="9"/>
      <c r="C148" s="9" t="str">
        <f>IFERROR(__xludf.DUMMYFUNCTION("""COMPUTED_VALUE"""),"Sri Lanka")</f>
        <v>Sri Lanka</v>
      </c>
      <c r="D148" s="9" t="str">
        <f>IFERROR(__xludf.DUMMYFUNCTION("""COMPUTED_VALUE"""),"Colombo")</f>
        <v>Colombo</v>
      </c>
      <c r="E148" s="11">
        <f>IFERROR(__xludf.DUMMYFUNCTION("""COMPUTED_VALUE"""),2.1773441E7)</f>
        <v>21773441</v>
      </c>
      <c r="F148" s="9" t="str">
        <f>IFERROR(__xludf.DUMMYFUNCTION("""COMPUTED_VALUE"""),"65,610 km2 (25,332 sq mi)")</f>
        <v>65,610 km2 (25,332 sq mi)</v>
      </c>
      <c r="G148" s="9"/>
      <c r="J148" s="3" t="s">
        <v>113</v>
      </c>
      <c r="K148" s="9" t="s">
        <v>153</v>
      </c>
    </row>
    <row r="149">
      <c r="A149" s="9">
        <f>IFERROR(__xludf.DUMMYFUNCTION("""COMPUTED_VALUE"""),40.0)</f>
        <v>40</v>
      </c>
      <c r="B149" s="9"/>
      <c r="C149" s="9" t="str">
        <f>IFERROR(__xludf.DUMMYFUNCTION("""COMPUTED_VALUE"""),"Syria")</f>
        <v>Syria</v>
      </c>
      <c r="D149" s="9" t="str">
        <f>IFERROR(__xludf.DUMMYFUNCTION("""COMPUTED_VALUE"""),"Damascus")</f>
        <v>Damascus</v>
      </c>
      <c r="E149" s="11">
        <f>IFERROR(__xludf.DUMMYFUNCTION("""COMPUTED_VALUE"""),2.1324367E7)</f>
        <v>21324367</v>
      </c>
      <c r="F149" s="9" t="str">
        <f>IFERROR(__xludf.DUMMYFUNCTION("""COMPUTED_VALUE"""),"185,180 km2 (71,498 sq mi)")</f>
        <v>185,180 km2 (71,498 sq mi)</v>
      </c>
      <c r="G149" s="9"/>
      <c r="J149" s="3" t="s">
        <v>113</v>
      </c>
      <c r="K149" s="9" t="s">
        <v>155</v>
      </c>
    </row>
    <row r="150">
      <c r="A150" s="9">
        <f>IFERROR(__xludf.DUMMYFUNCTION("""COMPUTED_VALUE"""),41.0)</f>
        <v>41</v>
      </c>
      <c r="B150" s="9"/>
      <c r="C150" s="9" t="str">
        <f>IFERROR(__xludf.DUMMYFUNCTION("""COMPUTED_VALUE"""),"Tajikistan")</f>
        <v>Tajikistan</v>
      </c>
      <c r="D150" s="9" t="str">
        <f>IFERROR(__xludf.DUMMYFUNCTION("""COMPUTED_VALUE"""),"Dushanbe")</f>
        <v>Dushanbe</v>
      </c>
      <c r="E150" s="11">
        <f>IFERROR(__xludf.DUMMYFUNCTION("""COMPUTED_VALUE"""),9750064.0)</f>
        <v>9750064</v>
      </c>
      <c r="F150" s="9" t="str">
        <f>IFERROR(__xludf.DUMMYFUNCTION("""COMPUTED_VALUE"""),"143,100 km2 (55,251 sq mi)")</f>
        <v>143,100 km2 (55,251 sq mi)</v>
      </c>
      <c r="G150" s="9"/>
      <c r="J150" s="3" t="s">
        <v>113</v>
      </c>
      <c r="K150" s="9" t="s">
        <v>156</v>
      </c>
    </row>
    <row r="151">
      <c r="A151" s="9">
        <f>IFERROR(__xludf.DUMMYFUNCTION("""COMPUTED_VALUE"""),42.0)</f>
        <v>42</v>
      </c>
      <c r="B151" s="9"/>
      <c r="C151" s="9" t="str">
        <f>IFERROR(__xludf.DUMMYFUNCTION("""COMPUTED_VALUE"""),"Taiwan")</f>
        <v>Taiwan</v>
      </c>
      <c r="D151" s="9" t="str">
        <f>IFERROR(__xludf.DUMMYFUNCTION("""COMPUTED_VALUE"""),"Taipei[12][13]")</f>
        <v>Taipei[12][13]</v>
      </c>
      <c r="E151" s="11">
        <f>IFERROR(__xludf.DUMMYFUNCTION("""COMPUTED_VALUE"""),2.3859912E7)</f>
        <v>23859912</v>
      </c>
      <c r="F151" s="9" t="str">
        <f>IFERROR(__xludf.DUMMYFUNCTION("""COMPUTED_VALUE"""),"35,980 km2 (13,892 sq mi)[15]")</f>
        <v>35,980 km2 (13,892 sq mi)[15]</v>
      </c>
      <c r="G151" s="9"/>
      <c r="J151" s="3" t="s">
        <v>113</v>
      </c>
      <c r="K151" s="9" t="s">
        <v>42</v>
      </c>
    </row>
    <row r="152">
      <c r="A152" s="9">
        <f>IFERROR(__xludf.DUMMYFUNCTION("""COMPUTED_VALUE"""),43.0)</f>
        <v>43</v>
      </c>
      <c r="B152" s="9"/>
      <c r="C152" s="9" t="str">
        <f>IFERROR(__xludf.DUMMYFUNCTION("""COMPUTED_VALUE"""),"Thailand")</f>
        <v>Thailand</v>
      </c>
      <c r="D152" s="9" t="str">
        <f>IFERROR(__xludf.DUMMYFUNCTION("""COMPUTED_VALUE"""),"Bangkok")</f>
        <v>Bangkok</v>
      </c>
      <c r="E152" s="11">
        <f>IFERROR(__xludf.DUMMYFUNCTION("""COMPUTED_VALUE"""),7.1601103E7)</f>
        <v>71601103</v>
      </c>
      <c r="F152" s="9" t="str">
        <f>IFERROR(__xludf.DUMMYFUNCTION("""COMPUTED_VALUE"""),"513,120 km2 (198,117 sq mi)")</f>
        <v>513,120 km2 (198,117 sq mi)</v>
      </c>
      <c r="G152" s="9"/>
      <c r="J152" s="3" t="s">
        <v>113</v>
      </c>
      <c r="K152" s="9" t="s">
        <v>45</v>
      </c>
    </row>
    <row r="153">
      <c r="A153" s="9">
        <f>IFERROR(__xludf.DUMMYFUNCTION("""COMPUTED_VALUE"""),44.0)</f>
        <v>44</v>
      </c>
      <c r="B153" s="9"/>
      <c r="C153" s="9" t="str">
        <f>IFERROR(__xludf.DUMMYFUNCTION("""COMPUTED_VALUE"""),"Turkey[a]")</f>
        <v>Turkey[a]</v>
      </c>
      <c r="D153" s="9" t="str">
        <f>IFERROR(__xludf.DUMMYFUNCTION("""COMPUTED_VALUE"""),"Ankara")</f>
        <v>Ankara</v>
      </c>
      <c r="E153" s="11">
        <f>IFERROR(__xludf.DUMMYFUNCTION("""COMPUTED_VALUE"""),8.4775404E7)</f>
        <v>84775404</v>
      </c>
      <c r="F153" s="9" t="str">
        <f>IFERROR(__xludf.DUMMYFUNCTION("""COMPUTED_VALUE"""),"783,562 km2 (302,535 sq mi)")</f>
        <v>783,562 km2 (302,535 sq mi)</v>
      </c>
      <c r="G153" s="9"/>
      <c r="J153" s="3" t="s">
        <v>113</v>
      </c>
      <c r="K153" s="3" t="s">
        <v>37</v>
      </c>
    </row>
    <row r="154">
      <c r="A154" s="9">
        <f>IFERROR(__xludf.DUMMYFUNCTION("""COMPUTED_VALUE"""),45.0)</f>
        <v>45</v>
      </c>
      <c r="B154" s="9"/>
      <c r="C154" s="9" t="str">
        <f>IFERROR(__xludf.DUMMYFUNCTION("""COMPUTED_VALUE"""),"Turkmenistan")</f>
        <v>Turkmenistan</v>
      </c>
      <c r="D154" s="9" t="str">
        <f>IFERROR(__xludf.DUMMYFUNCTION("""COMPUTED_VALUE"""),"Ashgabat")</f>
        <v>Ashgabat</v>
      </c>
      <c r="E154" s="11">
        <f>IFERROR(__xludf.DUMMYFUNCTION("""COMPUTED_VALUE"""),6341855.0)</f>
        <v>6341855</v>
      </c>
      <c r="F154" s="9" t="str">
        <f>IFERROR(__xludf.DUMMYFUNCTION("""COMPUTED_VALUE"""),"488,100 km2 (188,456 sq mi)")</f>
        <v>488,100 km2 (188,456 sq mi)</v>
      </c>
      <c r="G154" s="9"/>
      <c r="J154" s="3" t="s">
        <v>113</v>
      </c>
      <c r="K154" s="9" t="s">
        <v>160</v>
      </c>
    </row>
    <row r="155">
      <c r="A155" s="9">
        <f>IFERROR(__xludf.DUMMYFUNCTION("""COMPUTED_VALUE"""),46.0)</f>
        <v>46</v>
      </c>
      <c r="B155" s="9"/>
      <c r="C155" s="9" t="str">
        <f>IFERROR(__xludf.DUMMYFUNCTION("""COMPUTED_VALUE"""),"United Arab Emirates")</f>
        <v>United Arab Emirates</v>
      </c>
      <c r="D155" s="9" t="str">
        <f>IFERROR(__xludf.DUMMYFUNCTION("""COMPUTED_VALUE"""),"Abu Dhabi")</f>
        <v>Abu Dhabi</v>
      </c>
      <c r="E155" s="11">
        <f>IFERROR(__xludf.DUMMYFUNCTION("""COMPUTED_VALUE"""),9365145.0)</f>
        <v>9365145</v>
      </c>
      <c r="F155" s="9" t="str">
        <f>IFERROR(__xludf.DUMMYFUNCTION("""COMPUTED_VALUE"""),"83,600 km2 (32,278 sq mi)")</f>
        <v>83,600 km2 (32,278 sq mi)</v>
      </c>
      <c r="G155" s="9"/>
      <c r="J155" s="3" t="s">
        <v>113</v>
      </c>
      <c r="K155" s="3" t="s">
        <v>60</v>
      </c>
    </row>
    <row r="156">
      <c r="A156" s="9">
        <f>IFERROR(__xludf.DUMMYFUNCTION("""COMPUTED_VALUE"""),47.0)</f>
        <v>47</v>
      </c>
      <c r="B156" s="9"/>
      <c r="C156" s="9" t="str">
        <f>IFERROR(__xludf.DUMMYFUNCTION("""COMPUTED_VALUE"""),"Uzbekistan")</f>
        <v>Uzbekistan</v>
      </c>
      <c r="D156" s="9" t="str">
        <f>IFERROR(__xludf.DUMMYFUNCTION("""COMPUTED_VALUE"""),"Tashkent")</f>
        <v>Tashkent</v>
      </c>
      <c r="E156" s="11">
        <f>IFERROR(__xludf.DUMMYFUNCTION("""COMPUTED_VALUE"""),3.4081449E7)</f>
        <v>34081449</v>
      </c>
      <c r="F156" s="9" t="str">
        <f>IFERROR(__xludf.DUMMYFUNCTION("""COMPUTED_VALUE"""),"447,400 km2 (172,742 sq mi)")</f>
        <v>447,400 km2 (172,742 sq mi)</v>
      </c>
      <c r="G156" s="9"/>
      <c r="J156" s="3" t="s">
        <v>113</v>
      </c>
      <c r="K156" s="9" t="s">
        <v>62</v>
      </c>
    </row>
    <row r="157">
      <c r="A157" s="9">
        <f>IFERROR(__xludf.DUMMYFUNCTION("""COMPUTED_VALUE"""),48.0)</f>
        <v>48</v>
      </c>
      <c r="B157" s="9"/>
      <c r="C157" s="9" t="str">
        <f>IFERROR(__xludf.DUMMYFUNCTION("""COMPUTED_VALUE"""),"Vietnam")</f>
        <v>Vietnam</v>
      </c>
      <c r="D157" s="9" t="str">
        <f>IFERROR(__xludf.DUMMYFUNCTION("""COMPUTED_VALUE"""),"Hanoi")</f>
        <v>Hanoi</v>
      </c>
      <c r="E157" s="11">
        <f>IFERROR(__xludf.DUMMYFUNCTION("""COMPUTED_VALUE"""),9.7468029E7)</f>
        <v>97468029</v>
      </c>
      <c r="F157" s="9" t="str">
        <f>IFERROR(__xludf.DUMMYFUNCTION("""COMPUTED_VALUE"""),"332,698 km2 (128,455 sq mi)")</f>
        <v>332,698 km2 (128,455 sq mi)</v>
      </c>
      <c r="G157" s="9"/>
      <c r="J157" s="3" t="s">
        <v>113</v>
      </c>
      <c r="K157" s="9" t="s">
        <v>49</v>
      </c>
    </row>
    <row r="158">
      <c r="A158" s="9">
        <f>IFERROR(__xludf.DUMMYFUNCTION("""COMPUTED_VALUE"""),49.0)</f>
        <v>49</v>
      </c>
      <c r="B158" s="9"/>
      <c r="C158" s="9" t="str">
        <f>IFERROR(__xludf.DUMMYFUNCTION("""COMPUTED_VALUE"""),"Yemen")</f>
        <v>Yemen</v>
      </c>
      <c r="D158" s="9" t="str">
        <f>IFERROR(__xludf.DUMMYFUNCTION("""COMPUTED_VALUE"""),"Sana'a[f]")</f>
        <v>Sana'a[f]</v>
      </c>
      <c r="E158" s="11">
        <f>IFERROR(__xludf.DUMMYFUNCTION("""COMPUTED_VALUE"""),3.2981641E7)</f>
        <v>32981641</v>
      </c>
      <c r="F158" s="9" t="str">
        <f>IFERROR(__xludf.DUMMYFUNCTION("""COMPUTED_VALUE"""),"527,968 km2 (203,850 sq mi)")</f>
        <v>527,968 km2 (203,850 sq mi)</v>
      </c>
      <c r="G158" s="9"/>
      <c r="J158" s="3" t="s">
        <v>113</v>
      </c>
      <c r="K158" s="9" t="s">
        <v>164</v>
      </c>
    </row>
    <row r="162">
      <c r="A162" s="9" t="str">
        <f>IFERROR(__xludf.DUMMYFUNCTION("IMPORTHTML(""https://simple.wikipedia.org/wiki/List_of_countries_by_continents"",""table"",5,""en_us"")"),"")</f>
        <v/>
      </c>
      <c r="B162" s="9" t="str">
        <f>IFERROR(__xludf.DUMMYFUNCTION("""COMPUTED_VALUE"""),"Flag")</f>
        <v>Flag</v>
      </c>
      <c r="C162" s="9" t="str">
        <f>IFERROR(__xludf.DUMMYFUNCTION("""COMPUTED_VALUE"""),"English Names 
[4][12][19][20]")</f>
        <v>English Names 
[4][12][19][20]</v>
      </c>
      <c r="D162" s="9" t="str">
        <f>IFERROR(__xludf.DUMMYFUNCTION("""COMPUTED_VALUE"""),"Capital 
[12][14][21]")</f>
        <v>Capital 
[12][14][21]</v>
      </c>
      <c r="E162" s="9" t="str">
        <f>IFERROR(__xludf.DUMMYFUNCTION("""COMPUTED_VALUE"""),"Population 2021 
[7][8]")</f>
        <v>Population 2021 
[7][8]</v>
      </c>
      <c r="F162" s="9" t="str">
        <f>IFERROR(__xludf.DUMMYFUNCTION("""COMPUTED_VALUE"""),"Area[a][b]
[9]")</f>
        <v>Area[a][b]
[9]</v>
      </c>
      <c r="G162" s="9" t="str">
        <f>IFERROR(__xludf.DUMMYFUNCTION("""COMPUTED_VALUE"""),"Currency 
[12]")</f>
        <v>Currency 
[12]</v>
      </c>
      <c r="H162" s="9" t="str">
        <f>IFERROR(__xludf.DUMMYFUNCTION("""COMPUTED_VALUE"""),"Map")</f>
        <v>Map</v>
      </c>
      <c r="J162" s="10" t="s">
        <v>4</v>
      </c>
      <c r="K162" s="10" t="s">
        <v>169</v>
      </c>
    </row>
    <row r="163">
      <c r="A163" s="9">
        <f>IFERROR(__xludf.DUMMYFUNCTION("""COMPUTED_VALUE"""),1.0)</f>
        <v>1</v>
      </c>
      <c r="B163" s="9"/>
      <c r="C163" s="9" t="str">
        <f>IFERROR(__xludf.DUMMYFUNCTION("""COMPUTED_VALUE"""),"Antigua and Barbuda")</f>
        <v>Antigua and Barbuda</v>
      </c>
      <c r="D163" s="9" t="str">
        <f>IFERROR(__xludf.DUMMYFUNCTION("""COMPUTED_VALUE"""),"St. John's")</f>
        <v>St. John's</v>
      </c>
      <c r="E163" s="11">
        <f>IFERROR(__xludf.DUMMYFUNCTION("""COMPUTED_VALUE"""),93219.0)</f>
        <v>93219</v>
      </c>
      <c r="F163" s="9" t="str">
        <f>IFERROR(__xludf.DUMMYFUNCTION("""COMPUTED_VALUE"""),"442.6 km2 (171 sq mi)")</f>
        <v>442.6 km2 (171 sq mi)</v>
      </c>
      <c r="G163" s="9" t="str">
        <f>IFERROR(__xludf.DUMMYFUNCTION("""COMPUTED_VALUE"""),"East Caribbean dollar")</f>
        <v>East Caribbean dollar</v>
      </c>
      <c r="H163" s="9"/>
      <c r="J163" s="3" t="s">
        <v>146</v>
      </c>
      <c r="K163" s="9" t="s">
        <v>209</v>
      </c>
    </row>
    <row r="164">
      <c r="A164" s="9">
        <f>IFERROR(__xludf.DUMMYFUNCTION("""COMPUTED_VALUE"""),2.0)</f>
        <v>2</v>
      </c>
      <c r="B164" s="9"/>
      <c r="C164" s="9" t="str">
        <f>IFERROR(__xludf.DUMMYFUNCTION("""COMPUTED_VALUE"""),"The Bahamas")</f>
        <v>The Bahamas</v>
      </c>
      <c r="D164" s="9" t="str">
        <f>IFERROR(__xludf.DUMMYFUNCTION("""COMPUTED_VALUE"""),"Nassau")</f>
        <v>Nassau</v>
      </c>
      <c r="E164" s="11">
        <f>IFERROR(__xludf.DUMMYFUNCTION("""COMPUTED_VALUE"""),407906.0)</f>
        <v>407906</v>
      </c>
      <c r="F164" s="9" t="str">
        <f>IFERROR(__xludf.DUMMYFUNCTION("""COMPUTED_VALUE"""),"13,940 km2 (5,382 sq mi)")</f>
        <v>13,940 km2 (5,382 sq mi)</v>
      </c>
      <c r="G164" s="9" t="str">
        <f>IFERROR(__xludf.DUMMYFUNCTION("""COMPUTED_VALUE"""),"Bahamian dollar")</f>
        <v>Bahamian dollar</v>
      </c>
      <c r="H164" s="9"/>
      <c r="J164" s="3" t="s">
        <v>146</v>
      </c>
      <c r="K164" s="3" t="s">
        <v>85</v>
      </c>
    </row>
    <row r="165">
      <c r="A165" s="9">
        <f>IFERROR(__xludf.DUMMYFUNCTION("""COMPUTED_VALUE"""),3.0)</f>
        <v>3</v>
      </c>
      <c r="B165" s="9"/>
      <c r="C165" s="9" t="str">
        <f>IFERROR(__xludf.DUMMYFUNCTION("""COMPUTED_VALUE"""),"Barbados[n 5]")</f>
        <v>Barbados[n 5]</v>
      </c>
      <c r="D165" s="9" t="str">
        <f>IFERROR(__xludf.DUMMYFUNCTION("""COMPUTED_VALUE"""),"Bridgetown")</f>
        <v>Bridgetown</v>
      </c>
      <c r="E165" s="11">
        <f>IFERROR(__xludf.DUMMYFUNCTION("""COMPUTED_VALUE"""),281200.0)</f>
        <v>281200</v>
      </c>
      <c r="F165" s="9" t="str">
        <f>IFERROR(__xludf.DUMMYFUNCTION("""COMPUTED_VALUE"""),"431 km2 (166 sq mi)")</f>
        <v>431 km2 (166 sq mi)</v>
      </c>
      <c r="G165" s="9" t="str">
        <f>IFERROR(__xludf.DUMMYFUNCTION("""COMPUTED_VALUE"""),"Barbadian dollar")</f>
        <v>Barbadian dollar</v>
      </c>
      <c r="H165" s="9"/>
      <c r="J165" s="3" t="s">
        <v>146</v>
      </c>
      <c r="K165" s="3" t="s">
        <v>210</v>
      </c>
    </row>
    <row r="166">
      <c r="A166" s="9">
        <f>IFERROR(__xludf.DUMMYFUNCTION("""COMPUTED_VALUE"""),4.0)</f>
        <v>4</v>
      </c>
      <c r="B166" s="9"/>
      <c r="C166" s="9" t="str">
        <f>IFERROR(__xludf.DUMMYFUNCTION("""COMPUTED_VALUE"""),"Belize[n 5][n 6]")</f>
        <v>Belize[n 5][n 6]</v>
      </c>
      <c r="D166" s="9" t="str">
        <f>IFERROR(__xludf.DUMMYFUNCTION("""COMPUTED_VALUE"""),"Belmopan")</f>
        <v>Belmopan</v>
      </c>
      <c r="E166" s="11">
        <f>IFERROR(__xludf.DUMMYFUNCTION("""COMPUTED_VALUE"""),400031.0)</f>
        <v>400031</v>
      </c>
      <c r="F166" s="9" t="str">
        <f>IFERROR(__xludf.DUMMYFUNCTION("""COMPUTED_VALUE"""),"22,966 km2 (8,867 sq mi)")</f>
        <v>22,966 km2 (8,867 sq mi)</v>
      </c>
      <c r="G166" s="9" t="str">
        <f>IFERROR(__xludf.DUMMYFUNCTION("""COMPUTED_VALUE"""),"Belize dollar")</f>
        <v>Belize dollar</v>
      </c>
      <c r="H166" s="9"/>
      <c r="J166" s="3" t="s">
        <v>146</v>
      </c>
      <c r="K166" s="3" t="s">
        <v>89</v>
      </c>
    </row>
    <row r="167">
      <c r="A167" s="9">
        <f>IFERROR(__xludf.DUMMYFUNCTION("""COMPUTED_VALUE"""),5.0)</f>
        <v>5</v>
      </c>
      <c r="B167" s="9"/>
      <c r="C167" s="9" t="str">
        <f>IFERROR(__xludf.DUMMYFUNCTION("""COMPUTED_VALUE"""),"Canada[n 7]")</f>
        <v>Canada[n 7]</v>
      </c>
      <c r="D167" s="9" t="str">
        <f>IFERROR(__xludf.DUMMYFUNCTION("""COMPUTED_VALUE"""),"Ottawa")</f>
        <v>Ottawa</v>
      </c>
      <c r="E167" s="11">
        <f>IFERROR(__xludf.DUMMYFUNCTION("""COMPUTED_VALUE"""),3.8155012E7)</f>
        <v>38155012</v>
      </c>
      <c r="F167" s="9" t="str">
        <f>IFERROR(__xludf.DUMMYFUNCTION("""COMPUTED_VALUE"""),"9,984,670 km2 (3,855,103 sq mi)")</f>
        <v>9,984,670 km2 (3,855,103 sq mi)</v>
      </c>
      <c r="G167" s="9" t="str">
        <f>IFERROR(__xludf.DUMMYFUNCTION("""COMPUTED_VALUE"""),"Canadian dollar")</f>
        <v>Canadian dollar</v>
      </c>
      <c r="H167" s="9"/>
      <c r="J167" s="3" t="s">
        <v>146</v>
      </c>
      <c r="K167" s="3" t="s">
        <v>51</v>
      </c>
    </row>
    <row r="168">
      <c r="A168" s="9">
        <f>IFERROR(__xludf.DUMMYFUNCTION("""COMPUTED_VALUE"""),6.0)</f>
        <v>6</v>
      </c>
      <c r="B168" s="9"/>
      <c r="C168" s="9" t="str">
        <f>IFERROR(__xludf.DUMMYFUNCTION("""COMPUTED_VALUE"""),"Costa Rica[n 6]")</f>
        <v>Costa Rica[n 6]</v>
      </c>
      <c r="D168" s="9" t="str">
        <f>IFERROR(__xludf.DUMMYFUNCTION("""COMPUTED_VALUE"""),"San José")</f>
        <v>San José</v>
      </c>
      <c r="E168" s="11">
        <f>IFERROR(__xludf.DUMMYFUNCTION("""COMPUTED_VALUE"""),5153957.0)</f>
        <v>5153957</v>
      </c>
      <c r="F168" s="9" t="str">
        <f>IFERROR(__xludf.DUMMYFUNCTION("""COMPUTED_VALUE"""),"51,100 km2 (19,730 sq mi)")</f>
        <v>51,100 km2 (19,730 sq mi)</v>
      </c>
      <c r="G168" s="9" t="str">
        <f>IFERROR(__xludf.DUMMYFUNCTION("""COMPUTED_VALUE"""),"Costa Rican colón")</f>
        <v>Costa Rican colón</v>
      </c>
      <c r="H168" s="9"/>
      <c r="J168" s="3" t="s">
        <v>146</v>
      </c>
      <c r="K168" s="3" t="s">
        <v>99</v>
      </c>
    </row>
    <row r="169">
      <c r="A169" s="9">
        <f>IFERROR(__xludf.DUMMYFUNCTION("""COMPUTED_VALUE"""),7.0)</f>
        <v>7</v>
      </c>
      <c r="B169" s="9"/>
      <c r="C169" s="9" t="str">
        <f>IFERROR(__xludf.DUMMYFUNCTION("""COMPUTED_VALUE"""),"Cuba")</f>
        <v>Cuba</v>
      </c>
      <c r="D169" s="9" t="str">
        <f>IFERROR(__xludf.DUMMYFUNCTION("""COMPUTED_VALUE"""),"Havana")</f>
        <v>Havana</v>
      </c>
      <c r="E169" s="11">
        <f>IFERROR(__xludf.DUMMYFUNCTION("""COMPUTED_VALUE"""),1.1256372E7)</f>
        <v>11256372</v>
      </c>
      <c r="F169" s="9" t="str">
        <f>IFERROR(__xludf.DUMMYFUNCTION("""COMPUTED_VALUE"""),"110,860 km2 (42,803 sq mi)")</f>
        <v>110,860 km2 (42,803 sq mi)</v>
      </c>
      <c r="G169" s="9" t="str">
        <f>IFERROR(__xludf.DUMMYFUNCTION("""COMPUTED_VALUE"""),"Cuban peso
Cuban convertible peso")</f>
        <v>Cuban peso
Cuban convertible peso</v>
      </c>
      <c r="H169" s="9"/>
      <c r="J169" s="3" t="s">
        <v>146</v>
      </c>
      <c r="K169" s="9" t="s">
        <v>100</v>
      </c>
    </row>
    <row r="170">
      <c r="A170" s="9">
        <f>IFERROR(__xludf.DUMMYFUNCTION("""COMPUTED_VALUE"""),8.0)</f>
        <v>8</v>
      </c>
      <c r="B170" s="9"/>
      <c r="C170" s="9" t="str">
        <f>IFERROR(__xludf.DUMMYFUNCTION("""COMPUTED_VALUE"""),"Dominica[n 5]")</f>
        <v>Dominica[n 5]</v>
      </c>
      <c r="D170" s="9" t="str">
        <f>IFERROR(__xludf.DUMMYFUNCTION("""COMPUTED_VALUE"""),"Roseau")</f>
        <v>Roseau</v>
      </c>
      <c r="E170" s="11">
        <f>IFERROR(__xludf.DUMMYFUNCTION("""COMPUTED_VALUE"""),72412.0)</f>
        <v>72412</v>
      </c>
      <c r="F170" s="9" t="str">
        <f>IFERROR(__xludf.DUMMYFUNCTION("""COMPUTED_VALUE"""),"754 km2 (291 sq mi)")</f>
        <v>754 km2 (291 sq mi)</v>
      </c>
      <c r="G170" s="9" t="str">
        <f>IFERROR(__xludf.DUMMYFUNCTION("""COMPUTED_VALUE"""),"East Caribbean dollar")</f>
        <v>East Caribbean dollar</v>
      </c>
      <c r="H170" s="9"/>
      <c r="J170" s="3" t="s">
        <v>146</v>
      </c>
      <c r="K170" s="3" t="s">
        <v>211</v>
      </c>
    </row>
    <row r="171">
      <c r="A171" s="9">
        <f>IFERROR(__xludf.DUMMYFUNCTION("""COMPUTED_VALUE"""),9.0)</f>
        <v>9</v>
      </c>
      <c r="B171" s="9"/>
      <c r="C171" s="9" t="str">
        <f>IFERROR(__xludf.DUMMYFUNCTION("""COMPUTED_VALUE"""),"Dominican Republic")</f>
        <v>Dominican Republic</v>
      </c>
      <c r="D171" s="9" t="str">
        <f>IFERROR(__xludf.DUMMYFUNCTION("""COMPUTED_VALUE"""),"Santo Domingo")</f>
        <v>Santo Domingo</v>
      </c>
      <c r="E171" s="11">
        <f>IFERROR(__xludf.DUMMYFUNCTION("""COMPUTED_VALUE"""),1.1117873E7)</f>
        <v>11117873</v>
      </c>
      <c r="F171" s="9" t="str">
        <f>IFERROR(__xludf.DUMMYFUNCTION("""COMPUTED_VALUE"""),"48,730 km2 (18,815 sq mi)")</f>
        <v>48,730 km2 (18,815 sq mi)</v>
      </c>
      <c r="G171" s="9" t="str">
        <f>IFERROR(__xludf.DUMMYFUNCTION("""COMPUTED_VALUE"""),"Dominican peso")</f>
        <v>Dominican peso</v>
      </c>
      <c r="H171" s="9"/>
      <c r="J171" s="3" t="s">
        <v>146</v>
      </c>
      <c r="K171" s="3" t="s">
        <v>102</v>
      </c>
    </row>
    <row r="172">
      <c r="A172" s="9">
        <f>IFERROR(__xludf.DUMMYFUNCTION("""COMPUTED_VALUE"""),10.0)</f>
        <v>10</v>
      </c>
      <c r="B172" s="9"/>
      <c r="C172" s="9" t="str">
        <f>IFERROR(__xludf.DUMMYFUNCTION("""COMPUTED_VALUE"""),"El Salvador[n 6]")</f>
        <v>El Salvador[n 6]</v>
      </c>
      <c r="D172" s="9" t="str">
        <f>IFERROR(__xludf.DUMMYFUNCTION("""COMPUTED_VALUE"""),"San Salvador")</f>
        <v>San Salvador</v>
      </c>
      <c r="E172" s="11">
        <f>IFERROR(__xludf.DUMMYFUNCTION("""COMPUTED_VALUE"""),6314167.0)</f>
        <v>6314167</v>
      </c>
      <c r="F172" s="9" t="str">
        <f>IFERROR(__xludf.DUMMYFUNCTION("""COMPUTED_VALUE"""),"21,040 km2 (8,124 sq mi)")</f>
        <v>21,040 km2 (8,124 sq mi)</v>
      </c>
      <c r="G172" s="9" t="str">
        <f>IFERROR(__xludf.DUMMYFUNCTION("""COMPUTED_VALUE"""),"United States dollar")</f>
        <v>United States dollar</v>
      </c>
      <c r="H172" s="9"/>
      <c r="J172" s="3" t="s">
        <v>146</v>
      </c>
      <c r="K172" s="3" t="s">
        <v>104</v>
      </c>
    </row>
    <row r="173">
      <c r="A173" s="9">
        <f>IFERROR(__xludf.DUMMYFUNCTION("""COMPUTED_VALUE"""),11.0)</f>
        <v>11</v>
      </c>
      <c r="B173" s="9"/>
      <c r="C173" s="9" t="str">
        <f>IFERROR(__xludf.DUMMYFUNCTION("""COMPUTED_VALUE"""),"Grenada[n 5]")</f>
        <v>Grenada[n 5]</v>
      </c>
      <c r="D173" s="9" t="str">
        <f>IFERROR(__xludf.DUMMYFUNCTION("""COMPUTED_VALUE"""),"St. George's")</f>
        <v>St. George's</v>
      </c>
      <c r="E173" s="11">
        <f>IFERROR(__xludf.DUMMYFUNCTION("""COMPUTED_VALUE"""),124610.0)</f>
        <v>124610</v>
      </c>
      <c r="F173" s="9" t="str">
        <f>IFERROR(__xludf.DUMMYFUNCTION("""COMPUTED_VALUE"""),"344 km2 (133 sq mi)")</f>
        <v>344 km2 (133 sq mi)</v>
      </c>
      <c r="G173" s="9" t="str">
        <f>IFERROR(__xludf.DUMMYFUNCTION("""COMPUTED_VALUE"""),"East Caribbean dollar")</f>
        <v>East Caribbean dollar</v>
      </c>
      <c r="H173" s="9"/>
      <c r="J173" s="3" t="s">
        <v>146</v>
      </c>
      <c r="K173" s="3" t="s">
        <v>212</v>
      </c>
    </row>
    <row r="174">
      <c r="A174" s="9">
        <f>IFERROR(__xludf.DUMMYFUNCTION("""COMPUTED_VALUE"""),12.0)</f>
        <v>12</v>
      </c>
      <c r="B174" s="9"/>
      <c r="C174" s="9" t="str">
        <f>IFERROR(__xludf.DUMMYFUNCTION("""COMPUTED_VALUE"""),"Guatemala[n 6]")</f>
        <v>Guatemala[n 6]</v>
      </c>
      <c r="D174" s="9" t="str">
        <f>IFERROR(__xludf.DUMMYFUNCTION("""COMPUTED_VALUE"""),"Guatemala City")</f>
        <v>Guatemala City</v>
      </c>
      <c r="E174" s="11">
        <f>IFERROR(__xludf.DUMMYFUNCTION("""COMPUTED_VALUE"""),1.7608483E7)</f>
        <v>17608483</v>
      </c>
      <c r="F174" s="9" t="str">
        <f>IFERROR(__xludf.DUMMYFUNCTION("""COMPUTED_VALUE"""),"108,890 km2 (42,043 sq mi)")</f>
        <v>108,890 km2 (42,043 sq mi)</v>
      </c>
      <c r="G174" s="9" t="str">
        <f>IFERROR(__xludf.DUMMYFUNCTION("""COMPUTED_VALUE"""),"Guatemalan quetzal")</f>
        <v>Guatemalan quetzal</v>
      </c>
      <c r="H174" s="9"/>
      <c r="J174" s="3" t="s">
        <v>146</v>
      </c>
      <c r="K174" s="3" t="s">
        <v>109</v>
      </c>
    </row>
    <row r="175">
      <c r="A175" s="9">
        <f>IFERROR(__xludf.DUMMYFUNCTION("""COMPUTED_VALUE"""),13.0)</f>
        <v>13</v>
      </c>
      <c r="B175" s="9"/>
      <c r="C175" s="9" t="str">
        <f>IFERROR(__xludf.DUMMYFUNCTION("""COMPUTED_VALUE"""),"Haiti[n 5]")</f>
        <v>Haiti[n 5]</v>
      </c>
      <c r="D175" s="9" t="str">
        <f>IFERROR(__xludf.DUMMYFUNCTION("""COMPUTED_VALUE"""),"Port-au-Prince")</f>
        <v>Port-au-Prince</v>
      </c>
      <c r="E175" s="11">
        <f>IFERROR(__xludf.DUMMYFUNCTION("""COMPUTED_VALUE"""),1.1447569E7)</f>
        <v>11447569</v>
      </c>
      <c r="F175" s="9" t="str">
        <f>IFERROR(__xludf.DUMMYFUNCTION("""COMPUTED_VALUE"""),"27,750 km2 (10,714 sq mi)")</f>
        <v>27,750 km2 (10,714 sq mi)</v>
      </c>
      <c r="G175" s="9" t="str">
        <f>IFERROR(__xludf.DUMMYFUNCTION("""COMPUTED_VALUE"""),"Haitian gourde")</f>
        <v>Haitian gourde</v>
      </c>
      <c r="H175" s="9"/>
      <c r="J175" s="3" t="s">
        <v>146</v>
      </c>
      <c r="K175" s="3" t="s">
        <v>213</v>
      </c>
    </row>
    <row r="176">
      <c r="A176" s="9">
        <f>IFERROR(__xludf.DUMMYFUNCTION("""COMPUTED_VALUE"""),14.0)</f>
        <v>14</v>
      </c>
      <c r="B176" s="9"/>
      <c r="C176" s="9" t="str">
        <f>IFERROR(__xludf.DUMMYFUNCTION("""COMPUTED_VALUE"""),"Honduras[n 6]")</f>
        <v>Honduras[n 6]</v>
      </c>
      <c r="D176" s="9" t="str">
        <f>IFERROR(__xludf.DUMMYFUNCTION("""COMPUTED_VALUE"""),"Tegucigalpa")</f>
        <v>Tegucigalpa</v>
      </c>
      <c r="E176" s="11">
        <f>IFERROR(__xludf.DUMMYFUNCTION("""COMPUTED_VALUE"""),1.0278345E7)</f>
        <v>10278345</v>
      </c>
      <c r="F176" s="9" t="str">
        <f>IFERROR(__xludf.DUMMYFUNCTION("""COMPUTED_VALUE"""),"112,090 km2 (43,278 sq mi)")</f>
        <v>112,090 km2 (43,278 sq mi)</v>
      </c>
      <c r="G176" s="9" t="str">
        <f>IFERROR(__xludf.DUMMYFUNCTION("""COMPUTED_VALUE"""),"Honduran lempira")</f>
        <v>Honduran lempira</v>
      </c>
      <c r="H176" s="9"/>
      <c r="J176" s="3" t="s">
        <v>146</v>
      </c>
      <c r="K176" s="3" t="s">
        <v>111</v>
      </c>
    </row>
    <row r="177">
      <c r="A177" s="9">
        <f>IFERROR(__xludf.DUMMYFUNCTION("""COMPUTED_VALUE"""),15.0)</f>
        <v>15</v>
      </c>
      <c r="B177" s="9"/>
      <c r="C177" s="9" t="str">
        <f>IFERROR(__xludf.DUMMYFUNCTION("""COMPUTED_VALUE"""),"Jamaica[n 5]")</f>
        <v>Jamaica[n 5]</v>
      </c>
      <c r="D177" s="9" t="str">
        <f>IFERROR(__xludf.DUMMYFUNCTION("""COMPUTED_VALUE"""),"Kingston")</f>
        <v>Kingston</v>
      </c>
      <c r="E177" s="11">
        <f>IFERROR(__xludf.DUMMYFUNCTION("""COMPUTED_VALUE"""),2827695.0)</f>
        <v>2827695</v>
      </c>
      <c r="F177" s="9" t="str">
        <f>IFERROR(__xludf.DUMMYFUNCTION("""COMPUTED_VALUE"""),"10,991 km2 (4,244 sq mi)")</f>
        <v>10,991 km2 (4,244 sq mi)</v>
      </c>
      <c r="G177" s="9" t="str">
        <f>IFERROR(__xludf.DUMMYFUNCTION("""COMPUTED_VALUE"""),"Jamaican dollar")</f>
        <v>Jamaican dollar</v>
      </c>
      <c r="H177" s="9"/>
      <c r="J177" s="3" t="s">
        <v>146</v>
      </c>
      <c r="K177" s="3" t="s">
        <v>118</v>
      </c>
    </row>
    <row r="178">
      <c r="A178" s="9">
        <f>IFERROR(__xludf.DUMMYFUNCTION("""COMPUTED_VALUE"""),16.0)</f>
        <v>16</v>
      </c>
      <c r="B178" s="9"/>
      <c r="C178" s="9" t="str">
        <f>IFERROR(__xludf.DUMMYFUNCTION("""COMPUTED_VALUE"""),"Mexico[n 7]")</f>
        <v>Mexico[n 7]</v>
      </c>
      <c r="D178" s="9" t="str">
        <f>IFERROR(__xludf.DUMMYFUNCTION("""COMPUTED_VALUE"""),"Mexico City")</f>
        <v>Mexico City</v>
      </c>
      <c r="E178" s="11">
        <f>IFERROR(__xludf.DUMMYFUNCTION("""COMPUTED_VALUE"""),1.26705138E8)</f>
        <v>126705138</v>
      </c>
      <c r="F178" s="9" t="str">
        <f>IFERROR(__xludf.DUMMYFUNCTION("""COMPUTED_VALUE"""),"1,972,550 km2 (761,606 sq mi)")</f>
        <v>1,972,550 km2 (761,606 sq mi)</v>
      </c>
      <c r="G178" s="9" t="str">
        <f>IFERROR(__xludf.DUMMYFUNCTION("""COMPUTED_VALUE"""),"Mexican peso")</f>
        <v>Mexican peso</v>
      </c>
      <c r="H178" s="9"/>
      <c r="J178" s="3" t="s">
        <v>146</v>
      </c>
      <c r="K178" s="3" t="s">
        <v>40</v>
      </c>
    </row>
    <row r="179">
      <c r="A179" s="9">
        <f>IFERROR(__xludf.DUMMYFUNCTION("""COMPUTED_VALUE"""),17.0)</f>
        <v>17</v>
      </c>
      <c r="B179" s="9"/>
      <c r="C179" s="9" t="str">
        <f>IFERROR(__xludf.DUMMYFUNCTION("""COMPUTED_VALUE"""),"Nicaragua[n 6]")</f>
        <v>Nicaragua[n 6]</v>
      </c>
      <c r="D179" s="9" t="str">
        <f>IFERROR(__xludf.DUMMYFUNCTION("""COMPUTED_VALUE"""),"Managua")</f>
        <v>Managua</v>
      </c>
      <c r="E179" s="11">
        <f>IFERROR(__xludf.DUMMYFUNCTION("""COMPUTED_VALUE"""),6850540.0)</f>
        <v>6850540</v>
      </c>
      <c r="F179" s="9" t="str">
        <f>IFERROR(__xludf.DUMMYFUNCTION("""COMPUTED_VALUE"""),"129,494 km2 (49,998 sq mi)")</f>
        <v>129,494 km2 (49,998 sq mi)</v>
      </c>
      <c r="G179" s="9" t="str">
        <f>IFERROR(__xludf.DUMMYFUNCTION("""COMPUTED_VALUE"""),"Nicaraguan córdoba")</f>
        <v>Nicaraguan córdoba</v>
      </c>
      <c r="H179" s="9"/>
      <c r="J179" s="3" t="s">
        <v>146</v>
      </c>
      <c r="K179" s="3" t="s">
        <v>138</v>
      </c>
    </row>
    <row r="180">
      <c r="A180" s="9">
        <f>IFERROR(__xludf.DUMMYFUNCTION("""COMPUTED_VALUE"""),18.0)</f>
        <v>18</v>
      </c>
      <c r="B180" s="9"/>
      <c r="C180" s="9" t="str">
        <f>IFERROR(__xludf.DUMMYFUNCTION("""COMPUTED_VALUE"""),"Panama[n 6]")</f>
        <v>Panama[n 6]</v>
      </c>
      <c r="D180" s="9" t="str">
        <f>IFERROR(__xludf.DUMMYFUNCTION("""COMPUTED_VALUE"""),"Panama City")</f>
        <v>Panama City</v>
      </c>
      <c r="E180" s="11">
        <f>IFERROR(__xludf.DUMMYFUNCTION("""COMPUTED_VALUE"""),4351267.0)</f>
        <v>4351267</v>
      </c>
      <c r="F180" s="9" t="str">
        <f>IFERROR(__xludf.DUMMYFUNCTION("""COMPUTED_VALUE"""),"78,200 km2 (30,193 sq mi)")</f>
        <v>78,200 km2 (30,193 sq mi)</v>
      </c>
      <c r="G180" s="9" t="str">
        <f>IFERROR(__xludf.DUMMYFUNCTION("""COMPUTED_VALUE"""),"Panamanian balboa
United States dollar")</f>
        <v>Panamanian balboa
United States dollar</v>
      </c>
      <c r="H180" s="9"/>
      <c r="J180" s="3" t="s">
        <v>146</v>
      </c>
      <c r="K180" s="3" t="s">
        <v>143</v>
      </c>
    </row>
    <row r="181">
      <c r="A181" s="9">
        <f>IFERROR(__xludf.DUMMYFUNCTION("""COMPUTED_VALUE"""),19.0)</f>
        <v>19</v>
      </c>
      <c r="B181" s="9"/>
      <c r="C181" s="9" t="str">
        <f>IFERROR(__xludf.DUMMYFUNCTION("""COMPUTED_VALUE"""),"Saint Kitts and Nevis")</f>
        <v>Saint Kitts and Nevis</v>
      </c>
      <c r="D181" s="9" t="str">
        <f>IFERROR(__xludf.DUMMYFUNCTION("""COMPUTED_VALUE"""),"Basseterre")</f>
        <v>Basseterre</v>
      </c>
      <c r="E181" s="11">
        <f>IFERROR(__xludf.DUMMYFUNCTION("""COMPUTED_VALUE"""),47606.0)</f>
        <v>47606</v>
      </c>
      <c r="F181" s="9" t="str">
        <f>IFERROR(__xludf.DUMMYFUNCTION("""COMPUTED_VALUE"""),"261 km2 (101 sq mi)")</f>
        <v>261 km2 (101 sq mi)</v>
      </c>
      <c r="G181" s="9" t="str">
        <f>IFERROR(__xludf.DUMMYFUNCTION("""COMPUTED_VALUE"""),"East Caribbean dollar")</f>
        <v>East Caribbean dollar</v>
      </c>
      <c r="H181" s="9"/>
      <c r="J181" s="3" t="s">
        <v>146</v>
      </c>
      <c r="K181" s="9" t="s">
        <v>214</v>
      </c>
    </row>
    <row r="182">
      <c r="A182" s="9">
        <f>IFERROR(__xludf.DUMMYFUNCTION("""COMPUTED_VALUE"""),20.0)</f>
        <v>20</v>
      </c>
      <c r="B182" s="9"/>
      <c r="C182" s="9" t="str">
        <f>IFERROR(__xludf.DUMMYFUNCTION("""COMPUTED_VALUE"""),"Saint Lucia[n 5]")</f>
        <v>Saint Lucia[n 5]</v>
      </c>
      <c r="D182" s="9" t="str">
        <f>IFERROR(__xludf.DUMMYFUNCTION("""COMPUTED_VALUE"""),"Castries")</f>
        <v>Castries</v>
      </c>
      <c r="E182" s="11">
        <f>IFERROR(__xludf.DUMMYFUNCTION("""COMPUTED_VALUE"""),179651.0)</f>
        <v>179651</v>
      </c>
      <c r="F182" s="9" t="str">
        <f>IFERROR(__xludf.DUMMYFUNCTION("""COMPUTED_VALUE"""),"616 km2 (238 sq mi)")</f>
        <v>616 km2 (238 sq mi)</v>
      </c>
      <c r="G182" s="9" t="str">
        <f>IFERROR(__xludf.DUMMYFUNCTION("""COMPUTED_VALUE"""),"East Caribbean dollar")</f>
        <v>East Caribbean dollar</v>
      </c>
      <c r="H182" s="9"/>
      <c r="J182" s="3" t="s">
        <v>146</v>
      </c>
      <c r="K182" s="3" t="s">
        <v>215</v>
      </c>
    </row>
    <row r="183">
      <c r="A183" s="9">
        <f>IFERROR(__xludf.DUMMYFUNCTION("""COMPUTED_VALUE"""),21.0)</f>
        <v>21</v>
      </c>
      <c r="B183" s="9"/>
      <c r="C183" s="9" t="str">
        <f>IFERROR(__xludf.DUMMYFUNCTION("""COMPUTED_VALUE"""),"Saint Vincent and the Grenadines")</f>
        <v>Saint Vincent and the Grenadines</v>
      </c>
      <c r="D183" s="9" t="str">
        <f>IFERROR(__xludf.DUMMYFUNCTION("""COMPUTED_VALUE"""),"Kingstown")</f>
        <v>Kingstown</v>
      </c>
      <c r="E183" s="11">
        <f>IFERROR(__xludf.DUMMYFUNCTION("""COMPUTED_VALUE"""),104332.0)</f>
        <v>104332</v>
      </c>
      <c r="F183" s="9" t="str">
        <f>IFERROR(__xludf.DUMMYFUNCTION("""COMPUTED_VALUE"""),"389 km2 (150 sq mi)")</f>
        <v>389 km2 (150 sq mi)</v>
      </c>
      <c r="G183" s="9" t="str">
        <f>IFERROR(__xludf.DUMMYFUNCTION("""COMPUTED_VALUE"""),"East Caribbean dollar")</f>
        <v>East Caribbean dollar</v>
      </c>
      <c r="H183" s="9"/>
      <c r="J183" s="3" t="s">
        <v>146</v>
      </c>
      <c r="K183" s="9" t="s">
        <v>216</v>
      </c>
    </row>
    <row r="184">
      <c r="A184" s="9">
        <f>IFERROR(__xludf.DUMMYFUNCTION("""COMPUTED_VALUE"""),22.0)</f>
        <v>22</v>
      </c>
      <c r="B184" s="9"/>
      <c r="C184" s="9" t="str">
        <f>IFERROR(__xludf.DUMMYFUNCTION("""COMPUTED_VALUE"""),"United States[n 7]")</f>
        <v>United States[n 7]</v>
      </c>
      <c r="D184" s="9" t="str">
        <f>IFERROR(__xludf.DUMMYFUNCTION("""COMPUTED_VALUE"""),"Washington")</f>
        <v>Washington</v>
      </c>
      <c r="E184" s="11">
        <f>IFERROR(__xludf.DUMMYFUNCTION("""COMPUTED_VALUE"""),3.36997624E8)</f>
        <v>336997624</v>
      </c>
      <c r="F184" s="9" t="str">
        <f>IFERROR(__xludf.DUMMYFUNCTION("""COMPUTED_VALUE"""),"9,826,630 km2 (3,794,083 sq mi)")</f>
        <v>9,826,630 km2 (3,794,083 sq mi)</v>
      </c>
      <c r="G184" s="9" t="str">
        <f>IFERROR(__xludf.DUMMYFUNCTION("""COMPUTED_VALUE"""),"United States dollar")</f>
        <v>United States dollar</v>
      </c>
      <c r="H184" s="9"/>
      <c r="J184" s="3" t="s">
        <v>146</v>
      </c>
      <c r="K184" s="3" t="s">
        <v>26</v>
      </c>
    </row>
    <row r="188">
      <c r="B188" s="9" t="str">
        <f>IFERROR(__xludf.DUMMYFUNCTION("IMPORTHTML(""https://simple.wikipedia.org/wiki/List_of_countries_by_continents"",""table"",6,""en_us"")"),"")</f>
        <v/>
      </c>
      <c r="C188" s="9" t="str">
        <f>IFERROR(__xludf.DUMMYFUNCTION("""COMPUTED_VALUE"""),"Country")</f>
        <v>Country</v>
      </c>
      <c r="D188" s="9" t="str">
        <f>IFERROR(__xludf.DUMMYFUNCTION("""COMPUTED_VALUE"""),"Capital")</f>
        <v>Capital</v>
      </c>
      <c r="E188" s="9" t="str">
        <f>IFERROR(__xludf.DUMMYFUNCTION("""COMPUTED_VALUE"""),"Population 2021 
[7][8]")</f>
        <v>Population 2021 
[7][8]</v>
      </c>
      <c r="F188" s="9" t="str">
        <f>IFERROR(__xludf.DUMMYFUNCTION("""COMPUTED_VALUE"""),"Area[a][b][9]")</f>
        <v>Area[a][b][9]</v>
      </c>
      <c r="G188" s="9" t="str">
        <f>IFERROR(__xludf.DUMMYFUNCTION("""COMPUTED_VALUE"""),"Official languages")</f>
        <v>Official languages</v>
      </c>
      <c r="H188" s="9" t="str">
        <f>IFERROR(__xludf.DUMMYFUNCTION("""COMPUTED_VALUE"""),"Coin")</f>
        <v>Coin</v>
      </c>
      <c r="I188" s="9" t="str">
        <f>IFERROR(__xludf.DUMMYFUNCTION("""COMPUTED_VALUE"""),"Location")</f>
        <v>Location</v>
      </c>
      <c r="J188" s="10" t="s">
        <v>4</v>
      </c>
      <c r="K188" s="10" t="s">
        <v>169</v>
      </c>
    </row>
    <row r="189">
      <c r="B189" s="9">
        <f>IFERROR(__xludf.DUMMYFUNCTION("""COMPUTED_VALUE"""),1.0)</f>
        <v>1</v>
      </c>
      <c r="C189" s="9" t="str">
        <f>IFERROR(__xludf.DUMMYFUNCTION("""COMPUTED_VALUE"""),"Argentina")</f>
        <v>Argentina</v>
      </c>
      <c r="D189" s="9" t="str">
        <f>IFERROR(__xludf.DUMMYFUNCTION("""COMPUTED_VALUE"""),"Buenos Aires")</f>
        <v>Buenos Aires</v>
      </c>
      <c r="E189" s="11">
        <f>IFERROR(__xludf.DUMMYFUNCTION("""COMPUTED_VALUE"""),4.4012E7)</f>
        <v>44012000</v>
      </c>
      <c r="F189" s="9" t="str">
        <f>IFERROR(__xludf.DUMMYFUNCTION("""COMPUTED_VALUE"""),"2,780,000 km²")</f>
        <v>2,780,000 km²</v>
      </c>
      <c r="G189" s="9" t="str">
        <f>IFERROR(__xludf.DUMMYFUNCTION("""COMPUTED_VALUE"""),"Spanish")</f>
        <v>Spanish</v>
      </c>
      <c r="H189" s="9" t="str">
        <f>IFERROR(__xludf.DUMMYFUNCTION("""COMPUTED_VALUE"""),"Argentine Peso")</f>
        <v>Argentine Peso</v>
      </c>
      <c r="I189" s="9"/>
      <c r="J189" s="3" t="s">
        <v>217</v>
      </c>
      <c r="K189" s="9" t="s">
        <v>50</v>
      </c>
    </row>
    <row r="190">
      <c r="B190" s="9">
        <f>IFERROR(__xludf.DUMMYFUNCTION("""COMPUTED_VALUE"""),2.0)</f>
        <v>2</v>
      </c>
      <c r="C190" s="9" t="str">
        <f>IFERROR(__xludf.DUMMYFUNCTION("""COMPUTED_VALUE"""),"Bolivia")</f>
        <v>Bolivia</v>
      </c>
      <c r="D190" s="9" t="str">
        <f>IFERROR(__xludf.DUMMYFUNCTION("""COMPUTED_VALUE"""),"Sucre
La Paz")</f>
        <v>Sucre
La Paz</v>
      </c>
      <c r="E190" s="11">
        <f>IFERROR(__xludf.DUMMYFUNCTION("""COMPUTED_VALUE"""),1.1748292E7)</f>
        <v>11748292</v>
      </c>
      <c r="F190" s="9" t="str">
        <f>IFERROR(__xludf.DUMMYFUNCTION("""COMPUTED_VALUE"""),"1,088,000 km²")</f>
        <v>1,088,000 km²</v>
      </c>
      <c r="G190" s="9" t="str">
        <f>IFERROR(__xludf.DUMMYFUNCTION("""COMPUTED_VALUE"""),"Spanish
Quechua
Aymara")</f>
        <v>Spanish
Quechua
Aymara</v>
      </c>
      <c r="H190" s="9" t="str">
        <f>IFERROR(__xludf.DUMMYFUNCTION("""COMPUTED_VALUE"""),"Bolivian Peso")</f>
        <v>Bolivian Peso</v>
      </c>
      <c r="I190" s="9"/>
      <c r="J190" s="3" t="s">
        <v>217</v>
      </c>
      <c r="K190" s="9" t="s">
        <v>90</v>
      </c>
    </row>
    <row r="191">
      <c r="B191" s="9">
        <f>IFERROR(__xludf.DUMMYFUNCTION("""COMPUTED_VALUE"""),3.0)</f>
        <v>3</v>
      </c>
      <c r="C191" s="9" t="str">
        <f>IFERROR(__xludf.DUMMYFUNCTION("""COMPUTED_VALUE"""),"Brazil")</f>
        <v>Brazil</v>
      </c>
      <c r="D191" s="9" t="str">
        <f>IFERROR(__xludf.DUMMYFUNCTION("""COMPUTED_VALUE"""),"Brasilia")</f>
        <v>Brasilia</v>
      </c>
      <c r="E191" s="11">
        <f>IFERROR(__xludf.DUMMYFUNCTION("""COMPUTED_VALUE"""),2.063761E8)</f>
        <v>206376100</v>
      </c>
      <c r="F191" s="9" t="str">
        <f>IFERROR(__xludf.DUMMYFUNCTION("""COMPUTED_VALUE"""),"8,515,370 km²")</f>
        <v>8,515,370 km²</v>
      </c>
      <c r="G191" s="9" t="str">
        <f>IFERROR(__xludf.DUMMYFUNCTION("""COMPUTED_VALUE"""),"Portuguese")</f>
        <v>Portuguese</v>
      </c>
      <c r="H191" s="9" t="str">
        <f>IFERROR(__xludf.DUMMYFUNCTION("""COMPUTED_VALUE"""),"Brazillian Real")</f>
        <v>Brazillian Real</v>
      </c>
      <c r="I191" s="9"/>
      <c r="J191" s="3" t="s">
        <v>217</v>
      </c>
      <c r="K191" s="9" t="s">
        <v>29</v>
      </c>
    </row>
    <row r="192">
      <c r="B192" s="9">
        <f>IFERROR(__xludf.DUMMYFUNCTION("""COMPUTED_VALUE"""),4.0)</f>
        <v>4</v>
      </c>
      <c r="C192" s="9" t="str">
        <f>IFERROR(__xludf.DUMMYFUNCTION("""COMPUTED_VALUE"""),"Chile")</f>
        <v>Chile</v>
      </c>
      <c r="D192" s="9" t="str">
        <f>IFERROR(__xludf.DUMMYFUNCTION("""COMPUTED_VALUE"""),"Santiago
Valparaiso")</f>
        <v>Santiago
Valparaiso</v>
      </c>
      <c r="E192" s="11">
        <f>IFERROR(__xludf.DUMMYFUNCTION("""COMPUTED_VALUE"""),1.7858E7)</f>
        <v>17858000</v>
      </c>
      <c r="F192" s="9" t="str">
        <f>IFERROR(__xludf.DUMMYFUNCTION("""COMPUTED_VALUE"""),"756,000 km²")</f>
        <v>756,000 km²</v>
      </c>
      <c r="G192" s="9" t="str">
        <f>IFERROR(__xludf.DUMMYFUNCTION("""COMPUTED_VALUE"""),"Spanish")</f>
        <v>Spanish</v>
      </c>
      <c r="H192" s="9" t="str">
        <f>IFERROR(__xludf.DUMMYFUNCTION("""COMPUTED_VALUE"""),"Chilean Peso")</f>
        <v>Chilean Peso</v>
      </c>
      <c r="I192" s="9"/>
      <c r="J192" s="3" t="s">
        <v>217</v>
      </c>
      <c r="K192" s="9" t="s">
        <v>47</v>
      </c>
    </row>
    <row r="193">
      <c r="B193" s="9">
        <f>IFERROR(__xludf.DUMMYFUNCTION("""COMPUTED_VALUE"""),5.0)</f>
        <v>5</v>
      </c>
      <c r="C193" s="9" t="str">
        <f>IFERROR(__xludf.DUMMYFUNCTION("""COMPUTED_VALUE"""),"Colombia")</f>
        <v>Colombia</v>
      </c>
      <c r="D193" s="9" t="str">
        <f>IFERROR(__xludf.DUMMYFUNCTION("""COMPUTED_VALUE"""),"Bogota")</f>
        <v>Bogota</v>
      </c>
      <c r="E193" s="11">
        <f>IFERROR(__xludf.DUMMYFUNCTION("""COMPUTED_VALUE"""),4.8476E7)</f>
        <v>48476000</v>
      </c>
      <c r="F193" s="9" t="str">
        <f>IFERROR(__xludf.DUMMYFUNCTION("""COMPUTED_VALUE"""),"1,148,000 km²")</f>
        <v>1,148,000 km²</v>
      </c>
      <c r="G193" s="9" t="str">
        <f>IFERROR(__xludf.DUMMYFUNCTION("""COMPUTED_VALUE"""),"Spanish")</f>
        <v>Spanish</v>
      </c>
      <c r="H193" s="9" t="str">
        <f>IFERROR(__xludf.DUMMYFUNCTION("""COMPUTED_VALUE"""),"Colombian Peso")</f>
        <v>Colombian Peso</v>
      </c>
      <c r="I193" s="9"/>
      <c r="J193" s="3" t="s">
        <v>217</v>
      </c>
      <c r="K193" s="9" t="s">
        <v>56</v>
      </c>
    </row>
    <row r="194">
      <c r="B194" s="9">
        <f>IFERROR(__xludf.DUMMYFUNCTION("""COMPUTED_VALUE"""),6.0)</f>
        <v>6</v>
      </c>
      <c r="C194" s="9" t="str">
        <f>IFERROR(__xludf.DUMMYFUNCTION("""COMPUTED_VALUE"""),"Ecuador")</f>
        <v>Ecuador</v>
      </c>
      <c r="D194" s="9" t="str">
        <f>IFERROR(__xludf.DUMMYFUNCTION("""COMPUTED_VALUE"""),"Quito")</f>
        <v>Quito</v>
      </c>
      <c r="E194" s="11">
        <f>IFERROR(__xludf.DUMMYFUNCTION("""COMPUTED_VALUE"""),1.6476E7)</f>
        <v>16476000</v>
      </c>
      <c r="F194" s="9" t="str">
        <f>IFERROR(__xludf.DUMMYFUNCTION("""COMPUTED_VALUE"""),"276,000 km²")</f>
        <v>276,000 km²</v>
      </c>
      <c r="G194" s="9" t="str">
        <f>IFERROR(__xludf.DUMMYFUNCTION("""COMPUTED_VALUE"""),"Spanish")</f>
        <v>Spanish</v>
      </c>
      <c r="H194" s="9" t="str">
        <f>IFERROR(__xludf.DUMMYFUNCTION("""COMPUTED_VALUE"""),"US dollar")</f>
        <v>US dollar</v>
      </c>
      <c r="I194" s="9"/>
      <c r="J194" s="3" t="s">
        <v>217</v>
      </c>
      <c r="K194" s="9" t="s">
        <v>72</v>
      </c>
    </row>
    <row r="195">
      <c r="B195" s="9">
        <f>IFERROR(__xludf.DUMMYFUNCTION("""COMPUTED_VALUE"""),7.0)</f>
        <v>7</v>
      </c>
      <c r="C195" s="9" t="str">
        <f>IFERROR(__xludf.DUMMYFUNCTION("""COMPUTED_VALUE"""),"Guyana")</f>
        <v>Guyana</v>
      </c>
      <c r="D195" s="9" t="str">
        <f>IFERROR(__xludf.DUMMYFUNCTION("""COMPUTED_VALUE"""),"Georgetown")</f>
        <v>Georgetown</v>
      </c>
      <c r="E195" s="11">
        <f>IFERROR(__xludf.DUMMYFUNCTION("""COMPUTED_VALUE"""),747000.0)</f>
        <v>747000</v>
      </c>
      <c r="F195" s="9" t="str">
        <f>IFERROR(__xludf.DUMMYFUNCTION("""COMPUTED_VALUE"""),"214,970 km²")</f>
        <v>214,970 km²</v>
      </c>
      <c r="G195" s="9" t="str">
        <f>IFERROR(__xludf.DUMMYFUNCTION("""COMPUTED_VALUE"""),"English")</f>
        <v>English</v>
      </c>
      <c r="H195" s="9" t="str">
        <f>IFERROR(__xludf.DUMMYFUNCTION("""COMPUTED_VALUE"""),"Guyanese dollar")</f>
        <v>Guyanese dollar</v>
      </c>
      <c r="I195" s="9"/>
      <c r="J195" s="3" t="s">
        <v>217</v>
      </c>
      <c r="K195" s="9" t="s">
        <v>110</v>
      </c>
    </row>
    <row r="196">
      <c r="B196" s="9">
        <f>IFERROR(__xludf.DUMMYFUNCTION("""COMPUTED_VALUE"""),8.0)</f>
        <v>8</v>
      </c>
      <c r="C196" s="9" t="str">
        <f>IFERROR(__xludf.DUMMYFUNCTION("""COMPUTED_VALUE"""),"Paraguay")</f>
        <v>Paraguay</v>
      </c>
      <c r="D196" s="9" t="str">
        <f>IFERROR(__xludf.DUMMYFUNCTION("""COMPUTED_VALUE"""),"Asuncion")</f>
        <v>Asuncion</v>
      </c>
      <c r="E196" s="11">
        <f>IFERROR(__xludf.DUMMYFUNCTION("""COMPUTED_VALUE"""),6363000.0)</f>
        <v>6363000</v>
      </c>
      <c r="F196" s="9" t="str">
        <f>IFERROR(__xludf.DUMMYFUNCTION("""COMPUTED_VALUE"""),"406,000 km²")</f>
        <v>406,000 km²</v>
      </c>
      <c r="G196" s="9" t="str">
        <f>IFERROR(__xludf.DUMMYFUNCTION("""COMPUTED_VALUE"""),"Spanish
Guarani")</f>
        <v>Spanish
Guarani</v>
      </c>
      <c r="H196" s="9" t="str">
        <f>IFERROR(__xludf.DUMMYFUNCTION("""COMPUTED_VALUE"""),"Paraguayan dollar")</f>
        <v>Paraguayan dollar</v>
      </c>
      <c r="I196" s="9"/>
      <c r="J196" s="3" t="s">
        <v>217</v>
      </c>
      <c r="K196" s="9" t="s">
        <v>144</v>
      </c>
    </row>
    <row r="197">
      <c r="B197" s="9">
        <f>IFERROR(__xludf.DUMMYFUNCTION("""COMPUTED_VALUE"""),9.0)</f>
        <v>9</v>
      </c>
      <c r="C197" s="9" t="str">
        <f>IFERROR(__xludf.DUMMYFUNCTION("""COMPUTED_VALUE"""),"Peru")</f>
        <v>Peru</v>
      </c>
      <c r="D197" s="9" t="str">
        <f>IFERROR(__xludf.DUMMYFUNCTION("""COMPUTED_VALUE"""),"Lima")</f>
        <v>Lima</v>
      </c>
      <c r="E197" s="11">
        <f>IFERROR(__xludf.DUMMYFUNCTION("""COMPUTED_VALUE"""),3.3376476E7)</f>
        <v>33376476</v>
      </c>
      <c r="F197" s="9" t="str">
        <f>IFERROR(__xludf.DUMMYFUNCTION("""COMPUTED_VALUE"""),"1,285,000 km²")</f>
        <v>1,285,000 km²</v>
      </c>
      <c r="G197" s="9" t="str">
        <f>IFERROR(__xludf.DUMMYFUNCTION("""COMPUTED_VALUE"""),"Spanish")</f>
        <v>Spanish</v>
      </c>
      <c r="H197" s="9" t="str">
        <f>IFERROR(__xludf.DUMMYFUNCTION("""COMPUTED_VALUE"""),"Peruvian dollar")</f>
        <v>Peruvian dollar</v>
      </c>
      <c r="I197" s="9"/>
      <c r="J197" s="3" t="s">
        <v>217</v>
      </c>
      <c r="K197" s="9" t="s">
        <v>67</v>
      </c>
    </row>
    <row r="198">
      <c r="B198" s="9">
        <f>IFERROR(__xludf.DUMMYFUNCTION("""COMPUTED_VALUE"""),10.0)</f>
        <v>10</v>
      </c>
      <c r="C198" s="9" t="str">
        <f>IFERROR(__xludf.DUMMYFUNCTION("""COMPUTED_VALUE"""),"Suriname")</f>
        <v>Suriname</v>
      </c>
      <c r="D198" s="9" t="str">
        <f>IFERROR(__xludf.DUMMYFUNCTION("""COMPUTED_VALUE"""),"Paramaribo")</f>
        <v>Paramaribo</v>
      </c>
      <c r="E198" s="11">
        <f>IFERROR(__xludf.DUMMYFUNCTION("""COMPUTED_VALUE"""),577000.0)</f>
        <v>577000</v>
      </c>
      <c r="F198" s="9" t="str">
        <f>IFERROR(__xludf.DUMMYFUNCTION("""COMPUTED_VALUE"""),"163,820 km²")</f>
        <v>163,820 km²</v>
      </c>
      <c r="G198" s="9" t="str">
        <f>IFERROR(__xludf.DUMMYFUNCTION("""COMPUTED_VALUE"""),"Dutch")</f>
        <v>Dutch</v>
      </c>
      <c r="H198" s="9" t="str">
        <f>IFERROR(__xludf.DUMMYFUNCTION("""COMPUTED_VALUE"""),"Surinamese dollar")</f>
        <v>Surinamese dollar</v>
      </c>
      <c r="I198" s="9"/>
      <c r="J198" s="3" t="s">
        <v>217</v>
      </c>
      <c r="K198" s="9" t="s">
        <v>218</v>
      </c>
    </row>
    <row r="199">
      <c r="B199" s="9">
        <f>IFERROR(__xludf.DUMMYFUNCTION("""COMPUTED_VALUE"""),11.0)</f>
        <v>11</v>
      </c>
      <c r="C199" s="9" t="str">
        <f>IFERROR(__xludf.DUMMYFUNCTION("""COMPUTED_VALUE"""),"Trinidad and Tobago")</f>
        <v>Trinidad and Tobago</v>
      </c>
      <c r="D199" s="9" t="str">
        <f>IFERROR(__xludf.DUMMYFUNCTION("""COMPUTED_VALUE"""),"Port of Spain")</f>
        <v>Port of Spain</v>
      </c>
      <c r="E199" s="11">
        <f>IFERROR(__xludf.DUMMYFUNCTION("""COMPUTED_VALUE"""),1422000.0)</f>
        <v>1422000</v>
      </c>
      <c r="F199" s="9" t="str">
        <f>IFERROR(__xludf.DUMMYFUNCTION("""COMPUTED_VALUE"""),"5,130 km²")</f>
        <v>5,130 km²</v>
      </c>
      <c r="G199" s="9" t="str">
        <f>IFERROR(__xludf.DUMMYFUNCTION("""COMPUTED_VALUE"""),"English")</f>
        <v>English</v>
      </c>
      <c r="H199" s="9" t="str">
        <f>IFERROR(__xludf.DUMMYFUNCTION("""COMPUTED_VALUE"""),"Trinidadian dollar")</f>
        <v>Trinidadian dollar</v>
      </c>
      <c r="I199" s="9"/>
      <c r="J199" s="3" t="s">
        <v>217</v>
      </c>
      <c r="K199" s="3" t="s">
        <v>158</v>
      </c>
    </row>
    <row r="200">
      <c r="B200" s="9">
        <f>IFERROR(__xludf.DUMMYFUNCTION("""COMPUTED_VALUE"""),12.0)</f>
        <v>12</v>
      </c>
      <c r="C200" s="9" t="str">
        <f>IFERROR(__xludf.DUMMYFUNCTION("""COMPUTED_VALUE"""),"Uruguay")</f>
        <v>Uruguay</v>
      </c>
      <c r="D200" s="9" t="str">
        <f>IFERROR(__xludf.DUMMYFUNCTION("""COMPUTED_VALUE"""),"Montevideo")</f>
        <v>Montevideo</v>
      </c>
      <c r="E200" s="11">
        <f>IFERROR(__xludf.DUMMYFUNCTION("""COMPUTED_VALUE"""),3352000.0)</f>
        <v>3352000</v>
      </c>
      <c r="F200" s="9" t="str">
        <f>IFERROR(__xludf.DUMMYFUNCTION("""COMPUTED_VALUE"""),"176,454 km²")</f>
        <v>176,454 km²</v>
      </c>
      <c r="G200" s="9" t="str">
        <f>IFERROR(__xludf.DUMMYFUNCTION("""COMPUTED_VALUE"""),"Spanish")</f>
        <v>Spanish</v>
      </c>
      <c r="H200" s="9" t="str">
        <f>IFERROR(__xludf.DUMMYFUNCTION("""COMPUTED_VALUE"""),"Uruguayan dollar")</f>
        <v>Uruguayan dollar</v>
      </c>
      <c r="I200" s="9"/>
      <c r="J200" s="3" t="s">
        <v>217</v>
      </c>
      <c r="K200" s="9" t="s">
        <v>162</v>
      </c>
    </row>
    <row r="201">
      <c r="B201" s="9">
        <f>IFERROR(__xludf.DUMMYFUNCTION("""COMPUTED_VALUE"""),13.0)</f>
        <v>13</v>
      </c>
      <c r="C201" s="9" t="str">
        <f>IFERROR(__xludf.DUMMYFUNCTION("""COMPUTED_VALUE"""),"Venezuela")</f>
        <v>Venezuela</v>
      </c>
      <c r="D201" s="9" t="str">
        <f>IFERROR(__xludf.DUMMYFUNCTION("""COMPUTED_VALUE"""),"Caracas")</f>
        <v>Caracas</v>
      </c>
      <c r="E201" s="11">
        <f>IFERROR(__xludf.DUMMYFUNCTION("""COMPUTED_VALUE"""),2.7466364E7)</f>
        <v>27466364</v>
      </c>
      <c r="F201" s="9" t="str">
        <f>IFERROR(__xludf.DUMMYFUNCTION("""COMPUTED_VALUE"""),"916,000 km²")</f>
        <v>916,000 km²</v>
      </c>
      <c r="G201" s="9" t="str">
        <f>IFERROR(__xludf.DUMMYFUNCTION("""COMPUTED_VALUE"""),"Spanish")</f>
        <v>Spanish</v>
      </c>
      <c r="H201" s="9" t="str">
        <f>IFERROR(__xludf.DUMMYFUNCTION("""COMPUTED_VALUE"""),"Venezuelan dollar
US dollar")</f>
        <v>Venezuelan dollar
US dollar</v>
      </c>
      <c r="I201" s="9"/>
      <c r="J201" s="3" t="s">
        <v>217</v>
      </c>
      <c r="K201" s="9" t="s">
        <v>163</v>
      </c>
    </row>
    <row r="204">
      <c r="B204" s="9" t="str">
        <f>IFERROR(__xludf.DUMMYFUNCTION("IMPORTHTML(""https://simple.wikipedia.org/wiki/List_of_countries_by_continents"",""table"",7,""en_us"")"),"")</f>
        <v/>
      </c>
      <c r="C204" s="9" t="str">
        <f>IFERROR(__xludf.DUMMYFUNCTION("""COMPUTED_VALUE"""),"Country")</f>
        <v>Country</v>
      </c>
      <c r="D204" s="9" t="str">
        <f>IFERROR(__xludf.DUMMYFUNCTION("""COMPUTED_VALUE"""),"Capital")</f>
        <v>Capital</v>
      </c>
      <c r="E204" s="9" t="str">
        <f>IFERROR(__xludf.DUMMYFUNCTION("""COMPUTED_VALUE"""),"Population 2021 
[7][8]")</f>
        <v>Population 2021 
[7][8]</v>
      </c>
      <c r="F204" s="9" t="str">
        <f>IFERROR(__xludf.DUMMYFUNCTION("""COMPUTED_VALUE"""),"Area[a][b]
[9]")</f>
        <v>Area[a][b]
[9]</v>
      </c>
      <c r="G204" s="9" t="str">
        <f>IFERROR(__xludf.DUMMYFUNCTION("""COMPUTED_VALUE"""),"Official languages")</f>
        <v>Official languages</v>
      </c>
      <c r="H204" s="9" t="str">
        <f>IFERROR(__xludf.DUMMYFUNCTION("""COMPUTED_VALUE"""),"Coin")</f>
        <v>Coin</v>
      </c>
      <c r="I204" s="9" t="str">
        <f>IFERROR(__xludf.DUMMYFUNCTION("""COMPUTED_VALUE"""),"Location")</f>
        <v>Location</v>
      </c>
      <c r="J204" s="10" t="s">
        <v>4</v>
      </c>
      <c r="K204" s="10" t="s">
        <v>169</v>
      </c>
    </row>
    <row r="205">
      <c r="B205" s="9">
        <f>IFERROR(__xludf.DUMMYFUNCTION("""COMPUTED_VALUE"""),1.0)</f>
        <v>1</v>
      </c>
      <c r="C205" s="9" t="str">
        <f>IFERROR(__xludf.DUMMYFUNCTION("""COMPUTED_VALUE"""),"Australia")</f>
        <v>Australia</v>
      </c>
      <c r="D205" s="9" t="str">
        <f>IFERROR(__xludf.DUMMYFUNCTION("""COMPUTED_VALUE"""),"Canberra")</f>
        <v>Canberra</v>
      </c>
      <c r="E205" s="11">
        <f>IFERROR(__xludf.DUMMYFUNCTION("""COMPUTED_VALUE"""),2.3342E7)</f>
        <v>23342000</v>
      </c>
      <c r="F205" s="9" t="str">
        <f>IFERROR(__xludf.DUMMYFUNCTION("""COMPUTED_VALUE"""),"7,700,000 km²")</f>
        <v>7,700,000 km²</v>
      </c>
      <c r="G205" s="9" t="str">
        <f>IFERROR(__xludf.DUMMYFUNCTION("""COMPUTED_VALUE"""),"English")</f>
        <v>English</v>
      </c>
      <c r="H205" s="9" t="str">
        <f>IFERROR(__xludf.DUMMYFUNCTION("""COMPUTED_VALUE"""),"Australian dollar")</f>
        <v>Australian dollar</v>
      </c>
      <c r="I205" s="9"/>
      <c r="J205" s="3" t="s">
        <v>219</v>
      </c>
      <c r="K205" s="9" t="s">
        <v>35</v>
      </c>
    </row>
    <row r="206" ht="27.0" customHeight="1">
      <c r="B206" s="9">
        <f>IFERROR(__xludf.DUMMYFUNCTION("""COMPUTED_VALUE"""),2.0)</f>
        <v>2</v>
      </c>
      <c r="C206" s="9" t="str">
        <f>IFERROR(__xludf.DUMMYFUNCTION("""COMPUTED_VALUE"""),"Cook Islands")</f>
        <v>Cook Islands</v>
      </c>
      <c r="D206" s="9" t="str">
        <f>IFERROR(__xludf.DUMMYFUNCTION("""COMPUTED_VALUE"""),"Avarua")</f>
        <v>Avarua</v>
      </c>
      <c r="E206" s="11">
        <f>IFERROR(__xludf.DUMMYFUNCTION("""COMPUTED_VALUE"""),8820.0)</f>
        <v>8820</v>
      </c>
      <c r="F206" s="9" t="str">
        <f>IFERROR(__xludf.DUMMYFUNCTION("""COMPUTED_VALUE"""),"236 km²")</f>
        <v>236 km²</v>
      </c>
      <c r="G206" s="9" t="str">
        <f>IFERROR(__xludf.DUMMYFUNCTION("""COMPUTED_VALUE"""),"English
Maori
Rarotongan")</f>
        <v>English
Maori
Rarotongan</v>
      </c>
      <c r="H206" s="9" t="str">
        <f>IFERROR(__xludf.DUMMYFUNCTION("""COMPUTED_VALUE"""),"New Zealand dollar")</f>
        <v>New Zealand dollar</v>
      </c>
      <c r="I206" s="9"/>
      <c r="J206" s="3" t="s">
        <v>219</v>
      </c>
      <c r="K206" s="9" t="s">
        <v>220</v>
      </c>
    </row>
    <row r="207">
      <c r="B207" s="9">
        <f>IFERROR(__xludf.DUMMYFUNCTION("""COMPUTED_VALUE"""),3.0)</f>
        <v>3</v>
      </c>
      <c r="C207" s="9" t="str">
        <f>IFERROR(__xludf.DUMMYFUNCTION("""COMPUTED_VALUE"""),"Federated States of Micronesia")</f>
        <v>Federated States of Micronesia</v>
      </c>
      <c r="D207" s="9" t="str">
        <f>IFERROR(__xludf.DUMMYFUNCTION("""COMPUTED_VALUE"""),"Palikir")</f>
        <v>Palikir</v>
      </c>
      <c r="E207" s="11">
        <f>IFERROR(__xludf.DUMMYFUNCTION("""COMPUTED_VALUE"""),128032.0)</f>
        <v>128032</v>
      </c>
      <c r="F207" s="9" t="str">
        <f>IFERROR(__xludf.DUMMYFUNCTION("""COMPUTED_VALUE"""),"702 km²")</f>
        <v>702 km²</v>
      </c>
      <c r="G207" s="9" t="str">
        <f>IFERROR(__xludf.DUMMYFUNCTION("""COMPUTED_VALUE"""),"English
Spanish[22]")</f>
        <v>English
Spanish[22]</v>
      </c>
      <c r="H207" s="9" t="str">
        <f>IFERROR(__xludf.DUMMYFUNCTION("""COMPUTED_VALUE"""),"US dollar")</f>
        <v>US dollar</v>
      </c>
      <c r="I207" s="9"/>
      <c r="J207" s="3" t="s">
        <v>219</v>
      </c>
      <c r="K207" s="9" t="s">
        <v>221</v>
      </c>
    </row>
    <row r="208" ht="21.0" customHeight="1">
      <c r="B208" s="9">
        <f>IFERROR(__xludf.DUMMYFUNCTION("""COMPUTED_VALUE"""),4.0)</f>
        <v>4</v>
      </c>
      <c r="C208" s="9" t="str">
        <f>IFERROR(__xludf.DUMMYFUNCTION("""COMPUTED_VALUE"""),"Fiji")</f>
        <v>Fiji</v>
      </c>
      <c r="D208" s="9" t="str">
        <f>IFERROR(__xludf.DUMMYFUNCTION("""COMPUTED_VALUE"""),"Suva")</f>
        <v>Suva</v>
      </c>
      <c r="E208" s="11">
        <f>IFERROR(__xludf.DUMMYFUNCTION("""COMPUTED_VALUE"""),851300.0)</f>
        <v>851300</v>
      </c>
      <c r="F208" s="9" t="str">
        <f>IFERROR(__xludf.DUMMYFUNCTION("""COMPUTED_VALUE"""),"18,275 km²")</f>
        <v>18,275 km²</v>
      </c>
      <c r="G208" s="9" t="str">
        <f>IFERROR(__xludf.DUMMYFUNCTION("""COMPUTED_VALUE"""),"English
Fijian
Hindi")</f>
        <v>English
Fijian
Hindi</v>
      </c>
      <c r="H208" s="9" t="str">
        <f>IFERROR(__xludf.DUMMYFUNCTION("""COMPUTED_VALUE"""),"Fijian dollar")</f>
        <v>Fijian dollar</v>
      </c>
      <c r="I208" s="9"/>
      <c r="J208" s="3" t="s">
        <v>219</v>
      </c>
      <c r="K208" s="9" t="s">
        <v>222</v>
      </c>
    </row>
    <row r="209" ht="21.0" customHeight="1">
      <c r="B209" s="9">
        <f>IFERROR(__xludf.DUMMYFUNCTION("""COMPUTED_VALUE"""),5.0)</f>
        <v>5</v>
      </c>
      <c r="C209" s="9" t="str">
        <f>IFERROR(__xludf.DUMMYFUNCTION("""COMPUTED_VALUE"""),"Kiribati")</f>
        <v>Kiribati</v>
      </c>
      <c r="D209" s="9" t="str">
        <f>IFERROR(__xludf.DUMMYFUNCTION("""COMPUTED_VALUE"""),"South Tarawa")</f>
        <v>South Tarawa</v>
      </c>
      <c r="E209" s="11">
        <f>IFERROR(__xludf.DUMMYFUNCTION("""COMPUTED_VALUE"""),141362.0)</f>
        <v>141362</v>
      </c>
      <c r="F209" s="9" t="str">
        <f>IFERROR(__xludf.DUMMYFUNCTION("""COMPUTED_VALUE"""),"811 km²")</f>
        <v>811 km²</v>
      </c>
      <c r="G209" s="9" t="str">
        <f>IFERROR(__xludf.DUMMYFUNCTION("""COMPUTED_VALUE"""),"English
Gilbertese
Chinese[23]")</f>
        <v>English
Gilbertese
Chinese[23]</v>
      </c>
      <c r="H209" s="9" t="str">
        <f>IFERROR(__xludf.DUMMYFUNCTION("""COMPUTED_VALUE"""),"Kiribatian dollar")</f>
        <v>Kiribatian dollar</v>
      </c>
      <c r="I209" s="9"/>
      <c r="J209" s="3" t="s">
        <v>219</v>
      </c>
      <c r="K209" s="9" t="s">
        <v>223</v>
      </c>
    </row>
    <row r="210" ht="21.0" customHeight="1">
      <c r="B210" s="9">
        <f>IFERROR(__xludf.DUMMYFUNCTION("""COMPUTED_VALUE"""),6.0)</f>
        <v>6</v>
      </c>
      <c r="C210" s="9" t="str">
        <f>IFERROR(__xludf.DUMMYFUNCTION("""COMPUTED_VALUE"""),"Marshall Islands")</f>
        <v>Marshall Islands</v>
      </c>
      <c r="D210" s="9" t="str">
        <f>IFERROR(__xludf.DUMMYFUNCTION("""COMPUTED_VALUE"""),"Majuro")</f>
        <v>Majuro</v>
      </c>
      <c r="E210" s="11">
        <f>IFERROR(__xludf.DUMMYFUNCTION("""COMPUTED_VALUE"""),82252.0)</f>
        <v>82252</v>
      </c>
      <c r="F210" s="9" t="str">
        <f>IFERROR(__xludf.DUMMYFUNCTION("""COMPUTED_VALUE"""),"181 km²")</f>
        <v>181 km²</v>
      </c>
      <c r="G210" s="9" t="str">
        <f>IFERROR(__xludf.DUMMYFUNCTION("""COMPUTED_VALUE"""),"English
Marshallese
Spanish[24]")</f>
        <v>English
Marshallese
Spanish[24]</v>
      </c>
      <c r="H210" s="9" t="str">
        <f>IFERROR(__xludf.DUMMYFUNCTION("""COMPUTED_VALUE"""),"US dollar")</f>
        <v>US dollar</v>
      </c>
      <c r="I210" s="9"/>
      <c r="J210" s="3" t="s">
        <v>219</v>
      </c>
      <c r="K210" s="9" t="s">
        <v>224</v>
      </c>
    </row>
    <row r="211" ht="21.0" customHeight="1">
      <c r="B211" s="9">
        <f>IFERROR(__xludf.DUMMYFUNCTION("""COMPUTED_VALUE"""),7.0)</f>
        <v>7</v>
      </c>
      <c r="C211" s="9" t="str">
        <f>IFERROR(__xludf.DUMMYFUNCTION("""COMPUTED_VALUE"""),"Nauru")</f>
        <v>Nauru</v>
      </c>
      <c r="D211" s="9" t="str">
        <f>IFERROR(__xludf.DUMMYFUNCTION("""COMPUTED_VALUE"""),"Yaren[25]")</f>
        <v>Yaren[25]</v>
      </c>
      <c r="E211" s="11">
        <f>IFERROR(__xludf.DUMMYFUNCTION("""COMPUTED_VALUE"""),9122.0)</f>
        <v>9122</v>
      </c>
      <c r="F211" s="9" t="str">
        <f>IFERROR(__xludf.DUMMYFUNCTION("""COMPUTED_VALUE"""),"21 km²")</f>
        <v>21 km²</v>
      </c>
      <c r="G211" s="9" t="str">
        <f>IFERROR(__xludf.DUMMYFUNCTION("""COMPUTED_VALUE"""),"English
Nauruan
Chinese[23]")</f>
        <v>English
Nauruan
Chinese[23]</v>
      </c>
      <c r="H211" s="9" t="str">
        <f>IFERROR(__xludf.DUMMYFUNCTION("""COMPUTED_VALUE"""),"Nauruan dollar")</f>
        <v>Nauruan dollar</v>
      </c>
      <c r="I211" s="9"/>
      <c r="J211" s="3" t="s">
        <v>219</v>
      </c>
      <c r="K211" s="9" t="s">
        <v>225</v>
      </c>
    </row>
    <row r="212" ht="21.0" customHeight="1">
      <c r="B212" s="9">
        <f>IFERROR(__xludf.DUMMYFUNCTION("""COMPUTED_VALUE"""),8.0)</f>
        <v>8</v>
      </c>
      <c r="C212" s="9" t="str">
        <f>IFERROR(__xludf.DUMMYFUNCTION("""COMPUTED_VALUE"""),"New Zealand")</f>
        <v>New Zealand</v>
      </c>
      <c r="D212" s="9" t="str">
        <f>IFERROR(__xludf.DUMMYFUNCTION("""COMPUTED_VALUE"""),"Wellington")</f>
        <v>Wellington</v>
      </c>
      <c r="E212" s="11">
        <f>IFERROR(__xludf.DUMMYFUNCTION("""COMPUTED_VALUE"""),4404252.0)</f>
        <v>4404252</v>
      </c>
      <c r="F212" s="9" t="str">
        <f>IFERROR(__xludf.DUMMYFUNCTION("""COMPUTED_VALUE"""),"270,000 km²")</f>
        <v>270,000 km²</v>
      </c>
      <c r="G212" s="9" t="str">
        <f>IFERROR(__xludf.DUMMYFUNCTION("""COMPUTED_VALUE"""),"English
Maori
New Zealand Sign Language")</f>
        <v>English
Maori
New Zealand Sign Language</v>
      </c>
      <c r="H212" s="9" t="str">
        <f>IFERROR(__xludf.DUMMYFUNCTION("""COMPUTED_VALUE"""),"New Zealand dollar")</f>
        <v>New Zealand dollar</v>
      </c>
      <c r="I212" s="9"/>
      <c r="J212" s="3" t="s">
        <v>219</v>
      </c>
      <c r="K212" s="9" t="s">
        <v>68</v>
      </c>
    </row>
    <row r="213" ht="21.0" customHeight="1">
      <c r="B213" s="9">
        <f>IFERROR(__xludf.DUMMYFUNCTION("""COMPUTED_VALUE"""),9.0)</f>
        <v>9</v>
      </c>
      <c r="C213" s="9" t="str">
        <f>IFERROR(__xludf.DUMMYFUNCTION("""COMPUTED_VALUE"""),"Niue")</f>
        <v>Niue</v>
      </c>
      <c r="D213" s="9" t="str">
        <f>IFERROR(__xludf.DUMMYFUNCTION("""COMPUTED_VALUE"""),"Alofi")</f>
        <v>Alofi</v>
      </c>
      <c r="E213" s="11">
        <f>IFERROR(__xludf.DUMMYFUNCTION("""COMPUTED_VALUE"""),1242.0)</f>
        <v>1242</v>
      </c>
      <c r="F213" s="9" t="str">
        <f>IFERROR(__xludf.DUMMYFUNCTION("""COMPUTED_VALUE"""),"261 km²")</f>
        <v>261 km²</v>
      </c>
      <c r="G213" s="9" t="str">
        <f>IFERROR(__xludf.DUMMYFUNCTION("""COMPUTED_VALUE"""),"English
Niuean")</f>
        <v>English
Niuean</v>
      </c>
      <c r="H213" s="9" t="str">
        <f>IFERROR(__xludf.DUMMYFUNCTION("""COMPUTED_VALUE"""),"New Zealand dollar")</f>
        <v>New Zealand dollar</v>
      </c>
      <c r="I213" s="9"/>
      <c r="J213" s="3" t="s">
        <v>219</v>
      </c>
      <c r="K213" s="9" t="s">
        <v>226</v>
      </c>
    </row>
    <row r="214" ht="21.0" customHeight="1">
      <c r="B214" s="9">
        <f>IFERROR(__xludf.DUMMYFUNCTION("""COMPUTED_VALUE"""),10.0)</f>
        <v>10</v>
      </c>
      <c r="C214" s="9" t="str">
        <f>IFERROR(__xludf.DUMMYFUNCTION("""COMPUTED_VALUE"""),"Palau")</f>
        <v>Palau</v>
      </c>
      <c r="D214" s="9" t="str">
        <f>IFERROR(__xludf.DUMMYFUNCTION("""COMPUTED_VALUE"""),"Ngerulmud")</f>
        <v>Ngerulmud</v>
      </c>
      <c r="E214" s="11">
        <f>IFERROR(__xludf.DUMMYFUNCTION("""COMPUTED_VALUE"""),22000.0)</f>
        <v>22000</v>
      </c>
      <c r="F214" s="9" t="str">
        <f>IFERROR(__xludf.DUMMYFUNCTION("""COMPUTED_VALUE"""),"460 km²")</f>
        <v>460 km²</v>
      </c>
      <c r="G214" s="9" t="str">
        <f>IFERROR(__xludf.DUMMYFUNCTION("""COMPUTED_VALUE"""),"English
Palauan
Japanese[26]")</f>
        <v>English
Palauan
Japanese[26]</v>
      </c>
      <c r="H214" s="9" t="str">
        <f>IFERROR(__xludf.DUMMYFUNCTION("""COMPUTED_VALUE"""),"US dollar")</f>
        <v>US dollar</v>
      </c>
      <c r="I214" s="9"/>
      <c r="J214" s="3" t="s">
        <v>219</v>
      </c>
      <c r="K214" s="9" t="s">
        <v>227</v>
      </c>
    </row>
    <row r="215" ht="21.0" customHeight="1">
      <c r="B215" s="9">
        <f>IFERROR(__xludf.DUMMYFUNCTION("""COMPUTED_VALUE"""),11.0)</f>
        <v>11</v>
      </c>
      <c r="C215" s="9" t="str">
        <f>IFERROR(__xludf.DUMMYFUNCTION("""COMPUTED_VALUE"""),"Papua New Guinea")</f>
        <v>Papua New Guinea</v>
      </c>
      <c r="D215" s="9" t="str">
        <f>IFERROR(__xludf.DUMMYFUNCTION("""COMPUTED_VALUE"""),"Port Moresby")</f>
        <v>Port Moresby</v>
      </c>
      <c r="E215" s="11">
        <f>IFERROR(__xludf.DUMMYFUNCTION("""COMPUTED_VALUE"""),8262505.0)</f>
        <v>8262505</v>
      </c>
      <c r="F215" s="9" t="str">
        <f>IFERROR(__xludf.DUMMYFUNCTION("""COMPUTED_VALUE"""),"462,000 km²")</f>
        <v>462,000 km²</v>
      </c>
      <c r="G215" s="9" t="str">
        <f>IFERROR(__xludf.DUMMYFUNCTION("""COMPUTED_VALUE"""),"English
Tok Pisin
Hiri Motu
Indonesian[27]")</f>
        <v>English
Tok Pisin
Hiri Motu
Indonesian[27]</v>
      </c>
      <c r="H215" s="9" t="str">
        <f>IFERROR(__xludf.DUMMYFUNCTION("""COMPUTED_VALUE"""),"Kina")</f>
        <v>Kina</v>
      </c>
      <c r="I215" s="9"/>
      <c r="J215" s="3" t="s">
        <v>219</v>
      </c>
      <c r="K215" s="9" t="s">
        <v>228</v>
      </c>
    </row>
    <row r="216" ht="21.0" customHeight="1">
      <c r="B216" s="9">
        <f>IFERROR(__xludf.DUMMYFUNCTION("""COMPUTED_VALUE"""),12.0)</f>
        <v>12</v>
      </c>
      <c r="C216" s="9" t="str">
        <f>IFERROR(__xludf.DUMMYFUNCTION("""COMPUTED_VALUE"""),"Samoa")</f>
        <v>Samoa</v>
      </c>
      <c r="D216" s="9" t="str">
        <f>IFERROR(__xludf.DUMMYFUNCTION("""COMPUTED_VALUE"""),"Apia")</f>
        <v>Apia</v>
      </c>
      <c r="E216" s="11">
        <f>IFERROR(__xludf.DUMMYFUNCTION("""COMPUTED_VALUE"""),188033.0)</f>
        <v>188033</v>
      </c>
      <c r="F216" s="9" t="str">
        <f>IFERROR(__xludf.DUMMYFUNCTION("""COMPUTED_VALUE"""),"2830 km²")</f>
        <v>2830 km²</v>
      </c>
      <c r="G216" s="9" t="str">
        <f>IFERROR(__xludf.DUMMYFUNCTION("""COMPUTED_VALUE"""),"English
Samoan")</f>
        <v>English
Samoan</v>
      </c>
      <c r="H216" s="9" t="str">
        <f>IFERROR(__xludf.DUMMYFUNCTION("""COMPUTED_VALUE"""),"Tala")</f>
        <v>Tala</v>
      </c>
      <c r="I216" s="9"/>
      <c r="J216" s="3" t="s">
        <v>219</v>
      </c>
      <c r="K216" s="9" t="s">
        <v>229</v>
      </c>
    </row>
    <row r="217">
      <c r="B217" s="9">
        <f>IFERROR(__xludf.DUMMYFUNCTION("""COMPUTED_VALUE"""),13.0)</f>
        <v>13</v>
      </c>
      <c r="C217" s="9" t="str">
        <f>IFERROR(__xludf.DUMMYFUNCTION("""COMPUTED_VALUE"""),"Solomon Islands")</f>
        <v>Solomon Islands</v>
      </c>
      <c r="D217" s="9" t="str">
        <f>IFERROR(__xludf.DUMMYFUNCTION("""COMPUTED_VALUE"""),"Honiara")</f>
        <v>Honiara</v>
      </c>
      <c r="E217" s="11">
        <f>IFERROR(__xludf.DUMMYFUNCTION("""COMPUTED_VALUE"""),566323.0)</f>
        <v>566323</v>
      </c>
      <c r="F217" s="9" t="str">
        <f>IFERROR(__xludf.DUMMYFUNCTION("""COMPUTED_VALUE"""),"28900 km²")</f>
        <v>28900 km²</v>
      </c>
      <c r="G217" s="9" t="str">
        <f>IFERROR(__xludf.DUMMYFUNCTION("""COMPUTED_VALUE"""),"English
Pijin")</f>
        <v>English
Pijin</v>
      </c>
      <c r="H217" s="9" t="str">
        <f>IFERROR(__xludf.DUMMYFUNCTION("""COMPUTED_VALUE"""),"Solomon Islands dollar")</f>
        <v>Solomon Islands dollar</v>
      </c>
      <c r="I217" s="9"/>
      <c r="J217" s="3" t="s">
        <v>219</v>
      </c>
      <c r="K217" s="9" t="s">
        <v>230</v>
      </c>
    </row>
    <row r="218">
      <c r="B218" s="9">
        <f>IFERROR(__xludf.DUMMYFUNCTION("""COMPUTED_VALUE"""),14.0)</f>
        <v>14</v>
      </c>
      <c r="C218" s="9" t="str">
        <f>IFERROR(__xludf.DUMMYFUNCTION("""COMPUTED_VALUE"""),"Tonga")</f>
        <v>Tonga</v>
      </c>
      <c r="D218" s="9" t="str">
        <f>IFERROR(__xludf.DUMMYFUNCTION("""COMPUTED_VALUE"""),"Nuku'alofa")</f>
        <v>Nuku'alofa</v>
      </c>
      <c r="E218" s="11">
        <f>IFERROR(__xludf.DUMMYFUNCTION("""COMPUTED_VALUE"""),111363.0)</f>
        <v>111363</v>
      </c>
      <c r="F218" s="9" t="str">
        <f>IFERROR(__xludf.DUMMYFUNCTION("""COMPUTED_VALUE"""),"747 km²")</f>
        <v>747 km²</v>
      </c>
      <c r="G218" s="9" t="str">
        <f>IFERROR(__xludf.DUMMYFUNCTION("""COMPUTED_VALUE"""),"English
Tongan")</f>
        <v>English
Tongan</v>
      </c>
      <c r="H218" s="9" t="str">
        <f>IFERROR(__xludf.DUMMYFUNCTION("""COMPUTED_VALUE"""),"Pa'anga")</f>
        <v>Pa'anga</v>
      </c>
      <c r="I218" s="9"/>
      <c r="J218" s="3" t="s">
        <v>219</v>
      </c>
      <c r="K218" s="9" t="s">
        <v>231</v>
      </c>
    </row>
    <row r="219">
      <c r="B219" s="9">
        <f>IFERROR(__xludf.DUMMYFUNCTION("""COMPUTED_VALUE"""),15.0)</f>
        <v>15</v>
      </c>
      <c r="C219" s="9" t="str">
        <f>IFERROR(__xludf.DUMMYFUNCTION("""COMPUTED_VALUE"""),"Tuvalu")</f>
        <v>Tuvalu</v>
      </c>
      <c r="D219" s="9" t="str">
        <f>IFERROR(__xludf.DUMMYFUNCTION("""COMPUTED_VALUE"""),"Funafuti")</f>
        <v>Funafuti</v>
      </c>
      <c r="E219" s="11">
        <f>IFERROR(__xludf.DUMMYFUNCTION("""COMPUTED_VALUE"""),128032.0)</f>
        <v>128032</v>
      </c>
      <c r="F219" s="9" t="str">
        <f>IFERROR(__xludf.DUMMYFUNCTION("""COMPUTED_VALUE"""),"702 km²")</f>
        <v>702 km²</v>
      </c>
      <c r="G219" s="9" t="str">
        <f>IFERROR(__xludf.DUMMYFUNCTION("""COMPUTED_VALUE"""),"English
Tuvaluan")</f>
        <v>English
Tuvaluan</v>
      </c>
      <c r="H219" s="9" t="str">
        <f>IFERROR(__xludf.DUMMYFUNCTION("""COMPUTED_VALUE"""),"Tuvaluan dollar")</f>
        <v>Tuvaluan dollar</v>
      </c>
      <c r="I219" s="9"/>
      <c r="J219" s="3" t="s">
        <v>219</v>
      </c>
      <c r="K219" s="9" t="s">
        <v>232</v>
      </c>
    </row>
    <row r="220" ht="22.5" customHeight="1">
      <c r="B220" s="9">
        <f>IFERROR(__xludf.DUMMYFUNCTION("""COMPUTED_VALUE"""),16.0)</f>
        <v>16</v>
      </c>
      <c r="C220" s="9" t="str">
        <f>IFERROR(__xludf.DUMMYFUNCTION("""COMPUTED_VALUE"""),"Vanuatu")</f>
        <v>Vanuatu</v>
      </c>
      <c r="D220" s="9" t="str">
        <f>IFERROR(__xludf.DUMMYFUNCTION("""COMPUTED_VALUE"""),"Port Vila")</f>
        <v>Port Vila</v>
      </c>
      <c r="E220" s="11">
        <f>IFERROR(__xludf.DUMMYFUNCTION("""COMPUTED_VALUE"""),266374.0)</f>
        <v>266374</v>
      </c>
      <c r="F220" s="9" t="str">
        <f>IFERROR(__xludf.DUMMYFUNCTION("""COMPUTED_VALUE"""),"12200 km²")</f>
        <v>12200 km²</v>
      </c>
      <c r="G220" s="9" t="str">
        <f>IFERROR(__xludf.DUMMYFUNCTION("""COMPUTED_VALUE"""),"English
French
Bislama")</f>
        <v>English
French
Bislama</v>
      </c>
      <c r="H220" s="9" t="str">
        <f>IFERROR(__xludf.DUMMYFUNCTION("""COMPUTED_VALUE"""),"Vatu")</f>
        <v>Vatu</v>
      </c>
      <c r="I220" s="9"/>
      <c r="J220" s="3" t="s">
        <v>219</v>
      </c>
      <c r="K220" s="9" t="s">
        <v>233</v>
      </c>
    </row>
  </sheetData>
  <mergeCells count="2">
    <mergeCell ref="A1:H1"/>
    <mergeCell ref="J1:K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4.75"/>
  </cols>
  <sheetData>
    <row r="3">
      <c r="H3" s="12"/>
      <c r="I3" s="12"/>
      <c r="J3" s="12"/>
      <c r="K3" s="12"/>
      <c r="L3" s="12"/>
      <c r="M3" s="12"/>
      <c r="N3" s="12"/>
      <c r="O3" s="12"/>
      <c r="P3" s="12"/>
      <c r="Q3" s="12"/>
      <c r="R3" s="12"/>
      <c r="S3" s="12"/>
      <c r="T3" s="12"/>
      <c r="U3" s="12"/>
      <c r="V3" s="12"/>
      <c r="W3" s="12"/>
      <c r="X3" s="12"/>
      <c r="Y3" s="12"/>
      <c r="Z3" s="12"/>
    </row>
    <row r="4"/>
    <row r="5"/>
    <row r="6"/>
    <row r="7"/>
    <row r="8"/>
    <row r="9"/>
    <row r="10"/>
    <row r="16">
      <c r="H16" s="12"/>
      <c r="I16" s="12"/>
      <c r="J16" s="12"/>
      <c r="K16" s="12"/>
      <c r="L16" s="12"/>
      <c r="M16" s="12"/>
      <c r="N16" s="12"/>
      <c r="O16" s="12"/>
      <c r="P16" s="12"/>
      <c r="Q16" s="12"/>
      <c r="R16" s="12"/>
      <c r="S16" s="12"/>
      <c r="T16" s="12"/>
      <c r="U16" s="12"/>
      <c r="V16" s="12"/>
      <c r="W16" s="12"/>
      <c r="X16" s="12"/>
      <c r="Y16" s="12"/>
      <c r="Z16" s="12"/>
    </row>
    <row r="17"/>
    <row r="18"/>
    <row r="19"/>
    <row r="20"/>
    <row r="21"/>
    <row r="22"/>
    <row r="23"/>
    <row r="31"/>
    <row r="32"/>
    <row r="33"/>
    <row r="34"/>
    <row r="35"/>
    <row r="36"/>
    <row r="37"/>
    <row r="38"/>
  </sheetData>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H1" s="13" t="s">
        <v>253</v>
      </c>
      <c r="I1" s="14" t="s">
        <v>254</v>
      </c>
    </row>
    <row r="2">
      <c r="H2" s="15">
        <f t="shared" ref="H2:H46" si="1">SUM(B2:G2)</f>
        <v>41000</v>
      </c>
      <c r="I2" s="16">
        <f t="shared" ref="I2:I46" si="2">RANK(H2,$H$2:$H$46)</f>
        <v>34</v>
      </c>
    </row>
    <row r="3">
      <c r="H3" s="15">
        <f t="shared" si="1"/>
        <v>78100</v>
      </c>
      <c r="I3" s="16">
        <f t="shared" si="2"/>
        <v>31</v>
      </c>
    </row>
    <row r="4">
      <c r="H4" s="15">
        <f t="shared" si="1"/>
        <v>143000</v>
      </c>
      <c r="I4" s="16">
        <f t="shared" si="2"/>
        <v>26</v>
      </c>
    </row>
    <row r="5">
      <c r="H5" s="15">
        <f t="shared" si="1"/>
        <v>86700</v>
      </c>
      <c r="I5" s="16">
        <f t="shared" si="2"/>
        <v>30</v>
      </c>
    </row>
    <row r="6">
      <c r="H6" s="15">
        <f t="shared" si="1"/>
        <v>75000</v>
      </c>
      <c r="I6" s="16">
        <f t="shared" si="2"/>
        <v>32</v>
      </c>
    </row>
    <row r="7">
      <c r="H7" s="15">
        <f t="shared" si="1"/>
        <v>7500</v>
      </c>
      <c r="I7" s="16">
        <f t="shared" si="2"/>
        <v>45</v>
      </c>
    </row>
    <row r="8">
      <c r="H8" s="15">
        <f t="shared" si="1"/>
        <v>8000</v>
      </c>
      <c r="I8" s="16">
        <f t="shared" si="2"/>
        <v>44</v>
      </c>
    </row>
    <row r="9">
      <c r="H9" s="15">
        <f t="shared" si="1"/>
        <v>46289318</v>
      </c>
      <c r="I9" s="18">
        <f t="shared" si="2"/>
        <v>1</v>
      </c>
    </row>
    <row r="10">
      <c r="H10" s="15">
        <f t="shared" si="1"/>
        <v>110514</v>
      </c>
      <c r="I10" s="16">
        <f t="shared" si="2"/>
        <v>28</v>
      </c>
    </row>
    <row r="11">
      <c r="H11" s="15">
        <f t="shared" si="1"/>
        <v>22500</v>
      </c>
      <c r="I11" s="16">
        <f t="shared" si="2"/>
        <v>39</v>
      </c>
    </row>
    <row r="12">
      <c r="H12" s="15">
        <f t="shared" si="1"/>
        <v>194439</v>
      </c>
      <c r="I12" s="16">
        <f t="shared" si="2"/>
        <v>24</v>
      </c>
    </row>
    <row r="13">
      <c r="H13" s="15">
        <f t="shared" si="1"/>
        <v>9679537</v>
      </c>
      <c r="I13" s="18">
        <f t="shared" si="2"/>
        <v>3</v>
      </c>
    </row>
    <row r="14">
      <c r="H14" s="15">
        <f t="shared" si="1"/>
        <v>2227584</v>
      </c>
      <c r="I14" s="16">
        <f t="shared" si="2"/>
        <v>9</v>
      </c>
    </row>
    <row r="15">
      <c r="H15" s="15">
        <f t="shared" si="1"/>
        <v>5990403</v>
      </c>
      <c r="I15" s="18">
        <f t="shared" si="2"/>
        <v>5</v>
      </c>
    </row>
    <row r="16">
      <c r="H16" s="15">
        <f t="shared" si="1"/>
        <v>131000</v>
      </c>
      <c r="I16" s="16">
        <f t="shared" si="2"/>
        <v>27</v>
      </c>
    </row>
    <row r="17">
      <c r="H17" s="15">
        <f t="shared" si="1"/>
        <v>990000</v>
      </c>
      <c r="I17" s="16">
        <f t="shared" si="2"/>
        <v>12</v>
      </c>
    </row>
    <row r="18">
      <c r="H18" s="15">
        <f t="shared" si="1"/>
        <v>25979065</v>
      </c>
      <c r="I18" s="18">
        <f t="shared" si="2"/>
        <v>2</v>
      </c>
    </row>
    <row r="19">
      <c r="H19" s="15">
        <f t="shared" si="1"/>
        <v>49500</v>
      </c>
      <c r="I19" s="16">
        <f t="shared" si="2"/>
        <v>33</v>
      </c>
    </row>
    <row r="20">
      <c r="H20" s="15">
        <f t="shared" si="1"/>
        <v>221200</v>
      </c>
      <c r="I20" s="16">
        <f t="shared" si="2"/>
        <v>23</v>
      </c>
    </row>
    <row r="21">
      <c r="H21" s="15">
        <f t="shared" si="1"/>
        <v>445000</v>
      </c>
      <c r="I21" s="16">
        <f t="shared" si="2"/>
        <v>17</v>
      </c>
    </row>
    <row r="22">
      <c r="H22" s="15">
        <f t="shared" si="1"/>
        <v>27500</v>
      </c>
      <c r="I22" s="16">
        <f t="shared" si="2"/>
        <v>36</v>
      </c>
    </row>
    <row r="23">
      <c r="H23" s="15">
        <f t="shared" si="1"/>
        <v>12500</v>
      </c>
      <c r="I23" s="16">
        <f t="shared" si="2"/>
        <v>41</v>
      </c>
    </row>
    <row r="24">
      <c r="H24" s="15">
        <f t="shared" si="1"/>
        <v>148000</v>
      </c>
      <c r="I24" s="16">
        <f t="shared" si="2"/>
        <v>25</v>
      </c>
    </row>
    <row r="25">
      <c r="H25" s="15">
        <f t="shared" si="1"/>
        <v>2755341</v>
      </c>
      <c r="I25" s="16">
        <f t="shared" si="2"/>
        <v>6</v>
      </c>
    </row>
    <row r="26">
      <c r="H26" s="15">
        <f t="shared" si="1"/>
        <v>11000</v>
      </c>
      <c r="I26" s="16">
        <f t="shared" si="2"/>
        <v>42</v>
      </c>
    </row>
    <row r="27">
      <c r="H27" s="15">
        <f t="shared" si="1"/>
        <v>8500</v>
      </c>
      <c r="I27" s="16">
        <f t="shared" si="2"/>
        <v>43</v>
      </c>
    </row>
    <row r="28">
      <c r="H28" s="15">
        <f t="shared" si="1"/>
        <v>803500</v>
      </c>
      <c r="I28" s="16">
        <f t="shared" si="2"/>
        <v>15</v>
      </c>
    </row>
    <row r="29">
      <c r="H29" s="15">
        <f t="shared" si="1"/>
        <v>813377</v>
      </c>
      <c r="I29" s="16">
        <f t="shared" si="2"/>
        <v>14</v>
      </c>
    </row>
    <row r="30">
      <c r="H30" s="15">
        <f t="shared" si="1"/>
        <v>94800</v>
      </c>
      <c r="I30" s="16">
        <f t="shared" si="2"/>
        <v>29</v>
      </c>
    </row>
    <row r="31">
      <c r="H31" s="15">
        <f t="shared" si="1"/>
        <v>264348</v>
      </c>
      <c r="I31" s="16">
        <f t="shared" si="2"/>
        <v>20</v>
      </c>
    </row>
    <row r="32">
      <c r="H32" s="15">
        <f t="shared" si="1"/>
        <v>321500</v>
      </c>
      <c r="I32" s="16">
        <f t="shared" si="2"/>
        <v>18</v>
      </c>
    </row>
    <row r="33">
      <c r="H33" s="15">
        <f t="shared" si="1"/>
        <v>2449900</v>
      </c>
      <c r="I33" s="16">
        <f t="shared" si="2"/>
        <v>7</v>
      </c>
    </row>
    <row r="34">
      <c r="H34" s="15">
        <f t="shared" si="1"/>
        <v>558265</v>
      </c>
      <c r="I34" s="16">
        <f t="shared" si="2"/>
        <v>16</v>
      </c>
    </row>
    <row r="35">
      <c r="H35" s="15">
        <f t="shared" si="1"/>
        <v>6312794</v>
      </c>
      <c r="I35" s="18">
        <f t="shared" si="2"/>
        <v>4</v>
      </c>
    </row>
    <row r="36">
      <c r="H36" s="15">
        <f t="shared" si="1"/>
        <v>16300</v>
      </c>
      <c r="I36" s="16">
        <f t="shared" si="2"/>
        <v>40</v>
      </c>
    </row>
    <row r="37">
      <c r="H37" s="15">
        <f t="shared" si="1"/>
        <v>280599</v>
      </c>
      <c r="I37" s="16">
        <f t="shared" si="2"/>
        <v>19</v>
      </c>
    </row>
    <row r="38">
      <c r="H38" s="15">
        <f t="shared" si="1"/>
        <v>1294500</v>
      </c>
      <c r="I38" s="16">
        <f t="shared" si="2"/>
        <v>11</v>
      </c>
    </row>
    <row r="39">
      <c r="H39" s="15">
        <f t="shared" si="1"/>
        <v>36300</v>
      </c>
      <c r="I39" s="16">
        <f t="shared" si="2"/>
        <v>35</v>
      </c>
    </row>
    <row r="40">
      <c r="H40" s="15">
        <f t="shared" si="1"/>
        <v>1338642</v>
      </c>
      <c r="I40" s="16">
        <f t="shared" si="2"/>
        <v>10</v>
      </c>
    </row>
    <row r="41">
      <c r="H41" s="15">
        <f t="shared" si="1"/>
        <v>2354882</v>
      </c>
      <c r="I41" s="16">
        <f t="shared" si="2"/>
        <v>8</v>
      </c>
    </row>
    <row r="42">
      <c r="H42" s="15">
        <f t="shared" si="1"/>
        <v>25900</v>
      </c>
      <c r="I42" s="16">
        <f t="shared" si="2"/>
        <v>37</v>
      </c>
    </row>
    <row r="43">
      <c r="H43" s="15">
        <f t="shared" si="1"/>
        <v>840761</v>
      </c>
      <c r="I43" s="16">
        <f t="shared" si="2"/>
        <v>13</v>
      </c>
    </row>
    <row r="44">
      <c r="H44" s="15">
        <f t="shared" si="1"/>
        <v>222800</v>
      </c>
      <c r="I44" s="16">
        <f t="shared" si="2"/>
        <v>22</v>
      </c>
    </row>
    <row r="45">
      <c r="H45" s="15">
        <f t="shared" si="1"/>
        <v>259715</v>
      </c>
      <c r="I45" s="16">
        <f t="shared" si="2"/>
        <v>21</v>
      </c>
    </row>
    <row r="46">
      <c r="H46" s="15">
        <f t="shared" si="1"/>
        <v>25500</v>
      </c>
      <c r="I46" s="16">
        <f t="shared" si="2"/>
        <v>38</v>
      </c>
    </row>
    <row r="47">
      <c r="H47" s="16"/>
      <c r="I47" s="16"/>
    </row>
    <row r="53">
      <c r="H53" s="13" t="s">
        <v>253</v>
      </c>
      <c r="I53" s="14" t="s">
        <v>254</v>
      </c>
    </row>
    <row r="54">
      <c r="H54" s="15">
        <f t="shared" ref="H54:H98" si="3">SUM(B54:G54)</f>
        <v>24000</v>
      </c>
      <c r="I54" s="16">
        <f t="shared" ref="I54:I98" si="4">RANK(H54,$H$54:$H$98)</f>
        <v>39</v>
      </c>
    </row>
    <row r="55">
      <c r="H55" s="15">
        <f t="shared" si="3"/>
        <v>81700</v>
      </c>
      <c r="I55" s="16">
        <f t="shared" si="4"/>
        <v>31</v>
      </c>
    </row>
    <row r="56">
      <c r="H56" s="15">
        <f t="shared" si="3"/>
        <v>246000</v>
      </c>
      <c r="I56" s="16">
        <f t="shared" si="4"/>
        <v>25</v>
      </c>
    </row>
    <row r="57">
      <c r="H57" s="15">
        <f t="shared" si="3"/>
        <v>142600</v>
      </c>
      <c r="I57" s="16">
        <f t="shared" si="4"/>
        <v>28</v>
      </c>
    </row>
    <row r="58">
      <c r="H58" s="15">
        <f t="shared" si="3"/>
        <v>90100</v>
      </c>
      <c r="I58" s="16">
        <f t="shared" si="4"/>
        <v>30</v>
      </c>
    </row>
    <row r="59">
      <c r="H59" s="15">
        <f t="shared" si="3"/>
        <v>9200</v>
      </c>
      <c r="I59" s="16">
        <f t="shared" si="4"/>
        <v>45</v>
      </c>
    </row>
    <row r="60">
      <c r="H60" s="15">
        <f t="shared" si="3"/>
        <v>10200</v>
      </c>
      <c r="I60" s="16">
        <f t="shared" si="4"/>
        <v>43</v>
      </c>
    </row>
    <row r="61">
      <c r="H61" s="15">
        <f t="shared" si="3"/>
        <v>113190304</v>
      </c>
      <c r="I61" s="16">
        <f t="shared" si="4"/>
        <v>1</v>
      </c>
    </row>
    <row r="62">
      <c r="H62" s="15">
        <f t="shared" si="3"/>
        <v>61866</v>
      </c>
      <c r="I62" s="16">
        <f t="shared" si="4"/>
        <v>34</v>
      </c>
    </row>
    <row r="63">
      <c r="H63" s="15">
        <f t="shared" si="3"/>
        <v>22000</v>
      </c>
      <c r="I63" s="16">
        <f t="shared" si="4"/>
        <v>41</v>
      </c>
    </row>
    <row r="64">
      <c r="H64" s="15">
        <f t="shared" si="3"/>
        <v>265340</v>
      </c>
      <c r="I64" s="16">
        <f t="shared" si="4"/>
        <v>24</v>
      </c>
    </row>
    <row r="65">
      <c r="H65" s="15">
        <f t="shared" si="3"/>
        <v>16155854</v>
      </c>
      <c r="I65" s="16">
        <f t="shared" si="4"/>
        <v>3</v>
      </c>
    </row>
    <row r="66">
      <c r="H66" s="15">
        <f t="shared" si="3"/>
        <v>4716862</v>
      </c>
      <c r="I66" s="16">
        <f t="shared" si="4"/>
        <v>6</v>
      </c>
    </row>
    <row r="67">
      <c r="H67" s="15">
        <f t="shared" si="3"/>
        <v>6528342</v>
      </c>
      <c r="I67" s="16">
        <f t="shared" si="4"/>
        <v>5</v>
      </c>
    </row>
    <row r="68">
      <c r="H68" s="15">
        <f t="shared" si="3"/>
        <v>340200</v>
      </c>
      <c r="I68" s="16">
        <f t="shared" si="4"/>
        <v>21</v>
      </c>
    </row>
    <row r="69">
      <c r="H69" s="15">
        <f t="shared" si="3"/>
        <v>1352200</v>
      </c>
      <c r="I69" s="16">
        <f t="shared" si="4"/>
        <v>11</v>
      </c>
    </row>
    <row r="70">
      <c r="H70" s="15">
        <f t="shared" si="3"/>
        <v>25705590</v>
      </c>
      <c r="I70" s="16">
        <f t="shared" si="4"/>
        <v>2</v>
      </c>
    </row>
    <row r="71">
      <c r="H71" s="15">
        <f t="shared" si="3"/>
        <v>79800</v>
      </c>
      <c r="I71" s="16">
        <f t="shared" si="4"/>
        <v>32</v>
      </c>
    </row>
    <row r="72">
      <c r="H72" s="15">
        <f t="shared" si="3"/>
        <v>598602</v>
      </c>
      <c r="I72" s="16">
        <f t="shared" si="4"/>
        <v>17</v>
      </c>
    </row>
    <row r="73">
      <c r="H73" s="15">
        <f t="shared" si="3"/>
        <v>682400</v>
      </c>
      <c r="I73" s="16">
        <f t="shared" si="4"/>
        <v>16</v>
      </c>
    </row>
    <row r="74">
      <c r="H74" s="15">
        <f t="shared" si="3"/>
        <v>22800</v>
      </c>
      <c r="I74" s="16">
        <f t="shared" si="4"/>
        <v>40</v>
      </c>
    </row>
    <row r="75">
      <c r="H75" s="15">
        <f t="shared" si="3"/>
        <v>34600</v>
      </c>
      <c r="I75" s="16">
        <f t="shared" si="4"/>
        <v>35</v>
      </c>
    </row>
    <row r="76">
      <c r="H76" s="15">
        <f t="shared" si="3"/>
        <v>214600</v>
      </c>
      <c r="I76" s="16">
        <f t="shared" si="4"/>
        <v>26</v>
      </c>
    </row>
    <row r="77">
      <c r="H77" s="15">
        <f t="shared" si="3"/>
        <v>3358127</v>
      </c>
      <c r="I77" s="16">
        <f t="shared" si="4"/>
        <v>9</v>
      </c>
    </row>
    <row r="78">
      <c r="H78" s="15">
        <f t="shared" si="3"/>
        <v>9600</v>
      </c>
      <c r="I78" s="16">
        <f t="shared" si="4"/>
        <v>44</v>
      </c>
    </row>
    <row r="79">
      <c r="H79" s="15">
        <f t="shared" si="3"/>
        <v>25800</v>
      </c>
      <c r="I79" s="16">
        <f t="shared" si="4"/>
        <v>38</v>
      </c>
    </row>
    <row r="80">
      <c r="H80" s="15">
        <f t="shared" si="3"/>
        <v>760400</v>
      </c>
      <c r="I80" s="16">
        <f t="shared" si="4"/>
        <v>15</v>
      </c>
    </row>
    <row r="81">
      <c r="H81" s="15">
        <f t="shared" si="3"/>
        <v>880735</v>
      </c>
      <c r="I81" s="16">
        <f t="shared" si="4"/>
        <v>14</v>
      </c>
    </row>
    <row r="82">
      <c r="H82" s="15">
        <f t="shared" si="3"/>
        <v>125700</v>
      </c>
      <c r="I82" s="16">
        <f t="shared" si="4"/>
        <v>29</v>
      </c>
    </row>
    <row r="83">
      <c r="H83" s="15">
        <f t="shared" si="3"/>
        <v>538611</v>
      </c>
      <c r="I83" s="16">
        <f t="shared" si="4"/>
        <v>18</v>
      </c>
    </row>
    <row r="84">
      <c r="H84" s="15">
        <f t="shared" si="3"/>
        <v>360900</v>
      </c>
      <c r="I84" s="16">
        <f t="shared" si="4"/>
        <v>20</v>
      </c>
    </row>
    <row r="85">
      <c r="H85" s="15">
        <f t="shared" si="3"/>
        <v>3424400</v>
      </c>
      <c r="I85" s="16">
        <f t="shared" si="4"/>
        <v>8</v>
      </c>
    </row>
    <row r="86">
      <c r="H86" s="15">
        <f t="shared" si="3"/>
        <v>279587</v>
      </c>
      <c r="I86" s="16">
        <f t="shared" si="4"/>
        <v>22</v>
      </c>
    </row>
    <row r="87">
      <c r="H87" s="15">
        <f t="shared" si="3"/>
        <v>8221089</v>
      </c>
      <c r="I87" s="16">
        <f t="shared" si="4"/>
        <v>4</v>
      </c>
    </row>
    <row r="88">
      <c r="H88" s="15">
        <f t="shared" si="3"/>
        <v>77600</v>
      </c>
      <c r="I88" s="16">
        <f t="shared" si="4"/>
        <v>33</v>
      </c>
    </row>
    <row r="89">
      <c r="H89" s="15">
        <f t="shared" si="3"/>
        <v>205160</v>
      </c>
      <c r="I89" s="16">
        <f t="shared" si="4"/>
        <v>27</v>
      </c>
    </row>
    <row r="90">
      <c r="H90" s="15">
        <f t="shared" si="3"/>
        <v>1312415</v>
      </c>
      <c r="I90" s="16">
        <f t="shared" si="4"/>
        <v>12</v>
      </c>
    </row>
    <row r="91">
      <c r="H91" s="15">
        <f t="shared" si="3"/>
        <v>33600</v>
      </c>
      <c r="I91" s="16">
        <f t="shared" si="4"/>
        <v>36</v>
      </c>
    </row>
    <row r="92">
      <c r="H92" s="15">
        <f t="shared" si="3"/>
        <v>2705822</v>
      </c>
      <c r="I92" s="16">
        <f t="shared" si="4"/>
        <v>10</v>
      </c>
    </row>
    <row r="93">
      <c r="H93" s="15">
        <f t="shared" si="3"/>
        <v>3884319</v>
      </c>
      <c r="I93" s="16">
        <f t="shared" si="4"/>
        <v>7</v>
      </c>
    </row>
    <row r="94">
      <c r="H94" s="15">
        <f t="shared" si="3"/>
        <v>27700</v>
      </c>
      <c r="I94" s="16">
        <f t="shared" si="4"/>
        <v>37</v>
      </c>
    </row>
    <row r="95">
      <c r="H95" s="15">
        <f t="shared" si="3"/>
        <v>1198568</v>
      </c>
      <c r="I95" s="16">
        <f t="shared" si="4"/>
        <v>13</v>
      </c>
    </row>
    <row r="96">
      <c r="H96" s="15">
        <f t="shared" si="3"/>
        <v>274400</v>
      </c>
      <c r="I96" s="16">
        <f t="shared" si="4"/>
        <v>23</v>
      </c>
    </row>
    <row r="97">
      <c r="H97" s="15">
        <f t="shared" si="3"/>
        <v>525093</v>
      </c>
      <c r="I97" s="16">
        <f t="shared" si="4"/>
        <v>19</v>
      </c>
    </row>
    <row r="98">
      <c r="H98" s="15">
        <f t="shared" si="3"/>
        <v>11900</v>
      </c>
      <c r="I98" s="16">
        <f t="shared" si="4"/>
        <v>42</v>
      </c>
    </row>
    <row r="99">
      <c r="H99" s="16"/>
      <c r="I99" s="16"/>
    </row>
    <row r="105">
      <c r="H105" s="13" t="s">
        <v>253</v>
      </c>
      <c r="I105" s="14" t="s">
        <v>254</v>
      </c>
    </row>
    <row r="106">
      <c r="H106" s="15">
        <f t="shared" ref="H106:H150" si="5">SUM(B106:G106)</f>
        <v>4370</v>
      </c>
      <c r="I106" s="16">
        <f t="shared" ref="I106:I150" si="6">RANK(H106,$H$106:$H$150)</f>
        <v>42</v>
      </c>
    </row>
    <row r="107">
      <c r="H107" s="15">
        <f t="shared" si="5"/>
        <v>10946</v>
      </c>
      <c r="I107" s="16">
        <f t="shared" si="6"/>
        <v>37</v>
      </c>
    </row>
    <row r="108">
      <c r="H108" s="15">
        <f t="shared" si="5"/>
        <v>90666</v>
      </c>
      <c r="I108" s="16">
        <f t="shared" si="6"/>
        <v>27</v>
      </c>
    </row>
    <row r="109">
      <c r="H109" s="15">
        <f t="shared" si="5"/>
        <v>8250</v>
      </c>
      <c r="I109" s="16">
        <f t="shared" si="6"/>
        <v>38</v>
      </c>
    </row>
    <row r="110">
      <c r="H110" s="15">
        <f t="shared" si="5"/>
        <v>35201</v>
      </c>
      <c r="I110" s="16">
        <f t="shared" si="6"/>
        <v>29</v>
      </c>
    </row>
    <row r="111">
      <c r="H111" s="15">
        <f t="shared" si="5"/>
        <v>13811</v>
      </c>
      <c r="I111" s="16">
        <f t="shared" si="6"/>
        <v>35</v>
      </c>
    </row>
    <row r="112">
      <c r="H112" s="15">
        <f t="shared" si="5"/>
        <v>2924</v>
      </c>
      <c r="I112" s="16">
        <f t="shared" si="6"/>
        <v>43</v>
      </c>
    </row>
    <row r="113">
      <c r="H113" s="15">
        <f t="shared" si="5"/>
        <v>135122750</v>
      </c>
      <c r="I113" s="16">
        <f t="shared" si="6"/>
        <v>1</v>
      </c>
    </row>
    <row r="114">
      <c r="H114" s="15">
        <f t="shared" si="5"/>
        <v>38700</v>
      </c>
      <c r="I114" s="16">
        <f t="shared" si="6"/>
        <v>28</v>
      </c>
    </row>
    <row r="115">
      <c r="H115" s="15">
        <f t="shared" si="5"/>
        <v>8154</v>
      </c>
      <c r="I115" s="16">
        <f t="shared" si="6"/>
        <v>39</v>
      </c>
    </row>
    <row r="116">
      <c r="H116" s="15">
        <f t="shared" si="5"/>
        <v>101011</v>
      </c>
      <c r="I116" s="16">
        <f t="shared" si="6"/>
        <v>25</v>
      </c>
    </row>
    <row r="117">
      <c r="H117" s="15">
        <f t="shared" si="5"/>
        <v>18894079</v>
      </c>
      <c r="I117" s="16">
        <f t="shared" si="6"/>
        <v>3</v>
      </c>
    </row>
    <row r="118">
      <c r="H118" s="15">
        <f t="shared" si="5"/>
        <v>4330112</v>
      </c>
      <c r="I118" s="16">
        <f t="shared" si="6"/>
        <v>5</v>
      </c>
    </row>
    <row r="119">
      <c r="H119" s="15">
        <f t="shared" si="5"/>
        <v>2325122</v>
      </c>
      <c r="I119" s="16">
        <f t="shared" si="6"/>
        <v>10</v>
      </c>
    </row>
    <row r="120">
      <c r="H120" s="15">
        <f t="shared" si="5"/>
        <v>668103</v>
      </c>
      <c r="I120" s="16">
        <f t="shared" si="6"/>
        <v>17</v>
      </c>
    </row>
    <row r="121">
      <c r="H121" s="15">
        <f t="shared" si="5"/>
        <v>1501025</v>
      </c>
      <c r="I121" s="16">
        <f t="shared" si="6"/>
        <v>12</v>
      </c>
    </row>
    <row r="122">
      <c r="H122" s="15">
        <f t="shared" si="5"/>
        <v>24012601</v>
      </c>
      <c r="I122" s="16">
        <f t="shared" si="6"/>
        <v>2</v>
      </c>
    </row>
    <row r="123">
      <c r="H123" s="15">
        <f t="shared" si="5"/>
        <v>146250</v>
      </c>
      <c r="I123" s="16">
        <f t="shared" si="6"/>
        <v>23</v>
      </c>
    </row>
    <row r="124">
      <c r="H124" s="15">
        <f t="shared" si="5"/>
        <v>369839</v>
      </c>
      <c r="I124" s="16">
        <f t="shared" si="6"/>
        <v>20</v>
      </c>
    </row>
    <row r="125">
      <c r="H125" s="15">
        <f t="shared" si="5"/>
        <v>530501</v>
      </c>
      <c r="I125" s="16">
        <f t="shared" si="6"/>
        <v>19</v>
      </c>
    </row>
    <row r="126">
      <c r="H126" s="15">
        <f t="shared" si="5"/>
        <v>5448</v>
      </c>
      <c r="I126" s="16">
        <f t="shared" si="6"/>
        <v>41</v>
      </c>
    </row>
    <row r="127">
      <c r="H127" s="15">
        <f t="shared" si="5"/>
        <v>11215</v>
      </c>
      <c r="I127" s="16">
        <f t="shared" si="6"/>
        <v>36</v>
      </c>
    </row>
    <row r="128">
      <c r="H128" s="15">
        <f t="shared" si="5"/>
        <v>92319</v>
      </c>
      <c r="I128" s="16">
        <f t="shared" si="6"/>
        <v>26</v>
      </c>
    </row>
    <row r="129">
      <c r="H129" s="15">
        <f t="shared" si="5"/>
        <v>3076529</v>
      </c>
      <c r="I129" s="16">
        <f t="shared" si="6"/>
        <v>7</v>
      </c>
    </row>
    <row r="130">
      <c r="H130" s="15">
        <f t="shared" si="5"/>
        <v>14190</v>
      </c>
      <c r="I130" s="16">
        <f t="shared" si="6"/>
        <v>34</v>
      </c>
    </row>
    <row r="131">
      <c r="H131" s="15">
        <f t="shared" si="5"/>
        <v>21709</v>
      </c>
      <c r="I131" s="16">
        <f t="shared" si="6"/>
        <v>32</v>
      </c>
    </row>
    <row r="132">
      <c r="H132" s="15">
        <f t="shared" si="5"/>
        <v>163490</v>
      </c>
      <c r="I132" s="16">
        <f t="shared" si="6"/>
        <v>22</v>
      </c>
    </row>
    <row r="133">
      <c r="H133" s="15">
        <f t="shared" si="5"/>
        <v>1075021</v>
      </c>
      <c r="I133" s="16">
        <f t="shared" si="6"/>
        <v>15</v>
      </c>
    </row>
    <row r="134">
      <c r="H134" s="15">
        <f t="shared" si="5"/>
        <v>751</v>
      </c>
      <c r="I134" s="16">
        <f t="shared" si="6"/>
        <v>45</v>
      </c>
    </row>
    <row r="135">
      <c r="H135" s="15">
        <f t="shared" si="5"/>
        <v>1367740</v>
      </c>
      <c r="I135" s="16">
        <f t="shared" si="6"/>
        <v>13</v>
      </c>
    </row>
    <row r="136">
      <c r="H136" s="15">
        <f t="shared" si="5"/>
        <v>119671</v>
      </c>
      <c r="I136" s="16">
        <f t="shared" si="6"/>
        <v>24</v>
      </c>
    </row>
    <row r="137">
      <c r="H137" s="15">
        <f t="shared" si="5"/>
        <v>2607838</v>
      </c>
      <c r="I137" s="16">
        <f t="shared" si="6"/>
        <v>9</v>
      </c>
    </row>
    <row r="138">
      <c r="H138" s="15">
        <f t="shared" si="5"/>
        <v>252793</v>
      </c>
      <c r="I138" s="16">
        <f t="shared" si="6"/>
        <v>21</v>
      </c>
    </row>
    <row r="139">
      <c r="H139" s="15">
        <f t="shared" si="5"/>
        <v>9056537</v>
      </c>
      <c r="I139" s="16">
        <f t="shared" si="6"/>
        <v>4</v>
      </c>
    </row>
    <row r="140">
      <c r="H140" s="15">
        <f t="shared" si="5"/>
        <v>30877</v>
      </c>
      <c r="I140" s="16">
        <f t="shared" si="6"/>
        <v>30</v>
      </c>
    </row>
    <row r="141">
      <c r="H141" s="15">
        <f t="shared" si="5"/>
        <v>22924</v>
      </c>
      <c r="I141" s="16">
        <f t="shared" si="6"/>
        <v>31</v>
      </c>
    </row>
    <row r="142">
      <c r="H142" s="15">
        <f t="shared" si="5"/>
        <v>1897883</v>
      </c>
      <c r="I142" s="16">
        <f t="shared" si="6"/>
        <v>11</v>
      </c>
    </row>
    <row r="143">
      <c r="H143" s="15">
        <f t="shared" si="5"/>
        <v>6400</v>
      </c>
      <c r="I143" s="16">
        <f t="shared" si="6"/>
        <v>40</v>
      </c>
    </row>
    <row r="144">
      <c r="H144" s="15">
        <f t="shared" si="5"/>
        <v>2863261</v>
      </c>
      <c r="I144" s="16">
        <f t="shared" si="6"/>
        <v>8</v>
      </c>
    </row>
    <row r="145">
      <c r="H145" s="15">
        <f t="shared" si="5"/>
        <v>3360958</v>
      </c>
      <c r="I145" s="16">
        <f t="shared" si="6"/>
        <v>6</v>
      </c>
    </row>
    <row r="146">
      <c r="H146" s="15">
        <f t="shared" si="5"/>
        <v>15125</v>
      </c>
      <c r="I146" s="16">
        <f t="shared" si="6"/>
        <v>33</v>
      </c>
    </row>
    <row r="147">
      <c r="H147" s="15">
        <f t="shared" si="5"/>
        <v>656615</v>
      </c>
      <c r="I147" s="16">
        <f t="shared" si="6"/>
        <v>18</v>
      </c>
    </row>
    <row r="148">
      <c r="H148" s="15">
        <f t="shared" si="5"/>
        <v>679704</v>
      </c>
      <c r="I148" s="16">
        <f t="shared" si="6"/>
        <v>16</v>
      </c>
    </row>
    <row r="149">
      <c r="H149" s="15">
        <f t="shared" si="5"/>
        <v>1287043</v>
      </c>
      <c r="I149" s="16">
        <f t="shared" si="6"/>
        <v>14</v>
      </c>
    </row>
    <row r="150">
      <c r="H150" s="15">
        <f t="shared" si="5"/>
        <v>1932</v>
      </c>
      <c r="I150" s="16">
        <f t="shared" si="6"/>
        <v>44</v>
      </c>
    </row>
    <row r="151">
      <c r="H151" s="16"/>
      <c r="I151" s="16"/>
    </row>
  </sheetData>
  <conditionalFormatting sqref="I2:I47">
    <cfRule type="cellIs" dxfId="0" priority="1" operator="between">
      <formula>1</formula>
      <formula>5</formula>
    </cfRule>
  </conditionalFormatting>
  <conditionalFormatting sqref="I54:I98">
    <cfRule type="cellIs" dxfId="0" priority="2" operator="between">
      <formula>1</formula>
      <formula>5</formula>
    </cfRule>
  </conditionalFormatting>
  <conditionalFormatting sqref="I106:I150">
    <cfRule type="cellIs" dxfId="0" priority="3" operator="between">
      <formula>1</formula>
      <formula>5</formula>
    </cfRule>
  </conditionalFormatting>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H1" s="13" t="s">
        <v>253</v>
      </c>
      <c r="I1" s="14" t="s">
        <v>254</v>
      </c>
    </row>
    <row r="2">
      <c r="H2" s="15">
        <f t="shared" ref="H2:H29" si="1">SUM(B2:G2)</f>
        <v>590865</v>
      </c>
      <c r="I2" s="16">
        <f t="shared" ref="I2:I29" si="2">RANK(H2,$H$2:$H$30)</f>
        <v>3</v>
      </c>
    </row>
    <row r="3">
      <c r="H3" s="15">
        <f t="shared" si="1"/>
        <v>51000</v>
      </c>
      <c r="I3" s="16">
        <f t="shared" si="2"/>
        <v>9</v>
      </c>
    </row>
    <row r="4">
      <c r="H4" s="15">
        <f t="shared" si="1"/>
        <v>102879</v>
      </c>
      <c r="I4" s="16">
        <f t="shared" si="2"/>
        <v>8</v>
      </c>
    </row>
    <row r="5">
      <c r="H5" s="15">
        <f t="shared" si="1"/>
        <v>3350</v>
      </c>
      <c r="I5" s="16">
        <f t="shared" si="2"/>
        <v>25</v>
      </c>
    </row>
    <row r="6">
      <c r="H6" s="15">
        <f t="shared" si="1"/>
        <v>3300</v>
      </c>
      <c r="I6" s="16">
        <f t="shared" si="2"/>
        <v>26</v>
      </c>
    </row>
    <row r="7">
      <c r="H7" s="15">
        <f t="shared" si="1"/>
        <v>8300</v>
      </c>
      <c r="I7" s="16">
        <f t="shared" si="2"/>
        <v>21</v>
      </c>
    </row>
    <row r="8">
      <c r="H8" s="15">
        <f t="shared" si="1"/>
        <v>0</v>
      </c>
      <c r="I8" s="16">
        <f t="shared" si="2"/>
        <v>28</v>
      </c>
    </row>
    <row r="9">
      <c r="H9" s="15">
        <f t="shared" si="1"/>
        <v>961563</v>
      </c>
      <c r="I9" s="16">
        <f t="shared" si="2"/>
        <v>2</v>
      </c>
    </row>
    <row r="10">
      <c r="H10" s="15">
        <f t="shared" si="1"/>
        <v>9500</v>
      </c>
      <c r="I10" s="16">
        <f t="shared" si="2"/>
        <v>20</v>
      </c>
    </row>
    <row r="11">
      <c r="H11" s="15">
        <f t="shared" si="1"/>
        <v>21000</v>
      </c>
      <c r="I11" s="16">
        <f t="shared" si="2"/>
        <v>12</v>
      </c>
    </row>
    <row r="12">
      <c r="H12" s="15">
        <f t="shared" si="1"/>
        <v>15500</v>
      </c>
      <c r="I12" s="16">
        <f t="shared" si="2"/>
        <v>17</v>
      </c>
    </row>
    <row r="13">
      <c r="H13" s="15">
        <f t="shared" si="1"/>
        <v>18000</v>
      </c>
      <c r="I13" s="16">
        <f t="shared" si="2"/>
        <v>16</v>
      </c>
    </row>
    <row r="14">
      <c r="H14" s="15">
        <f t="shared" si="1"/>
        <v>1600</v>
      </c>
      <c r="I14" s="16">
        <f t="shared" si="2"/>
        <v>27</v>
      </c>
    </row>
    <row r="15">
      <c r="H15" s="15">
        <f t="shared" si="1"/>
        <v>218500</v>
      </c>
      <c r="I15" s="16">
        <f t="shared" si="2"/>
        <v>5</v>
      </c>
    </row>
    <row r="16">
      <c r="H16" s="15">
        <f t="shared" si="1"/>
        <v>5930</v>
      </c>
      <c r="I16" s="16">
        <f t="shared" si="2"/>
        <v>23</v>
      </c>
    </row>
    <row r="17">
      <c r="H17" s="15">
        <f t="shared" si="1"/>
        <v>6630</v>
      </c>
      <c r="I17" s="16">
        <f t="shared" si="2"/>
        <v>22</v>
      </c>
    </row>
    <row r="18">
      <c r="H18" s="15">
        <f t="shared" si="1"/>
        <v>21400</v>
      </c>
      <c r="I18" s="16">
        <f t="shared" si="2"/>
        <v>11</v>
      </c>
    </row>
    <row r="19">
      <c r="H19" s="15">
        <f t="shared" si="1"/>
        <v>509394</v>
      </c>
      <c r="I19" s="16">
        <f t="shared" si="2"/>
        <v>4</v>
      </c>
    </row>
    <row r="20">
      <c r="H20" s="15">
        <f t="shared" si="1"/>
        <v>111000</v>
      </c>
      <c r="I20" s="16">
        <f t="shared" si="2"/>
        <v>7</v>
      </c>
    </row>
    <row r="21">
      <c r="H21" s="15">
        <f t="shared" si="1"/>
        <v>4100</v>
      </c>
      <c r="I21" s="16">
        <f t="shared" si="2"/>
        <v>24</v>
      </c>
    </row>
    <row r="22">
      <c r="H22" s="15">
        <f t="shared" si="1"/>
        <v>20000</v>
      </c>
      <c r="I22" s="16">
        <f t="shared" si="2"/>
        <v>13</v>
      </c>
    </row>
    <row r="23">
      <c r="H23" s="15">
        <f t="shared" si="1"/>
        <v>2260600</v>
      </c>
      <c r="I23" s="16">
        <f t="shared" si="2"/>
        <v>1</v>
      </c>
    </row>
    <row r="24">
      <c r="H24" s="15">
        <f t="shared" si="1"/>
        <v>18500</v>
      </c>
      <c r="I24" s="16">
        <f t="shared" si="2"/>
        <v>14</v>
      </c>
    </row>
    <row r="25">
      <c r="H25" s="15">
        <f t="shared" si="1"/>
        <v>12000</v>
      </c>
      <c r="I25" s="16">
        <f t="shared" si="2"/>
        <v>19</v>
      </c>
    </row>
    <row r="26">
      <c r="H26" s="15">
        <f t="shared" si="1"/>
        <v>198000</v>
      </c>
      <c r="I26" s="16">
        <f t="shared" si="2"/>
        <v>6</v>
      </c>
    </row>
    <row r="27">
      <c r="H27" s="15">
        <f t="shared" si="1"/>
        <v>18500</v>
      </c>
      <c r="I27" s="16">
        <f t="shared" si="2"/>
        <v>14</v>
      </c>
    </row>
    <row r="28">
      <c r="H28" s="15">
        <f t="shared" si="1"/>
        <v>15400</v>
      </c>
      <c r="I28" s="16">
        <f t="shared" si="2"/>
        <v>18</v>
      </c>
    </row>
    <row r="29">
      <c r="H29" s="15">
        <f t="shared" si="1"/>
        <v>24000</v>
      </c>
      <c r="I29" s="16">
        <f t="shared" si="2"/>
        <v>10</v>
      </c>
    </row>
    <row r="30">
      <c r="H30" s="15"/>
      <c r="I30" s="16"/>
    </row>
    <row r="36">
      <c r="H36" s="13" t="s">
        <v>253</v>
      </c>
      <c r="I36" s="14" t="s">
        <v>254</v>
      </c>
    </row>
    <row r="37">
      <c r="H37" s="15">
        <f t="shared" ref="H37:H64" si="3">SUM(B37:G37)</f>
        <v>1018132</v>
      </c>
      <c r="I37" s="16">
        <f t="shared" ref="I37:I64" si="4">RANK(H37,$H$37:$H$65)</f>
        <v>3</v>
      </c>
    </row>
    <row r="38">
      <c r="H38" s="15">
        <f t="shared" si="3"/>
        <v>91300</v>
      </c>
      <c r="I38" s="16">
        <f t="shared" si="4"/>
        <v>9</v>
      </c>
    </row>
    <row r="39">
      <c r="H39" s="15">
        <f t="shared" si="3"/>
        <v>121197</v>
      </c>
      <c r="I39" s="16">
        <f t="shared" si="4"/>
        <v>8</v>
      </c>
    </row>
    <row r="40">
      <c r="H40" s="15">
        <f t="shared" si="3"/>
        <v>5300</v>
      </c>
      <c r="I40" s="16">
        <f t="shared" si="4"/>
        <v>25</v>
      </c>
    </row>
    <row r="41">
      <c r="H41" s="15">
        <f t="shared" si="3"/>
        <v>1420</v>
      </c>
      <c r="I41" s="16">
        <f t="shared" si="4"/>
        <v>27</v>
      </c>
    </row>
    <row r="42">
      <c r="H42" s="15">
        <f t="shared" si="3"/>
        <v>11600</v>
      </c>
      <c r="I42" s="16">
        <f t="shared" si="4"/>
        <v>20</v>
      </c>
    </row>
    <row r="43">
      <c r="H43" s="15">
        <f t="shared" si="3"/>
        <v>3700</v>
      </c>
      <c r="I43" s="16">
        <f t="shared" si="4"/>
        <v>26</v>
      </c>
    </row>
    <row r="44">
      <c r="H44" s="15">
        <f t="shared" si="3"/>
        <v>1399700</v>
      </c>
      <c r="I44" s="16">
        <f t="shared" si="4"/>
        <v>2</v>
      </c>
    </row>
    <row r="45">
      <c r="H45" s="15">
        <f t="shared" si="3"/>
        <v>14800</v>
      </c>
      <c r="I45" s="16">
        <f t="shared" si="4"/>
        <v>18</v>
      </c>
    </row>
    <row r="46">
      <c r="H46" s="15">
        <f t="shared" si="3"/>
        <v>33800</v>
      </c>
      <c r="I46" s="16">
        <f t="shared" si="4"/>
        <v>11</v>
      </c>
    </row>
    <row r="47">
      <c r="H47" s="15">
        <f t="shared" si="3"/>
        <v>25600</v>
      </c>
      <c r="I47" s="16">
        <f t="shared" si="4"/>
        <v>12</v>
      </c>
    </row>
    <row r="48">
      <c r="H48" s="15">
        <f t="shared" si="3"/>
        <v>16800</v>
      </c>
      <c r="I48" s="16">
        <f t="shared" si="4"/>
        <v>15</v>
      </c>
    </row>
    <row r="49">
      <c r="H49" s="15">
        <f t="shared" si="3"/>
        <v>1320</v>
      </c>
      <c r="I49" s="16">
        <f t="shared" si="4"/>
        <v>28</v>
      </c>
    </row>
    <row r="50">
      <c r="H50" s="15">
        <f t="shared" si="3"/>
        <v>189100</v>
      </c>
      <c r="I50" s="16">
        <f t="shared" si="4"/>
        <v>6</v>
      </c>
    </row>
    <row r="51">
      <c r="H51" s="15">
        <f t="shared" si="3"/>
        <v>7100</v>
      </c>
      <c r="I51" s="16">
        <f t="shared" si="4"/>
        <v>24</v>
      </c>
    </row>
    <row r="52">
      <c r="H52" s="15">
        <f t="shared" si="3"/>
        <v>7300</v>
      </c>
      <c r="I52" s="16">
        <f t="shared" si="4"/>
        <v>23</v>
      </c>
    </row>
    <row r="53">
      <c r="H53" s="15">
        <f t="shared" si="3"/>
        <v>42800</v>
      </c>
      <c r="I53" s="16">
        <f t="shared" si="4"/>
        <v>10</v>
      </c>
    </row>
    <row r="54">
      <c r="H54" s="15">
        <f t="shared" si="3"/>
        <v>708570</v>
      </c>
      <c r="I54" s="16">
        <f t="shared" si="4"/>
        <v>4</v>
      </c>
    </row>
    <row r="55">
      <c r="H55" s="15">
        <f t="shared" si="3"/>
        <v>186800</v>
      </c>
      <c r="I55" s="16">
        <f t="shared" si="4"/>
        <v>7</v>
      </c>
    </row>
    <row r="56">
      <c r="H56" s="15">
        <f t="shared" si="3"/>
        <v>7600</v>
      </c>
      <c r="I56" s="16">
        <f t="shared" si="4"/>
        <v>22</v>
      </c>
    </row>
    <row r="57">
      <c r="H57" s="15">
        <f t="shared" si="3"/>
        <v>24100</v>
      </c>
      <c r="I57" s="16">
        <f t="shared" si="4"/>
        <v>13</v>
      </c>
    </row>
    <row r="58">
      <c r="H58" s="15">
        <f t="shared" si="3"/>
        <v>2500078</v>
      </c>
      <c r="I58" s="16">
        <f t="shared" si="4"/>
        <v>1</v>
      </c>
    </row>
    <row r="59">
      <c r="H59" s="15">
        <f t="shared" si="3"/>
        <v>9500</v>
      </c>
      <c r="I59" s="16">
        <f t="shared" si="4"/>
        <v>21</v>
      </c>
    </row>
    <row r="60">
      <c r="H60" s="15">
        <f t="shared" si="3"/>
        <v>15400</v>
      </c>
      <c r="I60" s="16">
        <f t="shared" si="4"/>
        <v>17</v>
      </c>
    </row>
    <row r="61">
      <c r="H61" s="15">
        <f t="shared" si="3"/>
        <v>216600</v>
      </c>
      <c r="I61" s="16">
        <f t="shared" si="4"/>
        <v>5</v>
      </c>
    </row>
    <row r="62">
      <c r="H62" s="15">
        <f t="shared" si="3"/>
        <v>17100</v>
      </c>
      <c r="I62" s="16">
        <f t="shared" si="4"/>
        <v>14</v>
      </c>
    </row>
    <row r="63">
      <c r="H63" s="15">
        <f t="shared" si="3"/>
        <v>12000</v>
      </c>
      <c r="I63" s="16">
        <f t="shared" si="4"/>
        <v>19</v>
      </c>
    </row>
    <row r="64">
      <c r="H64" s="15">
        <f t="shared" si="3"/>
        <v>15900</v>
      </c>
      <c r="I64" s="16">
        <f t="shared" si="4"/>
        <v>16</v>
      </c>
    </row>
    <row r="65">
      <c r="H65" s="15"/>
      <c r="I65" s="16"/>
    </row>
    <row r="71">
      <c r="H71" s="13" t="s">
        <v>253</v>
      </c>
      <c r="I71" s="14" t="s">
        <v>254</v>
      </c>
    </row>
    <row r="72">
      <c r="H72" s="15">
        <f t="shared" ref="H72:H99" si="5">SUM(B72:G72)</f>
        <v>340370</v>
      </c>
      <c r="I72" s="16">
        <f t="shared" ref="I72:I99" si="6">RANK(H72,$H$72:$H$100)</f>
        <v>4</v>
      </c>
    </row>
    <row r="73">
      <c r="H73" s="15">
        <f t="shared" si="5"/>
        <v>6780</v>
      </c>
      <c r="I73" s="16">
        <f t="shared" si="6"/>
        <v>14</v>
      </c>
    </row>
    <row r="74">
      <c r="H74" s="15">
        <f t="shared" si="5"/>
        <v>8081</v>
      </c>
      <c r="I74" s="16">
        <f t="shared" si="6"/>
        <v>12</v>
      </c>
    </row>
    <row r="75">
      <c r="H75" s="15">
        <f t="shared" si="5"/>
        <v>1450</v>
      </c>
      <c r="I75" s="16">
        <f t="shared" si="6"/>
        <v>24</v>
      </c>
    </row>
    <row r="76">
      <c r="H76" s="15">
        <f t="shared" si="5"/>
        <v>34</v>
      </c>
      <c r="I76" s="16">
        <f t="shared" si="6"/>
        <v>27</v>
      </c>
    </row>
    <row r="77">
      <c r="H77" s="15">
        <f t="shared" si="5"/>
        <v>4596</v>
      </c>
      <c r="I77" s="16">
        <f t="shared" si="6"/>
        <v>15</v>
      </c>
    </row>
    <row r="78">
      <c r="H78" s="15">
        <f t="shared" si="5"/>
        <v>900</v>
      </c>
      <c r="I78" s="16">
        <f t="shared" si="6"/>
        <v>25</v>
      </c>
    </row>
    <row r="79">
      <c r="H79" s="15">
        <f t="shared" si="5"/>
        <v>890570</v>
      </c>
      <c r="I79" s="16">
        <f t="shared" si="6"/>
        <v>2</v>
      </c>
    </row>
    <row r="80">
      <c r="H80" s="15">
        <f t="shared" si="5"/>
        <v>3244</v>
      </c>
      <c r="I80" s="16">
        <f t="shared" si="6"/>
        <v>18</v>
      </c>
    </row>
    <row r="81">
      <c r="H81" s="15">
        <f t="shared" si="5"/>
        <v>11728</v>
      </c>
      <c r="I81" s="16">
        <f t="shared" si="6"/>
        <v>10</v>
      </c>
    </row>
    <row r="82">
      <c r="H82" s="15">
        <f t="shared" si="5"/>
        <v>19149</v>
      </c>
      <c r="I82" s="16">
        <f t="shared" si="6"/>
        <v>8</v>
      </c>
    </row>
    <row r="83">
      <c r="H83" s="15">
        <f t="shared" si="5"/>
        <v>7292</v>
      </c>
      <c r="I83" s="16">
        <f t="shared" si="6"/>
        <v>13</v>
      </c>
    </row>
    <row r="84">
      <c r="H84" s="15">
        <f t="shared" si="5"/>
        <v>372</v>
      </c>
      <c r="I84" s="16">
        <f t="shared" si="6"/>
        <v>26</v>
      </c>
    </row>
    <row r="85">
      <c r="H85" s="15">
        <f t="shared" si="5"/>
        <v>39600</v>
      </c>
      <c r="I85" s="16">
        <f t="shared" si="6"/>
        <v>6</v>
      </c>
    </row>
    <row r="86">
      <c r="H86" s="15">
        <f t="shared" si="5"/>
        <v>3380</v>
      </c>
      <c r="I86" s="16">
        <f t="shared" si="6"/>
        <v>17</v>
      </c>
    </row>
    <row r="87">
      <c r="H87" s="15">
        <f t="shared" si="5"/>
        <v>1891</v>
      </c>
      <c r="I87" s="16">
        <f t="shared" si="6"/>
        <v>23</v>
      </c>
    </row>
    <row r="88">
      <c r="H88" s="15">
        <f t="shared" si="5"/>
        <v>24763</v>
      </c>
      <c r="I88" s="16">
        <f t="shared" si="6"/>
        <v>7</v>
      </c>
    </row>
    <row r="89">
      <c r="H89" s="15">
        <f t="shared" si="5"/>
        <v>881478</v>
      </c>
      <c r="I89" s="16">
        <f t="shared" si="6"/>
        <v>3</v>
      </c>
    </row>
    <row r="90">
      <c r="H90" s="15">
        <f t="shared" si="5"/>
        <v>18350</v>
      </c>
      <c r="I90" s="16">
        <f t="shared" si="6"/>
        <v>9</v>
      </c>
    </row>
    <row r="91">
      <c r="H91" s="15">
        <f t="shared" si="5"/>
        <v>0</v>
      </c>
      <c r="I91" s="16">
        <f t="shared" si="6"/>
        <v>28</v>
      </c>
    </row>
    <row r="92">
      <c r="H92" s="15">
        <f t="shared" si="5"/>
        <v>10651</v>
      </c>
      <c r="I92" s="16">
        <f t="shared" si="6"/>
        <v>11</v>
      </c>
    </row>
    <row r="93">
      <c r="H93" s="15">
        <f t="shared" si="5"/>
        <v>1997516</v>
      </c>
      <c r="I93" s="16">
        <f t="shared" si="6"/>
        <v>1</v>
      </c>
    </row>
    <row r="94">
      <c r="H94" s="15">
        <f t="shared" si="5"/>
        <v>3586</v>
      </c>
      <c r="I94" s="16">
        <f t="shared" si="6"/>
        <v>16</v>
      </c>
    </row>
    <row r="95">
      <c r="H95" s="15">
        <f t="shared" si="5"/>
        <v>2611</v>
      </c>
      <c r="I95" s="16">
        <f t="shared" si="6"/>
        <v>20</v>
      </c>
    </row>
    <row r="96">
      <c r="H96" s="15">
        <f t="shared" si="5"/>
        <v>115616</v>
      </c>
      <c r="I96" s="16">
        <f t="shared" si="6"/>
        <v>5</v>
      </c>
    </row>
    <row r="97">
      <c r="H97" s="15">
        <f t="shared" si="5"/>
        <v>2323</v>
      </c>
      <c r="I97" s="16">
        <f t="shared" si="6"/>
        <v>22</v>
      </c>
    </row>
    <row r="98">
      <c r="H98" s="15">
        <f t="shared" si="5"/>
        <v>3060</v>
      </c>
      <c r="I98" s="16">
        <f t="shared" si="6"/>
        <v>19</v>
      </c>
    </row>
    <row r="99">
      <c r="H99" s="15">
        <f t="shared" si="5"/>
        <v>2532</v>
      </c>
      <c r="I99" s="16">
        <f t="shared" si="6"/>
        <v>21</v>
      </c>
    </row>
    <row r="100">
      <c r="H100" s="15"/>
      <c r="I100" s="16"/>
    </row>
  </sheetData>
  <conditionalFormatting sqref="I2:I29">
    <cfRule type="cellIs" dxfId="0" priority="1" operator="between">
      <formula>1</formula>
      <formula>5</formula>
    </cfRule>
  </conditionalFormatting>
  <conditionalFormatting sqref="I37:I65">
    <cfRule type="cellIs" dxfId="0" priority="2" operator="between">
      <formula>1</formula>
      <formula>5</formula>
    </cfRule>
  </conditionalFormatting>
  <conditionalFormatting sqref="I72:I100">
    <cfRule type="cellIs" dxfId="0" priority="3" operator="between">
      <formula>1</formula>
      <formula>5</formula>
    </cfRule>
  </conditionalFormatting>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H1" s="13" t="s">
        <v>253</v>
      </c>
      <c r="I1" s="14" t="s">
        <v>254</v>
      </c>
    </row>
    <row r="2">
      <c r="H2" s="15">
        <f t="shared" ref="H2:H40" si="1">SUM(B2:G2)</f>
        <v>7400</v>
      </c>
      <c r="I2" s="16">
        <f t="shared" ref="I2:I40" si="2">RANK(H2,$H$2:$H$41)</f>
        <v>39</v>
      </c>
    </row>
    <row r="3">
      <c r="H3" s="15">
        <f t="shared" si="1"/>
        <v>1856354</v>
      </c>
      <c r="I3" s="16">
        <f t="shared" si="2"/>
        <v>10</v>
      </c>
    </row>
    <row r="4">
      <c r="H4" s="15">
        <f t="shared" si="1"/>
        <v>91000</v>
      </c>
      <c r="I4" s="16">
        <f t="shared" si="2"/>
        <v>31</v>
      </c>
    </row>
    <row r="5">
      <c r="H5" s="15">
        <f t="shared" si="1"/>
        <v>3090505</v>
      </c>
      <c r="I5" s="16">
        <f t="shared" si="2"/>
        <v>7</v>
      </c>
    </row>
    <row r="6">
      <c r="H6" s="15">
        <f t="shared" si="1"/>
        <v>70000</v>
      </c>
      <c r="I6" s="16">
        <f t="shared" si="2"/>
        <v>33</v>
      </c>
    </row>
    <row r="7">
      <c r="H7" s="15">
        <f t="shared" si="1"/>
        <v>190201</v>
      </c>
      <c r="I7" s="16">
        <f t="shared" si="2"/>
        <v>27</v>
      </c>
    </row>
    <row r="8">
      <c r="H8" s="15">
        <f t="shared" si="1"/>
        <v>403750</v>
      </c>
      <c r="I8" s="16">
        <f t="shared" si="2"/>
        <v>23</v>
      </c>
    </row>
    <row r="9">
      <c r="H9" s="15">
        <f t="shared" si="1"/>
        <v>1002683</v>
      </c>
      <c r="I9" s="16">
        <f t="shared" si="2"/>
        <v>17</v>
      </c>
    </row>
    <row r="10">
      <c r="H10" s="15">
        <f t="shared" si="1"/>
        <v>884952</v>
      </c>
      <c r="I10" s="16">
        <f t="shared" si="2"/>
        <v>18</v>
      </c>
    </row>
    <row r="11">
      <c r="H11" s="15">
        <f t="shared" si="1"/>
        <v>120735</v>
      </c>
      <c r="I11" s="16">
        <f t="shared" si="2"/>
        <v>29</v>
      </c>
    </row>
    <row r="12">
      <c r="H12" s="15">
        <f t="shared" si="1"/>
        <v>761680</v>
      </c>
      <c r="I12" s="16">
        <f t="shared" si="2"/>
        <v>21</v>
      </c>
    </row>
    <row r="13">
      <c r="H13" s="15">
        <f t="shared" si="1"/>
        <v>12918895</v>
      </c>
      <c r="I13" s="16">
        <f t="shared" si="2"/>
        <v>4</v>
      </c>
    </row>
    <row r="14">
      <c r="H14" s="15">
        <f t="shared" si="1"/>
        <v>19748857</v>
      </c>
      <c r="I14" s="16">
        <f t="shared" si="2"/>
        <v>1</v>
      </c>
    </row>
    <row r="15">
      <c r="H15" s="15">
        <f t="shared" si="1"/>
        <v>1445668</v>
      </c>
      <c r="I15" s="16">
        <f t="shared" si="2"/>
        <v>14</v>
      </c>
    </row>
    <row r="16">
      <c r="H16" s="15">
        <f t="shared" si="1"/>
        <v>815262</v>
      </c>
      <c r="I16" s="16">
        <f t="shared" si="2"/>
        <v>20</v>
      </c>
    </row>
    <row r="17">
      <c r="H17" s="15">
        <f t="shared" si="1"/>
        <v>65383</v>
      </c>
      <c r="I17" s="16">
        <f t="shared" si="2"/>
        <v>34</v>
      </c>
    </row>
    <row r="18">
      <c r="H18" s="15">
        <f t="shared" si="1"/>
        <v>834057</v>
      </c>
      <c r="I18" s="16">
        <f t="shared" si="2"/>
        <v>19</v>
      </c>
    </row>
    <row r="19">
      <c r="H19" s="15">
        <f t="shared" si="1"/>
        <v>13356089</v>
      </c>
      <c r="I19" s="16">
        <f t="shared" si="2"/>
        <v>2</v>
      </c>
    </row>
    <row r="20">
      <c r="H20" s="15">
        <f t="shared" si="1"/>
        <v>84009</v>
      </c>
      <c r="I20" s="16">
        <f t="shared" si="2"/>
        <v>32</v>
      </c>
    </row>
    <row r="21">
      <c r="H21" s="15">
        <f t="shared" si="1"/>
        <v>106518</v>
      </c>
      <c r="I21" s="16">
        <f t="shared" si="2"/>
        <v>30</v>
      </c>
    </row>
    <row r="22">
      <c r="H22" s="15">
        <f t="shared" si="1"/>
        <v>300036</v>
      </c>
      <c r="I22" s="16">
        <f t="shared" si="2"/>
        <v>26</v>
      </c>
    </row>
    <row r="23">
      <c r="H23" s="15">
        <f t="shared" si="1"/>
        <v>34910</v>
      </c>
      <c r="I23" s="16">
        <f t="shared" si="2"/>
        <v>38</v>
      </c>
    </row>
    <row r="24">
      <c r="H24" s="15">
        <f t="shared" si="1"/>
        <v>36000</v>
      </c>
      <c r="I24" s="16">
        <f t="shared" si="2"/>
        <v>37</v>
      </c>
    </row>
    <row r="25">
      <c r="H25" s="15">
        <f t="shared" si="1"/>
        <v>44818</v>
      </c>
      <c r="I25" s="16">
        <f t="shared" si="2"/>
        <v>36</v>
      </c>
    </row>
    <row r="26">
      <c r="H26" s="15">
        <f t="shared" si="1"/>
        <v>2823705</v>
      </c>
      <c r="I26" s="16">
        <f t="shared" si="2"/>
        <v>8</v>
      </c>
    </row>
    <row r="27">
      <c r="H27" s="15">
        <f t="shared" si="1"/>
        <v>54500</v>
      </c>
      <c r="I27" s="16">
        <f t="shared" si="2"/>
        <v>35</v>
      </c>
    </row>
    <row r="28">
      <c r="H28" s="15">
        <f t="shared" si="1"/>
        <v>685312</v>
      </c>
      <c r="I28" s="16">
        <f t="shared" si="2"/>
        <v>22</v>
      </c>
    </row>
    <row r="29">
      <c r="H29" s="15">
        <f t="shared" si="1"/>
        <v>1620427</v>
      </c>
      <c r="I29" s="16">
        <f t="shared" si="2"/>
        <v>13</v>
      </c>
    </row>
    <row r="30">
      <c r="H30" s="15">
        <f t="shared" si="1"/>
        <v>1200872</v>
      </c>
      <c r="I30" s="16">
        <f t="shared" si="2"/>
        <v>16</v>
      </c>
    </row>
    <row r="31">
      <c r="H31" s="15">
        <f t="shared" si="1"/>
        <v>1270874</v>
      </c>
      <c r="I31" s="16">
        <f t="shared" si="2"/>
        <v>15</v>
      </c>
    </row>
    <row r="32">
      <c r="H32" s="15">
        <f t="shared" si="1"/>
        <v>12222380</v>
      </c>
      <c r="I32" s="16">
        <f t="shared" si="2"/>
        <v>5</v>
      </c>
    </row>
    <row r="33">
      <c r="H33" s="15">
        <f t="shared" si="1"/>
        <v>175113</v>
      </c>
      <c r="I33" s="16">
        <f t="shared" si="2"/>
        <v>28</v>
      </c>
    </row>
    <row r="34">
      <c r="H34" s="15">
        <f t="shared" si="1"/>
        <v>384490</v>
      </c>
      <c r="I34" s="16">
        <f t="shared" si="2"/>
        <v>24</v>
      </c>
    </row>
    <row r="35">
      <c r="H35" s="15">
        <f t="shared" si="1"/>
        <v>378305</v>
      </c>
      <c r="I35" s="16">
        <f t="shared" si="2"/>
        <v>25</v>
      </c>
    </row>
    <row r="36">
      <c r="H36" s="15">
        <f t="shared" si="1"/>
        <v>7874283</v>
      </c>
      <c r="I36" s="16">
        <f t="shared" si="2"/>
        <v>6</v>
      </c>
    </row>
    <row r="37">
      <c r="H37" s="15">
        <f t="shared" si="1"/>
        <v>1620935</v>
      </c>
      <c r="I37" s="16">
        <f t="shared" si="2"/>
        <v>12</v>
      </c>
    </row>
    <row r="38">
      <c r="H38" s="15">
        <f t="shared" si="1"/>
        <v>1669647</v>
      </c>
      <c r="I38" s="16">
        <f t="shared" si="2"/>
        <v>11</v>
      </c>
    </row>
    <row r="39">
      <c r="H39" s="15">
        <f t="shared" si="1"/>
        <v>13346228</v>
      </c>
      <c r="I39" s="16">
        <f t="shared" si="2"/>
        <v>3</v>
      </c>
    </row>
    <row r="40">
      <c r="H40" s="15">
        <f t="shared" si="1"/>
        <v>2059911</v>
      </c>
      <c r="I40" s="16">
        <f t="shared" si="2"/>
        <v>9</v>
      </c>
    </row>
    <row r="41">
      <c r="H41" s="15"/>
      <c r="I41" s="16"/>
    </row>
    <row r="46">
      <c r="H46" s="13" t="s">
        <v>253</v>
      </c>
      <c r="I46" s="14" t="s">
        <v>254</v>
      </c>
    </row>
    <row r="47">
      <c r="H47" s="15">
        <f t="shared" ref="H47:H85" si="3">SUM(B47:G47)</f>
        <v>14200</v>
      </c>
      <c r="I47" s="16">
        <f t="shared" ref="I47:I85" si="4">RANK(H47,$H$47:$H$86)</f>
        <v>39</v>
      </c>
    </row>
    <row r="48">
      <c r="H48" s="15">
        <f t="shared" si="3"/>
        <v>1952667</v>
      </c>
      <c r="I48" s="16">
        <f t="shared" si="4"/>
        <v>9</v>
      </c>
    </row>
    <row r="49">
      <c r="H49" s="15">
        <f t="shared" si="3"/>
        <v>119500</v>
      </c>
      <c r="I49" s="16">
        <f t="shared" si="4"/>
        <v>30</v>
      </c>
    </row>
    <row r="50">
      <c r="H50" s="15">
        <f t="shared" si="3"/>
        <v>3068537</v>
      </c>
      <c r="I50" s="16">
        <f t="shared" si="4"/>
        <v>7</v>
      </c>
    </row>
    <row r="51">
      <c r="H51" s="15">
        <f t="shared" si="3"/>
        <v>56800</v>
      </c>
      <c r="I51" s="16">
        <f t="shared" si="4"/>
        <v>34</v>
      </c>
    </row>
    <row r="52">
      <c r="H52" s="15">
        <f t="shared" si="3"/>
        <v>131391</v>
      </c>
      <c r="I52" s="16">
        <f t="shared" si="4"/>
        <v>28</v>
      </c>
    </row>
    <row r="53">
      <c r="H53" s="15">
        <f t="shared" si="3"/>
        <v>214506</v>
      </c>
      <c r="I53" s="16">
        <f t="shared" si="4"/>
        <v>26</v>
      </c>
    </row>
    <row r="54">
      <c r="H54" s="15">
        <f t="shared" si="3"/>
        <v>1195204</v>
      </c>
      <c r="I54" s="16">
        <f t="shared" si="4"/>
        <v>13</v>
      </c>
    </row>
    <row r="55">
      <c r="H55" s="15">
        <f t="shared" si="3"/>
        <v>1142581</v>
      </c>
      <c r="I55" s="16">
        <f t="shared" si="4"/>
        <v>14</v>
      </c>
    </row>
    <row r="56">
      <c r="H56" s="15">
        <f t="shared" si="3"/>
        <v>119933</v>
      </c>
      <c r="I56" s="16">
        <f t="shared" si="4"/>
        <v>29</v>
      </c>
    </row>
    <row r="57">
      <c r="H57" s="15">
        <f t="shared" si="3"/>
        <v>674876</v>
      </c>
      <c r="I57" s="16">
        <f t="shared" si="4"/>
        <v>18</v>
      </c>
    </row>
    <row r="58">
      <c r="H58" s="15">
        <f t="shared" si="3"/>
        <v>11621733</v>
      </c>
      <c r="I58" s="16">
        <f t="shared" si="4"/>
        <v>4</v>
      </c>
    </row>
    <row r="59">
      <c r="H59" s="15">
        <f t="shared" si="3"/>
        <v>18802991</v>
      </c>
      <c r="I59" s="16">
        <f t="shared" si="4"/>
        <v>1</v>
      </c>
    </row>
    <row r="60">
      <c r="H60" s="15">
        <f t="shared" si="3"/>
        <v>440752</v>
      </c>
      <c r="I60" s="16">
        <f t="shared" si="4"/>
        <v>22</v>
      </c>
    </row>
    <row r="61">
      <c r="H61" s="15">
        <f t="shared" si="3"/>
        <v>395491</v>
      </c>
      <c r="I61" s="16">
        <f t="shared" si="4"/>
        <v>23</v>
      </c>
    </row>
    <row r="62">
      <c r="H62" s="15">
        <f t="shared" si="3"/>
        <v>62196</v>
      </c>
      <c r="I62" s="16">
        <f t="shared" si="4"/>
        <v>33</v>
      </c>
    </row>
    <row r="63">
      <c r="H63" s="15">
        <f t="shared" si="3"/>
        <v>611464</v>
      </c>
      <c r="I63" s="16">
        <f t="shared" si="4"/>
        <v>19</v>
      </c>
    </row>
    <row r="64">
      <c r="H64" s="15">
        <f t="shared" si="3"/>
        <v>9218681</v>
      </c>
      <c r="I64" s="16">
        <f t="shared" si="4"/>
        <v>5</v>
      </c>
    </row>
    <row r="65">
      <c r="H65" s="15">
        <f t="shared" si="3"/>
        <v>77111</v>
      </c>
      <c r="I65" s="16">
        <f t="shared" si="4"/>
        <v>32</v>
      </c>
    </row>
    <row r="66">
      <c r="H66" s="15">
        <f t="shared" si="3"/>
        <v>87216</v>
      </c>
      <c r="I66" s="16">
        <f t="shared" si="4"/>
        <v>31</v>
      </c>
    </row>
    <row r="67">
      <c r="H67" s="15">
        <f t="shared" si="3"/>
        <v>293730</v>
      </c>
      <c r="I67" s="16">
        <f t="shared" si="4"/>
        <v>25</v>
      </c>
    </row>
    <row r="68">
      <c r="H68" s="15">
        <f t="shared" si="3"/>
        <v>37966</v>
      </c>
      <c r="I68" s="16">
        <f t="shared" si="4"/>
        <v>36</v>
      </c>
    </row>
    <row r="69">
      <c r="H69" s="15">
        <f t="shared" si="3"/>
        <v>29100</v>
      </c>
      <c r="I69" s="16">
        <f t="shared" si="4"/>
        <v>37</v>
      </c>
    </row>
    <row r="70">
      <c r="H70" s="15">
        <f t="shared" si="3"/>
        <v>39246</v>
      </c>
      <c r="I70" s="16">
        <f t="shared" si="4"/>
        <v>35</v>
      </c>
    </row>
    <row r="71">
      <c r="H71" s="15">
        <f t="shared" si="3"/>
        <v>2694817</v>
      </c>
      <c r="I71" s="16">
        <f t="shared" si="4"/>
        <v>8</v>
      </c>
    </row>
    <row r="72">
      <c r="H72" s="15">
        <f t="shared" si="3"/>
        <v>25200</v>
      </c>
      <c r="I72" s="16">
        <f t="shared" si="4"/>
        <v>38</v>
      </c>
    </row>
    <row r="73">
      <c r="H73" s="15">
        <f t="shared" si="3"/>
        <v>867954</v>
      </c>
      <c r="I73" s="16">
        <f t="shared" si="4"/>
        <v>16</v>
      </c>
    </row>
    <row r="74">
      <c r="H74" s="15">
        <f t="shared" si="3"/>
        <v>1938866</v>
      </c>
      <c r="I74" s="16">
        <f t="shared" si="4"/>
        <v>10</v>
      </c>
    </row>
    <row r="75">
      <c r="H75" s="15">
        <f t="shared" si="3"/>
        <v>883308</v>
      </c>
      <c r="I75" s="16">
        <f t="shared" si="4"/>
        <v>15</v>
      </c>
    </row>
    <row r="76">
      <c r="H76" s="15">
        <f t="shared" si="3"/>
        <v>501993</v>
      </c>
      <c r="I76" s="16">
        <f t="shared" si="4"/>
        <v>20</v>
      </c>
    </row>
    <row r="77">
      <c r="H77" s="15">
        <f t="shared" si="3"/>
        <v>12913740</v>
      </c>
      <c r="I77" s="16">
        <f t="shared" si="4"/>
        <v>3</v>
      </c>
    </row>
    <row r="78">
      <c r="H78" s="15">
        <f t="shared" si="3"/>
        <v>136881</v>
      </c>
      <c r="I78" s="16">
        <f t="shared" si="4"/>
        <v>27</v>
      </c>
    </row>
    <row r="79">
      <c r="H79" s="15">
        <f t="shared" si="3"/>
        <v>441839</v>
      </c>
      <c r="I79" s="16">
        <f t="shared" si="4"/>
        <v>21</v>
      </c>
    </row>
    <row r="80">
      <c r="H80" s="15">
        <f t="shared" si="3"/>
        <v>338972</v>
      </c>
      <c r="I80" s="16">
        <f t="shared" si="4"/>
        <v>24</v>
      </c>
    </row>
    <row r="81">
      <c r="H81" s="15">
        <f t="shared" si="3"/>
        <v>5361538</v>
      </c>
      <c r="I81" s="16">
        <f t="shared" si="4"/>
        <v>6</v>
      </c>
    </row>
    <row r="82">
      <c r="H82" s="15">
        <f t="shared" si="3"/>
        <v>1875856</v>
      </c>
      <c r="I82" s="16">
        <f t="shared" si="4"/>
        <v>12</v>
      </c>
    </row>
    <row r="83">
      <c r="H83" s="15">
        <f t="shared" si="3"/>
        <v>1898025</v>
      </c>
      <c r="I83" s="16">
        <f t="shared" si="4"/>
        <v>11</v>
      </c>
    </row>
    <row r="84">
      <c r="H84" s="15">
        <f t="shared" si="3"/>
        <v>14053323</v>
      </c>
      <c r="I84" s="16">
        <f t="shared" si="4"/>
        <v>2</v>
      </c>
    </row>
    <row r="85">
      <c r="H85" s="15">
        <f t="shared" si="3"/>
        <v>867505</v>
      </c>
      <c r="I85" s="16">
        <f t="shared" si="4"/>
        <v>17</v>
      </c>
    </row>
    <row r="86">
      <c r="H86" s="15"/>
      <c r="I86" s="16"/>
    </row>
    <row r="92">
      <c r="H92" s="13" t="s">
        <v>253</v>
      </c>
      <c r="I92" s="14" t="s">
        <v>254</v>
      </c>
    </row>
    <row r="93">
      <c r="H93" s="15">
        <f t="shared" ref="H93:H131" si="5">SUM(B93:G93)</f>
        <v>6550</v>
      </c>
      <c r="I93" s="16">
        <f t="shared" ref="I93:I131" si="6">RANK(H93,$H$93:$H$132)</f>
        <v>39</v>
      </c>
    </row>
    <row r="94">
      <c r="H94" s="15">
        <f t="shared" si="5"/>
        <v>1727343</v>
      </c>
      <c r="I94" s="16">
        <f t="shared" si="6"/>
        <v>11</v>
      </c>
    </row>
    <row r="95">
      <c r="H95" s="15">
        <f t="shared" si="5"/>
        <v>135566</v>
      </c>
      <c r="I95" s="16">
        <f t="shared" si="6"/>
        <v>28</v>
      </c>
    </row>
    <row r="96">
      <c r="H96" s="15">
        <f t="shared" si="5"/>
        <v>2820146</v>
      </c>
      <c r="I96" s="16">
        <f t="shared" si="6"/>
        <v>8</v>
      </c>
    </row>
    <row r="97">
      <c r="H97" s="15">
        <f t="shared" si="5"/>
        <v>54457</v>
      </c>
      <c r="I97" s="16">
        <f t="shared" si="6"/>
        <v>32</v>
      </c>
    </row>
    <row r="98">
      <c r="H98" s="15">
        <f t="shared" si="5"/>
        <v>181731</v>
      </c>
      <c r="I98" s="16">
        <f t="shared" si="6"/>
        <v>26</v>
      </c>
    </row>
    <row r="99">
      <c r="H99" s="15">
        <f t="shared" si="5"/>
        <v>297728</v>
      </c>
      <c r="I99" s="16">
        <f t="shared" si="6"/>
        <v>24</v>
      </c>
    </row>
    <row r="100">
      <c r="H100" s="15">
        <f t="shared" si="5"/>
        <v>1384881</v>
      </c>
      <c r="I100" s="16">
        <f t="shared" si="6"/>
        <v>13</v>
      </c>
    </row>
    <row r="101">
      <c r="H101" s="15">
        <f t="shared" si="5"/>
        <v>1197715</v>
      </c>
      <c r="I101" s="16">
        <f t="shared" si="6"/>
        <v>14</v>
      </c>
    </row>
    <row r="102">
      <c r="H102" s="15">
        <f t="shared" si="5"/>
        <v>84047</v>
      </c>
      <c r="I102" s="16">
        <f t="shared" si="6"/>
        <v>30</v>
      </c>
    </row>
    <row r="103">
      <c r="H103" s="15">
        <f t="shared" si="5"/>
        <v>631709</v>
      </c>
      <c r="I103" s="16">
        <f t="shared" si="6"/>
        <v>20</v>
      </c>
    </row>
    <row r="104">
      <c r="H104" s="15">
        <f t="shared" si="5"/>
        <v>11339675</v>
      </c>
      <c r="I104" s="16">
        <f t="shared" si="6"/>
        <v>3</v>
      </c>
    </row>
    <row r="105">
      <c r="H105" s="15">
        <f t="shared" si="5"/>
        <v>18675465</v>
      </c>
      <c r="I105" s="16">
        <f t="shared" si="6"/>
        <v>1</v>
      </c>
    </row>
    <row r="106">
      <c r="H106" s="15">
        <f t="shared" si="5"/>
        <v>592799</v>
      </c>
      <c r="I106" s="16">
        <f t="shared" si="6"/>
        <v>21</v>
      </c>
    </row>
    <row r="107">
      <c r="H107" s="15">
        <f t="shared" si="5"/>
        <v>772231</v>
      </c>
      <c r="I107" s="16">
        <f t="shared" si="6"/>
        <v>17</v>
      </c>
    </row>
    <row r="108">
      <c r="H108" s="15">
        <f t="shared" si="5"/>
        <v>50992</v>
      </c>
      <c r="I108" s="16">
        <f t="shared" si="6"/>
        <v>33</v>
      </c>
    </row>
    <row r="109">
      <c r="H109" s="15">
        <f t="shared" si="5"/>
        <v>672244</v>
      </c>
      <c r="I109" s="16">
        <f t="shared" si="6"/>
        <v>19</v>
      </c>
    </row>
    <row r="110">
      <c r="H110" s="15">
        <f t="shared" si="5"/>
        <v>9952560</v>
      </c>
      <c r="I110" s="16">
        <f t="shared" si="6"/>
        <v>4</v>
      </c>
    </row>
    <row r="111">
      <c r="H111" s="15">
        <f t="shared" si="5"/>
        <v>50550</v>
      </c>
      <c r="I111" s="16">
        <f t="shared" si="6"/>
        <v>34</v>
      </c>
    </row>
    <row r="112">
      <c r="H112" s="15">
        <f t="shared" si="5"/>
        <v>101327</v>
      </c>
      <c r="I112" s="16">
        <f t="shared" si="6"/>
        <v>29</v>
      </c>
    </row>
    <row r="113">
      <c r="H113" s="15">
        <f t="shared" si="5"/>
        <v>160499</v>
      </c>
      <c r="I113" s="16">
        <f t="shared" si="6"/>
        <v>27</v>
      </c>
    </row>
    <row r="114">
      <c r="H114" s="15">
        <f t="shared" si="5"/>
        <v>23574</v>
      </c>
      <c r="I114" s="16">
        <f t="shared" si="6"/>
        <v>35</v>
      </c>
    </row>
    <row r="115">
      <c r="H115" s="15">
        <f t="shared" si="5"/>
        <v>17626</v>
      </c>
      <c r="I115" s="16">
        <f t="shared" si="6"/>
        <v>36</v>
      </c>
    </row>
    <row r="116">
      <c r="H116" s="15">
        <f t="shared" si="5"/>
        <v>17310</v>
      </c>
      <c r="I116" s="16">
        <f t="shared" si="6"/>
        <v>37</v>
      </c>
    </row>
    <row r="117">
      <c r="H117" s="15">
        <f t="shared" si="5"/>
        <v>2299835</v>
      </c>
      <c r="I117" s="16">
        <f t="shared" si="6"/>
        <v>9</v>
      </c>
    </row>
    <row r="118">
      <c r="H118" s="15">
        <f t="shared" si="5"/>
        <v>11218</v>
      </c>
      <c r="I118" s="16">
        <f t="shared" si="6"/>
        <v>38</v>
      </c>
    </row>
    <row r="119">
      <c r="H119" s="15">
        <f t="shared" si="5"/>
        <v>915572</v>
      </c>
      <c r="I119" s="16">
        <f t="shared" si="6"/>
        <v>16</v>
      </c>
    </row>
    <row r="120">
      <c r="H120" s="15">
        <f t="shared" si="5"/>
        <v>2868582</v>
      </c>
      <c r="I120" s="16">
        <f t="shared" si="6"/>
        <v>7</v>
      </c>
    </row>
    <row r="121">
      <c r="H121" s="15">
        <f t="shared" si="5"/>
        <v>1125716</v>
      </c>
      <c r="I121" s="16">
        <f t="shared" si="6"/>
        <v>15</v>
      </c>
    </row>
    <row r="122">
      <c r="H122" s="15">
        <f t="shared" si="5"/>
        <v>770752</v>
      </c>
      <c r="I122" s="16">
        <f t="shared" si="6"/>
        <v>18</v>
      </c>
    </row>
    <row r="123">
      <c r="H123" s="15">
        <f t="shared" si="5"/>
        <v>8170508</v>
      </c>
      <c r="I123" s="16">
        <f t="shared" si="6"/>
        <v>5</v>
      </c>
    </row>
    <row r="124">
      <c r="H124" s="15">
        <f t="shared" si="5"/>
        <v>71610</v>
      </c>
      <c r="I124" s="16">
        <f t="shared" si="6"/>
        <v>31</v>
      </c>
    </row>
    <row r="125">
      <c r="H125" s="15">
        <f t="shared" si="5"/>
        <v>526599</v>
      </c>
      <c r="I125" s="16">
        <f t="shared" si="6"/>
        <v>22</v>
      </c>
    </row>
    <row r="126">
      <c r="H126" s="15">
        <f t="shared" si="5"/>
        <v>198541</v>
      </c>
      <c r="I126" s="16">
        <f t="shared" si="6"/>
        <v>25</v>
      </c>
    </row>
    <row r="127">
      <c r="H127" s="15">
        <f t="shared" si="5"/>
        <v>6338682</v>
      </c>
      <c r="I127" s="16">
        <f t="shared" si="6"/>
        <v>6</v>
      </c>
    </row>
    <row r="128">
      <c r="H128" s="15">
        <f t="shared" si="5"/>
        <v>1970275</v>
      </c>
      <c r="I128" s="16">
        <f t="shared" si="6"/>
        <v>10</v>
      </c>
    </row>
    <row r="129">
      <c r="H129" s="15">
        <f t="shared" si="5"/>
        <v>1623912</v>
      </c>
      <c r="I129" s="16">
        <f t="shared" si="6"/>
        <v>12</v>
      </c>
    </row>
    <row r="130">
      <c r="H130" s="15">
        <f t="shared" si="5"/>
        <v>12111212</v>
      </c>
      <c r="I130" s="16">
        <f t="shared" si="6"/>
        <v>2</v>
      </c>
    </row>
    <row r="131">
      <c r="H131" s="15">
        <f t="shared" si="5"/>
        <v>479247</v>
      </c>
      <c r="I131" s="16">
        <f t="shared" si="6"/>
        <v>23</v>
      </c>
    </row>
    <row r="132">
      <c r="H132" s="15"/>
      <c r="I132" s="16"/>
    </row>
  </sheetData>
  <conditionalFormatting sqref="I2:I41">
    <cfRule type="cellIs" dxfId="0" priority="1" operator="between">
      <formula>1</formula>
      <formula>5</formula>
    </cfRule>
  </conditionalFormatting>
  <conditionalFormatting sqref="I47:I86">
    <cfRule type="cellIs" dxfId="0" priority="2" operator="between">
      <formula>1</formula>
      <formula>5</formula>
    </cfRule>
  </conditionalFormatting>
  <conditionalFormatting sqref="I93:I132">
    <cfRule type="cellIs" dxfId="0" priority="3" operator="between">
      <formula>1</formula>
      <formula>5</formula>
    </cfRule>
  </conditionalFormatting>
  <drawing r:id="rId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H1" s="19"/>
      <c r="I1" s="20"/>
    </row>
    <row r="2">
      <c r="H2" s="13" t="s">
        <v>253</v>
      </c>
      <c r="I2" s="14" t="s">
        <v>254</v>
      </c>
    </row>
    <row r="3">
      <c r="H3" s="15">
        <f t="shared" ref="H3:H17" si="1">SUM(B3:G3)</f>
        <v>14000</v>
      </c>
      <c r="I3" s="16">
        <f t="shared" ref="I3:I17" si="2">RANK(H3,$H$3:$H$18)</f>
        <v>13</v>
      </c>
    </row>
    <row r="4">
      <c r="H4" s="15">
        <f t="shared" si="1"/>
        <v>850</v>
      </c>
      <c r="I4" s="16">
        <f t="shared" si="2"/>
        <v>15</v>
      </c>
    </row>
    <row r="5">
      <c r="H5" s="15">
        <f t="shared" si="1"/>
        <v>4843939</v>
      </c>
      <c r="I5" s="16">
        <f t="shared" si="2"/>
        <v>2</v>
      </c>
    </row>
    <row r="6">
      <c r="H6" s="15">
        <f t="shared" si="1"/>
        <v>88000</v>
      </c>
      <c r="I6" s="16">
        <f t="shared" si="2"/>
        <v>7</v>
      </c>
    </row>
    <row r="7">
      <c r="H7" s="15">
        <f t="shared" si="1"/>
        <v>13500</v>
      </c>
      <c r="I7" s="16">
        <f t="shared" si="2"/>
        <v>14</v>
      </c>
    </row>
    <row r="8">
      <c r="H8" s="15">
        <f t="shared" si="1"/>
        <v>93000</v>
      </c>
      <c r="I8" s="16">
        <f t="shared" si="2"/>
        <v>6</v>
      </c>
    </row>
    <row r="9">
      <c r="H9" s="15">
        <f t="shared" si="1"/>
        <v>33000</v>
      </c>
      <c r="I9" s="16">
        <f t="shared" si="2"/>
        <v>9</v>
      </c>
    </row>
    <row r="10">
      <c r="H10" s="15">
        <f t="shared" si="1"/>
        <v>69500</v>
      </c>
      <c r="I10" s="16">
        <f t="shared" si="2"/>
        <v>8</v>
      </c>
    </row>
    <row r="11">
      <c r="H11" s="15">
        <f t="shared" si="1"/>
        <v>32500</v>
      </c>
      <c r="I11" s="16">
        <f t="shared" si="2"/>
        <v>10</v>
      </c>
    </row>
    <row r="12">
      <c r="H12" s="15">
        <f t="shared" si="1"/>
        <v>18000</v>
      </c>
      <c r="I12" s="16">
        <f t="shared" si="2"/>
        <v>12</v>
      </c>
    </row>
    <row r="13">
      <c r="H13" s="15">
        <f t="shared" si="1"/>
        <v>3568263</v>
      </c>
      <c r="I13" s="16">
        <f t="shared" si="2"/>
        <v>3</v>
      </c>
    </row>
    <row r="14">
      <c r="H14" s="15">
        <f t="shared" si="1"/>
        <v>28000</v>
      </c>
      <c r="I14" s="16">
        <f t="shared" si="2"/>
        <v>11</v>
      </c>
    </row>
    <row r="15">
      <c r="H15" s="15">
        <f t="shared" si="1"/>
        <v>132000</v>
      </c>
      <c r="I15" s="16">
        <f t="shared" si="2"/>
        <v>5</v>
      </c>
    </row>
    <row r="16">
      <c r="H16" s="15">
        <f t="shared" si="1"/>
        <v>448000</v>
      </c>
      <c r="I16" s="16">
        <f t="shared" si="2"/>
        <v>4</v>
      </c>
    </row>
    <row r="17">
      <c r="H17" s="15">
        <f t="shared" si="1"/>
        <v>40789338</v>
      </c>
      <c r="I17" s="16">
        <f t="shared" si="2"/>
        <v>1</v>
      </c>
    </row>
    <row r="18">
      <c r="H18" s="15"/>
      <c r="I18" s="16"/>
    </row>
    <row r="34">
      <c r="H34" s="13" t="s">
        <v>253</v>
      </c>
      <c r="I34" s="14" t="s">
        <v>254</v>
      </c>
    </row>
    <row r="35">
      <c r="H35" s="15">
        <f t="shared" ref="H35:H49" si="3">SUM(B35:G35)</f>
        <v>13600</v>
      </c>
      <c r="I35" s="16">
        <f t="shared" ref="I35:I49" si="4">RANK(H35,$H$35:$H$50)</f>
        <v>12</v>
      </c>
    </row>
    <row r="36">
      <c r="H36" s="15">
        <f t="shared" si="3"/>
        <v>1500</v>
      </c>
      <c r="I36" s="16">
        <f t="shared" si="4"/>
        <v>15</v>
      </c>
    </row>
    <row r="37">
      <c r="H37" s="15">
        <f t="shared" si="3"/>
        <v>4319960</v>
      </c>
      <c r="I37" s="16">
        <f t="shared" si="4"/>
        <v>3</v>
      </c>
    </row>
    <row r="38">
      <c r="H38" s="15">
        <f t="shared" si="3"/>
        <v>215100</v>
      </c>
      <c r="I38" s="16">
        <f t="shared" si="4"/>
        <v>6</v>
      </c>
    </row>
    <row r="39">
      <c r="H39" s="15">
        <f t="shared" si="3"/>
        <v>24900</v>
      </c>
      <c r="I39" s="16">
        <f t="shared" si="4"/>
        <v>11</v>
      </c>
    </row>
    <row r="40">
      <c r="H40" s="15">
        <f t="shared" si="3"/>
        <v>71565</v>
      </c>
      <c r="I40" s="16">
        <f t="shared" si="4"/>
        <v>8</v>
      </c>
    </row>
    <row r="41">
      <c r="H41" s="15">
        <f t="shared" si="3"/>
        <v>28000</v>
      </c>
      <c r="I41" s="16">
        <f t="shared" si="4"/>
        <v>9</v>
      </c>
    </row>
    <row r="42">
      <c r="H42" s="15">
        <f t="shared" si="3"/>
        <v>98900</v>
      </c>
      <c r="I42" s="16">
        <f t="shared" si="4"/>
        <v>7</v>
      </c>
    </row>
    <row r="43">
      <c r="H43" s="15">
        <f t="shared" si="3"/>
        <v>6000</v>
      </c>
      <c r="I43" s="16">
        <f t="shared" si="4"/>
        <v>14</v>
      </c>
    </row>
    <row r="44">
      <c r="H44" s="15">
        <f t="shared" si="3"/>
        <v>12600</v>
      </c>
      <c r="I44" s="16">
        <f t="shared" si="4"/>
        <v>13</v>
      </c>
    </row>
    <row r="45">
      <c r="H45" s="15">
        <f t="shared" si="3"/>
        <v>4643007</v>
      </c>
      <c r="I45" s="16">
        <f t="shared" si="4"/>
        <v>2</v>
      </c>
    </row>
    <row r="46">
      <c r="H46" s="15">
        <f t="shared" si="3"/>
        <v>25400</v>
      </c>
      <c r="I46" s="16">
        <f t="shared" si="4"/>
        <v>10</v>
      </c>
    </row>
    <row r="47">
      <c r="H47" s="15">
        <f t="shared" si="3"/>
        <v>250700</v>
      </c>
      <c r="I47" s="16">
        <f t="shared" si="4"/>
        <v>5</v>
      </c>
    </row>
    <row r="48">
      <c r="H48" s="15">
        <f t="shared" si="3"/>
        <v>338700</v>
      </c>
      <c r="I48" s="16">
        <f t="shared" si="4"/>
        <v>4</v>
      </c>
    </row>
    <row r="49">
      <c r="H49" s="15">
        <f t="shared" si="3"/>
        <v>43055631</v>
      </c>
      <c r="I49" s="16">
        <f t="shared" si="4"/>
        <v>1</v>
      </c>
    </row>
    <row r="50">
      <c r="H50" s="15"/>
      <c r="I50" s="16"/>
    </row>
    <row r="68">
      <c r="H68" s="13" t="s">
        <v>253</v>
      </c>
      <c r="I68" s="14" t="s">
        <v>254</v>
      </c>
    </row>
    <row r="69">
      <c r="H69" s="15">
        <f t="shared" ref="H69:H83" si="5">SUM(B69:G69)</f>
        <v>3996</v>
      </c>
      <c r="I69" s="16">
        <f t="shared" ref="I69:I83" si="6">RANK(H69,$H$69:$H$84)</f>
        <v>14</v>
      </c>
    </row>
    <row r="70">
      <c r="H70" s="15">
        <f t="shared" si="5"/>
        <v>1070</v>
      </c>
      <c r="I70" s="16">
        <f t="shared" si="6"/>
        <v>15</v>
      </c>
    </row>
    <row r="71">
      <c r="H71" s="15">
        <f t="shared" si="5"/>
        <v>2612219</v>
      </c>
      <c r="I71" s="16">
        <f t="shared" si="6"/>
        <v>3</v>
      </c>
    </row>
    <row r="72">
      <c r="H72" s="15">
        <f t="shared" si="5"/>
        <v>105507</v>
      </c>
      <c r="I72" s="16">
        <f t="shared" si="6"/>
        <v>6</v>
      </c>
    </row>
    <row r="73">
      <c r="H73" s="15">
        <f t="shared" si="5"/>
        <v>11136</v>
      </c>
      <c r="I73" s="16">
        <f t="shared" si="6"/>
        <v>13</v>
      </c>
    </row>
    <row r="74">
      <c r="H74" s="15">
        <f t="shared" si="5"/>
        <v>12738</v>
      </c>
      <c r="I74" s="16">
        <f t="shared" si="6"/>
        <v>11</v>
      </c>
    </row>
    <row r="75">
      <c r="H75" s="15">
        <f t="shared" si="5"/>
        <v>20937</v>
      </c>
      <c r="I75" s="16">
        <f t="shared" si="6"/>
        <v>9</v>
      </c>
    </row>
    <row r="76">
      <c r="H76" s="15">
        <f t="shared" si="5"/>
        <v>42116</v>
      </c>
      <c r="I76" s="16">
        <f t="shared" si="6"/>
        <v>7</v>
      </c>
    </row>
    <row r="77">
      <c r="H77" s="15">
        <f t="shared" si="5"/>
        <v>29595</v>
      </c>
      <c r="I77" s="16">
        <f t="shared" si="6"/>
        <v>8</v>
      </c>
    </row>
    <row r="78">
      <c r="H78" s="15">
        <f t="shared" si="5"/>
        <v>12351</v>
      </c>
      <c r="I78" s="16">
        <f t="shared" si="6"/>
        <v>12</v>
      </c>
    </row>
    <row r="79">
      <c r="H79" s="15">
        <f t="shared" si="5"/>
        <v>4170651</v>
      </c>
      <c r="I79" s="16">
        <f t="shared" si="6"/>
        <v>2</v>
      </c>
    </row>
    <row r="80">
      <c r="H80" s="15">
        <f t="shared" si="5"/>
        <v>18562</v>
      </c>
      <c r="I80" s="16">
        <f t="shared" si="6"/>
        <v>10</v>
      </c>
    </row>
    <row r="81">
      <c r="H81" s="15">
        <f t="shared" si="5"/>
        <v>119459</v>
      </c>
      <c r="I81" s="16">
        <f t="shared" si="6"/>
        <v>5</v>
      </c>
    </row>
    <row r="82">
      <c r="H82" s="15">
        <f t="shared" si="5"/>
        <v>325643</v>
      </c>
      <c r="I82" s="16">
        <f t="shared" si="6"/>
        <v>4</v>
      </c>
    </row>
    <row r="83">
      <c r="H83" s="15">
        <f t="shared" si="5"/>
        <v>25713982</v>
      </c>
      <c r="I83" s="16">
        <f t="shared" si="6"/>
        <v>1</v>
      </c>
    </row>
    <row r="84">
      <c r="H84" s="15"/>
      <c r="I84" s="16"/>
    </row>
  </sheetData>
  <conditionalFormatting sqref="I3:I18">
    <cfRule type="cellIs" dxfId="0" priority="1" operator="between">
      <formula>1</formula>
      <formula>5</formula>
    </cfRule>
  </conditionalFormatting>
  <conditionalFormatting sqref="I35:I50">
    <cfRule type="cellIs" dxfId="0" priority="2" operator="between">
      <formula>1</formula>
      <formula>5</formula>
    </cfRule>
  </conditionalFormatting>
  <conditionalFormatting sqref="I69:I84">
    <cfRule type="cellIs" dxfId="0" priority="3" operator="between">
      <formula>1</formula>
      <formula>5</formula>
    </cfRule>
  </conditionalFormatting>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H1" s="13" t="s">
        <v>253</v>
      </c>
      <c r="I1" s="14" t="s">
        <v>254</v>
      </c>
    </row>
    <row r="2">
      <c r="H2" s="15">
        <f t="shared" ref="H2:H3" si="1">SUM(B2:G2)</f>
        <v>3573666</v>
      </c>
      <c r="I2" s="16">
        <f t="shared" ref="I2:I3" si="2">RANK(H2,$H$2:$H$18)</f>
        <v>1</v>
      </c>
    </row>
    <row r="3">
      <c r="H3" s="15">
        <f t="shared" si="1"/>
        <v>421913</v>
      </c>
      <c r="I3" s="16">
        <f t="shared" si="2"/>
        <v>2</v>
      </c>
    </row>
    <row r="4">
      <c r="H4" s="15"/>
      <c r="I4" s="16"/>
    </row>
    <row r="31">
      <c r="H31" s="13" t="s">
        <v>253</v>
      </c>
      <c r="I31" s="14" t="s">
        <v>254</v>
      </c>
    </row>
    <row r="32">
      <c r="H32" s="15">
        <f t="shared" ref="H32:H33" si="3">SUM(B32:G32)</f>
        <v>4085647</v>
      </c>
      <c r="I32" s="16">
        <f t="shared" ref="I32:I33" si="4">RANK(H32,$H$32:$H$62)</f>
        <v>1</v>
      </c>
    </row>
    <row r="33">
      <c r="H33" s="15">
        <f t="shared" si="3"/>
        <v>510384</v>
      </c>
      <c r="I33" s="16">
        <f t="shared" si="4"/>
        <v>2</v>
      </c>
    </row>
    <row r="34">
      <c r="H34" s="15"/>
      <c r="I34" s="16"/>
    </row>
    <row r="65">
      <c r="H65" s="13" t="s">
        <v>253</v>
      </c>
      <c r="I65" s="14" t="s">
        <v>254</v>
      </c>
    </row>
    <row r="66">
      <c r="H66" s="15">
        <f t="shared" ref="H66:H67" si="5">SUM(B66:G66)</f>
        <v>4796382</v>
      </c>
      <c r="I66" s="16">
        <f t="shared" ref="I66:I67" si="6">RANK(H66,$H$66:$H$110)</f>
        <v>1</v>
      </c>
    </row>
    <row r="67">
      <c r="H67" s="15">
        <f t="shared" si="5"/>
        <v>627301</v>
      </c>
      <c r="I67" s="16">
        <f t="shared" si="6"/>
        <v>2</v>
      </c>
    </row>
    <row r="68">
      <c r="H68" s="15"/>
      <c r="I68" s="16"/>
    </row>
    <row r="78">
      <c r="B78" s="11"/>
      <c r="C78" s="11"/>
      <c r="D78" s="11"/>
    </row>
  </sheetData>
  <conditionalFormatting sqref="I2:I4">
    <cfRule type="cellIs" dxfId="0" priority="1" operator="between">
      <formula>1</formula>
      <formula>5</formula>
    </cfRule>
  </conditionalFormatting>
  <conditionalFormatting sqref="I32:I34">
    <cfRule type="cellIs" dxfId="0" priority="2" operator="between">
      <formula>1</formula>
      <formula>5</formula>
    </cfRule>
  </conditionalFormatting>
  <conditionalFormatting sqref="I66:I68">
    <cfRule type="cellIs" dxfId="0" priority="3" operator="between">
      <formula>1</formula>
      <formula>5</formula>
    </cfRule>
  </conditionalFormatting>
  <drawing r:id="rId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H1" s="13" t="s">
        <v>253</v>
      </c>
      <c r="I1" s="14" t="s">
        <v>254</v>
      </c>
    </row>
    <row r="2">
      <c r="H2" s="15">
        <f t="shared" ref="H2:H13" si="1">SUM(B2:G2)</f>
        <v>2397535</v>
      </c>
      <c r="I2" s="16">
        <f t="shared" ref="I2:I13" si="2">RANK(H2,$H$2:$H$25)</f>
        <v>2</v>
      </c>
    </row>
    <row r="3">
      <c r="H3" s="15">
        <f t="shared" si="1"/>
        <v>14500</v>
      </c>
      <c r="I3" s="16">
        <f t="shared" si="2"/>
        <v>12</v>
      </c>
    </row>
    <row r="4">
      <c r="H4" s="15">
        <f t="shared" si="1"/>
        <v>13000189</v>
      </c>
      <c r="I4" s="16">
        <f t="shared" si="2"/>
        <v>1</v>
      </c>
    </row>
    <row r="5">
      <c r="H5" s="15">
        <f t="shared" si="1"/>
        <v>984612</v>
      </c>
      <c r="I5" s="16">
        <f t="shared" si="2"/>
        <v>4</v>
      </c>
    </row>
    <row r="6">
      <c r="H6" s="15">
        <f t="shared" si="1"/>
        <v>1080000</v>
      </c>
      <c r="I6" s="16">
        <f t="shared" si="2"/>
        <v>3</v>
      </c>
    </row>
    <row r="7">
      <c r="H7" s="15">
        <f t="shared" si="1"/>
        <v>391978</v>
      </c>
      <c r="I7" s="16">
        <f t="shared" si="2"/>
        <v>6</v>
      </c>
    </row>
    <row r="8">
      <c r="H8" s="15">
        <f t="shared" si="1"/>
        <v>25789</v>
      </c>
      <c r="I8" s="16">
        <f t="shared" si="2"/>
        <v>11</v>
      </c>
    </row>
    <row r="9">
      <c r="H9" s="15">
        <f t="shared" si="1"/>
        <v>44000</v>
      </c>
      <c r="I9" s="16">
        <f t="shared" si="2"/>
        <v>10</v>
      </c>
    </row>
    <row r="10">
      <c r="H10" s="15">
        <f t="shared" si="1"/>
        <v>240667</v>
      </c>
      <c r="I10" s="16">
        <f t="shared" si="2"/>
        <v>7</v>
      </c>
    </row>
    <row r="11">
      <c r="H11" s="15">
        <f t="shared" si="1"/>
        <v>55000</v>
      </c>
      <c r="I11" s="16">
        <f t="shared" si="2"/>
        <v>9</v>
      </c>
    </row>
    <row r="12">
      <c r="H12" s="15">
        <f t="shared" si="1"/>
        <v>117000</v>
      </c>
      <c r="I12" s="16">
        <f t="shared" si="2"/>
        <v>8</v>
      </c>
    </row>
    <row r="13">
      <c r="H13" s="15">
        <f t="shared" si="1"/>
        <v>851780</v>
      </c>
      <c r="I13" s="16">
        <f t="shared" si="2"/>
        <v>5</v>
      </c>
    </row>
    <row r="14">
      <c r="H14" s="15"/>
      <c r="I14" s="16"/>
    </row>
    <row r="32">
      <c r="H32" s="13" t="s">
        <v>253</v>
      </c>
      <c r="I32" s="14" t="s">
        <v>254</v>
      </c>
    </row>
    <row r="33">
      <c r="H33" s="15">
        <f t="shared" ref="H33:H44" si="3">SUM(B33:G33)</f>
        <v>3394034</v>
      </c>
      <c r="I33" s="16">
        <f t="shared" ref="I33:I44" si="4">RANK(H33,$H$33:$H$77)</f>
        <v>2</v>
      </c>
    </row>
    <row r="34">
      <c r="H34" s="15">
        <f t="shared" si="3"/>
        <v>85600</v>
      </c>
      <c r="I34" s="16">
        <f t="shared" si="4"/>
        <v>10</v>
      </c>
    </row>
    <row r="35">
      <c r="H35" s="15">
        <f t="shared" si="3"/>
        <v>15652071</v>
      </c>
      <c r="I35" s="16">
        <f t="shared" si="4"/>
        <v>1</v>
      </c>
    </row>
    <row r="36">
      <c r="H36" s="15">
        <f t="shared" si="3"/>
        <v>1485809</v>
      </c>
      <c r="I36" s="16">
        <f t="shared" si="4"/>
        <v>3</v>
      </c>
    </row>
    <row r="37">
      <c r="H37" s="15">
        <f t="shared" si="3"/>
        <v>1446400</v>
      </c>
      <c r="I37" s="16">
        <f t="shared" si="4"/>
        <v>4</v>
      </c>
    </row>
    <row r="38">
      <c r="H38" s="15">
        <f t="shared" si="3"/>
        <v>424522</v>
      </c>
      <c r="I38" s="16">
        <f t="shared" si="4"/>
        <v>6</v>
      </c>
    </row>
    <row r="39">
      <c r="H39" s="15">
        <f t="shared" si="3"/>
        <v>21994</v>
      </c>
      <c r="I39" s="16">
        <f t="shared" si="4"/>
        <v>12</v>
      </c>
    </row>
    <row r="40">
      <c r="H40" s="15">
        <f t="shared" si="3"/>
        <v>116100</v>
      </c>
      <c r="I40" s="16">
        <f t="shared" si="4"/>
        <v>9</v>
      </c>
    </row>
    <row r="41">
      <c r="H41" s="15">
        <f t="shared" si="3"/>
        <v>771876</v>
      </c>
      <c r="I41" s="16">
        <f t="shared" si="4"/>
        <v>5</v>
      </c>
    </row>
    <row r="42">
      <c r="H42" s="15">
        <f t="shared" si="3"/>
        <v>56700</v>
      </c>
      <c r="I42" s="16">
        <f t="shared" si="4"/>
        <v>11</v>
      </c>
    </row>
    <row r="43">
      <c r="H43" s="15">
        <f t="shared" si="3"/>
        <v>233769</v>
      </c>
      <c r="I43" s="16">
        <f t="shared" si="4"/>
        <v>7</v>
      </c>
    </row>
    <row r="44">
      <c r="H44" s="15">
        <f t="shared" si="3"/>
        <v>191302</v>
      </c>
      <c r="I44" s="16">
        <f t="shared" si="4"/>
        <v>8</v>
      </c>
    </row>
    <row r="45">
      <c r="H45" s="15"/>
      <c r="I45" s="16"/>
    </row>
    <row r="84">
      <c r="H84" s="13" t="s">
        <v>253</v>
      </c>
      <c r="I84" s="14" t="s">
        <v>254</v>
      </c>
    </row>
    <row r="85">
      <c r="H85" s="15">
        <f t="shared" ref="H85:H96" si="5">SUM(B85:G85)</f>
        <v>2282725</v>
      </c>
      <c r="I85" s="16">
        <f t="shared" ref="I85:I96" si="6">RANK(H85,$H$85:$H$129)</f>
        <v>2</v>
      </c>
    </row>
    <row r="86">
      <c r="H86" s="15">
        <f t="shared" si="5"/>
        <v>64738</v>
      </c>
      <c r="I86" s="16">
        <f t="shared" si="6"/>
        <v>8</v>
      </c>
    </row>
    <row r="87">
      <c r="H87" s="15">
        <f t="shared" si="5"/>
        <v>10971478</v>
      </c>
      <c r="I87" s="16">
        <f t="shared" si="6"/>
        <v>1</v>
      </c>
    </row>
    <row r="88">
      <c r="H88" s="15">
        <f t="shared" si="5"/>
        <v>1664556</v>
      </c>
      <c r="I88" s="16">
        <f t="shared" si="6"/>
        <v>3</v>
      </c>
    </row>
    <row r="89">
      <c r="H89" s="15">
        <f t="shared" si="5"/>
        <v>1141361</v>
      </c>
      <c r="I89" s="16">
        <f t="shared" si="6"/>
        <v>4</v>
      </c>
    </row>
    <row r="90">
      <c r="H90" s="15">
        <f t="shared" si="5"/>
        <v>545808</v>
      </c>
      <c r="I90" s="16">
        <f t="shared" si="6"/>
        <v>6</v>
      </c>
    </row>
    <row r="91">
      <c r="H91" s="15">
        <f t="shared" si="5"/>
        <v>15681</v>
      </c>
      <c r="I91" s="16">
        <f t="shared" si="6"/>
        <v>11</v>
      </c>
    </row>
    <row r="92">
      <c r="H92" s="15">
        <f t="shared" si="5"/>
        <v>64651</v>
      </c>
      <c r="I92" s="16">
        <f t="shared" si="6"/>
        <v>9</v>
      </c>
    </row>
    <row r="93">
      <c r="H93" s="15">
        <f t="shared" si="5"/>
        <v>677152</v>
      </c>
      <c r="I93" s="16">
        <f t="shared" si="6"/>
        <v>5</v>
      </c>
    </row>
    <row r="94">
      <c r="H94" s="15">
        <f t="shared" si="5"/>
        <v>30259</v>
      </c>
      <c r="I94" s="16">
        <f t="shared" si="6"/>
        <v>10</v>
      </c>
    </row>
    <row r="95">
      <c r="H95" s="15">
        <f t="shared" si="5"/>
        <v>105989</v>
      </c>
      <c r="I95" s="16">
        <f t="shared" si="6"/>
        <v>7</v>
      </c>
    </row>
    <row r="96">
      <c r="H96" s="15">
        <f t="shared" si="5"/>
        <v>6659</v>
      </c>
      <c r="I96" s="16">
        <f t="shared" si="6"/>
        <v>12</v>
      </c>
    </row>
    <row r="97">
      <c r="H97" s="15"/>
      <c r="I97" s="16"/>
    </row>
  </sheetData>
  <conditionalFormatting sqref="I2:I14">
    <cfRule type="cellIs" dxfId="0" priority="1" operator="between">
      <formula>1</formula>
      <formula>5</formula>
    </cfRule>
  </conditionalFormatting>
  <conditionalFormatting sqref="I33:I45">
    <cfRule type="cellIs" dxfId="0" priority="2" operator="between">
      <formula>1</formula>
      <formula>5</formula>
    </cfRule>
  </conditionalFormatting>
  <conditionalFormatting sqref="I85:I97">
    <cfRule type="cellIs" dxfId="0" priority="3" operator="between">
      <formula>1</formula>
      <formula>5</formula>
    </cfRule>
  </conditionalFormatting>
  <drawing r:id="rId7"/>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3</v>
      </c>
      <c r="B1" s="4" t="s">
        <v>4</v>
      </c>
      <c r="C1" s="3" t="s">
        <v>5</v>
      </c>
      <c r="D1" s="3" t="s">
        <v>6</v>
      </c>
      <c r="E1" s="3" t="s">
        <v>7</v>
      </c>
      <c r="F1" s="3" t="s">
        <v>8</v>
      </c>
      <c r="G1" s="3" t="s">
        <v>9</v>
      </c>
      <c r="H1" s="3" t="s">
        <v>10</v>
      </c>
      <c r="I1" s="3" t="s">
        <v>11</v>
      </c>
      <c r="J1" s="3" t="s">
        <v>12</v>
      </c>
      <c r="K1" s="3" t="s">
        <v>13</v>
      </c>
      <c r="L1" s="3" t="s">
        <v>14</v>
      </c>
      <c r="M1" s="3" t="s">
        <v>15</v>
      </c>
      <c r="N1" s="3" t="s">
        <v>16</v>
      </c>
      <c r="O1" s="3" t="s">
        <v>17</v>
      </c>
      <c r="P1" s="3" t="s">
        <v>18</v>
      </c>
      <c r="Q1" s="3" t="s">
        <v>19</v>
      </c>
      <c r="R1" s="3" t="s">
        <v>20</v>
      </c>
      <c r="S1" s="3" t="s">
        <v>21</v>
      </c>
      <c r="T1" s="3" t="s">
        <v>22</v>
      </c>
    </row>
    <row r="2">
      <c r="A2" s="3" t="s">
        <v>23</v>
      </c>
      <c r="B2" s="5" t="str">
        <f t="array" ref="B2">index('Derived Continent Data'!$J$3:$J$220,MATCH(A2,'Derived Continent Data'!$K$3:$K$220,0))</f>
        <v>Asia</v>
      </c>
      <c r="C2" s="5">
        <v>3971101.0</v>
      </c>
      <c r="D2" s="5">
        <v>5175961.0</v>
      </c>
      <c r="E2" s="5">
        <v>6297538.0</v>
      </c>
      <c r="F2" s="5">
        <v>6755609.0</v>
      </c>
      <c r="G2" s="5">
        <v>1.0331315E7</v>
      </c>
      <c r="H2" s="5">
        <v>1.3757794E7</v>
      </c>
      <c r="I2" s="5">
        <v>1.4472416E7</v>
      </c>
      <c r="J2" s="5">
        <v>1.549524E7</v>
      </c>
      <c r="K2" s="5">
        <v>1.792773E7</v>
      </c>
      <c r="L2" s="5">
        <v>1.9707677E7</v>
      </c>
      <c r="M2" s="5">
        <v>2.1210339E7</v>
      </c>
      <c r="N2" s="5">
        <v>2.4376902E7</v>
      </c>
      <c r="O2" s="5">
        <v>2.4718321E7</v>
      </c>
      <c r="P2" s="5">
        <v>2.3709782E7</v>
      </c>
      <c r="Q2" s="5">
        <v>2.1472092E7</v>
      </c>
      <c r="R2" s="5">
        <v>2.0177731E7</v>
      </c>
      <c r="S2" s="5">
        <v>2.1481537E7</v>
      </c>
      <c r="T2" s="5">
        <v>2.3563287E7</v>
      </c>
    </row>
    <row r="3">
      <c r="A3" s="21" t="s">
        <v>26</v>
      </c>
      <c r="B3" s="22" t="str">
        <f t="array" ref="B3">index('Derived Continent Data'!$J$3:$J$220,MATCH(A3,'Derived Continent Data'!$K$3:$K$220,0))</f>
        <v>North America</v>
      </c>
      <c r="C3" s="23">
        <v>7659983.0</v>
      </c>
      <c r="D3" s="23">
        <v>7761592.0</v>
      </c>
      <c r="E3" s="23">
        <v>7562334.0</v>
      </c>
      <c r="F3" s="23">
        <v>6769107.0</v>
      </c>
      <c r="G3" s="23">
        <v>5400890.0</v>
      </c>
      <c r="H3" s="23">
        <v>5635432.0</v>
      </c>
      <c r="I3" s="23">
        <v>6089403.0</v>
      </c>
      <c r="J3" s="23">
        <v>7241900.0</v>
      </c>
      <c r="K3" s="23">
        <v>7585341.0</v>
      </c>
      <c r="L3" s="23">
        <v>7749432.0</v>
      </c>
      <c r="M3" s="23">
        <v>7516826.0</v>
      </c>
      <c r="N3" s="23">
        <v>6872729.0</v>
      </c>
      <c r="O3" s="23">
        <v>6080229.0</v>
      </c>
      <c r="P3" s="23">
        <v>5303580.0</v>
      </c>
      <c r="Q3" s="23">
        <v>4719710.0</v>
      </c>
      <c r="R3" s="23">
        <v>3401838.0</v>
      </c>
      <c r="S3" s="23">
        <v>3350050.0</v>
      </c>
      <c r="T3" s="23">
        <v>2858575.0</v>
      </c>
      <c r="U3" s="21"/>
      <c r="V3" s="21"/>
      <c r="W3" s="21"/>
      <c r="X3" s="21"/>
      <c r="Y3" s="21"/>
      <c r="Z3" s="21"/>
      <c r="AA3" s="21"/>
    </row>
    <row r="4">
      <c r="A4" s="21" t="s">
        <v>27</v>
      </c>
      <c r="B4" s="22" t="str">
        <f t="array" ref="B4">index('Derived Continent Data'!$J$3:$J$220,MATCH(A4,'Derived Continent Data'!$K$3:$K$220,0))</f>
        <v>Europe</v>
      </c>
      <c r="C4" s="23">
        <v>3319259.0</v>
      </c>
      <c r="D4" s="23">
        <v>3467961.0</v>
      </c>
      <c r="E4" s="23">
        <v>3148163.0</v>
      </c>
      <c r="F4" s="23">
        <v>3090040.0</v>
      </c>
      <c r="G4" s="23">
        <v>3807175.0</v>
      </c>
      <c r="H4" s="23">
        <v>2916259.0</v>
      </c>
      <c r="I4" s="23">
        <v>3173634.0</v>
      </c>
      <c r="J4" s="23">
        <v>3082504.0</v>
      </c>
      <c r="K4" s="23">
        <v>2952431.0</v>
      </c>
      <c r="L4" s="23">
        <v>3036773.0</v>
      </c>
      <c r="M4" s="23">
        <v>3206042.0</v>
      </c>
      <c r="N4" s="23">
        <v>3351607.0</v>
      </c>
      <c r="O4" s="23">
        <v>3441262.0</v>
      </c>
      <c r="P4" s="23">
        <v>3435778.0</v>
      </c>
      <c r="Q4" s="23">
        <v>3607258.0</v>
      </c>
      <c r="R4" s="23">
        <v>2917678.0</v>
      </c>
      <c r="S4" s="23">
        <v>2622132.0</v>
      </c>
      <c r="T4" s="23">
        <v>2651357.0</v>
      </c>
      <c r="U4" s="21"/>
      <c r="V4" s="21"/>
      <c r="W4" s="21"/>
      <c r="X4" s="21"/>
      <c r="Y4" s="21"/>
      <c r="Z4" s="21"/>
      <c r="AA4" s="21"/>
    </row>
    <row r="5">
      <c r="A5" s="21" t="s">
        <v>29</v>
      </c>
      <c r="B5" s="22" t="str">
        <f t="array" ref="B5">index('Derived Continent Data'!$J$3:$J$220,MATCH(A5,'Derived Continent Data'!$K$3:$K$220,0))</f>
        <v>South America </v>
      </c>
      <c r="C5" s="23">
        <v>1439822.0</v>
      </c>
      <c r="D5" s="23">
        <v>1632947.0</v>
      </c>
      <c r="E5" s="23">
        <v>2085718.0</v>
      </c>
      <c r="F5" s="23">
        <v>2341300.0</v>
      </c>
      <c r="G5" s="23">
        <v>2643862.0</v>
      </c>
      <c r="H5" s="23">
        <v>2856540.0</v>
      </c>
      <c r="I5" s="23">
        <v>2901647.0</v>
      </c>
      <c r="J5" s="23">
        <v>3115223.0</v>
      </c>
      <c r="K5" s="23">
        <v>3040783.0</v>
      </c>
      <c r="L5" s="23">
        <v>2794687.0</v>
      </c>
      <c r="M5" s="23">
        <v>2123009.0</v>
      </c>
      <c r="N5" s="23">
        <v>1676722.0</v>
      </c>
      <c r="O5" s="23">
        <v>1856450.0</v>
      </c>
      <c r="P5" s="23">
        <v>2101884.0</v>
      </c>
      <c r="Q5" s="23">
        <v>2262069.0</v>
      </c>
      <c r="R5" s="23">
        <v>1615942.0</v>
      </c>
      <c r="S5" s="23">
        <v>1558467.0</v>
      </c>
      <c r="T5" s="23">
        <v>1576666.0</v>
      </c>
      <c r="U5" s="21"/>
      <c r="V5" s="21"/>
      <c r="W5" s="21"/>
      <c r="X5" s="21"/>
      <c r="Y5" s="21"/>
      <c r="Z5" s="21"/>
      <c r="AA5" s="21"/>
    </row>
    <row r="6">
      <c r="A6" s="21" t="s">
        <v>35</v>
      </c>
      <c r="B6" s="22" t="str">
        <f t="array" ref="B6">index('Derived Continent Data'!$J$3:$J$220,MATCH(A6,'Derived Continent Data'!$K$3:$K$220,0))</f>
        <v>Oceania</v>
      </c>
      <c r="C6" s="23">
        <v>608804.0</v>
      </c>
      <c r="D6" s="23">
        <v>598394.0</v>
      </c>
      <c r="E6" s="23">
        <v>637019.0</v>
      </c>
      <c r="F6" s="23">
        <v>596765.0</v>
      </c>
      <c r="G6" s="23">
        <v>540562.0</v>
      </c>
      <c r="H6" s="23">
        <v>592122.0</v>
      </c>
      <c r="I6" s="23">
        <v>559314.0</v>
      </c>
      <c r="J6" s="23">
        <v>576855.0</v>
      </c>
      <c r="K6" s="23">
        <v>566454.0</v>
      </c>
      <c r="L6" s="23">
        <v>531596.0</v>
      </c>
      <c r="M6" s="23">
        <v>924154.0</v>
      </c>
      <c r="N6" s="23">
        <v>927274.0</v>
      </c>
      <c r="O6" s="23">
        <v>915658.0</v>
      </c>
      <c r="P6" s="23">
        <v>873713.0</v>
      </c>
      <c r="Q6" s="23">
        <v>799263.0</v>
      </c>
      <c r="R6" s="23">
        <v>676804.0</v>
      </c>
      <c r="S6" s="23">
        <v>753256.0</v>
      </c>
      <c r="T6" s="23">
        <v>777688.0</v>
      </c>
      <c r="U6" s="21"/>
      <c r="V6" s="21"/>
      <c r="W6" s="21"/>
      <c r="X6" s="21"/>
      <c r="Y6" s="21"/>
      <c r="Z6" s="21"/>
      <c r="AA6" s="21"/>
    </row>
    <row r="7">
      <c r="A7" s="21" t="s">
        <v>44</v>
      </c>
      <c r="B7" s="22" t="str">
        <f t="array" ref="B7">index('Derived Continent Data'!$J$3:$J$220,MATCH(A7,'Derived Continent Data'!$K$3:$K$220,0))</f>
        <v>Africa</v>
      </c>
      <c r="C7" s="23">
        <v>419868.0</v>
      </c>
      <c r="D7" s="23">
        <v>481558.0</v>
      </c>
      <c r="E7" s="23">
        <v>434653.0</v>
      </c>
      <c r="F7" s="23">
        <v>329262.0</v>
      </c>
      <c r="G7" s="23">
        <v>258129.0</v>
      </c>
      <c r="H7" s="23">
        <v>337130.0</v>
      </c>
      <c r="I7" s="23">
        <v>396292.0</v>
      </c>
      <c r="J7" s="23">
        <v>440002.0</v>
      </c>
      <c r="K7" s="23">
        <v>450561.0</v>
      </c>
      <c r="L7" s="23">
        <v>439264.0</v>
      </c>
      <c r="M7" s="23">
        <v>412670.0</v>
      </c>
      <c r="N7" s="23">
        <v>361289.0</v>
      </c>
      <c r="O7" s="23">
        <v>361289.0</v>
      </c>
      <c r="P7" s="23">
        <v>365242.0</v>
      </c>
      <c r="Q7" s="23">
        <v>355378.0</v>
      </c>
      <c r="R7" s="23">
        <v>247571.0</v>
      </c>
      <c r="S7" s="23">
        <v>304340.0</v>
      </c>
      <c r="T7" s="23">
        <v>363696.0</v>
      </c>
      <c r="U7" s="21"/>
      <c r="V7" s="21"/>
      <c r="W7" s="21"/>
      <c r="X7" s="21"/>
      <c r="Y7" s="21"/>
      <c r="Z7" s="21"/>
      <c r="AA7" s="21"/>
    </row>
    <row r="43">
      <c r="T43" s="3" t="s">
        <v>255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5"/>
  </cols>
  <sheetData>
    <row r="1" ht="315.75" customHeight="1">
      <c r="A1" s="2" t="s">
        <v>256</v>
      </c>
    </row>
  </sheetData>
  <drawing r:id="rId1"/>
</worksheet>
</file>