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Alina\HSE\Финансы\"/>
    </mc:Choice>
  </mc:AlternateContent>
  <xr:revisionPtr revIDLastSave="0" documentId="13_ncr:1_{C389B441-6730-44FA-ACE8-F2F44C9AC4F2}" xr6:coauthVersionLast="47" xr6:coauthVersionMax="47" xr10:uidLastSave="{00000000-0000-0000-0000-000000000000}"/>
  <bookViews>
    <workbookView xWindow="-108" yWindow="-108" windowWidth="23256" windowHeight="12576" tabRatio="802" activeTab="4" xr2:uid="{00000000-000D-0000-FFFF-FFFF00000000}"/>
  </bookViews>
  <sheets>
    <sheet name="Data and ratios" sheetId="2" r:id="rId1"/>
    <sheet name="Vertical" sheetId="11" r:id="rId2"/>
    <sheet name="Horizontal" sheetId="12" r:id="rId3"/>
    <sheet name="Ratio analysis" sheetId="8" r:id="rId4"/>
    <sheet name="Creditworthiness analysis" sheetId="10" r:id="rId5"/>
  </sheets>
  <externalReferences>
    <externalReference r:id="rId6"/>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0" i="2" l="1"/>
  <c r="C21" i="8"/>
  <c r="D21" i="8"/>
  <c r="E21" i="8"/>
  <c r="F21" i="8"/>
  <c r="B21" i="8"/>
  <c r="C130" i="8"/>
  <c r="D130" i="8"/>
  <c r="E130" i="8"/>
  <c r="F130" i="8"/>
  <c r="B130" i="8"/>
  <c r="C111" i="8"/>
  <c r="D111" i="8"/>
  <c r="E111" i="8"/>
  <c r="F111" i="8"/>
  <c r="B111" i="8"/>
  <c r="C93" i="8"/>
  <c r="D93" i="8"/>
  <c r="E93" i="8"/>
  <c r="F93" i="8"/>
  <c r="B93" i="8"/>
  <c r="C75" i="8"/>
  <c r="D75" i="8"/>
  <c r="E75" i="8"/>
  <c r="F75" i="8"/>
  <c r="B75" i="8"/>
  <c r="C57" i="8"/>
  <c r="D57" i="8"/>
  <c r="E57" i="8"/>
  <c r="F57" i="8"/>
  <c r="B57" i="8"/>
  <c r="B39" i="8"/>
  <c r="C39" i="8"/>
  <c r="D39" i="8"/>
  <c r="E39" i="8"/>
  <c r="F39" i="8"/>
  <c r="F3" i="8"/>
  <c r="E3" i="8"/>
  <c r="D3" i="8"/>
  <c r="C3" i="8"/>
  <c r="B3" i="8"/>
  <c r="H6" i="2"/>
  <c r="M162" i="2"/>
  <c r="L162" i="2"/>
  <c r="N162" i="2"/>
  <c r="K162" i="2"/>
  <c r="G148" i="2"/>
  <c r="B14" i="2"/>
  <c r="C14" i="2"/>
  <c r="D14" i="2"/>
  <c r="B24" i="2"/>
  <c r="F144" i="2" s="1"/>
  <c r="C24" i="2"/>
  <c r="D24" i="2"/>
  <c r="B33" i="2"/>
  <c r="C33" i="2"/>
  <c r="D33" i="2"/>
  <c r="B40" i="2"/>
  <c r="C40" i="2"/>
  <c r="D40" i="2"/>
  <c r="B50" i="2"/>
  <c r="F142" i="2" s="1"/>
  <c r="C50" i="2"/>
  <c r="D50" i="2"/>
  <c r="B65" i="2"/>
  <c r="B69" i="2" s="1"/>
  <c r="B74" i="2" s="1"/>
  <c r="B76" i="2" s="1"/>
  <c r="C65" i="2"/>
  <c r="C69" i="2" s="1"/>
  <c r="C74" i="2" s="1"/>
  <c r="C76" i="2" s="1"/>
  <c r="D65" i="2"/>
  <c r="D69" i="2" s="1"/>
  <c r="D74" i="2" s="1"/>
  <c r="D76" i="2" s="1"/>
  <c r="H148" i="2" l="1"/>
  <c r="F148" i="2"/>
  <c r="B51" i="2"/>
  <c r="F146" i="2" s="1"/>
  <c r="D51" i="2"/>
  <c r="D52" i="2" s="1"/>
  <c r="D25" i="2"/>
  <c r="C51" i="2"/>
  <c r="G146" i="2" s="1"/>
  <c r="C25" i="2"/>
  <c r="F140" i="2"/>
  <c r="H144" i="2"/>
  <c r="B25" i="2"/>
  <c r="G144" i="2"/>
  <c r="H142" i="2"/>
  <c r="G142" i="2"/>
  <c r="B52" i="2"/>
  <c r="H140" i="2"/>
  <c r="G140" i="2"/>
  <c r="Y14" i="2"/>
  <c r="AE14" i="2" s="1"/>
  <c r="X14" i="2"/>
  <c r="AD14" i="2" s="1"/>
  <c r="W14" i="2"/>
  <c r="AC14" i="2" s="1"/>
  <c r="V14" i="2"/>
  <c r="AB14" i="2" s="1"/>
  <c r="U14" i="2"/>
  <c r="AA14" i="2" s="1"/>
  <c r="H14" i="2"/>
  <c r="N14" i="2" s="1"/>
  <c r="Y10" i="2"/>
  <c r="AE10" i="2" s="1"/>
  <c r="X10" i="2"/>
  <c r="AD10" i="2" s="1"/>
  <c r="W10" i="2"/>
  <c r="AC10" i="2" s="1"/>
  <c r="V10" i="2"/>
  <c r="AB10" i="2" s="1"/>
  <c r="U10" i="2"/>
  <c r="AA10" i="2" s="1"/>
  <c r="H10" i="2"/>
  <c r="N10" i="2" s="1"/>
  <c r="Y6" i="2"/>
  <c r="AE6" i="2" s="1"/>
  <c r="X6" i="2"/>
  <c r="AD6" i="2" s="1"/>
  <c r="W6" i="2"/>
  <c r="AC6" i="2" s="1"/>
  <c r="U6" i="2"/>
  <c r="AA6" i="2" s="1"/>
  <c r="V6" i="2"/>
  <c r="AB6" i="2" s="1"/>
  <c r="N6" i="2"/>
  <c r="L14" i="2"/>
  <c r="R14" i="2" s="1"/>
  <c r="J14" i="2"/>
  <c r="P14" i="2" s="1"/>
  <c r="K14" i="2"/>
  <c r="Q14" i="2" s="1"/>
  <c r="I14" i="2"/>
  <c r="O14" i="2" s="1"/>
  <c r="L6" i="2"/>
  <c r="R6" i="2" s="1"/>
  <c r="L10" i="2"/>
  <c r="R10" i="2" s="1"/>
  <c r="J10" i="2"/>
  <c r="P10" i="2" s="1"/>
  <c r="K10" i="2"/>
  <c r="Q10" i="2" s="1"/>
  <c r="I10" i="2"/>
  <c r="O10" i="2" s="1"/>
  <c r="K6" i="2"/>
  <c r="Q6" i="2" s="1"/>
  <c r="J6" i="2"/>
  <c r="P6" i="2" s="1"/>
  <c r="I6" i="2"/>
  <c r="O6" i="2" s="1"/>
  <c r="C52" i="2" l="1"/>
  <c r="H146" i="2"/>
  <c r="W18" i="2"/>
  <c r="X18" i="2"/>
  <c r="K20" i="2"/>
  <c r="V18" i="2"/>
  <c r="Y18" i="2"/>
  <c r="J20" i="2"/>
  <c r="L20" i="2"/>
  <c r="I20" i="2"/>
  <c r="U18" i="2"/>
  <c r="E65" i="2" l="1"/>
  <c r="E69" i="2" s="1"/>
  <c r="F65" i="2"/>
  <c r="F69" i="2" s="1"/>
  <c r="F74" i="2" s="1"/>
  <c r="F76" i="2" s="1"/>
  <c r="E74" i="2" l="1"/>
  <c r="E76" i="2" s="1"/>
  <c r="I148" i="2"/>
  <c r="E33" i="2"/>
  <c r="F33" i="2"/>
  <c r="E40" i="2"/>
  <c r="F40" i="2"/>
  <c r="E50" i="2"/>
  <c r="E24" i="2"/>
  <c r="E14" i="2"/>
  <c r="F50" i="2"/>
  <c r="F24" i="2"/>
  <c r="F14" i="2"/>
  <c r="I140" i="2" l="1"/>
  <c r="I142" i="2"/>
  <c r="I144" i="2"/>
  <c r="E25" i="2"/>
  <c r="F25" i="2"/>
  <c r="E51" i="2"/>
  <c r="E52" i="2" s="1"/>
  <c r="F51" i="2"/>
  <c r="F52" i="2" s="1"/>
  <c r="I146" i="2" l="1"/>
</calcChain>
</file>

<file path=xl/sharedStrings.xml><?xml version="1.0" encoding="utf-8"?>
<sst xmlns="http://schemas.openxmlformats.org/spreadsheetml/2006/main" count="587" uniqueCount="238">
  <si>
    <t xml:space="preserve">Консолидированный финансовый отчет ПАО «М.Видео» о финансовом положении (в миллионах российских рублей) </t>
  </si>
  <si>
    <t xml:space="preserve">31 декабря 2017 года </t>
  </si>
  <si>
    <t>31 декабря 2018 года</t>
  </si>
  <si>
    <t>31 декабря 2019 года</t>
  </si>
  <si>
    <t>31 декабря 2020 года</t>
  </si>
  <si>
    <t>31 декабря 2021 года</t>
  </si>
  <si>
    <t>-</t>
  </si>
  <si>
    <t>Консолидированный финансовый отчет ПАО "М.Видео" о прибылях и убытках и общем совокупном доходе (в миллионах российских рублей, за исключением прибыли на акцию)</t>
  </si>
  <si>
    <t>Выручка</t>
  </si>
  <si>
    <t>Себестоимость реализации</t>
  </si>
  <si>
    <t>ВАЛОВАЯ ПРИБЫЛЬ</t>
  </si>
  <si>
    <t>Коммерческие, общехозяйственные и административные расходы</t>
  </si>
  <si>
    <t xml:space="preserve">Прочие операционные доходы </t>
  </si>
  <si>
    <t>Прочие операционные расходы</t>
  </si>
  <si>
    <t>ОПЕРАЦИОННАЯ ПРИБЫЛЬ</t>
  </si>
  <si>
    <t>Финансовые доходы</t>
  </si>
  <si>
    <t>Финансовые расходы</t>
  </si>
  <si>
    <t xml:space="preserve">Доходы от изменения справедливой стоимости финансовых инструментов, оцениваемых по справедливой стоимости </t>
  </si>
  <si>
    <t>Доля прибыли (убытка) ассоциированных и совместных предприятий</t>
  </si>
  <si>
    <t>ПРИБЫЛЬ ДО НАЛОГА НА ПРИБЫЛЬ</t>
  </si>
  <si>
    <t>Расходы по налогу на прибыль</t>
  </si>
  <si>
    <t>ИТОГО ЧИСТАЯ ПРИБЫЛЬ и ОБЩИЙ СОВОКУПНЫЙ ДОХОД за год</t>
  </si>
  <si>
    <t>Базовая прибыль на акцию (в российских рублях)</t>
  </si>
  <si>
    <t>Разводненная прибыль на акцию (в российских рублях)</t>
  </si>
  <si>
    <t xml:space="preserve">ИТОГО ЧИСТАЯ ПРИБЫЛЬ и ОБЩИЙ СОВОКУПНЫЙ ДОХОД за год с исключением доли прибыли (убытка) ассоциированных и совместных предприятий </t>
  </si>
  <si>
    <t xml:space="preserve">Коэффициент оборачиваемости запасов </t>
  </si>
  <si>
    <t xml:space="preserve">Период оборачиваемости запасов </t>
  </si>
  <si>
    <t xml:space="preserve">Оборачиваемость дебиторской задолженности </t>
  </si>
  <si>
    <t xml:space="preserve">Оборачиваемость кредиторской задолженности </t>
  </si>
  <si>
    <t>Денежный цикл</t>
  </si>
  <si>
    <t xml:space="preserve">Период погашения кредиторской задолженности </t>
  </si>
  <si>
    <t xml:space="preserve">Период погашения дебиторской задолженности </t>
  </si>
  <si>
    <t>DNS</t>
  </si>
  <si>
    <t xml:space="preserve">Creditworthiness analysis based on the data </t>
  </si>
  <si>
    <t>Period ending:</t>
  </si>
  <si>
    <t>Cash Ratio (Коэффициент абсолютной ликвидности) = K1</t>
  </si>
  <si>
    <t>31/12</t>
  </si>
  <si>
    <t>30/06</t>
  </si>
  <si>
    <t xml:space="preserve">Interpretation </t>
  </si>
  <si>
    <t xml:space="preserve">                                            K1: Higher the better, preferred value - between 0,5 and 1 </t>
  </si>
  <si>
    <t xml:space="preserve">Cash/(short term liabilities - Deferred income - Future Payments)= Cash/Current liabilities </t>
  </si>
  <si>
    <t>K1</t>
  </si>
  <si>
    <t>Quick Ratio (Коэффициент критической оценки) = K2</t>
  </si>
  <si>
    <t xml:space="preserve">K2: Higher the better, preferred value - about 1, because below 1 certain risk is existing </t>
  </si>
  <si>
    <t>(Cash+short term fin investments + Accounts Receivable)/(short term liabilities - Deferred income - Future Payments)</t>
  </si>
  <si>
    <t>K2</t>
  </si>
  <si>
    <t xml:space="preserve">Current Ratio (Коэффициент текущей ликвидности) = K3 </t>
  </si>
  <si>
    <t xml:space="preserve">K3: Higher the better, preferred value - about 1, because below 1 certain risk is existing </t>
  </si>
  <si>
    <t>Total current Assets/(short term liabilities - Deferred income - Future Payments)</t>
  </si>
  <si>
    <t>K3</t>
  </si>
  <si>
    <t xml:space="preserve">Leverage Ratio (Коэффициент соотношения собственных и заемных средств) = K4 </t>
  </si>
  <si>
    <t xml:space="preserve">K4: Higher the better, preferred value - about 1, because below 1 certain risk is existing </t>
  </si>
  <si>
    <t xml:space="preserve">Equity/((short term liabilities - Deferred income - Future Payments +long term liabilites) = Equity/Total liabilities </t>
  </si>
  <si>
    <t>K4</t>
  </si>
  <si>
    <t>Profitability (Рентабельность) = K5</t>
  </si>
  <si>
    <t xml:space="preserve">                                            K5: Higher the better</t>
  </si>
  <si>
    <t xml:space="preserve">Operating Income/Revenues </t>
  </si>
  <si>
    <t>K5</t>
  </si>
  <si>
    <t>Results</t>
  </si>
  <si>
    <t>Coefficients</t>
  </si>
  <si>
    <t>Interpretation</t>
  </si>
  <si>
    <t>1rd class</t>
  </si>
  <si>
    <t>2nd class</t>
  </si>
  <si>
    <t>3rd class</t>
  </si>
  <si>
    <t>К1</t>
  </si>
  <si>
    <t>0,2 and more</t>
  </si>
  <si>
    <t>0,1 - 0,2</t>
  </si>
  <si>
    <t>less than 0,1</t>
  </si>
  <si>
    <t>1st class - S = 1-1,05</t>
  </si>
  <si>
    <t>К2</t>
  </si>
  <si>
    <t>0,8 and more</t>
  </si>
  <si>
    <t>0,5 - 0,8</t>
  </si>
  <si>
    <t>less than 0,5</t>
  </si>
  <si>
    <t>2nd class - 1,05 &lt; S &lt; 2,42</t>
  </si>
  <si>
    <t>К3</t>
  </si>
  <si>
    <t>2,0 and more</t>
  </si>
  <si>
    <t>1,0 - 2,0</t>
  </si>
  <si>
    <t>less than 1,0</t>
  </si>
  <si>
    <t>3rd class - S &gt; 2,42</t>
  </si>
  <si>
    <t>К4</t>
  </si>
  <si>
    <t>1,0 and more</t>
  </si>
  <si>
    <t>0,7 - 1,0</t>
  </si>
  <si>
    <t>less than 0,7</t>
  </si>
  <si>
    <t>К5</t>
  </si>
  <si>
    <t>0,15 and more</t>
  </si>
  <si>
    <t>less than 0,15</t>
  </si>
  <si>
    <t>unprofitable</t>
  </si>
  <si>
    <t>S</t>
  </si>
  <si>
    <t>Class</t>
  </si>
  <si>
    <t>3rd CLASS</t>
  </si>
  <si>
    <t>А</t>
  </si>
  <si>
    <t>ASSETS</t>
  </si>
  <si>
    <t>Investment property</t>
  </si>
  <si>
    <t>Intangible assets</t>
  </si>
  <si>
    <t>Goodwill</t>
  </si>
  <si>
    <t>Financial assets</t>
  </si>
  <si>
    <t>Deferred tax assets</t>
  </si>
  <si>
    <t>Total non-current assets</t>
  </si>
  <si>
    <t>CURRENT ASSETS</t>
  </si>
  <si>
    <t>Inventory</t>
  </si>
  <si>
    <t>Accounts receivable</t>
  </si>
  <si>
    <t>Advances issued</t>
  </si>
  <si>
    <t>Income tax receivable</t>
  </si>
  <si>
    <t>Accounts receivable for other taxes</t>
  </si>
  <si>
    <t>Other current assets</t>
  </si>
  <si>
    <t>Cash and cash equivalents</t>
  </si>
  <si>
    <t>Assets held for sale</t>
  </si>
  <si>
    <t>Total current assets</t>
  </si>
  <si>
    <t>TOTAL ASSETS</t>
  </si>
  <si>
    <t>Period ending (31.12)</t>
  </si>
  <si>
    <t xml:space="preserve">K1: Higher the better, preferred value - between 0,5 and 1 </t>
  </si>
  <si>
    <t>K5: Higher the better</t>
  </si>
  <si>
    <t>Inventory turnover ratio</t>
  </si>
  <si>
    <t>Accounts payable turnover</t>
  </si>
  <si>
    <t>Accounts receivable turnover</t>
  </si>
  <si>
    <t>Money cycle</t>
  </si>
  <si>
    <t>Inventory turnover period</t>
  </si>
  <si>
    <t>Period of repayment of accounts payable</t>
  </si>
  <si>
    <t>Period of repayment of receivables</t>
  </si>
  <si>
    <t>Mvideo</t>
  </si>
  <si>
    <t>Company</t>
  </si>
  <si>
    <t>calculations are on page 1</t>
  </si>
  <si>
    <t>2) The coefficient of long-term financial independence (LFI) shows what part of the total value of the company's assets is formed from the most reliable sources of financing, that is, it does not depend on short-term borrowed funds.</t>
  </si>
  <si>
    <t>In essence, this is a refined coefficient of autonomy. If the company's liabilities include long-term liabilities, it is advisable to use this coefficient instead of the autonomy coefficient. One of the recommended values of this coefficient is 0.9, the critical value is 0.75. According to the conditions of our example, the CFLF for the analyzed period increases from 0.19 in 2017 to 0.5 in 2021, which reflects a decrease in the company's dependence on short-term borrowings.</t>
  </si>
  <si>
    <t>Shows the ability of the enterprise, having liquidated its assets, to fully repay its liabilities. A financial dependency ratio of no more than 0.6–0.7 is considered normal. to 0.95 in 2021, reflecting an increase in the company's dependence on external creditors. The optimal factor is 0.5.</t>
  </si>
  <si>
    <t>The more the coefficient exceeds 1, the greater the dependence of the enterprise on borrowed funds. In the example, QC for the analyzed period increased from 4.25 in 2017 to to 18.10 in 2021, reflecting a sharp increase in the company's dependence on debt sources of financing.</t>
  </si>
  <si>
    <t>The lower this indicator, the more dependent the company is on borrowed capital. According to the conditions of our example, the CF for the analyzed period decreases from 0.24 in 2017 to 0.24. to 0.06 in 2021, which reflects an increase in the company's dependence on borrowed sources.</t>
  </si>
  <si>
    <t>The high value of this indicator indicates a strong dependence on attracted capital, the need to pay in the future significant amounts of money in the form of interest on loans. In the example under consideration, the STSC for the analyzed period increased from zero in 2017. to 0.81 in 2021, showing a leveraged increase in equity capital.</t>
  </si>
  <si>
    <t>The coefficient of maneuverability characterizes what share of sources of own funds is in a mobile form. The recommended value is 0.5 or higher. According to the conditions of our example, KMSC for the analyzed period decreased from -0.02 in 2017 to to -2.62 in 2021, indicating a decline in capital agility.</t>
  </si>
  <si>
    <t>1) The coefficient of autonomy (CA) shows how the company is independent of creditors. It reflects the share of equity in the composition of all sources of financing. The higher the value of the coefficient, the more likely the company can repay debts at its own expense. Generally accepted normal value: 0.5 or more (optimum 0.6-0.7).</t>
  </si>
  <si>
    <t>In our example, CA for the analyzed period decreases from 0.19 in 2017 to 0.19. to 0.05 in 2021, which reflects an increase in the company's dependence on external creditors.</t>
  </si>
  <si>
    <t>3) The coefficient of financial dependence (KFD) demonstrates the dependence of the enterprise on external sources of financing.</t>
  </si>
  <si>
    <t>4) The coefficient of provision with own working capital (CPOWC) allows you to calculate the share of own working capital in current assets.</t>
  </si>
  <si>
    <t>CPOWC determines the degree to which an organization is provided with its own working capital necessary for its financial stability. Normal value: 0.1 or more. In our example, KOSOS for the analyzed period decreases from -0.01 in 2017 to to a negative value of -0.61 in 2021, which characterizes a sharp decrease in own working capital.</t>
  </si>
  <si>
    <t>5) Capitalization ratio (CR) - shows the ratio of borrowed and own funds.</t>
  </si>
  <si>
    <t>6) Funding ratio (FR) shows which part of the activity is financed by own funds, and which part is financed by borrowed funds.</t>
  </si>
  <si>
    <t>7) The coefficient of long-term attraction of borrowed funds (KLABF) shows what part of the sources of formation of non-current assets at the reporting date falls on equity, and what part on long-term borrowed funds.</t>
  </si>
  <si>
    <t>8) The coefficient of maneuverability of own capital (CMOC) - shows what part of the net working capital accounts for 1 rub. own funds.</t>
  </si>
  <si>
    <t>Consolidated financial Report of PJSC "M.Video" about the financial situation (in millions of Russian rubles)</t>
  </si>
  <si>
    <t>in %</t>
  </si>
  <si>
    <t>NON-CURRENT ASSETS</t>
  </si>
  <si>
    <t>Fixed assets</t>
  </si>
  <si>
    <t>Assets in the form of a right of use</t>
  </si>
  <si>
    <t>Investments in an associate and a joint venture</t>
  </si>
  <si>
    <t>Other non-current assets</t>
  </si>
  <si>
    <t>23 663</t>
  </si>
  <si>
    <t>98 481</t>
  </si>
  <si>
    <t>158 711</t>
  </si>
  <si>
    <t>167 539</t>
  </si>
  <si>
    <t>182 369</t>
  </si>
  <si>
    <t>97 862</t>
  </si>
  <si>
    <t>186 953</t>
  </si>
  <si>
    <t>190 917</t>
  </si>
  <si>
    <t>229 165</t>
  </si>
  <si>
    <t>261 003</t>
  </si>
  <si>
    <t>121 525</t>
  </si>
  <si>
    <t>285 434</t>
  </si>
  <si>
    <t>349 628</t>
  </si>
  <si>
    <t>396 704</t>
  </si>
  <si>
    <t>443 372</t>
  </si>
  <si>
    <t>CAPITAL</t>
  </si>
  <si>
    <t>Authorized capital</t>
  </si>
  <si>
    <t>Additional capital</t>
  </si>
  <si>
    <t>Repurchased own shares</t>
  </si>
  <si>
    <t>Retained earnings</t>
  </si>
  <si>
    <t>Non-controlling interests</t>
  </si>
  <si>
    <t>Total capital</t>
  </si>
  <si>
    <t>23 154</t>
  </si>
  <si>
    <t>31 375</t>
  </si>
  <si>
    <t>32 127</t>
  </si>
  <si>
    <t>33 639</t>
  </si>
  <si>
    <t>23 212</t>
  </si>
  <si>
    <t>LONG-TERM LIABILITIES</t>
  </si>
  <si>
    <t>Loans and other financial liabilities</t>
  </si>
  <si>
    <t>Lease obligations</t>
  </si>
  <si>
    <t>Deferred tax liabilities</t>
  </si>
  <si>
    <t>Other liabilities</t>
  </si>
  <si>
    <t>Reserves</t>
  </si>
  <si>
    <t>Total long-term liabilities</t>
  </si>
  <si>
    <t>48 334</t>
  </si>
  <si>
    <t>97 322</t>
  </si>
  <si>
    <t>103 064</t>
  </si>
  <si>
    <t>98 263</t>
  </si>
  <si>
    <t>SHORT-TERM LIABILITIES</t>
  </si>
  <si>
    <t>Trade payables</t>
  </si>
  <si>
    <t>Other accounts payable and accrued expenses</t>
  </si>
  <si>
    <t>Obligations to customers</t>
  </si>
  <si>
    <t>Accounts payable on income tax</t>
  </si>
  <si>
    <t>Accounts payable for other taxes</t>
  </si>
  <si>
    <t>Total current liabilities</t>
  </si>
  <si>
    <t>98 367</t>
  </si>
  <si>
    <t>205 725</t>
  </si>
  <si>
    <t>220 179</t>
  </si>
  <si>
    <t>260 001</t>
  </si>
  <si>
    <t>321 897</t>
  </si>
  <si>
    <t>Total liabilities</t>
  </si>
  <si>
    <t>98 371</t>
  </si>
  <si>
    <t>254 059</t>
  </si>
  <si>
    <t>317 501</t>
  </si>
  <si>
    <t>363 065</t>
  </si>
  <si>
    <t>420 160</t>
  </si>
  <si>
    <t>TOTAL EQUITY AND LIABILITIES</t>
  </si>
  <si>
    <t>243 050</t>
  </si>
  <si>
    <t>619 202</t>
  </si>
  <si>
    <t>796 578</t>
  </si>
  <si>
    <t>896 472</t>
  </si>
  <si>
    <t>985 007</t>
  </si>
  <si>
    <t>Прочие операционные доходы</t>
  </si>
  <si>
    <t>Доходы от изменения справедливой стоимости финансовых инструментов, оцениваемых по справедливой стоимости</t>
  </si>
  <si>
    <t>ИТОГО ЧИСТАЯ ПРИБЫЛЬ и ОБЩИЙ СОВОКУПНЫЙ ДОХОД за год с исключением доли прибыли (убытка) ассоциированных и совместных предприятий</t>
  </si>
  <si>
    <t>Investment real estate</t>
  </si>
  <si>
    <t>Revenue</t>
  </si>
  <si>
    <t>Cost of sales</t>
  </si>
  <si>
    <t>GROSS PROFIT</t>
  </si>
  <si>
    <t>Commercial, general and administrative expenses</t>
  </si>
  <si>
    <t>Other operating income</t>
  </si>
  <si>
    <t>Other operating expenses</t>
  </si>
  <si>
    <t>OPERATING PROFIT</t>
  </si>
  <si>
    <t>Financial income</t>
  </si>
  <si>
    <t>Financial expenses</t>
  </si>
  <si>
    <t>Gains from changes in the fair value of financial instruments measured at fair value</t>
  </si>
  <si>
    <t>Share of profit (loss) of associates and joint ventures</t>
  </si>
  <si>
    <t>PROFIT BEFORE INCOME TAX</t>
  </si>
  <si>
    <t>Income tax expenses</t>
  </si>
  <si>
    <t>TOTAL NET PROFIT and TOTAL COMPREHENSIVE INCOME for the year</t>
  </si>
  <si>
    <t>Trend analysis</t>
  </si>
  <si>
    <t>2017 year</t>
  </si>
  <si>
    <t>2018 year</t>
  </si>
  <si>
    <t>2019 year</t>
  </si>
  <si>
    <t>2020 year</t>
  </si>
  <si>
    <t>2021 year</t>
  </si>
  <si>
    <t>Total assets</t>
  </si>
  <si>
    <t>Gross profit</t>
  </si>
  <si>
    <t>NET PROFIT</t>
  </si>
  <si>
    <t>Operating profit</t>
  </si>
  <si>
    <t xml:space="preserve"> </t>
  </si>
  <si>
    <t>Canges (2017)</t>
  </si>
  <si>
    <t>Mvideo&amp;DNS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</si>
</sst>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charset val="204"/>
      <scheme val="minor"/>
    </font>
    <font>
      <b/>
      <sz val="11"/>
      <color theme="1"/>
      <name val="Calibri"/>
      <family val="2"/>
      <charset val="204"/>
      <scheme val="minor"/>
    </font>
    <font>
      <b/>
      <sz val="11"/>
      <color theme="1"/>
      <name val="Calibri"/>
      <family val="2"/>
      <scheme val="minor"/>
    </font>
    <font>
      <sz val="11"/>
      <color theme="1"/>
      <name val="Calibri"/>
      <family val="2"/>
      <scheme val="minor"/>
    </font>
    <font>
      <b/>
      <sz val="13"/>
      <color theme="1"/>
      <name val="Calibri"/>
      <family val="2"/>
      <scheme val="minor"/>
    </font>
    <font>
      <sz val="11"/>
      <color theme="1"/>
      <name val="Calibri"/>
      <family val="2"/>
      <charset val="204"/>
      <scheme val="minor"/>
    </font>
    <font>
      <b/>
      <sz val="12"/>
      <color theme="1"/>
      <name val="Calibri"/>
      <family val="2"/>
      <charset val="204"/>
      <scheme val="minor"/>
    </font>
    <font>
      <b/>
      <sz val="22"/>
      <color theme="1"/>
      <name val="Calibri"/>
      <family val="2"/>
      <scheme val="minor"/>
    </font>
    <font>
      <b/>
      <sz val="9"/>
      <color rgb="FF333333"/>
      <name val="Inherit"/>
    </font>
    <font>
      <sz val="8"/>
      <color rgb="FF333333"/>
      <name val="Arial"/>
      <family val="2"/>
    </font>
    <font>
      <b/>
      <sz val="12"/>
      <color theme="1"/>
      <name val="Calibri"/>
      <family val="2"/>
      <scheme val="minor"/>
    </font>
    <font>
      <sz val="11"/>
      <color rgb="FF222222"/>
      <name val="Calibri"/>
      <family val="2"/>
      <scheme val="minor"/>
    </font>
    <font>
      <b/>
      <sz val="11"/>
      <color rgb="FF222222"/>
      <name val="Trebuchet MS"/>
      <family val="2"/>
    </font>
    <font>
      <sz val="11"/>
      <color rgb="FF222222"/>
      <name val="Trebuchet MS"/>
      <family val="2"/>
    </font>
    <font>
      <b/>
      <sz val="11"/>
      <name val="Calibri"/>
      <family val="2"/>
      <charset val="204"/>
      <scheme val="minor"/>
    </font>
    <font>
      <sz val="12"/>
      <color theme="1"/>
      <name val="Calibri"/>
      <family val="2"/>
      <charset val="204"/>
      <scheme val="minor"/>
    </font>
    <font>
      <b/>
      <sz val="13"/>
      <color rgb="FF000000"/>
      <name val="Calibri"/>
    </font>
    <font>
      <sz val="10"/>
      <name val="Arial"/>
    </font>
    <font>
      <sz val="11"/>
      <color rgb="FF000000"/>
      <name val="Calibri"/>
    </font>
    <font>
      <b/>
      <sz val="11"/>
      <color rgb="FF000000"/>
      <name val="Calibri"/>
    </font>
    <font>
      <b/>
      <sz val="11"/>
      <color theme="1"/>
      <name val="Calibri"/>
    </font>
    <font>
      <b/>
      <sz val="14"/>
      <color rgb="FF000000"/>
      <name val="Calibri"/>
    </font>
    <font>
      <sz val="10"/>
      <color theme="1"/>
      <name val="Calibri"/>
      <scheme val="minor"/>
    </font>
  </fonts>
  <fills count="17">
    <fill>
      <patternFill patternType="none"/>
    </fill>
    <fill>
      <patternFill patternType="gray125"/>
    </fill>
    <fill>
      <patternFill patternType="solid">
        <fgColor rgb="FFFF5C5F"/>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FFFF"/>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5C5F"/>
        <bgColor rgb="FFFF5C5F"/>
      </patternFill>
    </fill>
    <fill>
      <patternFill patternType="solid">
        <fgColor rgb="FFFFFFFF"/>
        <bgColor rgb="FFFFFFFF"/>
      </patternFill>
    </fill>
    <fill>
      <patternFill patternType="solid">
        <fgColor rgb="FFE7E6E6"/>
        <bgColor rgb="FFE7E6E6"/>
      </patternFill>
    </fill>
    <fill>
      <patternFill patternType="solid">
        <fgColor rgb="FFFFFF00"/>
        <bgColor rgb="FFFFFF00"/>
      </patternFill>
    </fill>
    <fill>
      <patternFill patternType="solid">
        <fgColor rgb="FFFFC000"/>
        <bgColor rgb="FFFFC000"/>
      </patternFill>
    </fill>
  </fills>
  <borders count="29">
    <border>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medium">
        <color rgb="FF222222"/>
      </left>
      <right style="thin">
        <color rgb="FF000000"/>
      </right>
      <top style="medium">
        <color rgb="FF222222"/>
      </top>
      <bottom style="thin">
        <color rgb="FF000000"/>
      </bottom>
      <diagonal/>
    </border>
    <border>
      <left style="thin">
        <color rgb="FF000000"/>
      </left>
      <right style="thin">
        <color rgb="FF000000"/>
      </right>
      <top style="medium">
        <color rgb="FF222222"/>
      </top>
      <bottom style="thin">
        <color rgb="FF000000"/>
      </bottom>
      <diagonal/>
    </border>
    <border>
      <left style="thin">
        <color theme="1"/>
      </left>
      <right style="thin">
        <color theme="1"/>
      </right>
      <top/>
      <bottom style="thin">
        <color theme="1"/>
      </bottom>
      <diagonal/>
    </border>
    <border>
      <left style="medium">
        <color rgb="FF222222"/>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222222"/>
      </left>
      <right style="thin">
        <color rgb="FF000000"/>
      </right>
      <top style="thin">
        <color rgb="FF000000"/>
      </top>
      <bottom style="medium">
        <color rgb="FF222222"/>
      </bottom>
      <diagonal/>
    </border>
    <border>
      <left style="thin">
        <color rgb="FF000000"/>
      </left>
      <right style="thin">
        <color rgb="FF000000"/>
      </right>
      <top style="thin">
        <color rgb="FF000000"/>
      </top>
      <bottom style="medium">
        <color rgb="FF222222"/>
      </bottom>
      <diagonal/>
    </border>
    <border>
      <left/>
      <right/>
      <top style="thin">
        <color theme="6" tint="0.79998168889431442"/>
      </top>
      <bottom/>
      <diagonal/>
    </border>
    <border>
      <left/>
      <right/>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s>
  <cellStyleXfs count="2">
    <xf numFmtId="0" fontId="0" fillId="0" borderId="0"/>
    <xf numFmtId="9" fontId="5" fillId="0" borderId="0" applyFont="0" applyFill="0" applyBorder="0" applyAlignment="0" applyProtection="0"/>
  </cellStyleXfs>
  <cellXfs count="181">
    <xf numFmtId="0" fontId="0" fillId="0" borderId="0" xfId="0"/>
    <xf numFmtId="0" fontId="1" fillId="0" borderId="0" xfId="0" applyFont="1"/>
    <xf numFmtId="0" fontId="0" fillId="0" borderId="1" xfId="0" applyBorder="1"/>
    <xf numFmtId="0" fontId="0" fillId="0" borderId="1" xfId="0" applyBorder="1" applyAlignment="1">
      <alignment wrapText="1"/>
    </xf>
    <xf numFmtId="0" fontId="1" fillId="0" borderId="4" xfId="0" applyFont="1" applyBorder="1"/>
    <xf numFmtId="0" fontId="0" fillId="0" borderId="4" xfId="0" applyBorder="1"/>
    <xf numFmtId="0" fontId="0" fillId="0" borderId="3" xfId="0" applyBorder="1"/>
    <xf numFmtId="0" fontId="1" fillId="0" borderId="3" xfId="0" applyFont="1" applyBorder="1"/>
    <xf numFmtId="0" fontId="0" fillId="0" borderId="5" xfId="0" applyBorder="1"/>
    <xf numFmtId="0" fontId="1" fillId="2" borderId="4" xfId="0" applyFont="1" applyFill="1" applyBorder="1"/>
    <xf numFmtId="0" fontId="2" fillId="0" borderId="4" xfId="0" applyFont="1" applyBorder="1"/>
    <xf numFmtId="0" fontId="1" fillId="2" borderId="4" xfId="0" applyFont="1" applyFill="1" applyBorder="1" applyAlignment="1">
      <alignment wrapText="1"/>
    </xf>
    <xf numFmtId="0" fontId="3" fillId="0" borderId="4" xfId="0" applyFont="1" applyBorder="1"/>
    <xf numFmtId="0" fontId="0" fillId="0" borderId="0" xfId="0" applyAlignment="1">
      <alignment horizontal="right"/>
    </xf>
    <xf numFmtId="0" fontId="3" fillId="0" borderId="3" xfId="0" applyFont="1" applyBorder="1"/>
    <xf numFmtId="0" fontId="0" fillId="0" borderId="4" xfId="0" applyBorder="1" applyAlignment="1">
      <alignment horizontal="right"/>
    </xf>
    <xf numFmtId="0" fontId="3" fillId="0" borderId="4" xfId="0" applyFont="1" applyBorder="1" applyAlignment="1">
      <alignment horizontal="right"/>
    </xf>
    <xf numFmtId="0" fontId="0" fillId="0" borderId="3" xfId="0" applyBorder="1" applyAlignment="1">
      <alignment horizontal="right"/>
    </xf>
    <xf numFmtId="0" fontId="3" fillId="0" borderId="5" xfId="0" applyFont="1" applyBorder="1"/>
    <xf numFmtId="0" fontId="2" fillId="2" borderId="4" xfId="0" applyFont="1" applyFill="1" applyBorder="1"/>
    <xf numFmtId="0" fontId="2" fillId="0" borderId="2" xfId="0" applyFont="1" applyBorder="1" applyAlignment="1">
      <alignment wrapText="1"/>
    </xf>
    <xf numFmtId="0" fontId="1" fillId="2" borderId="3" xfId="0" applyFont="1" applyFill="1" applyBorder="1" applyAlignment="1">
      <alignment horizontal="center" wrapText="1"/>
    </xf>
    <xf numFmtId="0" fontId="1" fillId="2" borderId="4" xfId="0" applyFont="1" applyFill="1" applyBorder="1" applyAlignment="1">
      <alignment horizontal="center" wrapText="1"/>
    </xf>
    <xf numFmtId="0" fontId="2" fillId="0" borderId="4" xfId="0" applyFont="1" applyBorder="1" applyAlignment="1">
      <alignment horizontal="right"/>
    </xf>
    <xf numFmtId="0" fontId="2" fillId="0" borderId="0" xfId="0" applyFont="1"/>
    <xf numFmtId="0" fontId="0" fillId="0" borderId="4" xfId="0" applyBorder="1" applyAlignment="1">
      <alignment horizontal="center"/>
    </xf>
    <xf numFmtId="0" fontId="0" fillId="6" borderId="0" xfId="0" applyFill="1"/>
    <xf numFmtId="2" fontId="0" fillId="0" borderId="0" xfId="0" applyNumberFormat="1"/>
    <xf numFmtId="0" fontId="0" fillId="0" borderId="4" xfId="0" applyFill="1" applyBorder="1" applyAlignment="1">
      <alignment horizontal="center"/>
    </xf>
    <xf numFmtId="0" fontId="0" fillId="0" borderId="0" xfId="0" applyAlignment="1">
      <alignment horizontal="center"/>
    </xf>
    <xf numFmtId="0" fontId="0" fillId="0" borderId="4" xfId="0" applyBorder="1" applyAlignment="1">
      <alignment horizontal="center"/>
    </xf>
    <xf numFmtId="0" fontId="0" fillId="0" borderId="3" xfId="0" applyBorder="1" applyAlignment="1">
      <alignment horizontal="center"/>
    </xf>
    <xf numFmtId="0" fontId="7" fillId="0" borderId="0" xfId="0" applyFont="1" applyAlignment="1">
      <alignment horizontal="center"/>
    </xf>
    <xf numFmtId="0" fontId="8" fillId="7" borderId="0" xfId="0" applyFont="1" applyFill="1" applyAlignment="1">
      <alignment horizontal="right" vertical="center" indent="1"/>
    </xf>
    <xf numFmtId="0" fontId="2" fillId="8" borderId="0" xfId="0" applyFont="1" applyFill="1"/>
    <xf numFmtId="0" fontId="9" fillId="7" borderId="0" xfId="0" applyFont="1" applyFill="1" applyAlignment="1">
      <alignment horizontal="right" vertical="center" indent="1"/>
    </xf>
    <xf numFmtId="0" fontId="0" fillId="0" borderId="4" xfId="0" applyBorder="1"/>
    <xf numFmtId="0" fontId="2" fillId="9" borderId="0" xfId="0" applyFont="1" applyFill="1" applyAlignment="1">
      <alignment horizontal="center"/>
    </xf>
    <xf numFmtId="0" fontId="8" fillId="7" borderId="10" xfId="0" applyFont="1" applyFill="1" applyBorder="1" applyAlignment="1">
      <alignment horizontal="right" vertical="center" indent="1"/>
    </xf>
    <xf numFmtId="0" fontId="2" fillId="9" borderId="10" xfId="0" applyFont="1" applyFill="1" applyBorder="1" applyAlignment="1">
      <alignment horizontal="center"/>
    </xf>
    <xf numFmtId="0" fontId="12" fillId="8" borderId="11" xfId="0" applyFont="1" applyFill="1" applyBorder="1" applyAlignment="1">
      <alignment horizontal="center" vertical="center" wrapText="1"/>
    </xf>
    <xf numFmtId="0" fontId="12" fillId="10" borderId="12" xfId="0" applyFont="1" applyFill="1" applyBorder="1" applyAlignment="1">
      <alignment horizontal="center" vertical="center" wrapText="1"/>
    </xf>
    <xf numFmtId="0" fontId="9" fillId="7" borderId="10" xfId="0" applyFont="1" applyFill="1" applyBorder="1" applyAlignment="1">
      <alignment horizontal="right" vertical="center" indent="1"/>
    </xf>
    <xf numFmtId="0" fontId="0" fillId="0" borderId="10" xfId="0" applyBorder="1"/>
    <xf numFmtId="0" fontId="12" fillId="7" borderId="14" xfId="0" applyFont="1" applyFill="1" applyBorder="1" applyAlignment="1">
      <alignment vertical="center" wrapText="1"/>
    </xf>
    <xf numFmtId="0" fontId="13" fillId="7" borderId="15" xfId="0" applyFont="1" applyFill="1" applyBorder="1" applyAlignment="1">
      <alignment vertical="center" wrapText="1"/>
    </xf>
    <xf numFmtId="0" fontId="0" fillId="0" borderId="10" xfId="0" applyBorder="1" applyAlignment="1">
      <alignment horizontal="center"/>
    </xf>
    <xf numFmtId="0" fontId="12" fillId="7" borderId="16" xfId="0" applyFont="1" applyFill="1" applyBorder="1" applyAlignment="1">
      <alignment vertical="center" wrapText="1"/>
    </xf>
    <xf numFmtId="0" fontId="13" fillId="7" borderId="17" xfId="0" applyFont="1" applyFill="1" applyBorder="1" applyAlignment="1">
      <alignment vertical="center" wrapText="1"/>
    </xf>
    <xf numFmtId="0" fontId="0" fillId="0" borderId="18" xfId="0" applyBorder="1"/>
    <xf numFmtId="0" fontId="2" fillId="0" borderId="10" xfId="0" applyFont="1" applyBorder="1" applyAlignment="1">
      <alignment horizontal="center"/>
    </xf>
    <xf numFmtId="0" fontId="0" fillId="3" borderId="10" xfId="0" applyFill="1" applyBorder="1" applyAlignment="1">
      <alignment horizontal="center"/>
    </xf>
    <xf numFmtId="0" fontId="0" fillId="5" borderId="0" xfId="0" applyFill="1"/>
    <xf numFmtId="0" fontId="6" fillId="4" borderId="0" xfId="0" applyFont="1" applyFill="1"/>
    <xf numFmtId="0" fontId="0" fillId="0" borderId="0" xfId="0" applyAlignment="1">
      <alignment horizontal="center"/>
    </xf>
    <xf numFmtId="0" fontId="11" fillId="7" borderId="9"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0" fillId="0" borderId="9" xfId="0" applyBorder="1" applyAlignment="1">
      <alignment horizontal="center" vertical="center"/>
    </xf>
    <xf numFmtId="0" fontId="0" fillId="0" borderId="13" xfId="0" applyBorder="1" applyAlignment="1">
      <alignment horizontal="center" vertical="center"/>
    </xf>
    <xf numFmtId="0" fontId="7" fillId="0" borderId="0" xfId="0" applyFont="1" applyAlignment="1">
      <alignment horizont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4" fillId="0" borderId="0" xfId="0" applyFont="1" applyAlignment="1">
      <alignment horizontal="left" wrapText="1"/>
    </xf>
    <xf numFmtId="0" fontId="4" fillId="0" borderId="7" xfId="0" applyFont="1" applyBorder="1" applyAlignment="1">
      <alignment horizontal="left" wrapText="1"/>
    </xf>
    <xf numFmtId="0" fontId="0" fillId="0" borderId="6" xfId="0" applyBorder="1" applyAlignment="1">
      <alignment horizontal="center"/>
    </xf>
    <xf numFmtId="0" fontId="0" fillId="0" borderId="8" xfId="0" applyBorder="1" applyAlignment="1">
      <alignment horizontal="center"/>
    </xf>
    <xf numFmtId="0" fontId="0" fillId="0" borderId="3" xfId="0" applyBorder="1" applyAlignment="1">
      <alignment horizontal="center"/>
    </xf>
    <xf numFmtId="0" fontId="1" fillId="0" borderId="4" xfId="0" applyFont="1" applyBorder="1" applyAlignment="1">
      <alignment horizontal="center"/>
    </xf>
    <xf numFmtId="0" fontId="6" fillId="4" borderId="0" xfId="0" applyFont="1" applyFill="1" applyAlignment="1">
      <alignment horizontal="center" vertical="center"/>
    </xf>
    <xf numFmtId="0" fontId="6" fillId="6" borderId="4" xfId="0" applyFont="1" applyFill="1" applyBorder="1" applyAlignment="1">
      <alignment horizontal="center" vertical="center"/>
    </xf>
    <xf numFmtId="0" fontId="1" fillId="0" borderId="6" xfId="0" applyFont="1" applyBorder="1" applyAlignment="1">
      <alignment horizontal="center"/>
    </xf>
    <xf numFmtId="0" fontId="1" fillId="0" borderId="8" xfId="0" applyFont="1" applyBorder="1" applyAlignment="1">
      <alignment horizontal="center"/>
    </xf>
    <xf numFmtId="0" fontId="1" fillId="0" borderId="3" xfId="0" applyFont="1" applyBorder="1" applyAlignment="1">
      <alignment horizontal="center"/>
    </xf>
    <xf numFmtId="0" fontId="10" fillId="8" borderId="4" xfId="0" applyFont="1" applyFill="1" applyBorder="1" applyAlignment="1">
      <alignment horizontal="center" vertical="center" wrapText="1"/>
    </xf>
    <xf numFmtId="0" fontId="14" fillId="0" borderId="4" xfId="0" applyFont="1" applyBorder="1" applyAlignment="1">
      <alignment horizontal="center" vertical="center" wrapText="1"/>
    </xf>
    <xf numFmtId="0" fontId="14" fillId="7" borderId="4" xfId="0" applyFont="1" applyFill="1" applyBorder="1" applyAlignment="1">
      <alignment horizontal="right" vertical="center" indent="1"/>
    </xf>
    <xf numFmtId="0" fontId="2" fillId="8" borderId="4" xfId="0" applyFont="1" applyFill="1" applyBorder="1"/>
    <xf numFmtId="9" fontId="0" fillId="0" borderId="4" xfId="1" applyFont="1" applyBorder="1"/>
    <xf numFmtId="0" fontId="0" fillId="0" borderId="0" xfId="0" applyBorder="1"/>
    <xf numFmtId="0" fontId="0" fillId="0" borderId="0" xfId="0" applyBorder="1" applyAlignment="1"/>
    <xf numFmtId="0" fontId="0" fillId="0" borderId="4" xfId="0" applyBorder="1" applyAlignment="1">
      <alignment horizontal="left" vertical="center"/>
    </xf>
    <xf numFmtId="0" fontId="0" fillId="5" borderId="4" xfId="0" applyFill="1" applyBorder="1" applyAlignment="1">
      <alignment horizontal="left"/>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Border="1" applyAlignment="1"/>
    <xf numFmtId="0" fontId="6" fillId="0" borderId="0" xfId="0" applyFont="1" applyFill="1" applyAlignment="1">
      <alignment horizontal="left" vertical="center" wrapText="1"/>
    </xf>
    <xf numFmtId="0" fontId="0" fillId="0" borderId="0" xfId="0" applyFill="1"/>
    <xf numFmtId="0" fontId="0" fillId="0" borderId="0" xfId="0" applyFill="1" applyAlignment="1">
      <alignment wrapText="1"/>
    </xf>
    <xf numFmtId="0" fontId="15" fillId="0" borderId="0" xfId="0" applyFont="1" applyFill="1" applyAlignment="1">
      <alignment horizontal="left" vertical="center" wrapText="1"/>
    </xf>
    <xf numFmtId="0" fontId="0" fillId="0" borderId="0" xfId="0" applyFont="1" applyFill="1"/>
    <xf numFmtId="0" fontId="0" fillId="0" borderId="0" xfId="0" applyFont="1" applyFill="1" applyAlignment="1">
      <alignment wrapText="1"/>
    </xf>
    <xf numFmtId="0" fontId="1" fillId="0" borderId="0" xfId="0" applyFont="1" applyFill="1" applyAlignment="1">
      <alignment vertical="center" wrapText="1"/>
    </xf>
    <xf numFmtId="2" fontId="0" fillId="0" borderId="0" xfId="0" applyNumberFormat="1" applyFill="1"/>
    <xf numFmtId="0" fontId="0" fillId="3" borderId="0" xfId="0" applyFill="1"/>
    <xf numFmtId="0" fontId="0" fillId="11" borderId="0" xfId="0" applyFont="1" applyFill="1" applyAlignment="1">
      <alignment horizontal="left"/>
    </xf>
    <xf numFmtId="0" fontId="6" fillId="0" borderId="0" xfId="0" applyFont="1" applyFill="1"/>
    <xf numFmtId="0" fontId="6" fillId="0" borderId="0" xfId="0" applyFont="1" applyFill="1" applyAlignment="1">
      <alignment vertical="center"/>
    </xf>
    <xf numFmtId="0" fontId="0" fillId="0" borderId="0" xfId="0" applyFill="1" applyBorder="1"/>
    <xf numFmtId="0" fontId="6" fillId="0" borderId="0" xfId="0" applyFont="1" applyFill="1" applyBorder="1" applyAlignment="1">
      <alignment vertical="center"/>
    </xf>
    <xf numFmtId="0" fontId="0" fillId="0" borderId="0" xfId="0" applyFill="1" applyBorder="1" applyAlignment="1"/>
    <xf numFmtId="0" fontId="16" fillId="0" borderId="19" xfId="0" applyFont="1" applyBorder="1" applyAlignment="1">
      <alignment horizontal="left"/>
    </xf>
    <xf numFmtId="0" fontId="17" fillId="0" borderId="19" xfId="0" applyFont="1" applyBorder="1"/>
    <xf numFmtId="0" fontId="16" fillId="0" borderId="15" xfId="0" applyFont="1" applyBorder="1" applyAlignment="1">
      <alignment horizontal="center"/>
    </xf>
    <xf numFmtId="0" fontId="18" fillId="0" borderId="20" xfId="0" applyFont="1" applyBorder="1"/>
    <xf numFmtId="0" fontId="19" fillId="12" borderId="21" xfId="0" applyFont="1" applyFill="1" applyBorder="1" applyAlignment="1">
      <alignment horizontal="center"/>
    </xf>
    <xf numFmtId="0" fontId="19" fillId="12" borderId="22" xfId="0" applyFont="1" applyFill="1" applyBorder="1" applyAlignment="1">
      <alignment horizontal="center"/>
    </xf>
    <xf numFmtId="0" fontId="19" fillId="12" borderId="23" xfId="0" applyFont="1" applyFill="1" applyBorder="1"/>
    <xf numFmtId="0" fontId="18" fillId="0" borderId="21" xfId="0" applyFont="1" applyBorder="1" applyAlignment="1">
      <alignment horizontal="center"/>
    </xf>
    <xf numFmtId="0" fontId="18" fillId="0" borderId="22" xfId="0" applyFont="1" applyBorder="1" applyAlignment="1">
      <alignment horizontal="center"/>
    </xf>
    <xf numFmtId="0" fontId="19" fillId="0" borderId="0" xfId="0" applyFont="1"/>
    <xf numFmtId="0" fontId="19" fillId="0" borderId="21" xfId="0" applyFont="1" applyBorder="1" applyAlignment="1">
      <alignment horizontal="center"/>
    </xf>
    <xf numFmtId="0" fontId="18" fillId="13" borderId="22" xfId="0" applyFont="1" applyFill="1" applyBorder="1" applyAlignment="1">
      <alignment horizontal="center"/>
    </xf>
    <xf numFmtId="0" fontId="19" fillId="0" borderId="22" xfId="0" applyFont="1" applyBorder="1" applyAlignment="1">
      <alignment horizontal="center"/>
    </xf>
    <xf numFmtId="0" fontId="18" fillId="0" borderId="0" xfId="0" applyFont="1"/>
    <xf numFmtId="9" fontId="18" fillId="14" borderId="22" xfId="0" applyNumberFormat="1" applyFont="1" applyFill="1" applyBorder="1" applyAlignment="1">
      <alignment horizontal="center"/>
    </xf>
    <xf numFmtId="0" fontId="18" fillId="14" borderId="22" xfId="0" applyFont="1" applyFill="1" applyBorder="1" applyAlignment="1">
      <alignment horizontal="center"/>
    </xf>
    <xf numFmtId="0" fontId="19" fillId="15" borderId="0" xfId="0" applyFont="1" applyFill="1"/>
    <xf numFmtId="0" fontId="19" fillId="15" borderId="21" xfId="0" applyFont="1" applyFill="1" applyBorder="1" applyAlignment="1">
      <alignment horizontal="center"/>
    </xf>
    <xf numFmtId="0" fontId="18" fillId="15" borderId="22" xfId="0" applyFont="1" applyFill="1" applyBorder="1" applyAlignment="1">
      <alignment horizontal="center"/>
    </xf>
    <xf numFmtId="0" fontId="19" fillId="15" borderId="22" xfId="0" applyFont="1" applyFill="1" applyBorder="1" applyAlignment="1">
      <alignment horizontal="center"/>
    </xf>
    <xf numFmtId="0" fontId="19" fillId="13" borderId="0" xfId="0" applyFont="1" applyFill="1"/>
    <xf numFmtId="10" fontId="19" fillId="16" borderId="21" xfId="0" applyNumberFormat="1" applyFont="1" applyFill="1" applyBorder="1" applyAlignment="1">
      <alignment horizontal="center"/>
    </xf>
    <xf numFmtId="10" fontId="19" fillId="16" borderId="22" xfId="0" applyNumberFormat="1" applyFont="1" applyFill="1" applyBorder="1" applyAlignment="1">
      <alignment horizontal="center"/>
    </xf>
    <xf numFmtId="0" fontId="19" fillId="0" borderId="23" xfId="0" applyFont="1" applyBorder="1"/>
    <xf numFmtId="10" fontId="18" fillId="14" borderId="22" xfId="0" applyNumberFormat="1" applyFont="1" applyFill="1" applyBorder="1" applyAlignment="1">
      <alignment horizontal="center"/>
    </xf>
    <xf numFmtId="0" fontId="19" fillId="13" borderId="21" xfId="0" applyFont="1" applyFill="1" applyBorder="1" applyAlignment="1">
      <alignment horizontal="center"/>
    </xf>
    <xf numFmtId="0" fontId="19" fillId="13" borderId="22" xfId="0" applyFont="1" applyFill="1" applyBorder="1" applyAlignment="1">
      <alignment horizontal="center"/>
    </xf>
    <xf numFmtId="0" fontId="19" fillId="0" borderId="19" xfId="0" applyFont="1" applyBorder="1"/>
    <xf numFmtId="0" fontId="20" fillId="16" borderId="21" xfId="0" applyFont="1" applyFill="1" applyBorder="1" applyAlignment="1">
      <alignment horizontal="center"/>
    </xf>
    <xf numFmtId="0" fontId="20" fillId="16" borderId="22" xfId="0" applyFont="1" applyFill="1" applyBorder="1" applyAlignment="1">
      <alignment horizontal="center"/>
    </xf>
    <xf numFmtId="0" fontId="16" fillId="0" borderId="0" xfId="0" applyFont="1" applyAlignment="1">
      <alignment horizontal="left"/>
    </xf>
    <xf numFmtId="0" fontId="0" fillId="0" borderId="0" xfId="0"/>
    <xf numFmtId="0" fontId="16" fillId="0" borderId="21" xfId="0" applyFont="1" applyBorder="1" applyAlignment="1">
      <alignment horizontal="center"/>
    </xf>
    <xf numFmtId="0" fontId="18" fillId="15" borderId="20" xfId="0" applyFont="1" applyFill="1" applyBorder="1"/>
    <xf numFmtId="0" fontId="18" fillId="15" borderId="21" xfId="0" applyFont="1" applyFill="1" applyBorder="1" applyAlignment="1">
      <alignment horizontal="center"/>
    </xf>
    <xf numFmtId="9" fontId="19" fillId="0" borderId="22" xfId="0" applyNumberFormat="1" applyFont="1" applyBorder="1" applyAlignment="1">
      <alignment horizontal="center"/>
    </xf>
    <xf numFmtId="0" fontId="19" fillId="12" borderId="15" xfId="0" applyFont="1" applyFill="1" applyBorder="1"/>
    <xf numFmtId="0" fontId="19" fillId="0" borderId="24" xfId="0" applyFont="1" applyBorder="1"/>
    <xf numFmtId="0" fontId="18" fillId="0" borderId="24" xfId="0" applyFont="1" applyBorder="1"/>
    <xf numFmtId="0" fontId="19" fillId="0" borderId="15" xfId="0" applyFont="1" applyBorder="1"/>
    <xf numFmtId="0" fontId="19" fillId="0" borderId="22" xfId="0" applyFont="1" applyBorder="1"/>
    <xf numFmtId="0" fontId="19" fillId="0" borderId="21" xfId="0" applyFont="1" applyBorder="1"/>
    <xf numFmtId="0" fontId="19" fillId="12" borderId="21" xfId="0" applyFont="1" applyFill="1" applyBorder="1"/>
    <xf numFmtId="0" fontId="21" fillId="0" borderId="0" xfId="0" applyFont="1"/>
    <xf numFmtId="0" fontId="19" fillId="0" borderId="23" xfId="0" applyFont="1" applyBorder="1" applyAlignment="1">
      <alignment horizontal="center"/>
    </xf>
    <xf numFmtId="0" fontId="17" fillId="0" borderId="25" xfId="0" applyFont="1" applyBorder="1"/>
    <xf numFmtId="0" fontId="17" fillId="0" borderId="26" xfId="0" applyFont="1" applyBorder="1"/>
    <xf numFmtId="0" fontId="19" fillId="12" borderId="23" xfId="0" applyFont="1" applyFill="1" applyBorder="1" applyAlignment="1">
      <alignment horizontal="center"/>
    </xf>
    <xf numFmtId="0" fontId="19" fillId="12" borderId="25" xfId="0" applyFont="1" applyFill="1" applyBorder="1" applyAlignment="1">
      <alignment horizontal="center"/>
    </xf>
    <xf numFmtId="0" fontId="18" fillId="0" borderId="27" xfId="0" applyFont="1" applyBorder="1"/>
    <xf numFmtId="0" fontId="19" fillId="12" borderId="26" xfId="0" applyFont="1" applyFill="1" applyBorder="1" applyAlignment="1">
      <alignment horizontal="center"/>
    </xf>
    <xf numFmtId="0" fontId="18" fillId="0" borderId="22" xfId="0" applyFont="1" applyBorder="1"/>
    <xf numFmtId="0" fontId="18" fillId="0" borderId="19" xfId="0" applyFont="1" applyBorder="1"/>
    <xf numFmtId="0" fontId="18" fillId="0" borderId="21" xfId="0" applyFont="1" applyBorder="1"/>
    <xf numFmtId="0" fontId="18" fillId="0" borderId="22" xfId="0" applyFont="1" applyBorder="1" applyAlignment="1">
      <alignment horizontal="right"/>
    </xf>
    <xf numFmtId="0" fontId="18" fillId="0" borderId="19" xfId="0" applyFont="1" applyBorder="1" applyAlignment="1">
      <alignment horizontal="right"/>
    </xf>
    <xf numFmtId="0" fontId="18" fillId="0" borderId="21" xfId="0" applyFont="1" applyBorder="1" applyAlignment="1">
      <alignment horizontal="right"/>
    </xf>
    <xf numFmtId="10" fontId="18" fillId="0" borderId="22" xfId="0" applyNumberFormat="1" applyFont="1" applyBorder="1" applyAlignment="1">
      <alignment horizontal="right"/>
    </xf>
    <xf numFmtId="0" fontId="18" fillId="0" borderId="0" xfId="0" applyFont="1" applyAlignment="1">
      <alignment horizontal="right"/>
    </xf>
    <xf numFmtId="0" fontId="18" fillId="0" borderId="28" xfId="0" applyFont="1" applyBorder="1" applyAlignment="1">
      <alignment horizontal="right"/>
    </xf>
    <xf numFmtId="0" fontId="18" fillId="0" borderId="26" xfId="0" applyFont="1" applyBorder="1" applyAlignment="1">
      <alignment horizontal="right"/>
    </xf>
    <xf numFmtId="0" fontId="19" fillId="0" borderId="22" xfId="0" applyFont="1" applyBorder="1" applyAlignment="1">
      <alignment horizontal="right"/>
    </xf>
    <xf numFmtId="0" fontId="19" fillId="0" borderId="19" xfId="0" applyFont="1" applyBorder="1" applyAlignment="1">
      <alignment horizontal="right"/>
    </xf>
    <xf numFmtId="0" fontId="19" fillId="0" borderId="21" xfId="0" applyFont="1" applyBorder="1" applyAlignment="1">
      <alignment horizontal="right"/>
    </xf>
    <xf numFmtId="10" fontId="19" fillId="0" borderId="22" xfId="0" applyNumberFormat="1" applyFont="1" applyBorder="1" applyAlignment="1">
      <alignment horizontal="right"/>
    </xf>
    <xf numFmtId="0" fontId="19" fillId="0" borderId="28" xfId="0" applyFont="1" applyBorder="1"/>
    <xf numFmtId="0" fontId="19" fillId="0" borderId="26" xfId="0" applyFont="1" applyBorder="1"/>
    <xf numFmtId="0" fontId="19" fillId="0" borderId="25" xfId="0" applyFont="1" applyBorder="1"/>
    <xf numFmtId="9" fontId="18" fillId="0" borderId="22" xfId="0" applyNumberFormat="1" applyFont="1" applyBorder="1" applyAlignment="1">
      <alignment horizontal="right"/>
    </xf>
    <xf numFmtId="9" fontId="19" fillId="0" borderId="22" xfId="0" applyNumberFormat="1" applyFont="1" applyBorder="1" applyAlignment="1">
      <alignment horizontal="right"/>
    </xf>
    <xf numFmtId="0" fontId="18" fillId="0" borderId="25" xfId="0" applyFont="1" applyBorder="1" applyAlignment="1">
      <alignment horizontal="right"/>
    </xf>
    <xf numFmtId="0" fontId="19" fillId="12" borderId="15" xfId="0" applyFont="1" applyFill="1" applyBorder="1" applyAlignment="1">
      <alignment horizontal="center"/>
    </xf>
    <xf numFmtId="9" fontId="18" fillId="0" borderId="21" xfId="0" applyNumberFormat="1" applyFont="1" applyBorder="1" applyAlignment="1">
      <alignment horizontal="right"/>
    </xf>
    <xf numFmtId="0" fontId="18" fillId="0" borderId="0" xfId="0" applyFont="1" applyAlignment="1">
      <alignment horizontal="left"/>
    </xf>
    <xf numFmtId="0" fontId="18" fillId="0" borderId="15" xfId="0" applyFont="1" applyBorder="1"/>
    <xf numFmtId="0" fontId="22" fillId="0" borderId="0" xfId="0" applyFont="1"/>
    <xf numFmtId="0" fontId="18" fillId="0" borderId="27" xfId="0" applyFont="1" applyBorder="1" applyAlignment="1">
      <alignment wrapText="1"/>
    </xf>
    <xf numFmtId="14" fontId="19" fillId="12" borderId="26" xfId="0" applyNumberFormat="1" applyFont="1" applyFill="1" applyBorder="1" applyAlignment="1">
      <alignment horizontal="center" wrapText="1"/>
    </xf>
    <xf numFmtId="14" fontId="19" fillId="12" borderId="25" xfId="0" applyNumberFormat="1" applyFont="1" applyFill="1" applyBorder="1" applyAlignment="1">
      <alignment horizontal="center" wrapText="1"/>
    </xf>
  </cellXfs>
  <cellStyles count="2">
    <cellStyle name="Обычный" xfId="0" builtinId="0"/>
    <cellStyle name="Процентный" xfId="1" builtinId="5"/>
  </cellStyles>
  <dxfs count="0"/>
  <tableStyles count="0" defaultTableStyle="TableStyleMedium2" defaultPivotStyle="PivotStyleLight16"/>
  <colors>
    <mruColors>
      <color rgb="FFFFAA00"/>
      <color rgb="FFFF9C00"/>
      <color rgb="FFFF5C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r>
              <a:rPr lang="en-US" b="1"/>
              <a:t>Inventory turnover period</a:t>
            </a:r>
            <a:endParaRPr lang="ru-RU" b="1"/>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v>DNS</c:v>
          </c:tx>
          <c:spPr>
            <a:ln w="22225" cap="rnd" cmpd="sng" algn="ctr">
              <a:solidFill>
                <a:schemeClr val="accent1"/>
              </a:solidFill>
              <a:round/>
            </a:ln>
            <a:effectLst/>
          </c:spPr>
          <c:marker>
            <c:symbol val="none"/>
          </c:marker>
          <c:cat>
            <c:numRef>
              <c:f>'Data and ratios'!$O$23:$Q$23</c:f>
              <c:numCache>
                <c:formatCode>General</c:formatCode>
                <c:ptCount val="3"/>
                <c:pt idx="0">
                  <c:v>2019</c:v>
                </c:pt>
                <c:pt idx="1">
                  <c:v>2020</c:v>
                </c:pt>
                <c:pt idx="2">
                  <c:v>2021</c:v>
                </c:pt>
              </c:numCache>
            </c:numRef>
          </c:cat>
          <c:val>
            <c:numRef>
              <c:f>'Data and ratios'!$O$24:$Q$24</c:f>
              <c:numCache>
                <c:formatCode>General</c:formatCode>
                <c:ptCount val="3"/>
                <c:pt idx="0">
                  <c:v>107.34608245839762</c:v>
                </c:pt>
                <c:pt idx="1">
                  <c:v>98.959149363649416</c:v>
                </c:pt>
                <c:pt idx="2">
                  <c:v>98.231283110761609</c:v>
                </c:pt>
              </c:numCache>
            </c:numRef>
          </c:val>
          <c:smooth val="0"/>
          <c:extLst>
            <c:ext xmlns:c16="http://schemas.microsoft.com/office/drawing/2014/chart" uri="{C3380CC4-5D6E-409C-BE32-E72D297353CC}">
              <c16:uniqueId val="{00000000-6444-4F49-AEDD-C967F93BB8AC}"/>
            </c:ext>
          </c:extLst>
        </c:ser>
        <c:ser>
          <c:idx val="1"/>
          <c:order val="1"/>
          <c:tx>
            <c:v>МВидео</c:v>
          </c:tx>
          <c:spPr>
            <a:ln w="22225" cap="rnd" cmpd="sng" algn="ctr">
              <a:solidFill>
                <a:schemeClr val="accent2"/>
              </a:solidFill>
              <a:round/>
            </a:ln>
            <a:effectLst/>
          </c:spPr>
          <c:marker>
            <c:symbol val="none"/>
          </c:marker>
          <c:cat>
            <c:numRef>
              <c:f>'Data and ratios'!$O$23:$Q$23</c:f>
              <c:numCache>
                <c:formatCode>General</c:formatCode>
                <c:ptCount val="3"/>
                <c:pt idx="0">
                  <c:v>2019</c:v>
                </c:pt>
                <c:pt idx="1">
                  <c:v>2020</c:v>
                </c:pt>
                <c:pt idx="2">
                  <c:v>2021</c:v>
                </c:pt>
              </c:numCache>
            </c:numRef>
          </c:cat>
          <c:val>
            <c:numRef>
              <c:f>'Data and ratios'!$O$25:$Q$25</c:f>
              <c:numCache>
                <c:formatCode>General</c:formatCode>
                <c:ptCount val="3"/>
                <c:pt idx="0">
                  <c:v>161.27513742827648</c:v>
                </c:pt>
                <c:pt idx="1">
                  <c:v>157.21196204940691</c:v>
                </c:pt>
                <c:pt idx="2">
                  <c:v>148.72674145755718</c:v>
                </c:pt>
              </c:numCache>
            </c:numRef>
          </c:val>
          <c:smooth val="0"/>
          <c:extLst>
            <c:ext xmlns:c16="http://schemas.microsoft.com/office/drawing/2014/chart" uri="{C3380CC4-5D6E-409C-BE32-E72D297353CC}">
              <c16:uniqueId val="{00000001-6444-4F49-AEDD-C967F93BB8A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99443920"/>
        <c:axId val="299449408"/>
      </c:lineChart>
      <c:catAx>
        <c:axId val="2994439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99449408"/>
        <c:crosses val="autoZero"/>
        <c:auto val="1"/>
        <c:lblAlgn val="ctr"/>
        <c:lblOffset val="100"/>
        <c:noMultiLvlLbl val="0"/>
      </c:catAx>
      <c:valAx>
        <c:axId val="299449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994439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'[1]Анализ финансовой устойчивости '!$D$99:$H$99</c:f>
              <c:numCache>
                <c:formatCode>General</c:formatCode>
                <c:ptCount val="5"/>
                <c:pt idx="0">
                  <c:v>2017</c:v>
                </c:pt>
                <c:pt idx="1">
                  <c:v>2018</c:v>
                </c:pt>
                <c:pt idx="2">
                  <c:v>2019</c:v>
                </c:pt>
                <c:pt idx="3">
                  <c:v>2020</c:v>
                </c:pt>
                <c:pt idx="4">
                  <c:v>2021</c:v>
                </c:pt>
              </c:numCache>
            </c:numRef>
          </c:cat>
          <c:val>
            <c:numRef>
              <c:f>'[1]Анализ финансовой устойчивости '!$D$100:$H$100</c:f>
              <c:numCache>
                <c:formatCode>General</c:formatCode>
                <c:ptCount val="5"/>
                <c:pt idx="0">
                  <c:v>0.23537424647507904</c:v>
                </c:pt>
                <c:pt idx="1">
                  <c:v>0.12349493621560347</c:v>
                </c:pt>
                <c:pt idx="2">
                  <c:v>0.10118708287532953</c:v>
                </c:pt>
                <c:pt idx="3">
                  <c:v>9.2652830760332178E-2</c:v>
                </c:pt>
                <c:pt idx="4">
                  <c:v>5.5245620715917744E-2</c:v>
                </c:pt>
              </c:numCache>
            </c:numRef>
          </c:val>
          <c:smooth val="0"/>
          <c:extLst>
            <c:ext xmlns:c16="http://schemas.microsoft.com/office/drawing/2014/chart" uri="{C3380CC4-5D6E-409C-BE32-E72D297353CC}">
              <c16:uniqueId val="{00000000-0219-490C-9F81-74EF7C7EA4AA}"/>
            </c:ext>
          </c:extLst>
        </c:ser>
        <c:dLbls>
          <c:showLegendKey val="0"/>
          <c:showVal val="0"/>
          <c:showCatName val="0"/>
          <c:showSerName val="0"/>
          <c:showPercent val="0"/>
          <c:showBubbleSize val="0"/>
        </c:dLbls>
        <c:smooth val="0"/>
        <c:axId val="300317976"/>
        <c:axId val="299969512"/>
      </c:lineChart>
      <c:catAx>
        <c:axId val="300317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969512"/>
        <c:crosses val="autoZero"/>
        <c:auto val="1"/>
        <c:lblAlgn val="ctr"/>
        <c:lblOffset val="100"/>
        <c:noMultiLvlLbl val="0"/>
      </c:catAx>
      <c:valAx>
        <c:axId val="299969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17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KLABF</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'[1]Анализ финансовой устойчивости '!$D$117:$H$117</c:f>
              <c:numCache>
                <c:formatCode>General</c:formatCode>
                <c:ptCount val="5"/>
                <c:pt idx="0">
                  <c:v>2017</c:v>
                </c:pt>
                <c:pt idx="1">
                  <c:v>2018</c:v>
                </c:pt>
                <c:pt idx="2">
                  <c:v>2019</c:v>
                </c:pt>
                <c:pt idx="3">
                  <c:v>2020</c:v>
                </c:pt>
                <c:pt idx="4">
                  <c:v>2021</c:v>
                </c:pt>
              </c:numCache>
            </c:numRef>
          </c:cat>
          <c:val>
            <c:numRef>
              <c:f>'[1]Анализ финансовой устойчивости '!$D$118:$H$118</c:f>
              <c:numCache>
                <c:formatCode>General</c:formatCode>
                <c:ptCount val="5"/>
                <c:pt idx="0">
                  <c:v>1.7272648760687453E-4</c:v>
                </c:pt>
                <c:pt idx="1">
                  <c:v>0.60638070983201398</c:v>
                </c:pt>
                <c:pt idx="2">
                  <c:v>0.75181731801713414</c:v>
                </c:pt>
                <c:pt idx="3">
                  <c:v>0.7539263951778673</c:v>
                </c:pt>
                <c:pt idx="4">
                  <c:v>0.80891541469438155</c:v>
                </c:pt>
              </c:numCache>
            </c:numRef>
          </c:val>
          <c:smooth val="0"/>
          <c:extLst>
            <c:ext xmlns:c16="http://schemas.microsoft.com/office/drawing/2014/chart" uri="{C3380CC4-5D6E-409C-BE32-E72D297353CC}">
              <c16:uniqueId val="{00000000-A713-4765-9B73-C4A25DF1CDEF}"/>
            </c:ext>
          </c:extLst>
        </c:ser>
        <c:dLbls>
          <c:showLegendKey val="0"/>
          <c:showVal val="0"/>
          <c:showCatName val="0"/>
          <c:showSerName val="0"/>
          <c:showPercent val="0"/>
          <c:showBubbleSize val="0"/>
        </c:dLbls>
        <c:smooth val="0"/>
        <c:axId val="299959712"/>
        <c:axId val="299966376"/>
      </c:lineChart>
      <c:catAx>
        <c:axId val="29995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966376"/>
        <c:crosses val="autoZero"/>
        <c:auto val="1"/>
        <c:lblAlgn val="ctr"/>
        <c:lblOffset val="100"/>
        <c:noMultiLvlLbl val="0"/>
      </c:catAx>
      <c:valAx>
        <c:axId val="299966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959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CMOC</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'[1]Анализ финансовой устойчивости '!$D$135:$H$135</c:f>
              <c:numCache>
                <c:formatCode>General</c:formatCode>
                <c:ptCount val="5"/>
                <c:pt idx="0">
                  <c:v>2017</c:v>
                </c:pt>
                <c:pt idx="1">
                  <c:v>2018</c:v>
                </c:pt>
                <c:pt idx="2">
                  <c:v>2019</c:v>
                </c:pt>
                <c:pt idx="3">
                  <c:v>2020</c:v>
                </c:pt>
                <c:pt idx="4">
                  <c:v>2021</c:v>
                </c:pt>
              </c:numCache>
            </c:numRef>
          </c:cat>
          <c:val>
            <c:numRef>
              <c:f>'[1]Анализ финансовой устойчивости '!$D$136:$H$136</c:f>
              <c:numCache>
                <c:formatCode>General</c:formatCode>
                <c:ptCount val="5"/>
                <c:pt idx="0">
                  <c:v>-2.1810486309061069E-2</c:v>
                </c:pt>
                <c:pt idx="1">
                  <c:v>-0.59831075697211156</c:v>
                </c:pt>
                <c:pt idx="2">
                  <c:v>-0.9108226725184424</c:v>
                </c:pt>
                <c:pt idx="3">
                  <c:v>-0.91667409851660275</c:v>
                </c:pt>
                <c:pt idx="4">
                  <c:v>-2.6233844563156987</c:v>
                </c:pt>
              </c:numCache>
            </c:numRef>
          </c:val>
          <c:smooth val="0"/>
          <c:extLst>
            <c:ext xmlns:c16="http://schemas.microsoft.com/office/drawing/2014/chart" uri="{C3380CC4-5D6E-409C-BE32-E72D297353CC}">
              <c16:uniqueId val="{00000000-3356-4CC0-9523-45F898E61411}"/>
            </c:ext>
          </c:extLst>
        </c:ser>
        <c:dLbls>
          <c:showLegendKey val="0"/>
          <c:showVal val="0"/>
          <c:showCatName val="0"/>
          <c:showSerName val="0"/>
          <c:showPercent val="0"/>
          <c:showBubbleSize val="0"/>
        </c:dLbls>
        <c:smooth val="0"/>
        <c:axId val="299961280"/>
        <c:axId val="299962456"/>
      </c:lineChart>
      <c:catAx>
        <c:axId val="29996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962456"/>
        <c:crosses val="autoZero"/>
        <c:auto val="1"/>
        <c:lblAlgn val="ctr"/>
        <c:lblOffset val="100"/>
        <c:noMultiLvlLbl val="0"/>
      </c:catAx>
      <c:valAx>
        <c:axId val="299962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961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400" b="1" i="0" u="none" strike="noStrike" cap="none" baseline="0">
                <a:effectLst/>
              </a:rPr>
              <a:t>Accounts payable turnover</a:t>
            </a:r>
            <a:r>
              <a:rPr lang="en-US" sz="1400" b="0" i="0" u="none" strike="noStrike" cap="none" baseline="0"/>
              <a:t> </a:t>
            </a:r>
            <a:endParaRPr lang="ru-RU"/>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v>DNS</c:v>
          </c:tx>
          <c:spPr>
            <a:ln w="22225" cap="rnd" cmpd="sng" algn="ctr">
              <a:solidFill>
                <a:schemeClr val="accent1"/>
              </a:solidFill>
              <a:round/>
            </a:ln>
            <a:effectLst/>
          </c:spPr>
          <c:marker>
            <c:symbol val="none"/>
          </c:marker>
          <c:cat>
            <c:numRef>
              <c:f>'Data and ratios'!$O$28:$Q$28</c:f>
              <c:numCache>
                <c:formatCode>General</c:formatCode>
                <c:ptCount val="3"/>
                <c:pt idx="0">
                  <c:v>2019</c:v>
                </c:pt>
                <c:pt idx="1">
                  <c:v>2020</c:v>
                </c:pt>
                <c:pt idx="2">
                  <c:v>2021</c:v>
                </c:pt>
              </c:numCache>
            </c:numRef>
          </c:cat>
          <c:val>
            <c:numRef>
              <c:f>'Data and ratios'!$O$29:$Q$29</c:f>
              <c:numCache>
                <c:formatCode>General</c:formatCode>
                <c:ptCount val="3"/>
                <c:pt idx="0">
                  <c:v>33.951791378801119</c:v>
                </c:pt>
                <c:pt idx="1">
                  <c:v>35.670908904404783</c:v>
                </c:pt>
                <c:pt idx="2">
                  <c:v>39.644172515706252</c:v>
                </c:pt>
              </c:numCache>
            </c:numRef>
          </c:val>
          <c:smooth val="0"/>
          <c:extLst>
            <c:ext xmlns:c16="http://schemas.microsoft.com/office/drawing/2014/chart" uri="{C3380CC4-5D6E-409C-BE32-E72D297353CC}">
              <c16:uniqueId val="{00000000-754D-F44B-9241-D6949B2B7128}"/>
            </c:ext>
          </c:extLst>
        </c:ser>
        <c:ser>
          <c:idx val="1"/>
          <c:order val="1"/>
          <c:tx>
            <c:v>МВидео</c:v>
          </c:tx>
          <c:spPr>
            <a:ln w="22225" cap="rnd" cmpd="sng" algn="ctr">
              <a:solidFill>
                <a:schemeClr val="accent2"/>
              </a:solidFill>
              <a:round/>
            </a:ln>
            <a:effectLst/>
          </c:spPr>
          <c:marker>
            <c:symbol val="none"/>
          </c:marker>
          <c:cat>
            <c:numRef>
              <c:f>'Data and ratios'!$O$28:$Q$28</c:f>
              <c:numCache>
                <c:formatCode>General</c:formatCode>
                <c:ptCount val="3"/>
                <c:pt idx="0">
                  <c:v>2019</c:v>
                </c:pt>
                <c:pt idx="1">
                  <c:v>2020</c:v>
                </c:pt>
                <c:pt idx="2">
                  <c:v>2021</c:v>
                </c:pt>
              </c:numCache>
            </c:numRef>
          </c:cat>
          <c:val>
            <c:numRef>
              <c:f>'Data and ratios'!$O$30:$Q$30</c:f>
              <c:numCache>
                <c:formatCode>General</c:formatCode>
                <c:ptCount val="3"/>
                <c:pt idx="0">
                  <c:v>220.67319792954774</c:v>
                </c:pt>
                <c:pt idx="1">
                  <c:v>218.60177304521997</c:v>
                </c:pt>
                <c:pt idx="2">
                  <c:v>213.01100626869663</c:v>
                </c:pt>
              </c:numCache>
            </c:numRef>
          </c:val>
          <c:smooth val="0"/>
          <c:extLst>
            <c:ext xmlns:c16="http://schemas.microsoft.com/office/drawing/2014/chart" uri="{C3380CC4-5D6E-409C-BE32-E72D297353CC}">
              <c16:uniqueId val="{00000001-754D-F44B-9241-D6949B2B712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300311312"/>
        <c:axId val="300309352"/>
      </c:lineChart>
      <c:catAx>
        <c:axId val="3003113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00309352"/>
        <c:crosses val="autoZero"/>
        <c:auto val="1"/>
        <c:lblAlgn val="ctr"/>
        <c:lblOffset val="100"/>
        <c:noMultiLvlLbl val="0"/>
      </c:catAx>
      <c:valAx>
        <c:axId val="300309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00311312"/>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400" b="1" i="0" u="none" strike="noStrike" cap="none" baseline="0">
                <a:effectLst/>
              </a:rPr>
              <a:t>Accounts receivable turnover</a:t>
            </a:r>
            <a:r>
              <a:rPr lang="en-US" sz="1400" b="0" i="0" u="none" strike="noStrike" cap="none" baseline="0"/>
              <a:t> </a:t>
            </a:r>
            <a:endParaRPr lang="ru-RU"/>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v>DNS</c:v>
          </c:tx>
          <c:spPr>
            <a:ln w="22225" cap="rnd" cmpd="sng" algn="ctr">
              <a:solidFill>
                <a:schemeClr val="accent1"/>
              </a:solidFill>
              <a:round/>
            </a:ln>
            <a:effectLst/>
          </c:spPr>
          <c:marker>
            <c:symbol val="none"/>
          </c:marker>
          <c:cat>
            <c:numRef>
              <c:f>'Data and ratios'!$O$33:$Q$33</c:f>
              <c:numCache>
                <c:formatCode>General</c:formatCode>
                <c:ptCount val="3"/>
                <c:pt idx="0">
                  <c:v>2019</c:v>
                </c:pt>
                <c:pt idx="1">
                  <c:v>2020</c:v>
                </c:pt>
                <c:pt idx="2">
                  <c:v>2021</c:v>
                </c:pt>
              </c:numCache>
            </c:numRef>
          </c:cat>
          <c:val>
            <c:numRef>
              <c:f>'Data and ratios'!$O$34:$Q$34</c:f>
              <c:numCache>
                <c:formatCode>General</c:formatCode>
                <c:ptCount val="3"/>
                <c:pt idx="0">
                  <c:v>8.6925152643498116</c:v>
                </c:pt>
                <c:pt idx="1">
                  <c:v>6.9936882824519602</c:v>
                </c:pt>
                <c:pt idx="2">
                  <c:v>9.9002569792791384</c:v>
                </c:pt>
              </c:numCache>
            </c:numRef>
          </c:val>
          <c:smooth val="0"/>
          <c:extLst>
            <c:ext xmlns:c16="http://schemas.microsoft.com/office/drawing/2014/chart" uri="{C3380CC4-5D6E-409C-BE32-E72D297353CC}">
              <c16:uniqueId val="{00000000-2336-2546-A581-CC44F134140C}"/>
            </c:ext>
          </c:extLst>
        </c:ser>
        <c:ser>
          <c:idx val="1"/>
          <c:order val="1"/>
          <c:tx>
            <c:v>МВидео</c:v>
          </c:tx>
          <c:spPr>
            <a:ln w="22225" cap="rnd" cmpd="sng" algn="ctr">
              <a:solidFill>
                <a:schemeClr val="accent2"/>
              </a:solidFill>
              <a:round/>
            </a:ln>
            <a:effectLst/>
          </c:spPr>
          <c:marker>
            <c:symbol val="none"/>
          </c:marker>
          <c:cat>
            <c:numRef>
              <c:f>'Data and ratios'!$O$33:$Q$33</c:f>
              <c:numCache>
                <c:formatCode>General</c:formatCode>
                <c:ptCount val="3"/>
                <c:pt idx="0">
                  <c:v>2019</c:v>
                </c:pt>
                <c:pt idx="1">
                  <c:v>2020</c:v>
                </c:pt>
                <c:pt idx="2">
                  <c:v>2021</c:v>
                </c:pt>
              </c:numCache>
            </c:numRef>
          </c:cat>
          <c:val>
            <c:numRef>
              <c:f>'Data and ratios'!$O$35:$Q$35</c:f>
              <c:numCache>
                <c:formatCode>General</c:formatCode>
                <c:ptCount val="3"/>
                <c:pt idx="0">
                  <c:v>31.864643115307103</c:v>
                </c:pt>
                <c:pt idx="1">
                  <c:v>35.097413708517507</c:v>
                </c:pt>
                <c:pt idx="2">
                  <c:v>35.663363520333192</c:v>
                </c:pt>
              </c:numCache>
            </c:numRef>
          </c:val>
          <c:smooth val="0"/>
          <c:extLst>
            <c:ext xmlns:c16="http://schemas.microsoft.com/office/drawing/2014/chart" uri="{C3380CC4-5D6E-409C-BE32-E72D297353CC}">
              <c16:uniqueId val="{00000001-2336-2546-A581-CC44F134140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300310920"/>
        <c:axId val="300312096"/>
      </c:lineChart>
      <c:catAx>
        <c:axId val="3003109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00312096"/>
        <c:crosses val="autoZero"/>
        <c:auto val="1"/>
        <c:lblAlgn val="ctr"/>
        <c:lblOffset val="100"/>
        <c:noMultiLvlLbl val="0"/>
      </c:catAx>
      <c:valAx>
        <c:axId val="300312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003109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400" b="1" i="0" u="none" strike="noStrike" cap="none" baseline="0">
                <a:effectLst/>
              </a:rPr>
              <a:t>Money cycle</a:t>
            </a:r>
            <a:r>
              <a:rPr lang="en-US" sz="1400" b="0" i="0" u="none" strike="noStrike" cap="none" baseline="0"/>
              <a:t> </a:t>
            </a:r>
            <a:endParaRPr lang="ru-RU"/>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v>DNS</c:v>
          </c:tx>
          <c:spPr>
            <a:ln w="22225" cap="rnd" cmpd="sng" algn="ctr">
              <a:solidFill>
                <a:schemeClr val="accent1"/>
              </a:solidFill>
              <a:round/>
            </a:ln>
            <a:effectLst/>
          </c:spPr>
          <c:marker>
            <c:symbol val="none"/>
          </c:marker>
          <c:cat>
            <c:numRef>
              <c:f>'Data and ratios'!$O$38:$Q$38</c:f>
              <c:numCache>
                <c:formatCode>General</c:formatCode>
                <c:ptCount val="3"/>
                <c:pt idx="0">
                  <c:v>2019</c:v>
                </c:pt>
                <c:pt idx="1">
                  <c:v>2020</c:v>
                </c:pt>
                <c:pt idx="2">
                  <c:v>2021</c:v>
                </c:pt>
              </c:numCache>
            </c:numRef>
          </c:cat>
          <c:val>
            <c:numRef>
              <c:f>'Data and ratios'!$O$39:$Q$39</c:f>
              <c:numCache>
                <c:formatCode>General</c:formatCode>
                <c:ptCount val="3"/>
                <c:pt idx="0">
                  <c:v>82.086806343946307</c:v>
                </c:pt>
                <c:pt idx="1">
                  <c:v>70.281928741696589</c:v>
                </c:pt>
                <c:pt idx="2">
                  <c:v>68.487367574334485</c:v>
                </c:pt>
              </c:numCache>
            </c:numRef>
          </c:val>
          <c:smooth val="0"/>
          <c:extLst>
            <c:ext xmlns:c16="http://schemas.microsoft.com/office/drawing/2014/chart" uri="{C3380CC4-5D6E-409C-BE32-E72D297353CC}">
              <c16:uniqueId val="{00000000-7C68-B746-9F11-E9D88A24945A}"/>
            </c:ext>
          </c:extLst>
        </c:ser>
        <c:ser>
          <c:idx val="1"/>
          <c:order val="1"/>
          <c:tx>
            <c:v>МВидео</c:v>
          </c:tx>
          <c:spPr>
            <a:ln w="22225" cap="rnd" cmpd="sng" algn="ctr">
              <a:solidFill>
                <a:schemeClr val="accent2"/>
              </a:solidFill>
              <a:round/>
            </a:ln>
            <a:effectLst/>
          </c:spPr>
          <c:marker>
            <c:symbol val="none"/>
          </c:marker>
          <c:cat>
            <c:numRef>
              <c:f>'Data and ratios'!$O$38:$Q$38</c:f>
              <c:numCache>
                <c:formatCode>General</c:formatCode>
                <c:ptCount val="3"/>
                <c:pt idx="0">
                  <c:v>2019</c:v>
                </c:pt>
                <c:pt idx="1">
                  <c:v>2020</c:v>
                </c:pt>
                <c:pt idx="2">
                  <c:v>2021</c:v>
                </c:pt>
              </c:numCache>
            </c:numRef>
          </c:cat>
          <c:val>
            <c:numRef>
              <c:f>'Data and ratios'!$O$40:$Q$40</c:f>
              <c:numCache>
                <c:formatCode>General</c:formatCode>
                <c:ptCount val="3"/>
                <c:pt idx="0">
                  <c:v>-27.533417385964157</c:v>
                </c:pt>
                <c:pt idx="1">
                  <c:v>-26.292397287295557</c:v>
                </c:pt>
                <c:pt idx="2">
                  <c:v>-28.620901290806273</c:v>
                </c:pt>
              </c:numCache>
            </c:numRef>
          </c:val>
          <c:smooth val="0"/>
          <c:extLst>
            <c:ext xmlns:c16="http://schemas.microsoft.com/office/drawing/2014/chart" uri="{C3380CC4-5D6E-409C-BE32-E72D297353CC}">
              <c16:uniqueId val="{00000001-7C68-B746-9F11-E9D88A24945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300303864"/>
        <c:axId val="300315232"/>
      </c:lineChart>
      <c:catAx>
        <c:axId val="3003038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00315232"/>
        <c:crosses val="autoZero"/>
        <c:auto val="1"/>
        <c:lblAlgn val="ctr"/>
        <c:lblOffset val="100"/>
        <c:noMultiLvlLbl val="0"/>
      </c:catAx>
      <c:valAx>
        <c:axId val="300315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00303864"/>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a:t>
            </a:r>
            <a:endParaRPr lang="ru-RU"/>
          </a:p>
          <a:p>
            <a:pPr>
              <a:defRPr sz="1400" b="0" i="0" u="none" strike="noStrike" kern="1200" spc="0" baseline="0">
                <a:solidFill>
                  <a:schemeClr val="tx1">
                    <a:lumMod val="65000"/>
                    <a:lumOff val="35000"/>
                  </a:schemeClr>
                </a:solidFill>
                <a:latin typeface="+mn-lt"/>
                <a:ea typeface="+mn-ea"/>
                <a:cs typeface="+mn-cs"/>
              </a:defRPr>
            </a:pPr>
            <a:endParaRPr lang="ru-RU"/>
          </a:p>
        </c:rich>
      </c:tx>
      <c:overlay val="0"/>
      <c:spPr>
        <a:noFill/>
        <a:ln>
          <a:noFill/>
        </a:ln>
        <a:effectLst/>
      </c:spPr>
    </c:title>
    <c:autoTitleDeleted val="0"/>
    <c:plotArea>
      <c:layout/>
      <c:lineChart>
        <c:grouping val="standard"/>
        <c:varyColors val="0"/>
        <c:ser>
          <c:idx val="1"/>
          <c:order val="0"/>
          <c:marker>
            <c:symbol val="none"/>
          </c:marker>
          <c:cat>
            <c:numRef>
              <c:f>'[1]Анализ финансовой устойчивости '!$D$9:$H$9</c:f>
              <c:numCache>
                <c:formatCode>General</c:formatCode>
                <c:ptCount val="5"/>
                <c:pt idx="0">
                  <c:v>2017</c:v>
                </c:pt>
                <c:pt idx="1">
                  <c:v>2018</c:v>
                </c:pt>
                <c:pt idx="2">
                  <c:v>2019</c:v>
                </c:pt>
                <c:pt idx="3">
                  <c:v>2020</c:v>
                </c:pt>
                <c:pt idx="4">
                  <c:v>2021</c:v>
                </c:pt>
              </c:numCache>
            </c:numRef>
          </c:cat>
          <c:val>
            <c:numRef>
              <c:f>'[1]Анализ финансовой устойчивости '!$D$10:$H$10</c:f>
              <c:numCache>
                <c:formatCode>General</c:formatCode>
                <c:ptCount val="5"/>
                <c:pt idx="0">
                  <c:v>0.19052869779880682</c:v>
                </c:pt>
                <c:pt idx="1">
                  <c:v>0.10992033184554048</c:v>
                </c:pt>
                <c:pt idx="2">
                  <c:v>9.1889093550859766E-2</c:v>
                </c:pt>
                <c:pt idx="3">
                  <c:v>8.479622085988546E-2</c:v>
                </c:pt>
                <c:pt idx="4">
                  <c:v>5.2353328581868044E-2</c:v>
                </c:pt>
              </c:numCache>
            </c:numRef>
          </c:val>
          <c:smooth val="0"/>
          <c:extLst>
            <c:ext xmlns:c16="http://schemas.microsoft.com/office/drawing/2014/chart" uri="{C3380CC4-5D6E-409C-BE32-E72D297353CC}">
              <c16:uniqueId val="{00000000-F732-4EE2-BB92-95AE26121A8D}"/>
            </c:ext>
          </c:extLst>
        </c:ser>
        <c:ser>
          <c:idx val="0"/>
          <c:order val="1"/>
          <c:spPr>
            <a:ln w="28575" cap="rnd">
              <a:solidFill>
                <a:schemeClr val="accent1"/>
              </a:solidFill>
              <a:round/>
            </a:ln>
            <a:effectLst/>
          </c:spPr>
          <c:marker>
            <c:symbol val="none"/>
          </c:marker>
          <c:cat>
            <c:numRef>
              <c:f>'[1]Анализ финансовой устойчивости '!$D$9:$H$9</c:f>
              <c:numCache>
                <c:formatCode>General</c:formatCode>
                <c:ptCount val="5"/>
                <c:pt idx="0">
                  <c:v>2017</c:v>
                </c:pt>
                <c:pt idx="1">
                  <c:v>2018</c:v>
                </c:pt>
                <c:pt idx="2">
                  <c:v>2019</c:v>
                </c:pt>
                <c:pt idx="3">
                  <c:v>2020</c:v>
                </c:pt>
                <c:pt idx="4">
                  <c:v>2021</c:v>
                </c:pt>
              </c:numCache>
            </c:numRef>
          </c:cat>
          <c:val>
            <c:numRef>
              <c:f>'[1]Анализ финансовой устойчивости '!$D$10:$H$10</c:f>
              <c:numCache>
                <c:formatCode>General</c:formatCode>
                <c:ptCount val="5"/>
                <c:pt idx="0">
                  <c:v>0.19052869779880682</c:v>
                </c:pt>
                <c:pt idx="1">
                  <c:v>0.10992033184554048</c:v>
                </c:pt>
                <c:pt idx="2">
                  <c:v>9.1889093550859766E-2</c:v>
                </c:pt>
                <c:pt idx="3">
                  <c:v>8.479622085988546E-2</c:v>
                </c:pt>
                <c:pt idx="4">
                  <c:v>5.2353328581868044E-2</c:v>
                </c:pt>
              </c:numCache>
            </c:numRef>
          </c:val>
          <c:smooth val="0"/>
          <c:extLst>
            <c:ext xmlns:c16="http://schemas.microsoft.com/office/drawing/2014/chart" uri="{C3380CC4-5D6E-409C-BE32-E72D297353CC}">
              <c16:uniqueId val="{00000001-F732-4EE2-BB92-95AE26121A8D}"/>
            </c:ext>
          </c:extLst>
        </c:ser>
        <c:dLbls>
          <c:showLegendKey val="0"/>
          <c:showVal val="0"/>
          <c:showCatName val="0"/>
          <c:showSerName val="0"/>
          <c:showPercent val="0"/>
          <c:showBubbleSize val="0"/>
        </c:dLbls>
        <c:smooth val="0"/>
        <c:axId val="300312488"/>
        <c:axId val="300310136"/>
      </c:lineChart>
      <c:catAx>
        <c:axId val="300312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10136"/>
        <c:crosses val="autoZero"/>
        <c:auto val="1"/>
        <c:lblAlgn val="ctr"/>
        <c:lblOffset val="100"/>
        <c:noMultiLvlLbl val="0"/>
      </c:catAx>
      <c:valAx>
        <c:axId val="300310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12488"/>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LFI</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'[1]Анализ финансовой устойчивости '!$D$27:$H$27</c:f>
              <c:numCache>
                <c:formatCode>General</c:formatCode>
                <c:ptCount val="5"/>
                <c:pt idx="0">
                  <c:v>2017</c:v>
                </c:pt>
                <c:pt idx="1">
                  <c:v>2018</c:v>
                </c:pt>
                <c:pt idx="2">
                  <c:v>2019</c:v>
                </c:pt>
                <c:pt idx="3">
                  <c:v>2020</c:v>
                </c:pt>
                <c:pt idx="4">
                  <c:v>2021</c:v>
                </c:pt>
              </c:numCache>
            </c:numRef>
          </c:cat>
          <c:val>
            <c:numRef>
              <c:f>'[1]Анализ финансовой устойчивости '!$D$28:$H$28</c:f>
              <c:numCache>
                <c:formatCode>General</c:formatCode>
                <c:ptCount val="5"/>
                <c:pt idx="0">
                  <c:v>0.19059452787492284</c:v>
                </c:pt>
                <c:pt idx="1">
                  <c:v>0.44859056734656699</c:v>
                </c:pt>
                <c:pt idx="2">
                  <c:v>0.64860651892868992</c:v>
                </c:pt>
                <c:pt idx="3">
                  <c:v>0.60439773735581193</c:v>
                </c:pt>
                <c:pt idx="4">
                  <c:v>0.49560639823895059</c:v>
                </c:pt>
              </c:numCache>
            </c:numRef>
          </c:val>
          <c:smooth val="0"/>
          <c:extLst>
            <c:ext xmlns:c16="http://schemas.microsoft.com/office/drawing/2014/chart" uri="{C3380CC4-5D6E-409C-BE32-E72D297353CC}">
              <c16:uniqueId val="{00000000-8ADD-4150-9BE7-BCDFFDCA4428}"/>
            </c:ext>
          </c:extLst>
        </c:ser>
        <c:dLbls>
          <c:showLegendKey val="0"/>
          <c:showVal val="0"/>
          <c:showCatName val="0"/>
          <c:showSerName val="0"/>
          <c:showPercent val="0"/>
          <c:showBubbleSize val="0"/>
        </c:dLbls>
        <c:smooth val="0"/>
        <c:axId val="300305040"/>
        <c:axId val="300313664"/>
      </c:lineChart>
      <c:catAx>
        <c:axId val="30030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13664"/>
        <c:crosses val="autoZero"/>
        <c:auto val="1"/>
        <c:lblAlgn val="ctr"/>
        <c:lblOffset val="100"/>
        <c:noMultiLvlLbl val="0"/>
      </c:catAx>
      <c:valAx>
        <c:axId val="30031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05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KFD</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'[1]Анализ финансовой устойчивости '!$D$45:$H$45</c:f>
              <c:numCache>
                <c:formatCode>General</c:formatCode>
                <c:ptCount val="5"/>
                <c:pt idx="0">
                  <c:v>2017</c:v>
                </c:pt>
                <c:pt idx="1">
                  <c:v>2018</c:v>
                </c:pt>
                <c:pt idx="2">
                  <c:v>2019</c:v>
                </c:pt>
                <c:pt idx="3">
                  <c:v>2020</c:v>
                </c:pt>
                <c:pt idx="4">
                  <c:v>2021</c:v>
                </c:pt>
              </c:numCache>
            </c:numRef>
          </c:cat>
          <c:val>
            <c:numRef>
              <c:f>'[1]Анализ финансовой устойчивости '!$D$46:$H$46</c:f>
              <c:numCache>
                <c:formatCode>General</c:formatCode>
                <c:ptCount val="5"/>
                <c:pt idx="0">
                  <c:v>0.80947130220119312</c:v>
                </c:pt>
                <c:pt idx="1">
                  <c:v>0.89007966815445949</c:v>
                </c:pt>
                <c:pt idx="2">
                  <c:v>0.90811090644914028</c:v>
                </c:pt>
                <c:pt idx="3">
                  <c:v>0.91520377914011453</c:v>
                </c:pt>
                <c:pt idx="4">
                  <c:v>0.94764667141813197</c:v>
                </c:pt>
              </c:numCache>
            </c:numRef>
          </c:val>
          <c:smooth val="0"/>
          <c:extLst>
            <c:ext xmlns:c16="http://schemas.microsoft.com/office/drawing/2014/chart" uri="{C3380CC4-5D6E-409C-BE32-E72D297353CC}">
              <c16:uniqueId val="{00000000-59C8-49DC-9B7A-4B0D5BF6B651}"/>
            </c:ext>
          </c:extLst>
        </c:ser>
        <c:dLbls>
          <c:showLegendKey val="0"/>
          <c:showVal val="0"/>
          <c:showCatName val="0"/>
          <c:showSerName val="0"/>
          <c:showPercent val="0"/>
          <c:showBubbleSize val="0"/>
        </c:dLbls>
        <c:smooth val="0"/>
        <c:axId val="300307000"/>
        <c:axId val="300305824"/>
      </c:lineChart>
      <c:catAx>
        <c:axId val="300307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05824"/>
        <c:crosses val="autoZero"/>
        <c:auto val="1"/>
        <c:lblAlgn val="ctr"/>
        <c:lblOffset val="100"/>
        <c:noMultiLvlLbl val="0"/>
      </c:catAx>
      <c:valAx>
        <c:axId val="30030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07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CPOWC</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'[1]Анализ финансовой устойчивости '!$D$63:$H$63</c:f>
              <c:numCache>
                <c:formatCode>General</c:formatCode>
                <c:ptCount val="5"/>
                <c:pt idx="0">
                  <c:v>2017</c:v>
                </c:pt>
                <c:pt idx="1">
                  <c:v>2018</c:v>
                </c:pt>
                <c:pt idx="2">
                  <c:v>2019</c:v>
                </c:pt>
                <c:pt idx="3">
                  <c:v>2020</c:v>
                </c:pt>
                <c:pt idx="4">
                  <c:v>2021</c:v>
                </c:pt>
              </c:numCache>
            </c:numRef>
          </c:cat>
          <c:val>
            <c:numRef>
              <c:f>'[1]Анализ финансовой устойчивости '!$D$64:$H$64</c:f>
              <c:numCache>
                <c:formatCode>General</c:formatCode>
                <c:ptCount val="5"/>
                <c:pt idx="0">
                  <c:v>-5.2012016921787821E-3</c:v>
                </c:pt>
                <c:pt idx="1">
                  <c:v>-0.35894583130519436</c:v>
                </c:pt>
                <c:pt idx="2">
                  <c:v>-0.66303157916791067</c:v>
                </c:pt>
                <c:pt idx="3">
                  <c:v>-0.58429515851024372</c:v>
                </c:pt>
                <c:pt idx="4">
                  <c:v>-0.60978992578629365</c:v>
                </c:pt>
              </c:numCache>
            </c:numRef>
          </c:val>
          <c:smooth val="0"/>
          <c:extLst>
            <c:ext xmlns:c16="http://schemas.microsoft.com/office/drawing/2014/chart" uri="{C3380CC4-5D6E-409C-BE32-E72D297353CC}">
              <c16:uniqueId val="{00000000-5404-485A-AE89-7FAC233A8239}"/>
            </c:ext>
          </c:extLst>
        </c:ser>
        <c:dLbls>
          <c:showLegendKey val="0"/>
          <c:showVal val="0"/>
          <c:showCatName val="0"/>
          <c:showSerName val="0"/>
          <c:showPercent val="0"/>
          <c:showBubbleSize val="0"/>
        </c:dLbls>
        <c:smooth val="0"/>
        <c:axId val="300306608"/>
        <c:axId val="300316408"/>
      </c:lineChart>
      <c:catAx>
        <c:axId val="30030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16408"/>
        <c:crosses val="autoZero"/>
        <c:auto val="1"/>
        <c:lblAlgn val="ctr"/>
        <c:lblOffset val="100"/>
        <c:noMultiLvlLbl val="0"/>
      </c:catAx>
      <c:valAx>
        <c:axId val="300316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06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'[1]Анализ финансовой устойчивости '!$D$81:$H$81</c:f>
              <c:numCache>
                <c:formatCode>General</c:formatCode>
                <c:ptCount val="5"/>
                <c:pt idx="0">
                  <c:v>2017</c:v>
                </c:pt>
                <c:pt idx="1">
                  <c:v>2018</c:v>
                </c:pt>
                <c:pt idx="2">
                  <c:v>2019</c:v>
                </c:pt>
                <c:pt idx="3">
                  <c:v>2020</c:v>
                </c:pt>
                <c:pt idx="4">
                  <c:v>2021</c:v>
                </c:pt>
              </c:numCache>
            </c:numRef>
          </c:cat>
          <c:val>
            <c:numRef>
              <c:f>'[1]Анализ финансовой устойчивости '!$D$82:$H$82</c:f>
              <c:numCache>
                <c:formatCode>General</c:formatCode>
                <c:ptCount val="5"/>
                <c:pt idx="0">
                  <c:v>4.248553165759696</c:v>
                </c:pt>
                <c:pt idx="1">
                  <c:v>8.0974980079681274</c:v>
                </c:pt>
                <c:pt idx="2">
                  <c:v>9.8826843464998291</c:v>
                </c:pt>
                <c:pt idx="3">
                  <c:v>10.792978388180385</c:v>
                </c:pt>
                <c:pt idx="4">
                  <c:v>18.100982250560055</c:v>
                </c:pt>
              </c:numCache>
            </c:numRef>
          </c:val>
          <c:smooth val="0"/>
          <c:extLst>
            <c:ext xmlns:c16="http://schemas.microsoft.com/office/drawing/2014/chart" uri="{C3380CC4-5D6E-409C-BE32-E72D297353CC}">
              <c16:uniqueId val="{00000000-621D-47CF-B288-A268A12657CC}"/>
            </c:ext>
          </c:extLst>
        </c:ser>
        <c:dLbls>
          <c:showLegendKey val="0"/>
          <c:showVal val="0"/>
          <c:showCatName val="0"/>
          <c:showSerName val="0"/>
          <c:showPercent val="0"/>
          <c:showBubbleSize val="0"/>
        </c:dLbls>
        <c:smooth val="0"/>
        <c:axId val="300317584"/>
        <c:axId val="300318760"/>
      </c:lineChart>
      <c:catAx>
        <c:axId val="30031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18760"/>
        <c:crosses val="autoZero"/>
        <c:auto val="1"/>
        <c:lblAlgn val="ctr"/>
        <c:lblOffset val="100"/>
        <c:noMultiLvlLbl val="0"/>
      </c:catAx>
      <c:valAx>
        <c:axId val="300318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17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104654</xdr:colOff>
      <xdr:row>20</xdr:row>
      <xdr:rowOff>244930</xdr:rowOff>
    </xdr:from>
    <xdr:to>
      <xdr:col>12</xdr:col>
      <xdr:colOff>844085</xdr:colOff>
      <xdr:row>35</xdr:row>
      <xdr:rowOff>53368</xdr:rowOff>
    </xdr:to>
    <xdr:graphicFrame macro="">
      <xdr:nvGraphicFramePr>
        <xdr:cNvPr id="25" name="Диаграмма 24">
          <a:extLst>
            <a:ext uri="{FF2B5EF4-FFF2-40B4-BE49-F238E27FC236}">
              <a16:creationId xmlns:a16="http://schemas.microsoft.com/office/drawing/2014/main" id="{00000000-0008-0000-00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10913</xdr:colOff>
      <xdr:row>37</xdr:row>
      <xdr:rowOff>88703</xdr:rowOff>
    </xdr:from>
    <xdr:to>
      <xdr:col>12</xdr:col>
      <xdr:colOff>882656</xdr:colOff>
      <xdr:row>54</xdr:row>
      <xdr:rowOff>131030</xdr:rowOff>
    </xdr:to>
    <xdr:graphicFrame macro="">
      <xdr:nvGraphicFramePr>
        <xdr:cNvPr id="26" name="Диаграмма 25">
          <a:extLst>
            <a:ext uri="{FF2B5EF4-FFF2-40B4-BE49-F238E27FC236}">
              <a16:creationId xmlns:a16="http://schemas.microsoft.com/office/drawing/2014/main" id="{00000000-0008-0000-00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29056</xdr:colOff>
      <xdr:row>55</xdr:row>
      <xdr:rowOff>98217</xdr:rowOff>
    </xdr:from>
    <xdr:to>
      <xdr:col>12</xdr:col>
      <xdr:colOff>900799</xdr:colOff>
      <xdr:row>69</xdr:row>
      <xdr:rowOff>58037</xdr:rowOff>
    </xdr:to>
    <xdr:graphicFrame macro="">
      <xdr:nvGraphicFramePr>
        <xdr:cNvPr id="27" name="Диаграмма 26">
          <a:extLst>
            <a:ext uri="{FF2B5EF4-FFF2-40B4-BE49-F238E27FC236}">
              <a16:creationId xmlns:a16="http://schemas.microsoft.com/office/drawing/2014/main" id="{00000000-0008-0000-00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53617</xdr:colOff>
      <xdr:row>70</xdr:row>
      <xdr:rowOff>101535</xdr:rowOff>
    </xdr:from>
    <xdr:to>
      <xdr:col>12</xdr:col>
      <xdr:colOff>916288</xdr:colOff>
      <xdr:row>83</xdr:row>
      <xdr:rowOff>112889</xdr:rowOff>
    </xdr:to>
    <xdr:graphicFrame macro="">
      <xdr:nvGraphicFramePr>
        <xdr:cNvPr id="28" name="Диаграмма 27">
          <a:extLst>
            <a:ext uri="{FF2B5EF4-FFF2-40B4-BE49-F238E27FC236}">
              <a16:creationId xmlns:a16="http://schemas.microsoft.com/office/drawing/2014/main" id="{00000000-0008-0000-00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11</xdr:col>
      <xdr:colOff>200025</xdr:colOff>
      <xdr:row>0</xdr:row>
      <xdr:rowOff>85725</xdr:rowOff>
    </xdr:from>
    <xdr:ext cx="5305425" cy="2647950"/>
    <xdr:pic>
      <xdr:nvPicPr>
        <xdr:cNvPr id="2" name="image4.png" title="Изображение">
          <a:extLst>
            <a:ext uri="{FF2B5EF4-FFF2-40B4-BE49-F238E27FC236}">
              <a16:creationId xmlns:a16="http://schemas.microsoft.com/office/drawing/2014/main" id="{1B25F999-0D77-45BD-BE8F-7E7DF271DDC3}"/>
            </a:ext>
          </a:extLst>
        </xdr:cNvPr>
        <xdr:cNvPicPr preferRelativeResize="0"/>
      </xdr:nvPicPr>
      <xdr:blipFill>
        <a:blip xmlns:r="http://schemas.openxmlformats.org/officeDocument/2006/relationships" r:embed="rId1" cstate="print"/>
        <a:stretch>
          <a:fillRect/>
        </a:stretch>
      </xdr:blipFill>
      <xdr:spPr>
        <a:xfrm>
          <a:off x="9755505" y="85725"/>
          <a:ext cx="5305425" cy="2647950"/>
        </a:xfrm>
        <a:prstGeom prst="rect">
          <a:avLst/>
        </a:prstGeom>
        <a:noFill/>
      </xdr:spPr>
    </xdr:pic>
    <xdr:clientData fLocksWithSheet="0"/>
  </xdr:oneCellAnchor>
  <xdr:oneCellAnchor>
    <xdr:from>
      <xdr:col>11</xdr:col>
      <xdr:colOff>285750</xdr:colOff>
      <xdr:row>13</xdr:row>
      <xdr:rowOff>9525</xdr:rowOff>
    </xdr:from>
    <xdr:ext cx="4876800" cy="3248025"/>
    <xdr:pic>
      <xdr:nvPicPr>
        <xdr:cNvPr id="3" name="image3.png" title="Изображение">
          <a:extLst>
            <a:ext uri="{FF2B5EF4-FFF2-40B4-BE49-F238E27FC236}">
              <a16:creationId xmlns:a16="http://schemas.microsoft.com/office/drawing/2014/main" id="{733ABC28-F90C-4B03-9F96-935F4B1282B7}"/>
            </a:ext>
          </a:extLst>
        </xdr:cNvPr>
        <xdr:cNvPicPr preferRelativeResize="0"/>
      </xdr:nvPicPr>
      <xdr:blipFill>
        <a:blip xmlns:r="http://schemas.openxmlformats.org/officeDocument/2006/relationships" r:embed="rId2" cstate="print"/>
        <a:stretch>
          <a:fillRect/>
        </a:stretch>
      </xdr:blipFill>
      <xdr:spPr>
        <a:xfrm>
          <a:off x="9841230" y="2585085"/>
          <a:ext cx="4876800" cy="3248025"/>
        </a:xfrm>
        <a:prstGeom prst="rect">
          <a:avLst/>
        </a:prstGeom>
        <a:noFill/>
      </xdr:spPr>
    </xdr:pic>
    <xdr:clientData fLocksWithSheet="0"/>
  </xdr:oneCellAnchor>
  <xdr:oneCellAnchor>
    <xdr:from>
      <xdr:col>17</xdr:col>
      <xdr:colOff>57150</xdr:colOff>
      <xdr:row>0</xdr:row>
      <xdr:rowOff>0</xdr:rowOff>
    </xdr:from>
    <xdr:ext cx="5991225" cy="3343275"/>
    <xdr:pic>
      <xdr:nvPicPr>
        <xdr:cNvPr id="4" name="image2.png" title="Изображение">
          <a:extLst>
            <a:ext uri="{FF2B5EF4-FFF2-40B4-BE49-F238E27FC236}">
              <a16:creationId xmlns:a16="http://schemas.microsoft.com/office/drawing/2014/main" id="{5AD8B81F-BDC2-4CE9-9CFE-29E53A427C03}"/>
            </a:ext>
          </a:extLst>
        </xdr:cNvPr>
        <xdr:cNvPicPr preferRelativeResize="0"/>
      </xdr:nvPicPr>
      <xdr:blipFill>
        <a:blip xmlns:r="http://schemas.openxmlformats.org/officeDocument/2006/relationships" r:embed="rId3" cstate="print"/>
        <a:stretch>
          <a:fillRect/>
        </a:stretch>
      </xdr:blipFill>
      <xdr:spPr>
        <a:xfrm>
          <a:off x="14824710" y="0"/>
          <a:ext cx="5991225" cy="3343275"/>
        </a:xfrm>
        <a:prstGeom prst="rect">
          <a:avLst/>
        </a:prstGeom>
        <a:noFill/>
      </xdr:spPr>
    </xdr:pic>
    <xdr:clientData fLocksWithSheet="0"/>
  </xdr:oneCellAnchor>
  <xdr:oneCellAnchor>
    <xdr:from>
      <xdr:col>16</xdr:col>
      <xdr:colOff>895350</xdr:colOff>
      <xdr:row>15</xdr:row>
      <xdr:rowOff>190500</xdr:rowOff>
    </xdr:from>
    <xdr:ext cx="5991225" cy="3486150"/>
    <xdr:pic>
      <xdr:nvPicPr>
        <xdr:cNvPr id="5" name="image6.png" title="Изображение">
          <a:extLst>
            <a:ext uri="{FF2B5EF4-FFF2-40B4-BE49-F238E27FC236}">
              <a16:creationId xmlns:a16="http://schemas.microsoft.com/office/drawing/2014/main" id="{FD848B85-A808-4ED1-8330-A510000B90E2}"/>
            </a:ext>
          </a:extLst>
        </xdr:cNvPr>
        <xdr:cNvPicPr preferRelativeResize="0"/>
      </xdr:nvPicPr>
      <xdr:blipFill>
        <a:blip xmlns:r="http://schemas.openxmlformats.org/officeDocument/2006/relationships" r:embed="rId4" cstate="print"/>
        <a:stretch>
          <a:fillRect/>
        </a:stretch>
      </xdr:blipFill>
      <xdr:spPr>
        <a:xfrm>
          <a:off x="14763750" y="3162300"/>
          <a:ext cx="5991225" cy="3486150"/>
        </a:xfrm>
        <a:prstGeom prst="rect">
          <a:avLst/>
        </a:prstGeom>
        <a:noFill/>
      </xdr:spPr>
    </xdr:pic>
    <xdr:clientData fLocksWithSheet="0"/>
  </xdr:oneCellAnchor>
  <xdr:oneCellAnchor>
    <xdr:from>
      <xdr:col>11</xdr:col>
      <xdr:colOff>200025</xdr:colOff>
      <xdr:row>30</xdr:row>
      <xdr:rowOff>19050</xdr:rowOff>
    </xdr:from>
    <xdr:ext cx="5238750" cy="3048000"/>
    <xdr:pic>
      <xdr:nvPicPr>
        <xdr:cNvPr id="6" name="image1.png" title="Изображение">
          <a:extLst>
            <a:ext uri="{FF2B5EF4-FFF2-40B4-BE49-F238E27FC236}">
              <a16:creationId xmlns:a16="http://schemas.microsoft.com/office/drawing/2014/main" id="{FB7DD262-F3C3-4E70-9B9C-4A10BEF6DC7C}"/>
            </a:ext>
          </a:extLst>
        </xdr:cNvPr>
        <xdr:cNvPicPr preferRelativeResize="0"/>
      </xdr:nvPicPr>
      <xdr:blipFill>
        <a:blip xmlns:r="http://schemas.openxmlformats.org/officeDocument/2006/relationships" r:embed="rId5" cstate="print"/>
        <a:stretch>
          <a:fillRect/>
        </a:stretch>
      </xdr:blipFill>
      <xdr:spPr>
        <a:xfrm>
          <a:off x="9755505" y="5916930"/>
          <a:ext cx="5238750" cy="3048000"/>
        </a:xfrm>
        <a:prstGeom prst="rect">
          <a:avLst/>
        </a:prstGeom>
        <a:noFill/>
      </xdr:spPr>
    </xdr:pic>
    <xdr:clientData fLocksWithSheet="0"/>
  </xdr:oneCellAnchor>
  <xdr:oneCellAnchor>
    <xdr:from>
      <xdr:col>11</xdr:col>
      <xdr:colOff>200025</xdr:colOff>
      <xdr:row>44</xdr:row>
      <xdr:rowOff>142875</xdr:rowOff>
    </xdr:from>
    <xdr:ext cx="5772150" cy="3343275"/>
    <xdr:pic>
      <xdr:nvPicPr>
        <xdr:cNvPr id="7" name="image10.png" title="Изображение">
          <a:extLst>
            <a:ext uri="{FF2B5EF4-FFF2-40B4-BE49-F238E27FC236}">
              <a16:creationId xmlns:a16="http://schemas.microsoft.com/office/drawing/2014/main" id="{D784304F-3562-4129-B80A-B857FFACBF65}"/>
            </a:ext>
          </a:extLst>
        </xdr:cNvPr>
        <xdr:cNvPicPr preferRelativeResize="0"/>
      </xdr:nvPicPr>
      <xdr:blipFill>
        <a:blip xmlns:r="http://schemas.openxmlformats.org/officeDocument/2006/relationships" r:embed="rId6" cstate="print"/>
        <a:stretch>
          <a:fillRect/>
        </a:stretch>
      </xdr:blipFill>
      <xdr:spPr>
        <a:xfrm>
          <a:off x="9755505" y="8601075"/>
          <a:ext cx="5772150" cy="334327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76</xdr:row>
      <xdr:rowOff>0</xdr:rowOff>
    </xdr:from>
    <xdr:ext cx="11506200" cy="6362700"/>
    <xdr:pic>
      <xdr:nvPicPr>
        <xdr:cNvPr id="2" name="image8.png" title="Изображение">
          <a:extLst>
            <a:ext uri="{FF2B5EF4-FFF2-40B4-BE49-F238E27FC236}">
              <a16:creationId xmlns:a16="http://schemas.microsoft.com/office/drawing/2014/main" id="{45C99BC8-F9C5-4938-BC04-C477CE521BFA}"/>
            </a:ext>
          </a:extLst>
        </xdr:cNvPr>
        <xdr:cNvPicPr preferRelativeResize="0"/>
      </xdr:nvPicPr>
      <xdr:blipFill>
        <a:blip xmlns:r="http://schemas.openxmlformats.org/officeDocument/2006/relationships" r:embed="rId1" cstate="print"/>
        <a:stretch>
          <a:fillRect/>
        </a:stretch>
      </xdr:blipFill>
      <xdr:spPr>
        <a:xfrm>
          <a:off x="0" y="14356080"/>
          <a:ext cx="11506200" cy="6362700"/>
        </a:xfrm>
        <a:prstGeom prst="rect">
          <a:avLst/>
        </a:prstGeom>
        <a:noFill/>
      </xdr:spPr>
    </xdr:pic>
    <xdr:clientData fLocksWithSheet="0"/>
  </xdr:oneCellAnchor>
  <xdr:oneCellAnchor>
    <xdr:from>
      <xdr:col>0</xdr:col>
      <xdr:colOff>0</xdr:colOff>
      <xdr:row>113</xdr:row>
      <xdr:rowOff>0</xdr:rowOff>
    </xdr:from>
    <xdr:ext cx="10839450" cy="5829300"/>
    <xdr:pic>
      <xdr:nvPicPr>
        <xdr:cNvPr id="3" name="image9.png" title="Изображение">
          <a:extLst>
            <a:ext uri="{FF2B5EF4-FFF2-40B4-BE49-F238E27FC236}">
              <a16:creationId xmlns:a16="http://schemas.microsoft.com/office/drawing/2014/main" id="{5FC95D38-3FE1-403A-9EF0-F4872F92B728}"/>
            </a:ext>
          </a:extLst>
        </xdr:cNvPr>
        <xdr:cNvPicPr preferRelativeResize="0"/>
      </xdr:nvPicPr>
      <xdr:blipFill>
        <a:blip xmlns:r="http://schemas.openxmlformats.org/officeDocument/2006/relationships" r:embed="rId2" cstate="print"/>
        <a:stretch>
          <a:fillRect/>
        </a:stretch>
      </xdr:blipFill>
      <xdr:spPr>
        <a:xfrm>
          <a:off x="0" y="21214080"/>
          <a:ext cx="10839450" cy="5829300"/>
        </a:xfrm>
        <a:prstGeom prst="rect">
          <a:avLst/>
        </a:prstGeom>
        <a:noFill/>
      </xdr:spPr>
    </xdr:pic>
    <xdr:clientData fLocksWithSheet="0"/>
  </xdr:oneCellAnchor>
  <xdr:oneCellAnchor>
    <xdr:from>
      <xdr:col>0</xdr:col>
      <xdr:colOff>0</xdr:colOff>
      <xdr:row>149</xdr:row>
      <xdr:rowOff>0</xdr:rowOff>
    </xdr:from>
    <xdr:ext cx="10953750" cy="5943600"/>
    <xdr:pic>
      <xdr:nvPicPr>
        <xdr:cNvPr id="4" name="image5.png" title="Изображение">
          <a:extLst>
            <a:ext uri="{FF2B5EF4-FFF2-40B4-BE49-F238E27FC236}">
              <a16:creationId xmlns:a16="http://schemas.microsoft.com/office/drawing/2014/main" id="{7BF97AFA-FF7E-452C-BB87-342BC2528AFC}"/>
            </a:ext>
          </a:extLst>
        </xdr:cNvPr>
        <xdr:cNvPicPr preferRelativeResize="0"/>
      </xdr:nvPicPr>
      <xdr:blipFill>
        <a:blip xmlns:r="http://schemas.openxmlformats.org/officeDocument/2006/relationships" r:embed="rId3" cstate="print"/>
        <a:stretch>
          <a:fillRect/>
        </a:stretch>
      </xdr:blipFill>
      <xdr:spPr>
        <a:xfrm>
          <a:off x="0" y="28270200"/>
          <a:ext cx="10953750" cy="5943600"/>
        </a:xfrm>
        <a:prstGeom prst="rect">
          <a:avLst/>
        </a:prstGeom>
        <a:noFill/>
      </xdr:spPr>
    </xdr:pic>
    <xdr:clientData fLocksWithSheet="0"/>
  </xdr:oneCellAnchor>
  <xdr:oneCellAnchor>
    <xdr:from>
      <xdr:col>0</xdr:col>
      <xdr:colOff>0</xdr:colOff>
      <xdr:row>186</xdr:row>
      <xdr:rowOff>0</xdr:rowOff>
    </xdr:from>
    <xdr:ext cx="11010900" cy="7162800"/>
    <xdr:pic>
      <xdr:nvPicPr>
        <xdr:cNvPr id="5" name="image7.png" title="Изображение">
          <a:extLst>
            <a:ext uri="{FF2B5EF4-FFF2-40B4-BE49-F238E27FC236}">
              <a16:creationId xmlns:a16="http://schemas.microsoft.com/office/drawing/2014/main" id="{5D50497B-7794-4263-AF06-08D304020F02}"/>
            </a:ext>
          </a:extLst>
        </xdr:cNvPr>
        <xdr:cNvPicPr preferRelativeResize="0"/>
      </xdr:nvPicPr>
      <xdr:blipFill>
        <a:blip xmlns:r="http://schemas.openxmlformats.org/officeDocument/2006/relationships" r:embed="rId4" cstate="print"/>
        <a:stretch>
          <a:fillRect/>
        </a:stretch>
      </xdr:blipFill>
      <xdr:spPr>
        <a:xfrm>
          <a:off x="0" y="35524440"/>
          <a:ext cx="11010900" cy="716280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twoCellAnchor>
    <xdr:from>
      <xdr:col>1</xdr:col>
      <xdr:colOff>19291</xdr:colOff>
      <xdr:row>5</xdr:row>
      <xdr:rowOff>9555</xdr:rowOff>
    </xdr:from>
    <xdr:to>
      <xdr:col>5</xdr:col>
      <xdr:colOff>571099</xdr:colOff>
      <xdr:row>16</xdr:row>
      <xdr:rowOff>201867</xdr:rowOff>
    </xdr:to>
    <xdr:graphicFrame macro="">
      <xdr:nvGraphicFramePr>
        <xdr:cNvPr id="10" name="Диаграмма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55138</xdr:colOff>
      <xdr:row>22</xdr:row>
      <xdr:rowOff>174169</xdr:rowOff>
    </xdr:from>
    <xdr:to>
      <xdr:col>5</xdr:col>
      <xdr:colOff>645736</xdr:colOff>
      <xdr:row>36</xdr:row>
      <xdr:rowOff>89</xdr:rowOff>
    </xdr:to>
    <xdr:graphicFrame macro="">
      <xdr:nvGraphicFramePr>
        <xdr:cNvPr id="11" name="Диаграмма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89358</xdr:colOff>
      <xdr:row>41</xdr:row>
      <xdr:rowOff>545</xdr:rowOff>
    </xdr:from>
    <xdr:to>
      <xdr:col>5</xdr:col>
      <xdr:colOff>677260</xdr:colOff>
      <xdr:row>53</xdr:row>
      <xdr:rowOff>1634</xdr:rowOff>
    </xdr:to>
    <xdr:graphicFrame macro="">
      <xdr:nvGraphicFramePr>
        <xdr:cNvPr id="12" name="Диаграмма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60051</xdr:colOff>
      <xdr:row>59</xdr:row>
      <xdr:rowOff>3661</xdr:rowOff>
    </xdr:from>
    <xdr:to>
      <xdr:col>5</xdr:col>
      <xdr:colOff>677536</xdr:colOff>
      <xdr:row>71</xdr:row>
      <xdr:rowOff>3661</xdr:rowOff>
    </xdr:to>
    <xdr:graphicFrame macro="">
      <xdr:nvGraphicFramePr>
        <xdr:cNvPr id="13" name="Диаграмма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4836911</xdr:colOff>
      <xdr:row>76</xdr:row>
      <xdr:rowOff>7040</xdr:rowOff>
    </xdr:from>
    <xdr:to>
      <xdr:col>5</xdr:col>
      <xdr:colOff>586336</xdr:colOff>
      <xdr:row>88</xdr:row>
      <xdr:rowOff>40611</xdr:rowOff>
    </xdr:to>
    <xdr:graphicFrame macro="">
      <xdr:nvGraphicFramePr>
        <xdr:cNvPr id="14" name="Диаграмма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4834359</xdr:colOff>
      <xdr:row>94</xdr:row>
      <xdr:rowOff>173621</xdr:rowOff>
    </xdr:from>
    <xdr:to>
      <xdr:col>5</xdr:col>
      <xdr:colOff>544083</xdr:colOff>
      <xdr:row>102</xdr:row>
      <xdr:rowOff>185291</xdr:rowOff>
    </xdr:to>
    <xdr:graphicFrame macro="">
      <xdr:nvGraphicFramePr>
        <xdr:cNvPr id="15" name="Диаграмма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4823474</xdr:colOff>
      <xdr:row>112</xdr:row>
      <xdr:rowOff>180299</xdr:rowOff>
    </xdr:from>
    <xdr:to>
      <xdr:col>5</xdr:col>
      <xdr:colOff>550486</xdr:colOff>
      <xdr:row>122</xdr:row>
      <xdr:rowOff>25642</xdr:rowOff>
    </xdr:to>
    <xdr:graphicFrame macro="">
      <xdr:nvGraphicFramePr>
        <xdr:cNvPr id="16" name="Диаграмма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101167</xdr:colOff>
      <xdr:row>131</xdr:row>
      <xdr:rowOff>86812</xdr:rowOff>
    </xdr:from>
    <xdr:to>
      <xdr:col>5</xdr:col>
      <xdr:colOff>662310</xdr:colOff>
      <xdr:row>141</xdr:row>
      <xdr:rowOff>25647</xdr:rowOff>
    </xdr:to>
    <xdr:graphicFrame macro="">
      <xdr:nvGraphicFramePr>
        <xdr:cNvPr id="17" name="Диаграмма 16">
          <a:extLst>
            <a:ext uri="{FF2B5EF4-FFF2-40B4-BE49-F238E27FC236}">
              <a16:creationId xmlns:a16="http://schemas.microsoft.com/office/drawing/2014/main" id="{00000000-0008-0000-03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ownloads\FinUstoic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wnloads\Etap_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Анализ финансовой устойчивости "/>
    </sheetNames>
    <sheetDataSet>
      <sheetData sheetId="0">
        <row r="9">
          <cell r="D9">
            <v>2017</v>
          </cell>
          <cell r="E9">
            <v>2018</v>
          </cell>
          <cell r="F9">
            <v>2019</v>
          </cell>
          <cell r="G9">
            <v>2020</v>
          </cell>
          <cell r="H9">
            <v>2021</v>
          </cell>
        </row>
        <row r="10">
          <cell r="D10">
            <v>0.19052869779880682</v>
          </cell>
          <cell r="E10">
            <v>0.10992033184554048</v>
          </cell>
          <cell r="F10">
            <v>9.1889093550859766E-2</v>
          </cell>
          <cell r="G10">
            <v>8.479622085988546E-2</v>
          </cell>
          <cell r="H10">
            <v>5.2353328581868044E-2</v>
          </cell>
        </row>
        <row r="27">
          <cell r="D27">
            <v>2017</v>
          </cell>
          <cell r="E27">
            <v>2018</v>
          </cell>
          <cell r="F27">
            <v>2019</v>
          </cell>
          <cell r="G27">
            <v>2020</v>
          </cell>
          <cell r="H27">
            <v>2021</v>
          </cell>
        </row>
        <row r="28">
          <cell r="D28">
            <v>0.19059452787492284</v>
          </cell>
          <cell r="E28">
            <v>0.44859056734656699</v>
          </cell>
          <cell r="F28">
            <v>0.64860651892868992</v>
          </cell>
          <cell r="G28">
            <v>0.60439773735581193</v>
          </cell>
          <cell r="H28">
            <v>0.49560639823895059</v>
          </cell>
        </row>
        <row r="45">
          <cell r="D45">
            <v>2017</v>
          </cell>
          <cell r="E45">
            <v>2018</v>
          </cell>
          <cell r="F45">
            <v>2019</v>
          </cell>
          <cell r="G45">
            <v>2020</v>
          </cell>
          <cell r="H45">
            <v>2021</v>
          </cell>
        </row>
        <row r="46">
          <cell r="D46">
            <v>0.80947130220119312</v>
          </cell>
          <cell r="E46">
            <v>0.89007966815445949</v>
          </cell>
          <cell r="F46">
            <v>0.90811090644914028</v>
          </cell>
          <cell r="G46">
            <v>0.91520377914011453</v>
          </cell>
          <cell r="H46">
            <v>0.94764667141813197</v>
          </cell>
        </row>
        <row r="63">
          <cell r="D63">
            <v>2017</v>
          </cell>
          <cell r="E63">
            <v>2018</v>
          </cell>
          <cell r="F63">
            <v>2019</v>
          </cell>
          <cell r="G63">
            <v>2020</v>
          </cell>
          <cell r="H63">
            <v>2021</v>
          </cell>
        </row>
        <row r="64">
          <cell r="D64">
            <v>-5.2012016921787821E-3</v>
          </cell>
          <cell r="E64">
            <v>-0.35894583130519436</v>
          </cell>
          <cell r="F64">
            <v>-0.66303157916791067</v>
          </cell>
          <cell r="G64">
            <v>-0.58429515851024372</v>
          </cell>
          <cell r="H64">
            <v>-0.60978992578629365</v>
          </cell>
        </row>
        <row r="81">
          <cell r="D81">
            <v>2017</v>
          </cell>
          <cell r="E81">
            <v>2018</v>
          </cell>
          <cell r="F81">
            <v>2019</v>
          </cell>
          <cell r="G81">
            <v>2020</v>
          </cell>
          <cell r="H81">
            <v>2021</v>
          </cell>
        </row>
        <row r="82">
          <cell r="D82">
            <v>4.248553165759696</v>
          </cell>
          <cell r="E82">
            <v>8.0974980079681274</v>
          </cell>
          <cell r="F82">
            <v>9.8826843464998291</v>
          </cell>
          <cell r="G82">
            <v>10.792978388180385</v>
          </cell>
          <cell r="H82">
            <v>18.100982250560055</v>
          </cell>
        </row>
        <row r="99">
          <cell r="D99">
            <v>2017</v>
          </cell>
          <cell r="E99">
            <v>2018</v>
          </cell>
          <cell r="F99">
            <v>2019</v>
          </cell>
          <cell r="G99">
            <v>2020</v>
          </cell>
          <cell r="H99">
            <v>2021</v>
          </cell>
        </row>
        <row r="100">
          <cell r="D100">
            <v>0.23537424647507904</v>
          </cell>
          <cell r="E100">
            <v>0.12349493621560347</v>
          </cell>
          <cell r="F100">
            <v>0.10118708287532953</v>
          </cell>
          <cell r="G100">
            <v>9.2652830760332178E-2</v>
          </cell>
          <cell r="H100">
            <v>5.5245620715917744E-2</v>
          </cell>
        </row>
        <row r="117">
          <cell r="D117">
            <v>2017</v>
          </cell>
          <cell r="E117">
            <v>2018</v>
          </cell>
          <cell r="F117">
            <v>2019</v>
          </cell>
          <cell r="G117">
            <v>2020</v>
          </cell>
          <cell r="H117">
            <v>2021</v>
          </cell>
        </row>
        <row r="118">
          <cell r="D118">
            <v>1.7272648760687453E-4</v>
          </cell>
          <cell r="E118">
            <v>0.60638070983201398</v>
          </cell>
          <cell r="F118">
            <v>0.75181731801713414</v>
          </cell>
          <cell r="G118">
            <v>0.7539263951778673</v>
          </cell>
          <cell r="H118">
            <v>0.80891541469438155</v>
          </cell>
        </row>
        <row r="135">
          <cell r="D135">
            <v>2017</v>
          </cell>
          <cell r="E135">
            <v>2018</v>
          </cell>
          <cell r="F135">
            <v>2019</v>
          </cell>
          <cell r="G135">
            <v>2020</v>
          </cell>
          <cell r="H135">
            <v>2021</v>
          </cell>
        </row>
        <row r="136">
          <cell r="D136">
            <v>-2.1810486309061069E-2</v>
          </cell>
          <cell r="E136">
            <v>-0.59831075697211156</v>
          </cell>
          <cell r="F136">
            <v>-0.9108226725184424</v>
          </cell>
          <cell r="G136">
            <v>-0.91667409851660275</v>
          </cell>
          <cell r="H136">
            <v>-2.6233844563156987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ФП и ОПУ"/>
      <sheetName val="Коэффициенты"/>
      <sheetName val="Анализ финансовой устойчивости"/>
      <sheetName val="Горизонтальный анализ"/>
      <sheetName val="Прибыльность и рентабельность"/>
      <sheetName val="Вертикальный анализ"/>
    </sheetNames>
    <sheetDataSet>
      <sheetData sheetId="0"/>
      <sheetData sheetId="1"/>
      <sheetData sheetId="2"/>
      <sheetData sheetId="3"/>
      <sheetData sheetId="4">
        <row r="4">
          <cell r="O4">
            <v>2017</v>
          </cell>
          <cell r="P4">
            <v>2018</v>
          </cell>
          <cell r="Q4">
            <v>2019</v>
          </cell>
          <cell r="R4">
            <v>2020</v>
          </cell>
          <cell r="S4">
            <v>2021</v>
          </cell>
        </row>
        <row r="5">
          <cell r="O5">
            <v>0.69</v>
          </cell>
          <cell r="P5">
            <v>12</v>
          </cell>
          <cell r="Q5">
            <v>9</v>
          </cell>
          <cell r="R5">
            <v>6</v>
          </cell>
          <cell r="S5">
            <v>16</v>
          </cell>
        </row>
        <row r="8">
          <cell r="O8">
            <v>2017</v>
          </cell>
          <cell r="P8">
            <v>2018</v>
          </cell>
          <cell r="Q8">
            <v>2019</v>
          </cell>
          <cell r="R8">
            <v>2020</v>
          </cell>
          <cell r="S8">
            <v>2021</v>
          </cell>
        </row>
        <row r="9">
          <cell r="O9">
            <v>29</v>
          </cell>
          <cell r="P9">
            <v>18</v>
          </cell>
          <cell r="Q9">
            <v>15</v>
          </cell>
          <cell r="R9">
            <v>10</v>
          </cell>
          <cell r="S9">
            <v>28</v>
          </cell>
        </row>
        <row r="12">
          <cell r="O12">
            <v>2017</v>
          </cell>
          <cell r="P12">
            <v>2018</v>
          </cell>
          <cell r="Q12">
            <v>2019</v>
          </cell>
          <cell r="R12">
            <v>2020</v>
          </cell>
          <cell r="S12">
            <v>2021</v>
          </cell>
        </row>
        <row r="13">
          <cell r="O13">
            <v>28</v>
          </cell>
          <cell r="P13">
            <v>25</v>
          </cell>
          <cell r="Q13">
            <v>20</v>
          </cell>
          <cell r="R13">
            <v>42</v>
          </cell>
          <cell r="S13">
            <v>27</v>
          </cell>
        </row>
        <row r="18">
          <cell r="A18">
            <v>2017</v>
          </cell>
          <cell r="B18">
            <v>2018</v>
          </cell>
          <cell r="C18">
            <v>2019</v>
          </cell>
          <cell r="D18">
            <v>2020</v>
          </cell>
          <cell r="E18">
            <v>2021</v>
          </cell>
        </row>
        <row r="19">
          <cell r="A19">
            <v>30.033687483804094</v>
          </cell>
          <cell r="B19">
            <v>26.661354581673308</v>
          </cell>
          <cell r="C19">
            <v>22.205621439910356</v>
          </cell>
          <cell r="D19">
            <v>19.444692172775646</v>
          </cell>
          <cell r="E19">
            <v>10.253317249698432</v>
          </cell>
        </row>
        <row r="22">
          <cell r="A22">
            <v>2017</v>
          </cell>
          <cell r="B22">
            <v>2018</v>
          </cell>
          <cell r="C22">
            <v>2019</v>
          </cell>
          <cell r="D22">
            <v>2020</v>
          </cell>
          <cell r="E22">
            <v>2021</v>
          </cell>
        </row>
        <row r="23">
          <cell r="A23">
            <v>8.0733944954128454</v>
          </cell>
          <cell r="B23">
            <v>18.75</v>
          </cell>
          <cell r="C23">
            <v>17.441860465116278</v>
          </cell>
          <cell r="D23">
            <v>15.441176470588236</v>
          </cell>
          <cell r="E23">
            <v>15.178571428571427</v>
          </cell>
        </row>
      </sheetData>
      <sheetData sheetId="5"/>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3"/>
  <sheetViews>
    <sheetView zoomScale="54" zoomScaleNormal="85" workbookViewId="0">
      <selection activeCell="O18" sqref="O18"/>
    </sheetView>
  </sheetViews>
  <sheetFormatPr defaultColWidth="8.88671875" defaultRowHeight="14.4"/>
  <cols>
    <col min="1" max="1" width="55.44140625" bestFit="1" customWidth="1"/>
    <col min="2" max="2" width="11.44140625" bestFit="1" customWidth="1"/>
    <col min="3" max="3" width="109.44140625" bestFit="1" customWidth="1"/>
    <col min="4" max="4" width="13.109375" bestFit="1" customWidth="1"/>
    <col min="5" max="5" width="13.88671875" bestFit="1" customWidth="1"/>
    <col min="6" max="6" width="12.88671875" bestFit="1" customWidth="1"/>
    <col min="7" max="7" width="11.44140625" bestFit="1" customWidth="1"/>
    <col min="8" max="9" width="14.5546875" bestFit="1" customWidth="1"/>
    <col min="10" max="12" width="14.44140625" bestFit="1" customWidth="1"/>
    <col min="13" max="15" width="13.88671875" bestFit="1" customWidth="1"/>
    <col min="16" max="16" width="23.88671875" bestFit="1" customWidth="1"/>
    <col min="17" max="18" width="13.88671875" bestFit="1" customWidth="1"/>
    <col min="27" max="29" width="14.44140625" bestFit="1" customWidth="1"/>
    <col min="30" max="31" width="13.88671875" bestFit="1" customWidth="1"/>
    <col min="33" max="37" width="13.88671875" bestFit="1" customWidth="1"/>
  </cols>
  <sheetData>
    <row r="1" spans="1:31" ht="17.399999999999999">
      <c r="A1" s="64" t="s">
        <v>0</v>
      </c>
      <c r="B1" s="64"/>
      <c r="C1" s="64"/>
      <c r="D1" s="64"/>
      <c r="E1" s="64"/>
      <c r="F1" s="64"/>
    </row>
    <row r="2" spans="1:31" ht="28.8">
      <c r="A2" s="8"/>
      <c r="B2" s="21" t="s">
        <v>1</v>
      </c>
      <c r="C2" s="22" t="s">
        <v>2</v>
      </c>
      <c r="D2" s="22" t="s">
        <v>3</v>
      </c>
      <c r="E2" s="22" t="s">
        <v>4</v>
      </c>
      <c r="F2" s="22" t="s">
        <v>5</v>
      </c>
      <c r="H2" s="1" t="s">
        <v>119</v>
      </c>
      <c r="U2" s="1" t="s">
        <v>32</v>
      </c>
    </row>
    <row r="3" spans="1:31">
      <c r="A3" s="108" t="s">
        <v>91</v>
      </c>
      <c r="B3" s="6"/>
      <c r="C3" s="5"/>
      <c r="D3" s="5"/>
      <c r="E3" s="5"/>
      <c r="F3" s="5"/>
    </row>
    <row r="4" spans="1:31">
      <c r="A4" s="111" t="s">
        <v>140</v>
      </c>
      <c r="B4" s="7"/>
      <c r="C4" s="4"/>
      <c r="D4" s="4"/>
      <c r="E4" s="4"/>
      <c r="F4" s="4"/>
      <c r="H4" s="68" t="s">
        <v>112</v>
      </c>
      <c r="I4" s="68"/>
      <c r="J4" s="68"/>
      <c r="K4" s="68"/>
      <c r="L4" s="68"/>
      <c r="N4" s="71" t="s">
        <v>116</v>
      </c>
      <c r="O4" s="72"/>
      <c r="P4" s="72"/>
      <c r="Q4" s="72"/>
      <c r="R4" s="73"/>
      <c r="U4" s="65" t="s">
        <v>25</v>
      </c>
      <c r="V4" s="66"/>
      <c r="W4" s="66"/>
      <c r="X4" s="66"/>
      <c r="Y4" s="67"/>
      <c r="AA4" s="65" t="s">
        <v>26</v>
      </c>
      <c r="AB4" s="66"/>
      <c r="AC4" s="66"/>
      <c r="AD4" s="66"/>
      <c r="AE4" s="67"/>
    </row>
    <row r="5" spans="1:31">
      <c r="A5" s="115" t="s">
        <v>141</v>
      </c>
      <c r="B5" s="6">
        <v>7936</v>
      </c>
      <c r="C5" s="5">
        <v>20734</v>
      </c>
      <c r="D5" s="5">
        <v>19777</v>
      </c>
      <c r="E5" s="5">
        <v>17025</v>
      </c>
      <c r="F5" s="5">
        <v>17675</v>
      </c>
      <c r="H5" s="25">
        <v>2017</v>
      </c>
      <c r="I5" s="25">
        <v>2018</v>
      </c>
      <c r="J5" s="25">
        <v>2019</v>
      </c>
      <c r="K5" s="25">
        <v>2020</v>
      </c>
      <c r="L5" s="25">
        <v>2021</v>
      </c>
      <c r="N5" s="25">
        <v>2017</v>
      </c>
      <c r="O5" s="25">
        <v>2018</v>
      </c>
      <c r="P5" s="25">
        <v>2019</v>
      </c>
      <c r="Q5" s="25">
        <v>2020</v>
      </c>
      <c r="R5" s="25">
        <v>2021</v>
      </c>
      <c r="U5" s="30">
        <v>2017</v>
      </c>
      <c r="V5" s="30">
        <v>2018</v>
      </c>
      <c r="W5" s="30">
        <v>2019</v>
      </c>
      <c r="X5" s="30">
        <v>2020</v>
      </c>
      <c r="Y5" s="30">
        <v>2021</v>
      </c>
      <c r="AA5" s="25">
        <v>2017</v>
      </c>
      <c r="AB5" s="25">
        <v>2018</v>
      </c>
      <c r="AC5" s="25">
        <v>2019</v>
      </c>
      <c r="AD5" s="25">
        <v>2020</v>
      </c>
      <c r="AE5" s="25">
        <v>2021</v>
      </c>
    </row>
    <row r="6" spans="1:31">
      <c r="A6" s="115" t="s">
        <v>92</v>
      </c>
      <c r="B6" s="17" t="s">
        <v>6</v>
      </c>
      <c r="C6" s="5">
        <v>575</v>
      </c>
      <c r="D6" s="5">
        <v>349</v>
      </c>
      <c r="E6" s="5">
        <v>211</v>
      </c>
      <c r="F6" s="5">
        <v>194</v>
      </c>
      <c r="H6" s="25">
        <f>-B64/((45170+B16)/2)</f>
        <v>3.1126799585441187</v>
      </c>
      <c r="I6" s="25">
        <f>-C64/((B16+C16)/2)</f>
        <v>2.9313417317503689</v>
      </c>
      <c r="J6" s="25">
        <f>-D64/((C16+D16)/2)</f>
        <v>2.2632130768595724</v>
      </c>
      <c r="K6" s="25">
        <f>-E64/((D16+E16)/2)</f>
        <v>2.3217062826637305</v>
      </c>
      <c r="L6" s="25">
        <f>-F64/((E16+F16)/2)</f>
        <v>2.454165245758186</v>
      </c>
      <c r="N6" s="28">
        <f>365/H6</f>
        <v>117.26229643304542</v>
      </c>
      <c r="O6" s="28">
        <f t="shared" ref="O6:Q6" si="0">365/I6</f>
        <v>124.51635919707336</v>
      </c>
      <c r="P6" s="28">
        <f t="shared" si="0"/>
        <v>161.27513742827648</v>
      </c>
      <c r="Q6" s="28">
        <f t="shared" si="0"/>
        <v>157.21196204940691</v>
      </c>
      <c r="R6" s="28">
        <f>365/L6</f>
        <v>148.72674145755718</v>
      </c>
      <c r="U6" s="30">
        <f>517288/((0+32641)/2)</f>
        <v>31.695597561349224</v>
      </c>
      <c r="V6" s="30">
        <f>172278728/((32641+65260230)/2)</f>
        <v>5.2771068375902788</v>
      </c>
      <c r="W6" s="30">
        <f>249252503/((65260230+81349522)/2)</f>
        <v>3.4002172379365323</v>
      </c>
      <c r="X6" s="30">
        <f>334849692/((81349522+100220016)/2)</f>
        <v>3.6883906374206887</v>
      </c>
      <c r="Y6" s="30">
        <f>456533783/((100220016+145510939)/2)</f>
        <v>3.7157205774095492</v>
      </c>
      <c r="AA6" s="28">
        <f>365/U6</f>
        <v>11.515794876355145</v>
      </c>
      <c r="AB6" s="28">
        <f t="shared" ref="AB6" si="1">365/V6</f>
        <v>69.166687587222029</v>
      </c>
      <c r="AC6" s="28">
        <f t="shared" ref="AC6" si="2">365/W6</f>
        <v>107.34608245839762</v>
      </c>
      <c r="AD6" s="28">
        <f t="shared" ref="AD6" si="3">365/X6</f>
        <v>98.959149363649416</v>
      </c>
      <c r="AE6" s="28">
        <f>365/Y6</f>
        <v>98.231283110761609</v>
      </c>
    </row>
    <row r="7" spans="1:31">
      <c r="A7" s="115" t="s">
        <v>93</v>
      </c>
      <c r="B7" s="6">
        <v>7999</v>
      </c>
      <c r="C7" s="5">
        <v>68767</v>
      </c>
      <c r="D7" s="5">
        <v>20063</v>
      </c>
      <c r="E7" s="5">
        <v>21870</v>
      </c>
      <c r="F7" s="5">
        <v>27830</v>
      </c>
    </row>
    <row r="8" spans="1:31">
      <c r="A8" s="115" t="s">
        <v>94</v>
      </c>
      <c r="B8" s="17" t="s">
        <v>6</v>
      </c>
      <c r="C8" s="15" t="s">
        <v>6</v>
      </c>
      <c r="D8" s="5">
        <v>48975</v>
      </c>
      <c r="E8" s="5">
        <v>48975</v>
      </c>
      <c r="F8" s="5">
        <v>50007</v>
      </c>
      <c r="H8" s="71" t="s">
        <v>113</v>
      </c>
      <c r="I8" s="72"/>
      <c r="J8" s="72"/>
      <c r="K8" s="72"/>
      <c r="L8" s="73"/>
      <c r="N8" s="71" t="s">
        <v>117</v>
      </c>
      <c r="O8" s="72"/>
      <c r="P8" s="72"/>
      <c r="Q8" s="72"/>
      <c r="R8" s="73"/>
      <c r="U8" s="65" t="s">
        <v>28</v>
      </c>
      <c r="V8" s="66"/>
      <c r="W8" s="66"/>
      <c r="X8" s="66"/>
      <c r="Y8" s="67"/>
      <c r="AA8" s="65" t="s">
        <v>30</v>
      </c>
      <c r="AB8" s="66"/>
      <c r="AC8" s="66"/>
      <c r="AD8" s="66"/>
      <c r="AE8" s="67"/>
    </row>
    <row r="9" spans="1:31">
      <c r="A9" s="115" t="s">
        <v>142</v>
      </c>
      <c r="B9" s="17" t="s">
        <v>6</v>
      </c>
      <c r="C9" s="15" t="s">
        <v>6</v>
      </c>
      <c r="D9" s="5">
        <v>62832</v>
      </c>
      <c r="E9" s="5">
        <v>71593</v>
      </c>
      <c r="F9" s="5">
        <v>74075</v>
      </c>
      <c r="H9" s="25">
        <v>2017</v>
      </c>
      <c r="I9" s="25">
        <v>2018</v>
      </c>
      <c r="J9" s="25">
        <v>2019</v>
      </c>
      <c r="K9" s="25">
        <v>2020</v>
      </c>
      <c r="L9" s="25">
        <v>2021</v>
      </c>
      <c r="N9" s="25">
        <v>2017</v>
      </c>
      <c r="O9" s="25">
        <v>2018</v>
      </c>
      <c r="P9" s="25">
        <v>2019</v>
      </c>
      <c r="Q9" s="25">
        <v>2020</v>
      </c>
      <c r="R9" s="25">
        <v>2021</v>
      </c>
      <c r="U9" s="30">
        <v>2017</v>
      </c>
      <c r="V9" s="30">
        <v>2018</v>
      </c>
      <c r="W9" s="30">
        <v>2019</v>
      </c>
      <c r="X9" s="30">
        <v>2020</v>
      </c>
      <c r="Y9" s="30">
        <v>2021</v>
      </c>
      <c r="AA9" s="25">
        <v>2017</v>
      </c>
      <c r="AB9" s="25">
        <v>2018</v>
      </c>
      <c r="AC9" s="25">
        <v>2019</v>
      </c>
      <c r="AD9" s="25">
        <v>2020</v>
      </c>
      <c r="AE9" s="25">
        <v>2021</v>
      </c>
    </row>
    <row r="10" spans="1:31">
      <c r="A10" s="115" t="s">
        <v>143</v>
      </c>
      <c r="B10" s="17" t="s">
        <v>6</v>
      </c>
      <c r="C10" s="15" t="s">
        <v>6</v>
      </c>
      <c r="D10" s="5">
        <v>1982</v>
      </c>
      <c r="E10" s="5">
        <v>1244</v>
      </c>
      <c r="F10" s="5">
        <v>15</v>
      </c>
      <c r="H10" s="25">
        <f>-B64/((66285+B42)/2)</f>
        <v>2.1067764944472613</v>
      </c>
      <c r="I10" s="25">
        <f>-C64/((B42+C42)/2)</f>
        <v>2.0801739891385478</v>
      </c>
      <c r="J10" s="25">
        <f>-D64/((C42+D42)/2)</f>
        <v>1.6540295940992804</v>
      </c>
      <c r="K10" s="25">
        <f>-E64/((D42+E42)/2)</f>
        <v>1.6697028341325304</v>
      </c>
      <c r="L10" s="25">
        <f>-F64/((E42+F42)/2)</f>
        <v>1.7135264810663409</v>
      </c>
      <c r="N10" s="28">
        <f>365/H10</f>
        <v>173.25046152831806</v>
      </c>
      <c r="O10" s="28">
        <f t="shared" ref="O10:R10" si="4">365/I10</f>
        <v>175.46609173358411</v>
      </c>
      <c r="P10" s="28">
        <f t="shared" si="4"/>
        <v>220.67319792954774</v>
      </c>
      <c r="Q10" s="28">
        <f t="shared" si="4"/>
        <v>218.60177304521997</v>
      </c>
      <c r="R10" s="28">
        <f t="shared" si="4"/>
        <v>213.01100626869663</v>
      </c>
      <c r="U10" s="30">
        <f>517288/((8331556+3685152)/2)</f>
        <v>8.6094794015132925E-2</v>
      </c>
      <c r="V10" s="30">
        <f>172278728/((3685152+17960424)/2)</f>
        <v>15.918146784359076</v>
      </c>
      <c r="W10" s="30">
        <f>249252503/((17960424+28409817)/2)</f>
        <v>10.750537311203537</v>
      </c>
      <c r="X10" s="30">
        <f>334849692/((28409817+37038911)/2)</f>
        <v>10.23242780211099</v>
      </c>
      <c r="Y10" s="30">
        <f>456533783/((37038911+62133166)/2)</f>
        <v>9.2069017169016227</v>
      </c>
      <c r="AA10" s="28">
        <f>365/U10</f>
        <v>4239.5130178933205</v>
      </c>
      <c r="AB10" s="28">
        <f t="shared" ref="AB10" si="5">365/V10</f>
        <v>22.929804891524391</v>
      </c>
      <c r="AC10" s="28">
        <f t="shared" ref="AC10" si="6">365/W10</f>
        <v>33.951791378801119</v>
      </c>
      <c r="AD10" s="28">
        <f t="shared" ref="AD10" si="7">365/X10</f>
        <v>35.670908904404783</v>
      </c>
      <c r="AE10" s="28">
        <f>365/Y10</f>
        <v>39.644172515706252</v>
      </c>
    </row>
    <row r="11" spans="1:31">
      <c r="A11" s="115" t="s">
        <v>95</v>
      </c>
      <c r="B11" s="6">
        <v>2471</v>
      </c>
      <c r="C11" s="15" t="s">
        <v>6</v>
      </c>
      <c r="D11" s="15" t="s">
        <v>6</v>
      </c>
      <c r="E11" s="13" t="s">
        <v>6</v>
      </c>
      <c r="F11" s="5">
        <v>5575</v>
      </c>
    </row>
    <row r="12" spans="1:31">
      <c r="A12" s="115" t="s">
        <v>96</v>
      </c>
      <c r="B12" s="6">
        <v>4264</v>
      </c>
      <c r="C12" s="5">
        <v>5759</v>
      </c>
      <c r="D12" s="5">
        <v>3302</v>
      </c>
      <c r="E12" s="5">
        <v>5714</v>
      </c>
      <c r="F12" s="5">
        <v>5366</v>
      </c>
      <c r="H12" s="71" t="s">
        <v>114</v>
      </c>
      <c r="I12" s="72"/>
      <c r="J12" s="72"/>
      <c r="K12" s="72"/>
      <c r="L12" s="73"/>
      <c r="N12" s="71" t="s">
        <v>118</v>
      </c>
      <c r="O12" s="72"/>
      <c r="P12" s="72"/>
      <c r="Q12" s="72"/>
      <c r="R12" s="73"/>
      <c r="U12" s="65" t="s">
        <v>27</v>
      </c>
      <c r="V12" s="66"/>
      <c r="W12" s="66"/>
      <c r="X12" s="66"/>
      <c r="Y12" s="67"/>
      <c r="AA12" s="65" t="s">
        <v>31</v>
      </c>
      <c r="AB12" s="66"/>
      <c r="AC12" s="66"/>
      <c r="AD12" s="66"/>
      <c r="AE12" s="67"/>
    </row>
    <row r="13" spans="1:31">
      <c r="A13" s="115" t="s">
        <v>144</v>
      </c>
      <c r="B13" s="6">
        <v>993</v>
      </c>
      <c r="C13" s="5">
        <v>2646</v>
      </c>
      <c r="D13" s="5">
        <v>1431</v>
      </c>
      <c r="E13" s="5">
        <v>907</v>
      </c>
      <c r="F13" s="5">
        <v>1632</v>
      </c>
      <c r="H13" s="25">
        <v>2017</v>
      </c>
      <c r="I13" s="25">
        <v>2018</v>
      </c>
      <c r="J13" s="25">
        <v>2019</v>
      </c>
      <c r="K13" s="25">
        <v>2020</v>
      </c>
      <c r="L13" s="25">
        <v>2021</v>
      </c>
      <c r="N13" s="25">
        <v>2017</v>
      </c>
      <c r="O13" s="25">
        <v>2018</v>
      </c>
      <c r="P13" s="25">
        <v>2019</v>
      </c>
      <c r="Q13" s="25">
        <v>2020</v>
      </c>
      <c r="R13" s="25">
        <v>2021</v>
      </c>
      <c r="U13" s="30">
        <v>2017</v>
      </c>
      <c r="V13" s="30">
        <v>2018</v>
      </c>
      <c r="W13" s="30">
        <v>2019</v>
      </c>
      <c r="X13" s="30">
        <v>2020</v>
      </c>
      <c r="Y13" s="30">
        <v>2021</v>
      </c>
      <c r="AA13" s="25">
        <v>2017</v>
      </c>
      <c r="AB13" s="25">
        <v>2018</v>
      </c>
      <c r="AC13" s="25">
        <v>2019</v>
      </c>
      <c r="AD13" s="25">
        <v>2020</v>
      </c>
      <c r="AE13" s="25">
        <v>2021</v>
      </c>
    </row>
    <row r="14" spans="1:31">
      <c r="A14" s="118" t="s">
        <v>97</v>
      </c>
      <c r="B14" s="10">
        <f t="shared" ref="B14:C14" si="8">SUM(B5:B13)</f>
        <v>23663</v>
      </c>
      <c r="C14" s="10">
        <f t="shared" si="8"/>
        <v>98481</v>
      </c>
      <c r="D14" s="10">
        <f>SUM(D5:D13)</f>
        <v>158711</v>
      </c>
      <c r="E14" s="10">
        <f>SUM(E5:E13)</f>
        <v>167539</v>
      </c>
      <c r="F14" s="10">
        <f>SUM(F5:F13)</f>
        <v>182369</v>
      </c>
      <c r="H14" s="25">
        <f>B63/((12513+B17)/2)</f>
        <v>11.886946351995682</v>
      </c>
      <c r="I14" s="25">
        <f>C63/((B17+C17)/2)</f>
        <v>12.725730704448628</v>
      </c>
      <c r="J14" s="25">
        <f>D63/((C17+D17)/2)</f>
        <v>11.454702275471639</v>
      </c>
      <c r="K14" s="25">
        <f>E63/((D17+E17)/2)</f>
        <v>10.399626679940269</v>
      </c>
      <c r="L14" s="25">
        <f>F63/((E17+F17)/2)</f>
        <v>10.234592701608138</v>
      </c>
      <c r="N14" s="28">
        <f>365/H14</f>
        <v>30.70595165416227</v>
      </c>
      <c r="O14" s="28">
        <f>365/I14</f>
        <v>28.682046514814608</v>
      </c>
      <c r="P14" s="28">
        <f>365/J14</f>
        <v>31.864643115307103</v>
      </c>
      <c r="Q14" s="28">
        <f>365/K14</f>
        <v>35.097413708517507</v>
      </c>
      <c r="R14" s="28">
        <f>365/L14</f>
        <v>35.663363520333192</v>
      </c>
      <c r="U14" s="30">
        <f>2740879/((14727611+13910117)/2)</f>
        <v>0.19141734986797834</v>
      </c>
      <c r="V14" s="30">
        <f>220557793/((13910117+7341159)/2)</f>
        <v>20.757134112793981</v>
      </c>
      <c r="W14" s="30">
        <f>309218870/((7341159+7387004)/2)</f>
        <v>41.990147719033253</v>
      </c>
      <c r="X14" s="30">
        <f>427633442/((7387004+9000585)/2)</f>
        <v>52.189915429292256</v>
      </c>
      <c r="Y14" s="30">
        <f>562243775/((9000585+21500006)/2)</f>
        <v>36.86772987448014</v>
      </c>
      <c r="AA14" s="28">
        <f>365/U14</f>
        <v>1906.8281963559866</v>
      </c>
      <c r="AB14" s="28">
        <f>365/V14</f>
        <v>17.584315735332009</v>
      </c>
      <c r="AC14" s="28">
        <f>365/W14</f>
        <v>8.6925152643498116</v>
      </c>
      <c r="AD14" s="28">
        <f>365/X14</f>
        <v>6.9936882824519602</v>
      </c>
      <c r="AE14" s="28">
        <f>365/Y14</f>
        <v>9.9002569792791384</v>
      </c>
    </row>
    <row r="15" spans="1:31">
      <c r="A15" s="122"/>
      <c r="B15" s="7"/>
      <c r="C15" s="4"/>
      <c r="D15" s="4"/>
      <c r="F15" s="4"/>
    </row>
    <row r="16" spans="1:31">
      <c r="A16" s="125" t="s">
        <v>98</v>
      </c>
      <c r="B16" s="14">
        <v>52283</v>
      </c>
      <c r="C16" s="12">
        <v>113145</v>
      </c>
      <c r="D16" s="12">
        <v>129115</v>
      </c>
      <c r="E16" s="12">
        <v>146994</v>
      </c>
      <c r="F16" s="5">
        <v>163840</v>
      </c>
      <c r="U16" s="60" t="s">
        <v>29</v>
      </c>
      <c r="V16" s="61"/>
      <c r="W16" s="61"/>
      <c r="X16" s="61"/>
      <c r="Y16" s="62"/>
    </row>
    <row r="17" spans="1:25">
      <c r="A17" s="115" t="s">
        <v>99</v>
      </c>
      <c r="B17" s="6">
        <v>20834</v>
      </c>
      <c r="C17" s="5">
        <v>29631</v>
      </c>
      <c r="D17" s="5">
        <v>34136</v>
      </c>
      <c r="E17" s="5">
        <v>46224</v>
      </c>
      <c r="F17" s="5">
        <v>46865</v>
      </c>
      <c r="R17" s="86"/>
      <c r="U17" s="30">
        <v>2017</v>
      </c>
      <c r="V17" s="30">
        <v>2018</v>
      </c>
      <c r="W17" s="30">
        <v>2019</v>
      </c>
      <c r="X17" s="30">
        <v>2020</v>
      </c>
      <c r="Y17" s="30">
        <v>2021</v>
      </c>
    </row>
    <row r="18" spans="1:25">
      <c r="A18" s="115" t="s">
        <v>100</v>
      </c>
      <c r="B18" s="6">
        <v>777</v>
      </c>
      <c r="C18" s="5">
        <v>1826</v>
      </c>
      <c r="D18" s="5">
        <v>1181</v>
      </c>
      <c r="E18" s="5">
        <v>1761</v>
      </c>
      <c r="F18" s="5">
        <v>1622</v>
      </c>
      <c r="H18" s="83" t="s">
        <v>115</v>
      </c>
      <c r="I18" s="84"/>
      <c r="J18" s="84"/>
      <c r="K18" s="84"/>
      <c r="L18" s="85"/>
      <c r="U18" s="36">
        <f>AA14+AA6-AA10</f>
        <v>-2321.1690266609785</v>
      </c>
      <c r="V18" s="36">
        <f>AB14+AB6-AB10</f>
        <v>63.82119843102965</v>
      </c>
      <c r="W18" s="36">
        <f>AC14+AC6-AC10</f>
        <v>82.086806343946307</v>
      </c>
      <c r="X18" s="36">
        <f>AD14+AD6-AD10</f>
        <v>70.281928741696589</v>
      </c>
      <c r="Y18" s="36">
        <f>AE14+AE6-AE10</f>
        <v>68.487367574334485</v>
      </c>
    </row>
    <row r="19" spans="1:25">
      <c r="A19" s="115" t="s">
        <v>101</v>
      </c>
      <c r="B19" s="6">
        <v>16</v>
      </c>
      <c r="C19" s="5">
        <v>33</v>
      </c>
      <c r="D19" s="5">
        <v>84</v>
      </c>
      <c r="E19" s="5">
        <v>100</v>
      </c>
      <c r="F19" s="5">
        <v>2637</v>
      </c>
      <c r="H19" s="25">
        <v>2017</v>
      </c>
      <c r="I19" s="25">
        <v>2018</v>
      </c>
      <c r="J19" s="25">
        <v>2019</v>
      </c>
      <c r="K19" s="25">
        <v>2020</v>
      </c>
      <c r="L19" s="25">
        <v>2021</v>
      </c>
    </row>
    <row r="20" spans="1:25">
      <c r="A20" s="115" t="s">
        <v>102</v>
      </c>
      <c r="B20" s="6">
        <v>6154</v>
      </c>
      <c r="C20" s="5">
        <v>16112</v>
      </c>
      <c r="D20" s="5">
        <v>21316</v>
      </c>
      <c r="E20" s="5">
        <v>25352</v>
      </c>
      <c r="F20" s="5">
        <v>33910</v>
      </c>
      <c r="H20" s="5">
        <f>N14+N6-N10</f>
        <v>-25.282213441110372</v>
      </c>
      <c r="I20" s="5">
        <f t="shared" ref="I20:L20" si="9">O14+O6-O10</f>
        <v>-22.267686021696136</v>
      </c>
      <c r="J20" s="5">
        <f t="shared" si="9"/>
        <v>-27.533417385964157</v>
      </c>
      <c r="K20" s="5">
        <f t="shared" si="9"/>
        <v>-26.292397287295557</v>
      </c>
      <c r="L20" s="5">
        <f t="shared" si="9"/>
        <v>-28.620901290806273</v>
      </c>
    </row>
    <row r="21" spans="1:25">
      <c r="A21" s="115" t="s">
        <v>103</v>
      </c>
      <c r="B21" s="6">
        <v>7</v>
      </c>
      <c r="C21" s="5">
        <v>43</v>
      </c>
      <c r="D21" s="5">
        <v>44</v>
      </c>
      <c r="E21" s="5">
        <v>60</v>
      </c>
      <c r="F21" s="5">
        <v>68</v>
      </c>
      <c r="N21" t="s">
        <v>237</v>
      </c>
    </row>
    <row r="22" spans="1:25">
      <c r="A22" s="115" t="s">
        <v>104</v>
      </c>
      <c r="B22" s="6">
        <v>17791</v>
      </c>
      <c r="C22" s="5">
        <v>25669</v>
      </c>
      <c r="D22" s="5">
        <v>4738</v>
      </c>
      <c r="E22" s="5">
        <v>7445</v>
      </c>
      <c r="F22" s="5">
        <v>12053</v>
      </c>
      <c r="N22" s="86" t="s">
        <v>116</v>
      </c>
      <c r="O22" s="86"/>
      <c r="P22" s="86"/>
      <c r="Q22" s="86"/>
    </row>
    <row r="23" spans="1:25">
      <c r="A23" s="115" t="s">
        <v>105</v>
      </c>
      <c r="B23" s="17" t="s">
        <v>6</v>
      </c>
      <c r="C23" s="5">
        <v>494</v>
      </c>
      <c r="D23" s="5">
        <v>303</v>
      </c>
      <c r="E23" s="5">
        <v>1229</v>
      </c>
      <c r="F23" s="5">
        <v>8</v>
      </c>
      <c r="N23" s="36" t="s">
        <v>120</v>
      </c>
      <c r="O23" s="30">
        <v>2019</v>
      </c>
      <c r="P23" s="30">
        <v>2020</v>
      </c>
      <c r="Q23" s="30">
        <v>2021</v>
      </c>
    </row>
    <row r="24" spans="1:25">
      <c r="A24" s="115" t="s">
        <v>106</v>
      </c>
      <c r="B24" s="10">
        <f t="shared" ref="B24:C24" si="10">SUM(B16:B23)</f>
        <v>97862</v>
      </c>
      <c r="C24" s="10">
        <f t="shared" si="10"/>
        <v>186953</v>
      </c>
      <c r="D24" s="10">
        <f>SUM(D16:D23)</f>
        <v>190917</v>
      </c>
      <c r="E24" s="10">
        <f>SUM(E16:E23)</f>
        <v>229165</v>
      </c>
      <c r="F24" s="10">
        <f>SUM(F16:F23)</f>
        <v>261003</v>
      </c>
      <c r="N24" s="36" t="s">
        <v>32</v>
      </c>
      <c r="O24" s="36">
        <v>107.34608245839762</v>
      </c>
      <c r="P24" s="5">
        <v>98.959149363649416</v>
      </c>
      <c r="Q24" s="5">
        <v>98.231283110761609</v>
      </c>
    </row>
    <row r="25" spans="1:25">
      <c r="A25" s="118" t="s">
        <v>107</v>
      </c>
      <c r="B25" s="4">
        <f t="shared" ref="B25:C25" si="11">B14+B24</f>
        <v>121525</v>
      </c>
      <c r="C25" s="4">
        <f t="shared" si="11"/>
        <v>285434</v>
      </c>
      <c r="D25" s="4">
        <f>D14+D24</f>
        <v>349628</v>
      </c>
      <c r="E25" s="4">
        <f>E14+E24</f>
        <v>396704</v>
      </c>
      <c r="F25" s="4">
        <f>F14+F24</f>
        <v>443372</v>
      </c>
      <c r="N25" s="36" t="s">
        <v>119</v>
      </c>
      <c r="O25" s="36">
        <v>161.27513742827648</v>
      </c>
      <c r="P25" s="5">
        <v>157.21196204940691</v>
      </c>
      <c r="Q25" s="5">
        <v>148.72674145755718</v>
      </c>
    </row>
    <row r="26" spans="1:25">
      <c r="A26" s="122"/>
    </row>
    <row r="27" spans="1:25">
      <c r="A27" s="108" t="s">
        <v>108</v>
      </c>
      <c r="B27" s="4"/>
      <c r="C27" s="4"/>
      <c r="D27" s="4"/>
      <c r="E27" s="4"/>
      <c r="F27" s="4"/>
      <c r="N27" s="1" t="s">
        <v>113</v>
      </c>
    </row>
    <row r="28" spans="1:25">
      <c r="A28" s="122"/>
      <c r="B28" s="5">
        <v>1798</v>
      </c>
      <c r="C28" s="5">
        <v>1798</v>
      </c>
      <c r="D28" s="5">
        <v>1798</v>
      </c>
      <c r="E28" s="5">
        <v>1798</v>
      </c>
      <c r="F28" s="5">
        <v>1798</v>
      </c>
      <c r="N28" s="36" t="s">
        <v>120</v>
      </c>
      <c r="O28" s="30">
        <v>2019</v>
      </c>
      <c r="P28" s="25">
        <v>2020</v>
      </c>
      <c r="Q28" s="25">
        <v>2021</v>
      </c>
    </row>
    <row r="29" spans="1:25">
      <c r="A29" s="108" t="s">
        <v>160</v>
      </c>
      <c r="B29" s="5">
        <v>4576</v>
      </c>
      <c r="C29" s="5">
        <v>4576</v>
      </c>
      <c r="D29" s="5">
        <v>4576</v>
      </c>
      <c r="E29" s="5">
        <v>4576</v>
      </c>
      <c r="F29" s="5">
        <v>4576</v>
      </c>
      <c r="N29" s="36" t="s">
        <v>32</v>
      </c>
      <c r="O29" s="36">
        <v>33.951791378801119</v>
      </c>
      <c r="P29" s="5">
        <v>35.670908904404783</v>
      </c>
      <c r="Q29" s="5">
        <v>39.644172515706252</v>
      </c>
    </row>
    <row r="30" spans="1:25">
      <c r="A30" s="115" t="s">
        <v>161</v>
      </c>
      <c r="B30" s="5">
        <v>-52</v>
      </c>
      <c r="C30" s="5">
        <v>-749</v>
      </c>
      <c r="D30" s="5">
        <v>-749</v>
      </c>
      <c r="E30" s="5">
        <v>-749</v>
      </c>
      <c r="F30" s="5">
        <v>-557</v>
      </c>
      <c r="N30" s="36" t="s">
        <v>119</v>
      </c>
      <c r="O30" s="36">
        <v>220.67319792954774</v>
      </c>
      <c r="P30" s="5">
        <v>218.60177304521997</v>
      </c>
      <c r="Q30" s="5">
        <v>213.01100626869663</v>
      </c>
    </row>
    <row r="31" spans="1:25">
      <c r="A31" s="115" t="s">
        <v>162</v>
      </c>
      <c r="B31" s="5">
        <v>16602</v>
      </c>
      <c r="C31" s="5">
        <v>25240</v>
      </c>
      <c r="D31" s="5">
        <v>26502</v>
      </c>
      <c r="E31" s="5">
        <v>28014</v>
      </c>
      <c r="F31" s="5">
        <v>17395</v>
      </c>
    </row>
    <row r="32" spans="1:25">
      <c r="A32" s="115" t="s">
        <v>163</v>
      </c>
      <c r="B32" s="5">
        <v>230</v>
      </c>
      <c r="C32" s="5">
        <v>510</v>
      </c>
      <c r="D32" s="15" t="s">
        <v>6</v>
      </c>
      <c r="E32" s="15" t="s">
        <v>6</v>
      </c>
      <c r="F32" s="15" t="s">
        <v>6</v>
      </c>
      <c r="N32" s="1" t="s">
        <v>114</v>
      </c>
    </row>
    <row r="33" spans="1:17">
      <c r="A33" s="115" t="s">
        <v>164</v>
      </c>
      <c r="B33" s="10">
        <f>SUM(B28:B32)</f>
        <v>23154</v>
      </c>
      <c r="C33" s="10">
        <f>SUM(C28:C32)</f>
        <v>31375</v>
      </c>
      <c r="D33" s="10">
        <f t="shared" ref="D33:F33" si="12">SUM(D28:D32)</f>
        <v>32127</v>
      </c>
      <c r="E33" s="10">
        <f t="shared" si="12"/>
        <v>33639</v>
      </c>
      <c r="F33" s="10">
        <f t="shared" si="12"/>
        <v>23212</v>
      </c>
      <c r="N33" s="36" t="s">
        <v>120</v>
      </c>
      <c r="O33" s="30">
        <v>2019</v>
      </c>
      <c r="P33" s="31">
        <v>2020</v>
      </c>
      <c r="Q33" s="25">
        <v>2021</v>
      </c>
    </row>
    <row r="34" spans="1:17">
      <c r="A34" s="115" t="s">
        <v>165</v>
      </c>
      <c r="B34" s="4"/>
      <c r="C34" s="4"/>
      <c r="D34" s="4"/>
      <c r="E34" s="4"/>
      <c r="F34" s="4"/>
      <c r="N34" s="36" t="s">
        <v>32</v>
      </c>
      <c r="O34" s="36">
        <v>8.6925152643498116</v>
      </c>
      <c r="P34" s="6">
        <v>6.9936882824519602</v>
      </c>
      <c r="Q34" s="5">
        <v>9.9002569792791384</v>
      </c>
    </row>
    <row r="35" spans="1:17">
      <c r="A35" s="118" t="s">
        <v>166</v>
      </c>
      <c r="B35" s="15" t="s">
        <v>6</v>
      </c>
      <c r="C35" s="5">
        <v>45720</v>
      </c>
      <c r="D35" s="5">
        <v>38752</v>
      </c>
      <c r="E35" s="5">
        <v>31733</v>
      </c>
      <c r="F35" s="5">
        <v>28964</v>
      </c>
      <c r="N35" s="36" t="s">
        <v>119</v>
      </c>
      <c r="O35" s="36">
        <v>31.864643115307103</v>
      </c>
      <c r="P35" s="6">
        <v>35.097413708517507</v>
      </c>
      <c r="Q35" s="5">
        <v>35.663363520333192</v>
      </c>
    </row>
    <row r="36" spans="1:17">
      <c r="A36" s="122"/>
      <c r="B36" s="16" t="s">
        <v>6</v>
      </c>
      <c r="C36" s="16" t="s">
        <v>6</v>
      </c>
      <c r="D36" s="12">
        <v>57927</v>
      </c>
      <c r="E36" s="12">
        <v>70702</v>
      </c>
      <c r="F36" s="12">
        <v>68628</v>
      </c>
      <c r="N36" s="79"/>
      <c r="O36" s="79"/>
    </row>
    <row r="37" spans="1:17">
      <c r="A37" s="108" t="s">
        <v>172</v>
      </c>
      <c r="B37" s="15" t="s">
        <v>6</v>
      </c>
      <c r="C37" s="5">
        <v>1785</v>
      </c>
      <c r="D37" s="5">
        <v>270</v>
      </c>
      <c r="E37" s="5">
        <v>175</v>
      </c>
      <c r="F37" s="5">
        <v>94</v>
      </c>
      <c r="N37" s="1" t="s">
        <v>115</v>
      </c>
    </row>
    <row r="38" spans="1:17">
      <c r="A38" s="115" t="s">
        <v>173</v>
      </c>
      <c r="B38" s="15" t="s">
        <v>6</v>
      </c>
      <c r="C38" s="5">
        <v>573</v>
      </c>
      <c r="D38" s="5">
        <v>373</v>
      </c>
      <c r="E38" s="5">
        <v>454</v>
      </c>
      <c r="F38" s="5">
        <v>577</v>
      </c>
      <c r="N38" s="36" t="s">
        <v>120</v>
      </c>
      <c r="O38" s="30">
        <v>2019</v>
      </c>
      <c r="P38" s="25">
        <v>2020</v>
      </c>
      <c r="Q38" s="25">
        <v>2021</v>
      </c>
    </row>
    <row r="39" spans="1:17">
      <c r="A39" s="115" t="s">
        <v>174</v>
      </c>
      <c r="B39" s="5">
        <v>4</v>
      </c>
      <c r="C39" s="5">
        <v>256</v>
      </c>
      <c r="D39" s="15" t="s">
        <v>6</v>
      </c>
      <c r="E39" s="15" t="s">
        <v>6</v>
      </c>
      <c r="F39" s="15" t="s">
        <v>6</v>
      </c>
      <c r="N39" s="36" t="s">
        <v>32</v>
      </c>
      <c r="O39" s="36">
        <v>82.086806343946307</v>
      </c>
      <c r="P39" s="5">
        <v>70.281928741696589</v>
      </c>
      <c r="Q39" s="5">
        <v>68.487367574334485</v>
      </c>
    </row>
    <row r="40" spans="1:17">
      <c r="A40" s="115" t="s">
        <v>175</v>
      </c>
      <c r="B40" s="10">
        <f>SUM(B35:B39)</f>
        <v>4</v>
      </c>
      <c r="C40" s="10">
        <f>SUM(C35:C39)</f>
        <v>48334</v>
      </c>
      <c r="D40" s="10">
        <f t="shared" ref="D40:F40" si="13">SUM(D35:D39)</f>
        <v>97322</v>
      </c>
      <c r="E40" s="10">
        <f t="shared" si="13"/>
        <v>103064</v>
      </c>
      <c r="F40" s="10">
        <f t="shared" si="13"/>
        <v>98263</v>
      </c>
      <c r="N40" s="36" t="s">
        <v>119</v>
      </c>
      <c r="O40" s="36">
        <v>-27.533417385964157</v>
      </c>
      <c r="P40" s="5">
        <v>-26.292397287295557</v>
      </c>
      <c r="Q40" s="5">
        <v>-28.620901290806273</v>
      </c>
    </row>
    <row r="41" spans="1:17">
      <c r="A41" s="115" t="s">
        <v>176</v>
      </c>
      <c r="B41" s="4"/>
      <c r="C41" s="4"/>
      <c r="D41" s="4"/>
      <c r="E41" s="4"/>
      <c r="F41" s="4"/>
    </row>
    <row r="42" spans="1:17">
      <c r="A42" s="115" t="s">
        <v>177</v>
      </c>
      <c r="B42" s="5">
        <v>77698</v>
      </c>
      <c r="C42" s="5">
        <v>155420</v>
      </c>
      <c r="D42" s="5">
        <v>176065</v>
      </c>
      <c r="E42" s="5">
        <v>207862</v>
      </c>
      <c r="F42" s="5">
        <v>237324</v>
      </c>
    </row>
    <row r="43" spans="1:17">
      <c r="A43" s="118" t="s">
        <v>178</v>
      </c>
      <c r="B43" s="5">
        <v>8708</v>
      </c>
      <c r="C43" s="5">
        <v>22435</v>
      </c>
      <c r="D43" s="5">
        <v>12975</v>
      </c>
      <c r="E43" s="5">
        <v>14346</v>
      </c>
      <c r="F43" s="5">
        <v>18003</v>
      </c>
    </row>
    <row r="44" spans="1:17">
      <c r="A44" s="122"/>
      <c r="B44" s="5">
        <v>8579</v>
      </c>
      <c r="C44" s="5">
        <v>6940</v>
      </c>
      <c r="D44" s="5">
        <v>8112</v>
      </c>
      <c r="E44" s="5">
        <v>6604</v>
      </c>
      <c r="F44" s="5">
        <v>7998</v>
      </c>
    </row>
    <row r="45" spans="1:17">
      <c r="A45" s="108" t="s">
        <v>183</v>
      </c>
      <c r="B45" s="15" t="s">
        <v>6</v>
      </c>
      <c r="C45" s="15" t="s">
        <v>6</v>
      </c>
      <c r="D45" s="5">
        <v>10532</v>
      </c>
      <c r="E45" s="5">
        <v>10051</v>
      </c>
      <c r="F45" s="5">
        <v>15797</v>
      </c>
    </row>
    <row r="46" spans="1:17">
      <c r="A46" s="115" t="s">
        <v>184</v>
      </c>
      <c r="B46" s="5">
        <v>780</v>
      </c>
      <c r="C46" s="5">
        <v>13789</v>
      </c>
      <c r="D46" s="5">
        <v>10658</v>
      </c>
      <c r="E46" s="5">
        <v>16195</v>
      </c>
      <c r="F46" s="5">
        <v>40174</v>
      </c>
    </row>
    <row r="47" spans="1:17">
      <c r="A47" s="115" t="s">
        <v>185</v>
      </c>
      <c r="B47" s="5">
        <v>531</v>
      </c>
      <c r="C47" s="5">
        <v>1397</v>
      </c>
      <c r="D47" s="5">
        <v>9</v>
      </c>
      <c r="E47" s="5">
        <v>1643</v>
      </c>
      <c r="F47" s="5">
        <v>9</v>
      </c>
    </row>
    <row r="48" spans="1:17">
      <c r="A48" s="115" t="s">
        <v>186</v>
      </c>
      <c r="B48" s="5">
        <v>1627</v>
      </c>
      <c r="C48" s="5">
        <v>2782</v>
      </c>
      <c r="D48" s="5">
        <v>1460</v>
      </c>
      <c r="E48" s="5">
        <v>2312</v>
      </c>
      <c r="F48" s="5">
        <v>2428</v>
      </c>
    </row>
    <row r="49" spans="1:6">
      <c r="A49" s="115" t="s">
        <v>174</v>
      </c>
      <c r="B49" s="5">
        <v>444</v>
      </c>
      <c r="C49" s="5">
        <v>2962</v>
      </c>
      <c r="D49" s="5">
        <v>368</v>
      </c>
      <c r="E49" s="5">
        <v>988</v>
      </c>
      <c r="F49" s="5">
        <v>164</v>
      </c>
    </row>
    <row r="50" spans="1:6">
      <c r="A50" s="115" t="s">
        <v>173</v>
      </c>
      <c r="B50" s="4">
        <f t="shared" ref="B50:C50" si="14">SUM(B42:B49)</f>
        <v>98367</v>
      </c>
      <c r="C50" s="4">
        <f t="shared" si="14"/>
        <v>205725</v>
      </c>
      <c r="D50" s="4">
        <f>SUM(D42:D49)</f>
        <v>220179</v>
      </c>
      <c r="E50" s="4">
        <f>SUM(E42:E49)</f>
        <v>260001</v>
      </c>
      <c r="F50" s="4">
        <f>SUM(F42:F49)</f>
        <v>321897</v>
      </c>
    </row>
    <row r="51" spans="1:6">
      <c r="A51" s="115" t="s">
        <v>187</v>
      </c>
      <c r="B51" s="4">
        <f t="shared" ref="B51:C51" si="15">B40+B50</f>
        <v>98371</v>
      </c>
      <c r="C51" s="4">
        <f t="shared" si="15"/>
        <v>254059</v>
      </c>
      <c r="D51" s="4">
        <f>D40+D50</f>
        <v>317501</v>
      </c>
      <c r="E51" s="4">
        <f>E40+E50</f>
        <v>363065</v>
      </c>
      <c r="F51" s="4">
        <f>F40+F50</f>
        <v>420160</v>
      </c>
    </row>
    <row r="52" spans="1:6">
      <c r="A52" s="115" t="s">
        <v>188</v>
      </c>
      <c r="B52" s="10">
        <f>B33+B51</f>
        <v>121525</v>
      </c>
      <c r="C52" s="10">
        <f>C33+C51</f>
        <v>285434</v>
      </c>
      <c r="D52" s="10">
        <f>D33+D51</f>
        <v>349628</v>
      </c>
      <c r="E52" s="10">
        <f>E33+E51</f>
        <v>396704</v>
      </c>
      <c r="F52" s="10">
        <f>F33+F51</f>
        <v>443372</v>
      </c>
    </row>
    <row r="53" spans="1:6">
      <c r="A53" s="115" t="s">
        <v>177</v>
      </c>
      <c r="B53" s="1"/>
      <c r="C53" s="1"/>
      <c r="D53" s="1"/>
      <c r="E53" s="1"/>
      <c r="F53" s="1"/>
    </row>
    <row r="54" spans="1:6">
      <c r="A54" s="118" t="s">
        <v>189</v>
      </c>
    </row>
    <row r="61" spans="1:6">
      <c r="A61" s="63" t="s">
        <v>7</v>
      </c>
      <c r="B61" s="63"/>
      <c r="C61" s="63"/>
      <c r="D61" s="63"/>
      <c r="E61" s="63"/>
      <c r="F61" s="63"/>
    </row>
    <row r="62" spans="1:6">
      <c r="A62" s="64"/>
      <c r="B62" s="64"/>
      <c r="C62" s="64"/>
      <c r="D62" s="64"/>
      <c r="E62" s="64"/>
      <c r="F62" s="64"/>
    </row>
    <row r="63" spans="1:6">
      <c r="A63" s="18" t="s">
        <v>8</v>
      </c>
      <c r="B63" s="12">
        <v>198197</v>
      </c>
      <c r="C63" s="12">
        <v>321102</v>
      </c>
      <c r="D63" s="12">
        <v>365216</v>
      </c>
      <c r="E63" s="12">
        <v>417857</v>
      </c>
      <c r="F63" s="12">
        <v>476364</v>
      </c>
    </row>
    <row r="64" spans="1:6">
      <c r="A64" s="2" t="s">
        <v>9</v>
      </c>
      <c r="B64" s="14">
        <v>-151670</v>
      </c>
      <c r="C64" s="12">
        <v>-242463</v>
      </c>
      <c r="D64" s="12">
        <v>-274143</v>
      </c>
      <c r="E64" s="12">
        <v>-320522</v>
      </c>
      <c r="F64" s="12">
        <v>-381419</v>
      </c>
    </row>
    <row r="65" spans="1:7">
      <c r="A65" s="19" t="s">
        <v>10</v>
      </c>
      <c r="B65" s="10">
        <f t="shared" ref="B65:E65" si="16">B63+B64</f>
        <v>46527</v>
      </c>
      <c r="C65" s="10">
        <f t="shared" si="16"/>
        <v>78639</v>
      </c>
      <c r="D65" s="10">
        <f t="shared" si="16"/>
        <v>91073</v>
      </c>
      <c r="E65" s="10">
        <f t="shared" si="16"/>
        <v>97335</v>
      </c>
      <c r="F65" s="10">
        <f>F63+F64</f>
        <v>94945</v>
      </c>
    </row>
    <row r="66" spans="1:7" ht="28.8">
      <c r="A66" s="3" t="s">
        <v>11</v>
      </c>
      <c r="B66" s="5">
        <v>-40754</v>
      </c>
      <c r="C66" s="5">
        <v>-69234</v>
      </c>
      <c r="D66" s="5">
        <v>-72546</v>
      </c>
      <c r="E66" s="5">
        <v>-78818</v>
      </c>
      <c r="F66" s="5">
        <v>-87192</v>
      </c>
    </row>
    <row r="67" spans="1:7">
      <c r="A67" s="3" t="s">
        <v>12</v>
      </c>
      <c r="B67" s="5">
        <v>2623</v>
      </c>
      <c r="C67" s="5">
        <v>6079</v>
      </c>
      <c r="D67" s="5">
        <v>6408</v>
      </c>
      <c r="E67" s="5">
        <v>4987</v>
      </c>
      <c r="F67" s="5">
        <v>6403</v>
      </c>
    </row>
    <row r="68" spans="1:7">
      <c r="A68" s="3" t="s">
        <v>13</v>
      </c>
      <c r="B68" s="5">
        <v>-216</v>
      </c>
      <c r="C68" s="5">
        <v>-801</v>
      </c>
      <c r="D68" s="5">
        <v>-821</v>
      </c>
      <c r="E68" s="5">
        <v>-577</v>
      </c>
      <c r="F68" s="5">
        <v>-414</v>
      </c>
    </row>
    <row r="69" spans="1:7">
      <c r="A69" s="9" t="s">
        <v>14</v>
      </c>
      <c r="B69" s="4">
        <f t="shared" ref="B69:E69" si="17">SUM(B65:B68)</f>
        <v>8180</v>
      </c>
      <c r="C69" s="4">
        <f t="shared" si="17"/>
        <v>14683</v>
      </c>
      <c r="D69" s="4">
        <f t="shared" si="17"/>
        <v>24114</v>
      </c>
      <c r="E69" s="4">
        <f t="shared" si="17"/>
        <v>22927</v>
      </c>
      <c r="F69" s="4">
        <f>SUM(F65:F68)</f>
        <v>13742</v>
      </c>
      <c r="G69" s="1"/>
    </row>
    <row r="70" spans="1:7">
      <c r="A70" s="2" t="s">
        <v>15</v>
      </c>
      <c r="B70" s="5">
        <v>659</v>
      </c>
      <c r="C70" s="5">
        <v>509</v>
      </c>
      <c r="D70" s="5">
        <v>295</v>
      </c>
      <c r="E70" s="5">
        <v>491</v>
      </c>
      <c r="F70" s="5">
        <v>164</v>
      </c>
    </row>
    <row r="71" spans="1:7">
      <c r="A71" s="2" t="s">
        <v>16</v>
      </c>
      <c r="B71" s="15" t="s">
        <v>6</v>
      </c>
      <c r="C71" s="5">
        <v>-3617</v>
      </c>
      <c r="D71" s="5">
        <v>-12961</v>
      </c>
      <c r="E71" s="5">
        <v>-12733</v>
      </c>
      <c r="F71" s="5">
        <v>-14417</v>
      </c>
    </row>
    <row r="72" spans="1:7" ht="28.8">
      <c r="A72" s="3" t="s">
        <v>17</v>
      </c>
      <c r="B72" s="15" t="s">
        <v>6</v>
      </c>
      <c r="C72" s="15" t="s">
        <v>6</v>
      </c>
      <c r="D72" s="15" t="s">
        <v>6</v>
      </c>
      <c r="E72" s="13" t="s">
        <v>6</v>
      </c>
      <c r="F72" s="5">
        <v>4576</v>
      </c>
    </row>
    <row r="73" spans="1:7" ht="28.8">
      <c r="A73" s="3" t="s">
        <v>18</v>
      </c>
      <c r="B73" s="15" t="s">
        <v>6</v>
      </c>
      <c r="C73" s="15" t="s">
        <v>6</v>
      </c>
      <c r="D73" s="5">
        <v>-1955</v>
      </c>
      <c r="E73" s="5">
        <v>-2468</v>
      </c>
      <c r="F73" s="5">
        <v>-945</v>
      </c>
    </row>
    <row r="74" spans="1:7">
      <c r="A74" s="9" t="s">
        <v>19</v>
      </c>
      <c r="B74" s="4">
        <f t="shared" ref="B74:D74" si="18">SUM(B69:B73)</f>
        <v>8839</v>
      </c>
      <c r="C74" s="4">
        <f t="shared" si="18"/>
        <v>11575</v>
      </c>
      <c r="D74" s="4">
        <f t="shared" si="18"/>
        <v>9493</v>
      </c>
      <c r="E74" s="4">
        <f>SUM(E69:E73)</f>
        <v>8217</v>
      </c>
      <c r="F74" s="4">
        <f>SUM(F69:F73)</f>
        <v>3120</v>
      </c>
    </row>
    <row r="75" spans="1:7">
      <c r="A75" s="2" t="s">
        <v>20</v>
      </c>
      <c r="B75" s="5">
        <v>-1885</v>
      </c>
      <c r="C75" s="5">
        <v>-3210</v>
      </c>
      <c r="D75" s="5">
        <v>-2359</v>
      </c>
      <c r="E75" s="5">
        <v>-1676</v>
      </c>
      <c r="F75" s="5">
        <v>-740</v>
      </c>
    </row>
    <row r="76" spans="1:7" ht="28.8">
      <c r="A76" s="11" t="s">
        <v>21</v>
      </c>
      <c r="B76" s="4">
        <f t="shared" ref="B76:E76" si="19">B74+B75</f>
        <v>6954</v>
      </c>
      <c r="C76" s="4">
        <f t="shared" si="19"/>
        <v>8365</v>
      </c>
      <c r="D76" s="4">
        <f t="shared" si="19"/>
        <v>7134</v>
      </c>
      <c r="E76" s="4">
        <f t="shared" si="19"/>
        <v>6541</v>
      </c>
      <c r="F76" s="4">
        <f>F74+F75</f>
        <v>2380</v>
      </c>
    </row>
    <row r="77" spans="1:7">
      <c r="A77" s="2" t="s">
        <v>22</v>
      </c>
      <c r="B77" s="5">
        <v>38.729999999999997</v>
      </c>
      <c r="C77" s="5">
        <v>48.04</v>
      </c>
      <c r="D77" s="5">
        <v>40.130000000000003</v>
      </c>
      <c r="E77" s="5">
        <v>36.79</v>
      </c>
      <c r="F77" s="5">
        <v>13.36</v>
      </c>
    </row>
    <row r="78" spans="1:7">
      <c r="A78" s="2" t="s">
        <v>23</v>
      </c>
      <c r="B78" s="5">
        <v>38.729999999999997</v>
      </c>
      <c r="C78" s="5">
        <v>48.04</v>
      </c>
      <c r="D78" s="5">
        <v>40.130000000000003</v>
      </c>
      <c r="E78" s="5">
        <v>36.74</v>
      </c>
      <c r="F78" s="5">
        <v>13.32</v>
      </c>
    </row>
    <row r="79" spans="1:7" ht="43.2">
      <c r="A79" s="20" t="s">
        <v>24</v>
      </c>
      <c r="B79" s="23" t="s">
        <v>6</v>
      </c>
      <c r="C79" s="23" t="s">
        <v>6</v>
      </c>
      <c r="D79" s="10">
        <v>9089</v>
      </c>
      <c r="E79" s="10">
        <v>9009</v>
      </c>
      <c r="F79" s="10">
        <v>3325</v>
      </c>
    </row>
    <row r="136" spans="3:23" ht="28.8">
      <c r="C136" s="59" t="s">
        <v>33</v>
      </c>
      <c r="D136" s="59"/>
      <c r="E136" s="59"/>
      <c r="F136" s="59"/>
      <c r="G136" s="59"/>
      <c r="H136" s="59"/>
      <c r="I136" s="59"/>
      <c r="J136" s="32"/>
    </row>
    <row r="137" spans="3:23" ht="28.8">
      <c r="C137" s="59"/>
      <c r="D137" s="59"/>
      <c r="E137" s="59"/>
      <c r="F137" s="59"/>
      <c r="G137" s="59"/>
      <c r="H137" s="59"/>
      <c r="I137" s="59"/>
      <c r="J137" s="32"/>
    </row>
    <row r="139" spans="3:23" ht="28.8">
      <c r="E139" s="75" t="s">
        <v>109</v>
      </c>
      <c r="F139" s="76">
        <v>2018</v>
      </c>
      <c r="G139" s="76">
        <v>2019</v>
      </c>
      <c r="H139" s="76">
        <v>2020</v>
      </c>
      <c r="I139" s="76">
        <v>2021</v>
      </c>
      <c r="J139" s="33"/>
      <c r="Q139" s="79"/>
      <c r="R139" s="79"/>
      <c r="S139" s="79"/>
      <c r="T139" s="79"/>
      <c r="U139" s="79"/>
      <c r="V139" s="79"/>
      <c r="W139" s="79"/>
    </row>
    <row r="140" spans="3:23">
      <c r="C140" s="34" t="s">
        <v>35</v>
      </c>
      <c r="D140" s="24"/>
      <c r="E140" s="77" t="s">
        <v>41</v>
      </c>
      <c r="F140" s="36">
        <f>(B22+B17)/(B50)</f>
        <v>0.39266217328982278</v>
      </c>
      <c r="G140" s="36">
        <f>(C22+C17)/(C50)</f>
        <v>0.26880544416089441</v>
      </c>
      <c r="H140" s="36">
        <f>(D22+D17)/(D50)</f>
        <v>0.17655634733557696</v>
      </c>
      <c r="I140" s="36">
        <f>(E22+E17)/(E50)</f>
        <v>0.20641843685216596</v>
      </c>
      <c r="J140" s="35"/>
      <c r="K140" s="74" t="s">
        <v>38</v>
      </c>
      <c r="L140" s="81" t="s">
        <v>110</v>
      </c>
      <c r="M140" s="81"/>
      <c r="N140" s="81"/>
      <c r="O140" s="81"/>
      <c r="P140" s="81"/>
      <c r="Q140" s="80"/>
      <c r="R140" s="80"/>
      <c r="S140" s="80"/>
      <c r="T140" s="80"/>
      <c r="U140" s="80"/>
      <c r="V140" s="80"/>
      <c r="W140" s="80"/>
    </row>
    <row r="141" spans="3:23">
      <c r="C141" t="s">
        <v>40</v>
      </c>
      <c r="E141" s="10"/>
      <c r="F141" s="36"/>
      <c r="G141" s="36"/>
      <c r="H141" s="36"/>
      <c r="I141" s="36"/>
      <c r="K141" s="74"/>
      <c r="L141" s="81"/>
      <c r="M141" s="81"/>
      <c r="N141" s="81"/>
      <c r="O141" s="81"/>
      <c r="P141" s="81"/>
      <c r="Q141" s="80"/>
      <c r="R141" s="80"/>
      <c r="S141" s="80"/>
      <c r="T141" s="80"/>
      <c r="U141" s="80"/>
      <c r="V141" s="80"/>
      <c r="W141" s="80"/>
    </row>
    <row r="142" spans="3:23">
      <c r="C142" s="34" t="s">
        <v>42</v>
      </c>
      <c r="D142" s="24"/>
      <c r="E142" s="77" t="s">
        <v>45</v>
      </c>
      <c r="F142" s="36">
        <f>(B22+B17+B19+B20)/B50</f>
        <v>0.45538646090660484</v>
      </c>
      <c r="G142" s="36">
        <f>(C22+C17+C19+C20)/C50</f>
        <v>0.34728399562522783</v>
      </c>
      <c r="H142" s="36">
        <f>(D22+D17+D19+D20)/D50</f>
        <v>0.273749994322801</v>
      </c>
      <c r="I142" s="36">
        <f>(E22+E17+E19+E20)/E50</f>
        <v>0.30431036803704603</v>
      </c>
      <c r="K142" s="74"/>
      <c r="L142" s="81" t="s">
        <v>43</v>
      </c>
      <c r="M142" s="81"/>
      <c r="N142" s="81"/>
      <c r="O142" s="81"/>
      <c r="P142" s="81"/>
      <c r="Q142" s="80"/>
      <c r="R142" s="80"/>
      <c r="S142" s="80"/>
      <c r="T142" s="80"/>
      <c r="U142" s="80"/>
      <c r="V142" s="80"/>
      <c r="W142" s="80"/>
    </row>
    <row r="143" spans="3:23">
      <c r="C143" t="s">
        <v>44</v>
      </c>
      <c r="E143" s="10"/>
      <c r="F143" s="36"/>
      <c r="G143" s="36"/>
      <c r="H143" s="36"/>
      <c r="I143" s="36"/>
      <c r="K143" s="74"/>
      <c r="L143" s="81"/>
      <c r="M143" s="81"/>
      <c r="N143" s="81"/>
      <c r="O143" s="81"/>
      <c r="P143" s="81"/>
      <c r="Q143" s="80"/>
      <c r="R143" s="80"/>
      <c r="S143" s="80"/>
      <c r="T143" s="80"/>
      <c r="U143" s="80"/>
      <c r="V143" s="80"/>
      <c r="W143" s="80"/>
    </row>
    <row r="144" spans="3:23">
      <c r="C144" s="34" t="s">
        <v>46</v>
      </c>
      <c r="D144" s="24"/>
      <c r="E144" s="77" t="s">
        <v>49</v>
      </c>
      <c r="F144" s="36">
        <f>B24/B50</f>
        <v>0.99486616446572529</v>
      </c>
      <c r="G144" s="36">
        <f>C24/C50</f>
        <v>0.90875197472353875</v>
      </c>
      <c r="H144" s="36">
        <f>D24/D50</f>
        <v>0.86709904214298361</v>
      </c>
      <c r="I144" s="36">
        <f>E24/E50</f>
        <v>0.88140045615209173</v>
      </c>
      <c r="K144" s="74"/>
      <c r="L144" s="81" t="s">
        <v>47</v>
      </c>
      <c r="M144" s="81"/>
      <c r="N144" s="81"/>
      <c r="O144" s="81"/>
      <c r="P144" s="81"/>
      <c r="Q144" s="80"/>
      <c r="R144" s="80"/>
      <c r="S144" s="80"/>
      <c r="T144" s="80"/>
      <c r="U144" s="80"/>
      <c r="V144" s="80"/>
      <c r="W144" s="80"/>
    </row>
    <row r="145" spans="3:23">
      <c r="C145" t="s">
        <v>48</v>
      </c>
      <c r="E145" s="10"/>
      <c r="F145" s="36"/>
      <c r="G145" s="36"/>
      <c r="H145" s="36"/>
      <c r="I145" s="36" t="s">
        <v>90</v>
      </c>
      <c r="K145" s="74"/>
      <c r="L145" s="81"/>
      <c r="M145" s="81"/>
      <c r="N145" s="81"/>
      <c r="O145" s="81"/>
      <c r="P145" s="81"/>
      <c r="Q145" s="80"/>
      <c r="R145" s="80"/>
      <c r="S145" s="80"/>
      <c r="T145" s="80"/>
      <c r="U145" s="80"/>
      <c r="V145" s="80"/>
      <c r="W145" s="80"/>
    </row>
    <row r="146" spans="3:23">
      <c r="C146" s="34" t="s">
        <v>50</v>
      </c>
      <c r="D146" s="24"/>
      <c r="E146" s="77" t="s">
        <v>53</v>
      </c>
      <c r="F146" s="36">
        <f>B33/B51</f>
        <v>0.23537424647507904</v>
      </c>
      <c r="G146" s="36">
        <f>C33/C51</f>
        <v>0.12349493621560347</v>
      </c>
      <c r="H146" s="36">
        <f>D33/D51</f>
        <v>0.10118708287532953</v>
      </c>
      <c r="I146" s="36">
        <f>E33/E51</f>
        <v>9.2652830760332178E-2</v>
      </c>
      <c r="K146" s="74"/>
      <c r="L146" s="81" t="s">
        <v>51</v>
      </c>
      <c r="M146" s="81"/>
      <c r="N146" s="81"/>
      <c r="O146" s="81"/>
      <c r="P146" s="81"/>
      <c r="Q146" s="80"/>
      <c r="R146" s="80"/>
      <c r="S146" s="80"/>
      <c r="T146" s="80"/>
      <c r="U146" s="80"/>
      <c r="V146" s="80"/>
      <c r="W146" s="80"/>
    </row>
    <row r="147" spans="3:23">
      <c r="C147" t="s">
        <v>52</v>
      </c>
      <c r="E147" s="10"/>
      <c r="F147" s="78"/>
      <c r="G147" s="78"/>
      <c r="H147" s="78"/>
      <c r="I147" s="78"/>
      <c r="K147" s="74"/>
      <c r="L147" s="81"/>
      <c r="M147" s="81"/>
      <c r="N147" s="81"/>
      <c r="O147" s="81"/>
      <c r="P147" s="81"/>
      <c r="Q147" s="80"/>
      <c r="R147" s="80"/>
      <c r="S147" s="80"/>
      <c r="T147" s="80"/>
      <c r="U147" s="80"/>
      <c r="V147" s="80"/>
      <c r="W147" s="80"/>
    </row>
    <row r="148" spans="3:23">
      <c r="C148" s="34" t="s">
        <v>54</v>
      </c>
      <c r="D148" s="24"/>
      <c r="E148" s="77" t="s">
        <v>57</v>
      </c>
      <c r="F148" s="78">
        <f>B69/B63</f>
        <v>4.1272067690227399E-2</v>
      </c>
      <c r="G148" s="78">
        <f>C69/C63</f>
        <v>4.5726902977869958E-2</v>
      </c>
      <c r="H148" s="78">
        <f>D69/D63</f>
        <v>6.602668010163848E-2</v>
      </c>
      <c r="I148" s="78">
        <f>E69/E63</f>
        <v>5.4868052946342886E-2</v>
      </c>
      <c r="K148" s="74"/>
      <c r="L148" s="81" t="s">
        <v>111</v>
      </c>
      <c r="M148" s="81"/>
      <c r="N148" s="81"/>
      <c r="O148" s="81"/>
      <c r="P148" s="81"/>
      <c r="Q148" s="80"/>
      <c r="R148" s="80"/>
      <c r="S148" s="80"/>
      <c r="T148" s="80"/>
      <c r="U148" s="80"/>
      <c r="V148" s="80"/>
      <c r="W148" s="80"/>
    </row>
    <row r="149" spans="3:23">
      <c r="C149" t="s">
        <v>56</v>
      </c>
      <c r="Q149" s="79"/>
      <c r="R149" s="79"/>
      <c r="S149" s="79"/>
      <c r="T149" s="79"/>
      <c r="U149" s="79"/>
      <c r="V149" s="79"/>
      <c r="W149" s="79"/>
    </row>
    <row r="151" spans="3:23">
      <c r="F151" s="54"/>
      <c r="G151" s="54"/>
      <c r="H151" s="54"/>
      <c r="I151" s="54"/>
      <c r="J151" s="29"/>
    </row>
    <row r="152" spans="3:23">
      <c r="F152" s="54"/>
      <c r="G152" s="54"/>
      <c r="H152" s="54"/>
      <c r="I152" s="54"/>
      <c r="J152" s="29"/>
    </row>
    <row r="154" spans="3:23">
      <c r="I154" s="37" t="s">
        <v>58</v>
      </c>
    </row>
    <row r="155" spans="3:23" ht="15" thickBot="1">
      <c r="I155" s="55" t="s">
        <v>59</v>
      </c>
      <c r="J155" s="57" t="s">
        <v>34</v>
      </c>
      <c r="K155" s="38">
        <v>2020</v>
      </c>
      <c r="L155" s="38">
        <v>2020</v>
      </c>
      <c r="M155" s="38">
        <v>2019</v>
      </c>
      <c r="N155" s="38">
        <v>2019</v>
      </c>
      <c r="P155" s="39" t="s">
        <v>60</v>
      </c>
    </row>
    <row r="156" spans="3:23">
      <c r="C156" s="40" t="s">
        <v>59</v>
      </c>
      <c r="D156" s="41" t="s">
        <v>61</v>
      </c>
      <c r="E156" s="41" t="s">
        <v>62</v>
      </c>
      <c r="F156" s="41" t="s">
        <v>63</v>
      </c>
      <c r="I156" s="56"/>
      <c r="J156" s="58"/>
      <c r="K156" s="42" t="s">
        <v>36</v>
      </c>
      <c r="L156" s="42" t="s">
        <v>37</v>
      </c>
      <c r="M156" s="42" t="s">
        <v>36</v>
      </c>
      <c r="N156" s="42" t="s">
        <v>37</v>
      </c>
      <c r="P156" s="43"/>
    </row>
    <row r="157" spans="3:23">
      <c r="C157" s="44" t="s">
        <v>64</v>
      </c>
      <c r="D157" s="45" t="s">
        <v>65</v>
      </c>
      <c r="E157" s="45" t="s">
        <v>66</v>
      </c>
      <c r="F157" s="45" t="s">
        <v>67</v>
      </c>
      <c r="I157" s="46">
        <v>0.11</v>
      </c>
      <c r="J157" s="43"/>
      <c r="K157" s="46">
        <v>1</v>
      </c>
      <c r="L157" s="46">
        <v>1</v>
      </c>
      <c r="M157" s="46">
        <v>2</v>
      </c>
      <c r="N157" s="46">
        <v>1</v>
      </c>
      <c r="P157" s="43" t="s">
        <v>68</v>
      </c>
    </row>
    <row r="158" spans="3:23">
      <c r="C158" s="44" t="s">
        <v>69</v>
      </c>
      <c r="D158" s="45" t="s">
        <v>70</v>
      </c>
      <c r="E158" s="45" t="s">
        <v>71</v>
      </c>
      <c r="F158" s="45" t="s">
        <v>72</v>
      </c>
      <c r="I158" s="46">
        <v>0.05</v>
      </c>
      <c r="J158" s="43"/>
      <c r="K158" s="46">
        <v>3</v>
      </c>
      <c r="L158" s="46">
        <v>3</v>
      </c>
      <c r="M158" s="46">
        <v>3</v>
      </c>
      <c r="N158" s="46">
        <v>3</v>
      </c>
      <c r="P158" s="43" t="s">
        <v>73</v>
      </c>
    </row>
    <row r="159" spans="3:23">
      <c r="C159" s="44" t="s">
        <v>74</v>
      </c>
      <c r="D159" s="45" t="s">
        <v>75</v>
      </c>
      <c r="E159" s="45" t="s">
        <v>76</v>
      </c>
      <c r="F159" s="45" t="s">
        <v>77</v>
      </c>
      <c r="I159" s="46">
        <v>0.42</v>
      </c>
      <c r="J159" s="43"/>
      <c r="K159" s="46">
        <v>3</v>
      </c>
      <c r="L159" s="46">
        <v>3</v>
      </c>
      <c r="M159" s="46">
        <v>3</v>
      </c>
      <c r="N159" s="46">
        <v>3</v>
      </c>
      <c r="P159" s="43" t="s">
        <v>78</v>
      </c>
    </row>
    <row r="160" spans="3:23">
      <c r="C160" s="44" t="s">
        <v>79</v>
      </c>
      <c r="D160" s="45" t="s">
        <v>80</v>
      </c>
      <c r="E160" s="45" t="s">
        <v>81</v>
      </c>
      <c r="F160" s="45" t="s">
        <v>82</v>
      </c>
      <c r="I160" s="46">
        <v>0.21</v>
      </c>
      <c r="J160" s="43"/>
      <c r="K160" s="46">
        <v>3</v>
      </c>
      <c r="L160" s="46">
        <v>3</v>
      </c>
      <c r="M160" s="46">
        <v>3</v>
      </c>
      <c r="N160" s="46">
        <v>3</v>
      </c>
    </row>
    <row r="161" spans="3:14" ht="29.4" thickBot="1">
      <c r="C161" s="47" t="s">
        <v>83</v>
      </c>
      <c r="D161" s="48" t="s">
        <v>84</v>
      </c>
      <c r="E161" s="48" t="s">
        <v>85</v>
      </c>
      <c r="F161" s="48" t="s">
        <v>86</v>
      </c>
      <c r="I161" s="46">
        <v>0.21</v>
      </c>
      <c r="J161" s="43"/>
      <c r="K161" s="46">
        <v>3</v>
      </c>
      <c r="L161" s="46">
        <v>3</v>
      </c>
      <c r="M161" s="46">
        <v>3</v>
      </c>
      <c r="N161" s="46">
        <v>3</v>
      </c>
    </row>
    <row r="162" spans="3:14">
      <c r="G162" s="49"/>
      <c r="H162" s="49"/>
      <c r="I162" s="50" t="s">
        <v>87</v>
      </c>
      <c r="J162" s="43"/>
      <c r="K162" s="51">
        <f>K157*$I157+K158*$I$158+K159*$I$159+K160*$I$160+K161*$I$161</f>
        <v>2.78</v>
      </c>
      <c r="L162" s="51">
        <f t="shared" ref="L162:N162" si="20">L157*$I157+L158*$I$158+L159*$I$159+L160*$I$160+L161*$I$161</f>
        <v>2.78</v>
      </c>
      <c r="M162" s="51">
        <f>M157*$I157+M158*$I$158+M159*$I$159+M160*$I$160+M161*$I$161</f>
        <v>2.8899999999999997</v>
      </c>
      <c r="N162" s="51">
        <f t="shared" si="20"/>
        <v>2.78</v>
      </c>
    </row>
    <row r="163" spans="3:14">
      <c r="I163" s="50" t="s">
        <v>88</v>
      </c>
      <c r="J163" s="43"/>
      <c r="K163" s="51" t="s">
        <v>89</v>
      </c>
      <c r="L163" s="51" t="s">
        <v>89</v>
      </c>
      <c r="M163" s="51" t="s">
        <v>89</v>
      </c>
      <c r="N163" s="51" t="s">
        <v>89</v>
      </c>
    </row>
  </sheetData>
  <mergeCells count="26">
    <mergeCell ref="U4:Y4"/>
    <mergeCell ref="U8:Y8"/>
    <mergeCell ref="U12:Y12"/>
    <mergeCell ref="U16:Y16"/>
    <mergeCell ref="AA4:AE4"/>
    <mergeCell ref="AA8:AE8"/>
    <mergeCell ref="AA12:AE12"/>
    <mergeCell ref="H18:L18"/>
    <mergeCell ref="A61:F62"/>
    <mergeCell ref="A1:F1"/>
    <mergeCell ref="H4:L4"/>
    <mergeCell ref="N4:R4"/>
    <mergeCell ref="N8:R8"/>
    <mergeCell ref="H8:L8"/>
    <mergeCell ref="N12:R12"/>
    <mergeCell ref="H12:L12"/>
    <mergeCell ref="F151:I152"/>
    <mergeCell ref="I155:I156"/>
    <mergeCell ref="J155:J156"/>
    <mergeCell ref="C136:I137"/>
    <mergeCell ref="K140:K148"/>
    <mergeCell ref="L142:P143"/>
    <mergeCell ref="L144:P145"/>
    <mergeCell ref="L146:P147"/>
    <mergeCell ref="L148:P148"/>
    <mergeCell ref="L140:P14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6CD84-0425-4070-A5FB-205F02194E2F}">
  <dimension ref="A1:K79"/>
  <sheetViews>
    <sheetView zoomScale="54" workbookViewId="0">
      <selection activeCell="A54" sqref="A3:A54"/>
    </sheetView>
  </sheetViews>
  <sheetFormatPr defaultColWidth="12.6640625" defaultRowHeight="15.75" customHeight="1"/>
  <cols>
    <col min="1" max="1" width="138.21875" customWidth="1"/>
  </cols>
  <sheetData>
    <row r="1" spans="1:11" ht="15.75" customHeight="1">
      <c r="A1" s="102" t="s">
        <v>138</v>
      </c>
      <c r="B1" s="103"/>
      <c r="C1" s="103"/>
      <c r="D1" s="103"/>
      <c r="E1" s="103"/>
      <c r="F1" s="103"/>
      <c r="G1" s="103"/>
      <c r="H1" s="103"/>
      <c r="I1" s="103"/>
      <c r="J1" s="103"/>
      <c r="K1" s="104"/>
    </row>
    <row r="2" spans="1:11" ht="15.75" customHeight="1">
      <c r="A2" s="105"/>
      <c r="B2" s="106">
        <v>2017</v>
      </c>
      <c r="C2" s="107" t="s">
        <v>139</v>
      </c>
      <c r="D2" s="107">
        <v>2018</v>
      </c>
      <c r="E2" s="107" t="s">
        <v>139</v>
      </c>
      <c r="F2" s="107">
        <v>2019</v>
      </c>
      <c r="G2" s="107" t="s">
        <v>139</v>
      </c>
      <c r="H2" s="107">
        <v>2020</v>
      </c>
      <c r="I2" s="107" t="s">
        <v>139</v>
      </c>
      <c r="J2" s="107">
        <v>2021</v>
      </c>
      <c r="K2" s="107" t="s">
        <v>139</v>
      </c>
    </row>
    <row r="3" spans="1:11" ht="15.75" customHeight="1">
      <c r="A3" s="108" t="s">
        <v>91</v>
      </c>
      <c r="B3" s="109"/>
      <c r="C3" s="110"/>
      <c r="D3" s="110"/>
      <c r="E3" s="110"/>
      <c r="F3" s="110"/>
      <c r="G3" s="110"/>
      <c r="H3" s="110"/>
      <c r="I3" s="110"/>
      <c r="J3" s="110"/>
      <c r="K3" s="110"/>
    </row>
    <row r="4" spans="1:11" ht="15.75" customHeight="1">
      <c r="A4" s="111" t="s">
        <v>140</v>
      </c>
      <c r="B4" s="112"/>
      <c r="C4" s="113"/>
      <c r="D4" s="114"/>
      <c r="E4" s="114"/>
      <c r="F4" s="114"/>
      <c r="G4" s="114"/>
      <c r="H4" s="114"/>
      <c r="I4" s="114"/>
      <c r="J4" s="114"/>
      <c r="K4" s="114"/>
    </row>
    <row r="5" spans="1:11" ht="15.75" customHeight="1">
      <c r="A5" s="115" t="s">
        <v>141</v>
      </c>
      <c r="B5" s="109">
        <v>7936</v>
      </c>
      <c r="C5" s="116">
        <v>0.34</v>
      </c>
      <c r="D5" s="110">
        <v>20734</v>
      </c>
      <c r="E5" s="116">
        <v>0.88</v>
      </c>
      <c r="F5" s="110">
        <v>19777</v>
      </c>
      <c r="G5" s="116">
        <v>0.12</v>
      </c>
      <c r="H5" s="110">
        <v>17025</v>
      </c>
      <c r="I5" s="116">
        <v>0.1</v>
      </c>
      <c r="J5" s="110">
        <v>17675</v>
      </c>
      <c r="K5" s="116">
        <v>0.1</v>
      </c>
    </row>
    <row r="6" spans="1:11" ht="15.75" customHeight="1">
      <c r="A6" s="115" t="s">
        <v>92</v>
      </c>
      <c r="B6" s="109" t="s">
        <v>6</v>
      </c>
      <c r="C6" s="117"/>
      <c r="D6" s="110">
        <v>575</v>
      </c>
      <c r="E6" s="117"/>
      <c r="F6" s="110">
        <v>349</v>
      </c>
      <c r="G6" s="116">
        <v>0</v>
      </c>
      <c r="H6" s="110">
        <v>211</v>
      </c>
      <c r="I6" s="116">
        <v>0</v>
      </c>
      <c r="J6" s="110">
        <v>194</v>
      </c>
      <c r="K6" s="116">
        <v>0</v>
      </c>
    </row>
    <row r="7" spans="1:11" ht="15.75" customHeight="1">
      <c r="A7" s="115" t="s">
        <v>93</v>
      </c>
      <c r="B7" s="109">
        <v>7999</v>
      </c>
      <c r="C7" s="116">
        <v>0.34</v>
      </c>
      <c r="D7" s="110">
        <v>68767</v>
      </c>
      <c r="E7" s="116">
        <v>0.7</v>
      </c>
      <c r="F7" s="110">
        <v>20063</v>
      </c>
      <c r="G7" s="116">
        <v>0.13</v>
      </c>
      <c r="H7" s="110">
        <v>21870</v>
      </c>
      <c r="I7" s="116">
        <v>0.13</v>
      </c>
      <c r="J7" s="110">
        <v>27830</v>
      </c>
      <c r="K7" s="116">
        <v>0.15</v>
      </c>
    </row>
    <row r="8" spans="1:11" ht="15.75" customHeight="1">
      <c r="A8" s="115" t="s">
        <v>94</v>
      </c>
      <c r="B8" s="109" t="s">
        <v>6</v>
      </c>
      <c r="C8" s="117"/>
      <c r="D8" s="110" t="s">
        <v>6</v>
      </c>
      <c r="E8" s="117"/>
      <c r="F8" s="110">
        <v>48975</v>
      </c>
      <c r="G8" s="116">
        <v>0.31</v>
      </c>
      <c r="H8" s="110">
        <v>48975</v>
      </c>
      <c r="I8" s="116">
        <v>0.28999999999999998</v>
      </c>
      <c r="J8" s="110">
        <v>50007</v>
      </c>
      <c r="K8" s="116">
        <v>0.27</v>
      </c>
    </row>
    <row r="9" spans="1:11" ht="15.75" customHeight="1">
      <c r="A9" s="115" t="s">
        <v>142</v>
      </c>
      <c r="B9" s="109" t="s">
        <v>6</v>
      </c>
      <c r="C9" s="117"/>
      <c r="D9" s="110" t="s">
        <v>6</v>
      </c>
      <c r="E9" s="117"/>
      <c r="F9" s="110">
        <v>62832</v>
      </c>
      <c r="G9" s="116">
        <v>0.4</v>
      </c>
      <c r="H9" s="110">
        <v>71593</v>
      </c>
      <c r="I9" s="116">
        <v>0.43</v>
      </c>
      <c r="J9" s="110">
        <v>74075</v>
      </c>
      <c r="K9" s="116">
        <v>0.41</v>
      </c>
    </row>
    <row r="10" spans="1:11" ht="15.75" customHeight="1">
      <c r="A10" s="115" t="s">
        <v>143</v>
      </c>
      <c r="B10" s="109" t="s">
        <v>6</v>
      </c>
      <c r="C10" s="117"/>
      <c r="D10" s="110" t="s">
        <v>6</v>
      </c>
      <c r="E10" s="117"/>
      <c r="F10" s="110">
        <v>1982</v>
      </c>
      <c r="G10" s="116">
        <v>0.01</v>
      </c>
      <c r="H10" s="110">
        <v>1244</v>
      </c>
      <c r="I10" s="116">
        <v>0.01</v>
      </c>
      <c r="J10" s="110">
        <v>15</v>
      </c>
      <c r="K10" s="116">
        <v>0</v>
      </c>
    </row>
    <row r="11" spans="1:11" ht="15.75" customHeight="1">
      <c r="A11" s="115" t="s">
        <v>95</v>
      </c>
      <c r="B11" s="109">
        <v>2471</v>
      </c>
      <c r="C11" s="116">
        <v>0.1</v>
      </c>
      <c r="D11" s="110" t="s">
        <v>6</v>
      </c>
      <c r="E11" s="117"/>
      <c r="F11" s="110" t="s">
        <v>6</v>
      </c>
      <c r="G11" s="117"/>
      <c r="H11" s="110" t="s">
        <v>6</v>
      </c>
      <c r="I11" s="117"/>
      <c r="J11" s="110">
        <v>5575</v>
      </c>
      <c r="K11" s="116">
        <v>0.03</v>
      </c>
    </row>
    <row r="12" spans="1:11" ht="15.75" customHeight="1">
      <c r="A12" s="115" t="s">
        <v>96</v>
      </c>
      <c r="B12" s="109">
        <v>4264</v>
      </c>
      <c r="C12" s="116">
        <v>0.18</v>
      </c>
      <c r="D12" s="110">
        <v>5759</v>
      </c>
      <c r="E12" s="116">
        <v>0.06</v>
      </c>
      <c r="F12" s="110">
        <v>3302</v>
      </c>
      <c r="G12" s="116">
        <v>0.02</v>
      </c>
      <c r="H12" s="110">
        <v>5714</v>
      </c>
      <c r="I12" s="116">
        <v>0.03</v>
      </c>
      <c r="J12" s="110">
        <v>5366</v>
      </c>
      <c r="K12" s="116">
        <v>0.03</v>
      </c>
    </row>
    <row r="13" spans="1:11" ht="15.75" customHeight="1">
      <c r="A13" s="115" t="s">
        <v>144</v>
      </c>
      <c r="B13" s="109">
        <v>993</v>
      </c>
      <c r="C13" s="116">
        <v>0.04</v>
      </c>
      <c r="D13" s="110">
        <v>2646</v>
      </c>
      <c r="E13" s="116">
        <v>0.03</v>
      </c>
      <c r="F13" s="110">
        <v>1431</v>
      </c>
      <c r="G13" s="116">
        <v>0.01</v>
      </c>
      <c r="H13" s="110">
        <v>907</v>
      </c>
      <c r="I13" s="116">
        <v>0.01</v>
      </c>
      <c r="J13" s="110">
        <v>1632</v>
      </c>
      <c r="K13" s="116">
        <v>0.01</v>
      </c>
    </row>
    <row r="14" spans="1:11" ht="15.75" customHeight="1">
      <c r="A14" s="118" t="s">
        <v>97</v>
      </c>
      <c r="B14" s="119" t="s">
        <v>145</v>
      </c>
      <c r="C14" s="120">
        <v>100</v>
      </c>
      <c r="D14" s="121" t="s">
        <v>146</v>
      </c>
      <c r="E14" s="120">
        <v>100</v>
      </c>
      <c r="F14" s="121" t="s">
        <v>147</v>
      </c>
      <c r="G14" s="120">
        <v>100</v>
      </c>
      <c r="H14" s="121" t="s">
        <v>148</v>
      </c>
      <c r="I14" s="120">
        <v>100</v>
      </c>
      <c r="J14" s="121" t="s">
        <v>149</v>
      </c>
      <c r="K14" s="120">
        <v>100</v>
      </c>
    </row>
    <row r="15" spans="1:11" ht="15.75" customHeight="1">
      <c r="A15" s="122"/>
      <c r="B15" s="123">
        <v>9.74E-2</v>
      </c>
      <c r="C15" s="114"/>
      <c r="D15" s="124">
        <v>0.159</v>
      </c>
      <c r="E15" s="114"/>
      <c r="F15" s="124">
        <v>0.19919999999999999</v>
      </c>
      <c r="G15" s="114"/>
      <c r="H15" s="124">
        <v>0.18690000000000001</v>
      </c>
      <c r="I15" s="114"/>
      <c r="J15" s="124">
        <v>0.18509999999999999</v>
      </c>
      <c r="K15" s="114"/>
    </row>
    <row r="16" spans="1:11" ht="15.75" customHeight="1">
      <c r="A16" s="125" t="s">
        <v>98</v>
      </c>
      <c r="B16" s="112"/>
      <c r="C16" s="114"/>
      <c r="D16" s="114"/>
      <c r="E16" s="114"/>
      <c r="F16" s="114"/>
      <c r="G16" s="114"/>
      <c r="H16" s="114"/>
      <c r="I16" s="114"/>
      <c r="J16" s="114"/>
      <c r="K16" s="114"/>
    </row>
    <row r="17" spans="1:11" ht="15.75" customHeight="1">
      <c r="A17" s="115" t="s">
        <v>99</v>
      </c>
      <c r="B17" s="109">
        <v>52283</v>
      </c>
      <c r="C17" s="116">
        <v>0.53</v>
      </c>
      <c r="D17" s="110">
        <v>113145</v>
      </c>
      <c r="E17" s="116">
        <v>0.61</v>
      </c>
      <c r="F17" s="110">
        <v>129115</v>
      </c>
      <c r="G17" s="116">
        <v>0.68</v>
      </c>
      <c r="H17" s="110">
        <v>146994</v>
      </c>
      <c r="I17" s="116">
        <v>0.77</v>
      </c>
      <c r="J17" s="110">
        <v>163840</v>
      </c>
      <c r="K17" s="116">
        <v>0.86</v>
      </c>
    </row>
    <row r="18" spans="1:11" ht="15.75" customHeight="1">
      <c r="A18" s="115" t="s">
        <v>100</v>
      </c>
      <c r="B18" s="109">
        <v>20834</v>
      </c>
      <c r="C18" s="116">
        <v>0.21</v>
      </c>
      <c r="D18" s="110">
        <v>29631</v>
      </c>
      <c r="E18" s="116">
        <v>0.16</v>
      </c>
      <c r="F18" s="110">
        <v>34136</v>
      </c>
      <c r="G18" s="116">
        <v>0.18</v>
      </c>
      <c r="H18" s="110">
        <v>46224</v>
      </c>
      <c r="I18" s="116">
        <v>0.24</v>
      </c>
      <c r="J18" s="110">
        <v>46865</v>
      </c>
      <c r="K18" s="116">
        <v>0.25</v>
      </c>
    </row>
    <row r="19" spans="1:11" ht="15.75" customHeight="1">
      <c r="A19" s="115" t="s">
        <v>101</v>
      </c>
      <c r="B19" s="109">
        <v>777</v>
      </c>
      <c r="C19" s="116">
        <v>0.01</v>
      </c>
      <c r="D19" s="110">
        <v>1826</v>
      </c>
      <c r="E19" s="116">
        <v>0.01</v>
      </c>
      <c r="F19" s="110">
        <v>1181</v>
      </c>
      <c r="G19" s="116">
        <v>0.01</v>
      </c>
      <c r="H19" s="110">
        <v>1761</v>
      </c>
      <c r="I19" s="116">
        <v>0.01</v>
      </c>
      <c r="J19" s="110">
        <v>1622</v>
      </c>
      <c r="K19" s="116">
        <v>0.01</v>
      </c>
    </row>
    <row r="20" spans="1:11" ht="15.75" customHeight="1">
      <c r="A20" s="115" t="s">
        <v>102</v>
      </c>
      <c r="B20" s="109">
        <v>16</v>
      </c>
      <c r="C20" s="116">
        <v>0</v>
      </c>
      <c r="D20" s="110">
        <v>33</v>
      </c>
      <c r="E20" s="116">
        <v>0</v>
      </c>
      <c r="F20" s="110">
        <v>84</v>
      </c>
      <c r="G20" s="116">
        <v>0</v>
      </c>
      <c r="H20" s="110">
        <v>100</v>
      </c>
      <c r="I20" s="116">
        <v>0</v>
      </c>
      <c r="J20" s="110">
        <v>2637</v>
      </c>
      <c r="K20" s="116">
        <v>0.01</v>
      </c>
    </row>
    <row r="21" spans="1:11" ht="15.75" customHeight="1">
      <c r="A21" s="115" t="s">
        <v>103</v>
      </c>
      <c r="B21" s="109">
        <v>6154</v>
      </c>
      <c r="C21" s="116">
        <v>0.06</v>
      </c>
      <c r="D21" s="110">
        <v>16112</v>
      </c>
      <c r="E21" s="116">
        <v>0.09</v>
      </c>
      <c r="F21" s="110">
        <v>21316</v>
      </c>
      <c r="G21" s="116">
        <v>0.11</v>
      </c>
      <c r="H21" s="110">
        <v>25352</v>
      </c>
      <c r="I21" s="116">
        <v>0.13</v>
      </c>
      <c r="J21" s="110">
        <v>33910</v>
      </c>
      <c r="K21" s="116">
        <v>0.18</v>
      </c>
    </row>
    <row r="22" spans="1:11" ht="15.75" customHeight="1">
      <c r="A22" s="115" t="s">
        <v>104</v>
      </c>
      <c r="B22" s="109">
        <v>7</v>
      </c>
      <c r="C22" s="116">
        <v>0</v>
      </c>
      <c r="D22" s="110">
        <v>43</v>
      </c>
      <c r="E22" s="116">
        <v>0</v>
      </c>
      <c r="F22" s="110">
        <v>44</v>
      </c>
      <c r="G22" s="116">
        <v>0</v>
      </c>
      <c r="H22" s="110">
        <v>60</v>
      </c>
      <c r="I22" s="116">
        <v>0</v>
      </c>
      <c r="J22" s="110">
        <v>68</v>
      </c>
      <c r="K22" s="116">
        <v>0</v>
      </c>
    </row>
    <row r="23" spans="1:11" ht="15.75" customHeight="1">
      <c r="A23" s="115" t="s">
        <v>105</v>
      </c>
      <c r="B23" s="109">
        <v>17791</v>
      </c>
      <c r="C23" s="116">
        <v>0.18</v>
      </c>
      <c r="D23" s="110">
        <v>25669</v>
      </c>
      <c r="E23" s="116">
        <v>0.14000000000000001</v>
      </c>
      <c r="F23" s="110">
        <v>4738</v>
      </c>
      <c r="G23" s="116">
        <v>0.02</v>
      </c>
      <c r="H23" s="110">
        <v>7445</v>
      </c>
      <c r="I23" s="116">
        <v>0.04</v>
      </c>
      <c r="J23" s="110">
        <v>12053</v>
      </c>
      <c r="K23" s="116">
        <v>0.06</v>
      </c>
    </row>
    <row r="24" spans="1:11" ht="15.75" customHeight="1">
      <c r="A24" s="115" t="s">
        <v>106</v>
      </c>
      <c r="B24" s="109" t="s">
        <v>6</v>
      </c>
      <c r="C24" s="117"/>
      <c r="D24" s="110">
        <v>494</v>
      </c>
      <c r="E24" s="126">
        <v>2.5999999999999999E-3</v>
      </c>
      <c r="F24" s="110">
        <v>303</v>
      </c>
      <c r="G24" s="126">
        <v>1.6000000000000001E-3</v>
      </c>
      <c r="H24" s="110">
        <v>1229</v>
      </c>
      <c r="I24" s="116">
        <v>0.01</v>
      </c>
      <c r="J24" s="110">
        <v>8</v>
      </c>
      <c r="K24" s="126">
        <v>0</v>
      </c>
    </row>
    <row r="25" spans="1:11" ht="15.75" customHeight="1">
      <c r="A25" s="118" t="s">
        <v>107</v>
      </c>
      <c r="B25" s="119" t="s">
        <v>150</v>
      </c>
      <c r="C25" s="120">
        <v>100</v>
      </c>
      <c r="D25" s="121" t="s">
        <v>151</v>
      </c>
      <c r="E25" s="120">
        <v>100</v>
      </c>
      <c r="F25" s="121" t="s">
        <v>152</v>
      </c>
      <c r="G25" s="120">
        <v>100</v>
      </c>
      <c r="H25" s="121" t="s">
        <v>153</v>
      </c>
      <c r="I25" s="120">
        <v>100</v>
      </c>
      <c r="J25" s="121" t="s">
        <v>154</v>
      </c>
      <c r="K25" s="120">
        <v>100</v>
      </c>
    </row>
    <row r="26" spans="1:11" ht="15.75" customHeight="1">
      <c r="A26" s="122"/>
      <c r="B26" s="123">
        <v>0.40260000000000001</v>
      </c>
      <c r="C26" s="114"/>
      <c r="D26" s="124">
        <v>0.3019</v>
      </c>
      <c r="E26" s="114"/>
      <c r="F26" s="124">
        <v>0.2397</v>
      </c>
      <c r="G26" s="114"/>
      <c r="H26" s="124">
        <v>0.25559999999999999</v>
      </c>
      <c r="I26" s="114"/>
      <c r="J26" s="124">
        <v>0.26500000000000001</v>
      </c>
      <c r="K26" s="114"/>
    </row>
    <row r="27" spans="1:11" ht="15.75" customHeight="1">
      <c r="A27" s="108" t="s">
        <v>108</v>
      </c>
      <c r="B27" s="127" t="s">
        <v>155</v>
      </c>
      <c r="C27" s="114"/>
      <c r="D27" s="128" t="s">
        <v>156</v>
      </c>
      <c r="E27" s="114"/>
      <c r="F27" s="128" t="s">
        <v>157</v>
      </c>
      <c r="G27" s="114"/>
      <c r="H27" s="128" t="s">
        <v>158</v>
      </c>
      <c r="I27" s="114"/>
      <c r="J27" s="128" t="s">
        <v>159</v>
      </c>
      <c r="K27" s="114"/>
    </row>
    <row r="28" spans="1:11" ht="14.4">
      <c r="A28" s="122"/>
      <c r="B28" s="127"/>
      <c r="C28" s="114"/>
      <c r="D28" s="114"/>
      <c r="E28" s="114"/>
      <c r="F28" s="114"/>
      <c r="G28" s="114"/>
      <c r="H28" s="114"/>
      <c r="I28" s="114"/>
      <c r="J28" s="114"/>
      <c r="K28" s="114"/>
    </row>
    <row r="29" spans="1:11" ht="14.4">
      <c r="A29" s="108" t="s">
        <v>160</v>
      </c>
      <c r="B29" s="112"/>
      <c r="C29" s="114"/>
      <c r="D29" s="114"/>
      <c r="E29" s="114"/>
      <c r="F29" s="114"/>
      <c r="G29" s="114"/>
      <c r="H29" s="114"/>
      <c r="I29" s="114"/>
      <c r="J29" s="114"/>
      <c r="K29" s="114"/>
    </row>
    <row r="30" spans="1:11" ht="14.4">
      <c r="A30" s="115" t="s">
        <v>161</v>
      </c>
      <c r="B30" s="109">
        <v>1798</v>
      </c>
      <c r="C30" s="116">
        <v>0.08</v>
      </c>
      <c r="D30" s="110">
        <v>1798</v>
      </c>
      <c r="E30" s="116">
        <v>0.06</v>
      </c>
      <c r="F30" s="110">
        <v>1798</v>
      </c>
      <c r="G30" s="116">
        <v>0.06</v>
      </c>
      <c r="H30" s="110">
        <v>1798</v>
      </c>
      <c r="I30" s="116">
        <v>0.05</v>
      </c>
      <c r="J30" s="110">
        <v>1798</v>
      </c>
      <c r="K30" s="116">
        <v>0.08</v>
      </c>
    </row>
    <row r="31" spans="1:11" ht="14.4">
      <c r="A31" s="115" t="s">
        <v>162</v>
      </c>
      <c r="B31" s="109">
        <v>4576</v>
      </c>
      <c r="C31" s="116">
        <v>0.05</v>
      </c>
      <c r="D31" s="110">
        <v>4576</v>
      </c>
      <c r="E31" s="116">
        <v>0.15</v>
      </c>
      <c r="F31" s="110">
        <v>4576</v>
      </c>
      <c r="G31" s="116">
        <v>0.14000000000000001</v>
      </c>
      <c r="H31" s="110">
        <v>4576</v>
      </c>
      <c r="I31" s="116">
        <v>0.14000000000000001</v>
      </c>
      <c r="J31" s="110">
        <v>4576</v>
      </c>
      <c r="K31" s="116">
        <v>0.2</v>
      </c>
    </row>
    <row r="32" spans="1:11" ht="14.4">
      <c r="A32" s="115" t="s">
        <v>163</v>
      </c>
      <c r="B32" s="109">
        <v>-52</v>
      </c>
      <c r="C32" s="116">
        <v>0</v>
      </c>
      <c r="D32" s="110">
        <v>-749</v>
      </c>
      <c r="E32" s="116">
        <v>-0.02</v>
      </c>
      <c r="F32" s="110">
        <v>-749</v>
      </c>
      <c r="G32" s="116">
        <v>-0.02</v>
      </c>
      <c r="H32" s="110">
        <v>-749</v>
      </c>
      <c r="I32" s="116">
        <v>-0.02</v>
      </c>
      <c r="J32" s="110">
        <v>-557</v>
      </c>
      <c r="K32" s="116">
        <v>-0.02</v>
      </c>
    </row>
    <row r="33" spans="1:11" ht="14.4">
      <c r="A33" s="115" t="s">
        <v>164</v>
      </c>
      <c r="B33" s="109">
        <v>16602</v>
      </c>
      <c r="C33" s="116">
        <v>0.17</v>
      </c>
      <c r="D33" s="110">
        <v>25240</v>
      </c>
      <c r="E33" s="116">
        <v>0.8</v>
      </c>
      <c r="F33" s="110">
        <v>26502</v>
      </c>
      <c r="G33" s="116">
        <v>0.82</v>
      </c>
      <c r="H33" s="110">
        <v>28014</v>
      </c>
      <c r="I33" s="116">
        <v>0.83</v>
      </c>
      <c r="J33" s="110">
        <v>17395</v>
      </c>
      <c r="K33" s="116">
        <v>0.75</v>
      </c>
    </row>
    <row r="34" spans="1:11" ht="14.4">
      <c r="A34" s="115" t="s">
        <v>165</v>
      </c>
      <c r="B34" s="109">
        <v>230</v>
      </c>
      <c r="C34" s="116">
        <v>0</v>
      </c>
      <c r="D34" s="110">
        <v>510</v>
      </c>
      <c r="E34" s="116">
        <v>0.02</v>
      </c>
      <c r="F34" s="110" t="s">
        <v>6</v>
      </c>
      <c r="G34" s="117"/>
      <c r="H34" s="110" t="s">
        <v>6</v>
      </c>
      <c r="I34" s="110"/>
      <c r="J34" s="110" t="s">
        <v>6</v>
      </c>
      <c r="K34" s="110"/>
    </row>
    <row r="35" spans="1:11" ht="14.4">
      <c r="A35" s="118" t="s">
        <v>166</v>
      </c>
      <c r="B35" s="119" t="s">
        <v>167</v>
      </c>
      <c r="C35" s="121"/>
      <c r="D35" s="121" t="s">
        <v>168</v>
      </c>
      <c r="E35" s="121"/>
      <c r="F35" s="121" t="s">
        <v>169</v>
      </c>
      <c r="G35" s="121"/>
      <c r="H35" s="121" t="s">
        <v>170</v>
      </c>
      <c r="I35" s="121"/>
      <c r="J35" s="121" t="s">
        <v>171</v>
      </c>
      <c r="K35" s="121"/>
    </row>
    <row r="36" spans="1:11" ht="14.4">
      <c r="A36" s="122"/>
      <c r="B36" s="123">
        <v>9.5299999999999996E-2</v>
      </c>
      <c r="C36" s="128"/>
      <c r="D36" s="124">
        <v>5.0700000000000002E-2</v>
      </c>
      <c r="E36" s="128"/>
      <c r="F36" s="124">
        <v>4.0300000000000002E-2</v>
      </c>
      <c r="G36" s="128"/>
      <c r="H36" s="124">
        <v>3.7499999999999999E-2</v>
      </c>
      <c r="I36" s="128"/>
      <c r="J36" s="124">
        <v>2.3599999999999999E-2</v>
      </c>
      <c r="K36" s="128"/>
    </row>
    <row r="37" spans="1:11" ht="14.4">
      <c r="A37" s="108" t="s">
        <v>172</v>
      </c>
      <c r="B37" s="112"/>
      <c r="C37" s="114"/>
      <c r="D37" s="114"/>
      <c r="E37" s="114"/>
      <c r="F37" s="114"/>
      <c r="G37" s="114"/>
      <c r="H37" s="114"/>
      <c r="I37" s="114"/>
      <c r="J37" s="114"/>
      <c r="K37" s="114"/>
    </row>
    <row r="38" spans="1:11" ht="14.4">
      <c r="A38" s="115" t="s">
        <v>173</v>
      </c>
      <c r="B38" s="109" t="s">
        <v>6</v>
      </c>
      <c r="C38" s="117"/>
      <c r="D38" s="110">
        <v>45720</v>
      </c>
      <c r="E38" s="116">
        <v>0.95</v>
      </c>
      <c r="F38" s="110">
        <v>38752</v>
      </c>
      <c r="G38" s="116">
        <v>0.4</v>
      </c>
      <c r="H38" s="110">
        <v>31733</v>
      </c>
      <c r="I38" s="116">
        <v>0.31</v>
      </c>
      <c r="J38" s="110">
        <v>28964</v>
      </c>
      <c r="K38" s="116">
        <v>0.28999999999999998</v>
      </c>
    </row>
    <row r="39" spans="1:11" ht="14.4">
      <c r="A39" s="115" t="s">
        <v>174</v>
      </c>
      <c r="B39" s="109" t="s">
        <v>6</v>
      </c>
      <c r="C39" s="117"/>
      <c r="D39" s="110" t="s">
        <v>6</v>
      </c>
      <c r="E39" s="117"/>
      <c r="F39" s="110">
        <v>57927</v>
      </c>
      <c r="G39" s="116">
        <v>0.6</v>
      </c>
      <c r="H39" s="110">
        <v>70702</v>
      </c>
      <c r="I39" s="116">
        <v>0.69</v>
      </c>
      <c r="J39" s="110">
        <v>68628</v>
      </c>
      <c r="K39" s="116">
        <v>0.7</v>
      </c>
    </row>
    <row r="40" spans="1:11" ht="14.4">
      <c r="A40" s="115" t="s">
        <v>175</v>
      </c>
      <c r="B40" s="109" t="s">
        <v>6</v>
      </c>
      <c r="C40" s="117"/>
      <c r="D40" s="110">
        <v>1785</v>
      </c>
      <c r="E40" s="116">
        <v>0.04</v>
      </c>
      <c r="F40" s="110">
        <v>270</v>
      </c>
      <c r="G40" s="116">
        <v>0</v>
      </c>
      <c r="H40" s="110">
        <v>175</v>
      </c>
      <c r="I40" s="116">
        <v>0</v>
      </c>
      <c r="J40" s="110">
        <v>94</v>
      </c>
      <c r="K40" s="116">
        <v>0</v>
      </c>
    </row>
    <row r="41" spans="1:11" ht="14.4">
      <c r="A41" s="115" t="s">
        <v>176</v>
      </c>
      <c r="B41" s="109" t="s">
        <v>6</v>
      </c>
      <c r="C41" s="117"/>
      <c r="D41" s="110">
        <v>573</v>
      </c>
      <c r="E41" s="116">
        <v>0.01</v>
      </c>
      <c r="F41" s="110">
        <v>373</v>
      </c>
      <c r="G41" s="116">
        <v>0</v>
      </c>
      <c r="H41" s="110">
        <v>454</v>
      </c>
      <c r="I41" s="116">
        <v>0</v>
      </c>
      <c r="J41" s="110">
        <v>577</v>
      </c>
      <c r="K41" s="116">
        <v>0.01</v>
      </c>
    </row>
    <row r="42" spans="1:11" ht="14.4">
      <c r="A42" s="115" t="s">
        <v>177</v>
      </c>
      <c r="B42" s="109">
        <v>4</v>
      </c>
      <c r="C42" s="116">
        <v>1</v>
      </c>
      <c r="D42" s="110">
        <v>256</v>
      </c>
      <c r="E42" s="116">
        <v>0.01</v>
      </c>
      <c r="F42" s="110" t="s">
        <v>6</v>
      </c>
      <c r="G42" s="117"/>
      <c r="H42" s="110" t="s">
        <v>6</v>
      </c>
      <c r="I42" s="110"/>
      <c r="J42" s="110" t="s">
        <v>6</v>
      </c>
      <c r="K42" s="110"/>
    </row>
    <row r="43" spans="1:11" ht="14.4">
      <c r="A43" s="118" t="s">
        <v>178</v>
      </c>
      <c r="B43" s="119">
        <v>4</v>
      </c>
      <c r="C43" s="121"/>
      <c r="D43" s="121" t="s">
        <v>179</v>
      </c>
      <c r="E43" s="121"/>
      <c r="F43" s="121" t="s">
        <v>180</v>
      </c>
      <c r="G43" s="121"/>
      <c r="H43" s="121" t="s">
        <v>181</v>
      </c>
      <c r="I43" s="121"/>
      <c r="J43" s="121" t="s">
        <v>182</v>
      </c>
      <c r="K43" s="121"/>
    </row>
    <row r="44" spans="1:11" ht="14.4">
      <c r="A44" s="122"/>
      <c r="B44" s="123">
        <v>2.0000000000000002E-5</v>
      </c>
      <c r="C44" s="128"/>
      <c r="D44" s="124">
        <v>7.8100000000000003E-2</v>
      </c>
      <c r="E44" s="128"/>
      <c r="F44" s="124">
        <v>0.1222</v>
      </c>
      <c r="G44" s="128"/>
      <c r="H44" s="124">
        <v>0.115</v>
      </c>
      <c r="I44" s="128"/>
      <c r="J44" s="124">
        <v>9.98E-2</v>
      </c>
      <c r="K44" s="128"/>
    </row>
    <row r="45" spans="1:11" ht="14.4">
      <c r="A45" s="108" t="s">
        <v>183</v>
      </c>
      <c r="B45" s="112"/>
      <c r="C45" s="114"/>
      <c r="D45" s="114"/>
      <c r="E45" s="114"/>
      <c r="F45" s="114"/>
      <c r="G45" s="114"/>
      <c r="H45" s="114"/>
      <c r="I45" s="114"/>
      <c r="J45" s="114"/>
      <c r="K45" s="114"/>
    </row>
    <row r="46" spans="1:11" ht="14.4">
      <c r="A46" s="115" t="s">
        <v>184</v>
      </c>
      <c r="B46" s="109">
        <v>77698</v>
      </c>
      <c r="C46" s="116">
        <v>0.79</v>
      </c>
      <c r="D46" s="110">
        <v>155420</v>
      </c>
      <c r="E46" s="116">
        <v>0.76</v>
      </c>
      <c r="F46" s="110">
        <v>176065</v>
      </c>
      <c r="G46" s="116">
        <v>0.8</v>
      </c>
      <c r="H46" s="110">
        <v>207862</v>
      </c>
      <c r="I46" s="116">
        <v>0.8</v>
      </c>
      <c r="J46" s="110">
        <v>237324</v>
      </c>
      <c r="K46" s="116">
        <v>0.74</v>
      </c>
    </row>
    <row r="47" spans="1:11" ht="14.4">
      <c r="A47" s="115" t="s">
        <v>185</v>
      </c>
      <c r="B47" s="109">
        <v>8708</v>
      </c>
      <c r="C47" s="116">
        <v>0.09</v>
      </c>
      <c r="D47" s="110">
        <v>22435</v>
      </c>
      <c r="E47" s="116">
        <v>0.11</v>
      </c>
      <c r="F47" s="110">
        <v>12975</v>
      </c>
      <c r="G47" s="116">
        <v>0.06</v>
      </c>
      <c r="H47" s="110">
        <v>14346</v>
      </c>
      <c r="I47" s="116">
        <v>0.06</v>
      </c>
      <c r="J47" s="110">
        <v>18003</v>
      </c>
      <c r="K47" s="116">
        <v>0.06</v>
      </c>
    </row>
    <row r="48" spans="1:11" ht="14.4">
      <c r="A48" s="115" t="s">
        <v>186</v>
      </c>
      <c r="B48" s="109">
        <v>8579</v>
      </c>
      <c r="C48" s="116">
        <v>0.09</v>
      </c>
      <c r="D48" s="110">
        <v>6940</v>
      </c>
      <c r="E48" s="116">
        <v>0.03</v>
      </c>
      <c r="F48" s="110">
        <v>8112</v>
      </c>
      <c r="G48" s="116">
        <v>0.04</v>
      </c>
      <c r="H48" s="110">
        <v>6604</v>
      </c>
      <c r="I48" s="116">
        <v>0.03</v>
      </c>
      <c r="J48" s="110">
        <v>7998</v>
      </c>
      <c r="K48" s="116">
        <v>0.02</v>
      </c>
    </row>
    <row r="49" spans="1:11" ht="14.4">
      <c r="A49" s="115" t="s">
        <v>174</v>
      </c>
      <c r="B49" s="109" t="s">
        <v>6</v>
      </c>
      <c r="C49" s="117"/>
      <c r="D49" s="110" t="s">
        <v>6</v>
      </c>
      <c r="E49" s="117"/>
      <c r="F49" s="110">
        <v>10532</v>
      </c>
      <c r="G49" s="116">
        <v>0.05</v>
      </c>
      <c r="H49" s="110">
        <v>10051</v>
      </c>
      <c r="I49" s="116">
        <v>0.04</v>
      </c>
      <c r="J49" s="110">
        <v>15797</v>
      </c>
      <c r="K49" s="116">
        <v>0.05</v>
      </c>
    </row>
    <row r="50" spans="1:11" ht="14.4">
      <c r="A50" s="115" t="s">
        <v>173</v>
      </c>
      <c r="B50" s="109">
        <v>780</v>
      </c>
      <c r="C50" s="116">
        <v>0.01</v>
      </c>
      <c r="D50" s="110">
        <v>13789</v>
      </c>
      <c r="E50" s="116">
        <v>7.0000000000000007E-2</v>
      </c>
      <c r="F50" s="110">
        <v>10658</v>
      </c>
      <c r="G50" s="116">
        <v>0.05</v>
      </c>
      <c r="H50" s="110">
        <v>16195</v>
      </c>
      <c r="I50" s="116">
        <v>0.06</v>
      </c>
      <c r="J50" s="110">
        <v>40174</v>
      </c>
      <c r="K50" s="116">
        <v>0.12</v>
      </c>
    </row>
    <row r="51" spans="1:11" ht="14.4">
      <c r="A51" s="115" t="s">
        <v>187</v>
      </c>
      <c r="B51" s="109">
        <v>531</v>
      </c>
      <c r="C51" s="116">
        <v>0.01</v>
      </c>
      <c r="D51" s="110">
        <v>1397</v>
      </c>
      <c r="E51" s="116">
        <v>0.01</v>
      </c>
      <c r="F51" s="110">
        <v>9</v>
      </c>
      <c r="G51" s="116">
        <v>0</v>
      </c>
      <c r="H51" s="110">
        <v>1643</v>
      </c>
      <c r="I51" s="116">
        <v>0.01</v>
      </c>
      <c r="J51" s="110">
        <v>9</v>
      </c>
      <c r="K51" s="116">
        <v>0</v>
      </c>
    </row>
    <row r="52" spans="1:11" ht="14.4">
      <c r="A52" s="115" t="s">
        <v>188</v>
      </c>
      <c r="B52" s="109">
        <v>1627</v>
      </c>
      <c r="C52" s="116">
        <v>0.02</v>
      </c>
      <c r="D52" s="110">
        <v>2782</v>
      </c>
      <c r="E52" s="116">
        <v>0.01</v>
      </c>
      <c r="F52" s="110">
        <v>1460</v>
      </c>
      <c r="G52" s="116">
        <v>0.01</v>
      </c>
      <c r="H52" s="110">
        <v>2312</v>
      </c>
      <c r="I52" s="116">
        <v>0.01</v>
      </c>
      <c r="J52" s="110">
        <v>2428</v>
      </c>
      <c r="K52" s="116">
        <v>0.01</v>
      </c>
    </row>
    <row r="53" spans="1:11" ht="14.4">
      <c r="A53" s="115" t="s">
        <v>177</v>
      </c>
      <c r="B53" s="109">
        <v>444</v>
      </c>
      <c r="C53" s="116">
        <v>0</v>
      </c>
      <c r="D53" s="110">
        <v>2962</v>
      </c>
      <c r="E53" s="116">
        <v>0.01</v>
      </c>
      <c r="F53" s="110">
        <v>368</v>
      </c>
      <c r="G53" s="116">
        <v>0</v>
      </c>
      <c r="H53" s="110">
        <v>988</v>
      </c>
      <c r="I53" s="116">
        <v>0</v>
      </c>
      <c r="J53" s="110">
        <v>164</v>
      </c>
      <c r="K53" s="116">
        <v>0</v>
      </c>
    </row>
    <row r="54" spans="1:11" ht="14.4">
      <c r="A54" s="118" t="s">
        <v>189</v>
      </c>
      <c r="B54" s="119" t="s">
        <v>190</v>
      </c>
      <c r="C54" s="121"/>
      <c r="D54" s="121" t="s">
        <v>191</v>
      </c>
      <c r="E54" s="121"/>
      <c r="F54" s="121" t="s">
        <v>192</v>
      </c>
      <c r="G54" s="121"/>
      <c r="H54" s="121" t="s">
        <v>193</v>
      </c>
      <c r="I54" s="121"/>
      <c r="J54" s="121" t="s">
        <v>194</v>
      </c>
      <c r="K54" s="121"/>
    </row>
    <row r="55" spans="1:11" ht="14.4">
      <c r="A55" s="129"/>
      <c r="B55" s="123">
        <v>0.40472000000000002</v>
      </c>
      <c r="C55" s="114"/>
      <c r="D55" s="124">
        <v>0.3322</v>
      </c>
      <c r="E55" s="114"/>
      <c r="F55" s="124">
        <v>0.27639999999999998</v>
      </c>
      <c r="G55" s="114"/>
      <c r="H55" s="124">
        <v>0.28999999999999998</v>
      </c>
      <c r="I55" s="114"/>
      <c r="J55" s="124">
        <v>0.32679999999999998</v>
      </c>
      <c r="K55" s="114"/>
    </row>
    <row r="56" spans="1:11" ht="14.4">
      <c r="A56" s="118" t="s">
        <v>195</v>
      </c>
      <c r="B56" s="119" t="s">
        <v>196</v>
      </c>
      <c r="C56" s="121"/>
      <c r="D56" s="121" t="s">
        <v>197</v>
      </c>
      <c r="E56" s="121"/>
      <c r="F56" s="121" t="s">
        <v>198</v>
      </c>
      <c r="G56" s="121"/>
      <c r="H56" s="121" t="s">
        <v>199</v>
      </c>
      <c r="I56" s="121"/>
      <c r="J56" s="121" t="s">
        <v>200</v>
      </c>
      <c r="K56" s="121"/>
    </row>
    <row r="57" spans="1:11" ht="14.4">
      <c r="A57" s="108" t="s">
        <v>201</v>
      </c>
      <c r="B57" s="112">
        <v>121525</v>
      </c>
      <c r="C57" s="114"/>
      <c r="D57" s="114">
        <v>285434</v>
      </c>
      <c r="E57" s="114"/>
      <c r="F57" s="114">
        <v>349628</v>
      </c>
      <c r="G57" s="114"/>
      <c r="H57" s="114">
        <v>396704</v>
      </c>
      <c r="I57" s="114"/>
      <c r="J57" s="114">
        <v>443372</v>
      </c>
      <c r="K57" s="114"/>
    </row>
    <row r="58" spans="1:11" ht="14.4">
      <c r="A58" s="111"/>
      <c r="B58" s="130" t="s">
        <v>202</v>
      </c>
      <c r="C58" s="114"/>
      <c r="D58" s="131" t="s">
        <v>203</v>
      </c>
      <c r="E58" s="114"/>
      <c r="F58" s="131" t="s">
        <v>204</v>
      </c>
      <c r="G58" s="114"/>
      <c r="H58" s="131" t="s">
        <v>205</v>
      </c>
      <c r="I58" s="114"/>
      <c r="J58" s="131" t="s">
        <v>206</v>
      </c>
      <c r="K58" s="114"/>
    </row>
    <row r="59" spans="1:11" ht="14.4">
      <c r="A59" s="111"/>
      <c r="B59" s="112"/>
      <c r="C59" s="114"/>
      <c r="D59" s="114"/>
      <c r="E59" s="114"/>
      <c r="F59" s="114"/>
      <c r="G59" s="114"/>
      <c r="H59" s="114"/>
      <c r="I59" s="114"/>
      <c r="J59" s="114"/>
      <c r="K59" s="114"/>
    </row>
    <row r="60" spans="1:11" ht="14.4">
      <c r="A60" s="111"/>
      <c r="B60" s="112"/>
      <c r="C60" s="114"/>
      <c r="D60" s="114"/>
      <c r="E60" s="114"/>
      <c r="F60" s="114"/>
      <c r="G60" s="114"/>
      <c r="H60" s="114"/>
      <c r="I60" s="114"/>
      <c r="J60" s="114"/>
      <c r="K60" s="114"/>
    </row>
    <row r="61" spans="1:11" ht="17.399999999999999">
      <c r="A61" s="132"/>
      <c r="B61" s="133"/>
      <c r="C61" s="133"/>
      <c r="D61" s="133"/>
      <c r="E61" s="133"/>
      <c r="F61" s="133"/>
      <c r="G61" s="133"/>
      <c r="H61" s="133"/>
      <c r="I61" s="133"/>
      <c r="J61" s="133"/>
      <c r="K61" s="134"/>
    </row>
    <row r="62" spans="1:11" ht="17.399999999999999">
      <c r="A62" s="103"/>
      <c r="B62" s="103"/>
      <c r="C62" s="103"/>
      <c r="D62" s="103"/>
      <c r="E62" s="103"/>
      <c r="F62" s="103"/>
      <c r="G62" s="103"/>
      <c r="H62" s="103"/>
      <c r="I62" s="103"/>
      <c r="J62" s="103"/>
      <c r="K62" s="134"/>
    </row>
    <row r="63" spans="1:11" ht="14.4">
      <c r="A63" s="135" t="s">
        <v>8</v>
      </c>
      <c r="B63" s="136">
        <v>198197</v>
      </c>
      <c r="C63" s="120"/>
      <c r="D63" s="120">
        <v>321102</v>
      </c>
      <c r="E63" s="120"/>
      <c r="F63" s="120">
        <v>365216</v>
      </c>
      <c r="G63" s="120"/>
      <c r="H63" s="120">
        <v>417857</v>
      </c>
      <c r="I63" s="120"/>
      <c r="J63" s="120">
        <v>476364</v>
      </c>
      <c r="K63" s="120"/>
    </row>
    <row r="64" spans="1:11" ht="14.4">
      <c r="A64" s="115" t="s">
        <v>9</v>
      </c>
      <c r="B64" s="109">
        <v>151670</v>
      </c>
      <c r="C64" s="116">
        <v>0.77</v>
      </c>
      <c r="D64" s="110">
        <v>242463</v>
      </c>
      <c r="E64" s="116">
        <v>0.76</v>
      </c>
      <c r="F64" s="110">
        <v>274143</v>
      </c>
      <c r="G64" s="116">
        <v>0.75</v>
      </c>
      <c r="H64" s="110">
        <v>320522</v>
      </c>
      <c r="I64" s="116">
        <v>0.77</v>
      </c>
      <c r="J64" s="110">
        <v>381419</v>
      </c>
      <c r="K64" s="116">
        <v>0.8</v>
      </c>
    </row>
    <row r="65" spans="1:11" ht="14.4">
      <c r="A65" s="108" t="s">
        <v>10</v>
      </c>
      <c r="B65" s="112">
        <v>46527</v>
      </c>
      <c r="C65" s="113"/>
      <c r="D65" s="128">
        <v>78639</v>
      </c>
      <c r="E65" s="113"/>
      <c r="F65" s="128">
        <v>91073</v>
      </c>
      <c r="G65" s="113"/>
      <c r="H65" s="128">
        <v>97335</v>
      </c>
      <c r="I65" s="113"/>
      <c r="J65" s="128">
        <v>94945</v>
      </c>
      <c r="K65" s="113"/>
    </row>
    <row r="66" spans="1:11" ht="14.4">
      <c r="A66" s="115" t="s">
        <v>11</v>
      </c>
      <c r="B66" s="109">
        <v>40754</v>
      </c>
      <c r="C66" s="116">
        <v>0.21</v>
      </c>
      <c r="D66" s="110">
        <v>69234</v>
      </c>
      <c r="E66" s="116">
        <v>0.22</v>
      </c>
      <c r="F66" s="110">
        <v>72546</v>
      </c>
      <c r="G66" s="116">
        <v>0.2</v>
      </c>
      <c r="H66" s="110">
        <v>78818</v>
      </c>
      <c r="I66" s="116">
        <v>0.19</v>
      </c>
      <c r="J66" s="110">
        <v>87192</v>
      </c>
      <c r="K66" s="116">
        <v>0.18</v>
      </c>
    </row>
    <row r="67" spans="1:11" ht="14.4">
      <c r="A67" s="115" t="s">
        <v>207</v>
      </c>
      <c r="B67" s="109">
        <v>2623</v>
      </c>
      <c r="C67" s="116">
        <v>0.01</v>
      </c>
      <c r="D67" s="110">
        <v>6079</v>
      </c>
      <c r="E67" s="116">
        <v>0.02</v>
      </c>
      <c r="F67" s="110">
        <v>6408</v>
      </c>
      <c r="G67" s="116">
        <v>0.02</v>
      </c>
      <c r="H67" s="110">
        <v>4987</v>
      </c>
      <c r="I67" s="116">
        <v>0.01</v>
      </c>
      <c r="J67" s="110">
        <v>6403</v>
      </c>
      <c r="K67" s="116">
        <v>0.01</v>
      </c>
    </row>
    <row r="68" spans="1:11" ht="14.4">
      <c r="A68" s="115" t="s">
        <v>13</v>
      </c>
      <c r="B68" s="109">
        <v>216</v>
      </c>
      <c r="C68" s="116">
        <v>0</v>
      </c>
      <c r="D68" s="110">
        <v>801</v>
      </c>
      <c r="E68" s="116">
        <v>0</v>
      </c>
      <c r="F68" s="110">
        <v>821</v>
      </c>
      <c r="G68" s="116">
        <v>0</v>
      </c>
      <c r="H68" s="110">
        <v>577</v>
      </c>
      <c r="I68" s="116">
        <v>0</v>
      </c>
      <c r="J68" s="110">
        <v>414</v>
      </c>
      <c r="K68" s="116">
        <v>0</v>
      </c>
    </row>
    <row r="69" spans="1:11" ht="14.4">
      <c r="A69" s="108" t="s">
        <v>14</v>
      </c>
      <c r="B69" s="112">
        <v>8180</v>
      </c>
      <c r="C69" s="116">
        <v>0.04</v>
      </c>
      <c r="D69" s="114">
        <v>14683</v>
      </c>
      <c r="E69" s="116">
        <v>0.05</v>
      </c>
      <c r="F69" s="114">
        <v>24114</v>
      </c>
      <c r="G69" s="116">
        <v>7.0000000000000007E-2</v>
      </c>
      <c r="H69" s="114">
        <v>22927</v>
      </c>
      <c r="I69" s="116">
        <v>0.05</v>
      </c>
      <c r="J69" s="114">
        <v>13742</v>
      </c>
      <c r="K69" s="116">
        <v>0.03</v>
      </c>
    </row>
    <row r="70" spans="1:11" ht="14.4">
      <c r="A70" s="115" t="s">
        <v>15</v>
      </c>
      <c r="B70" s="109">
        <v>659</v>
      </c>
      <c r="C70" s="116">
        <v>0</v>
      </c>
      <c r="D70" s="110">
        <v>509</v>
      </c>
      <c r="E70" s="116">
        <v>0</v>
      </c>
      <c r="F70" s="110">
        <v>295</v>
      </c>
      <c r="G70" s="116">
        <v>0</v>
      </c>
      <c r="H70" s="110">
        <v>491</v>
      </c>
      <c r="I70" s="116">
        <v>0</v>
      </c>
      <c r="J70" s="110">
        <v>164</v>
      </c>
      <c r="K70" s="116">
        <v>0</v>
      </c>
    </row>
    <row r="71" spans="1:11" ht="14.4">
      <c r="A71" s="115" t="s">
        <v>16</v>
      </c>
      <c r="B71" s="109" t="s">
        <v>6</v>
      </c>
      <c r="C71" s="117"/>
      <c r="D71" s="110">
        <v>3617</v>
      </c>
      <c r="E71" s="116">
        <v>0.01</v>
      </c>
      <c r="F71" s="110">
        <v>12961</v>
      </c>
      <c r="G71" s="116">
        <v>0.04</v>
      </c>
      <c r="H71" s="110">
        <v>12733</v>
      </c>
      <c r="I71" s="116">
        <v>0.03</v>
      </c>
      <c r="J71" s="110">
        <v>14417</v>
      </c>
      <c r="K71" s="116">
        <v>0.03</v>
      </c>
    </row>
    <row r="72" spans="1:11" ht="14.4">
      <c r="A72" s="115" t="s">
        <v>208</v>
      </c>
      <c r="B72" s="109" t="s">
        <v>6</v>
      </c>
      <c r="C72" s="117"/>
      <c r="D72" s="110" t="s">
        <v>6</v>
      </c>
      <c r="E72" s="117"/>
      <c r="F72" s="110" t="s">
        <v>6</v>
      </c>
      <c r="G72" s="117"/>
      <c r="H72" s="110" t="s">
        <v>6</v>
      </c>
      <c r="I72" s="117"/>
      <c r="J72" s="110">
        <v>4576</v>
      </c>
      <c r="K72" s="116">
        <v>0.01</v>
      </c>
    </row>
    <row r="73" spans="1:11" ht="14.4">
      <c r="A73" s="115" t="s">
        <v>18</v>
      </c>
      <c r="B73" s="109" t="s">
        <v>6</v>
      </c>
      <c r="C73" s="117"/>
      <c r="D73" s="110" t="s">
        <v>6</v>
      </c>
      <c r="E73" s="117"/>
      <c r="F73" s="110">
        <v>1955</v>
      </c>
      <c r="G73" s="116">
        <v>0.01</v>
      </c>
      <c r="H73" s="110">
        <v>2468</v>
      </c>
      <c r="I73" s="116">
        <v>0.01</v>
      </c>
      <c r="J73" s="110">
        <v>945</v>
      </c>
      <c r="K73" s="116">
        <v>0</v>
      </c>
    </row>
    <row r="74" spans="1:11" ht="14.4">
      <c r="A74" s="108" t="s">
        <v>19</v>
      </c>
      <c r="B74" s="112">
        <v>8839</v>
      </c>
      <c r="C74" s="116">
        <v>0.04</v>
      </c>
      <c r="D74" s="114">
        <v>11575</v>
      </c>
      <c r="E74" s="137">
        <v>0.04</v>
      </c>
      <c r="F74" s="114">
        <v>9493</v>
      </c>
      <c r="G74" s="116">
        <v>0.03</v>
      </c>
      <c r="H74" s="114">
        <v>8217</v>
      </c>
      <c r="I74" s="137">
        <v>0.02</v>
      </c>
      <c r="J74" s="114">
        <v>3120</v>
      </c>
      <c r="K74" s="137">
        <v>0.01</v>
      </c>
    </row>
    <row r="75" spans="1:11" ht="14.4">
      <c r="A75" s="115" t="s">
        <v>20</v>
      </c>
      <c r="B75" s="109">
        <v>1885</v>
      </c>
      <c r="C75" s="116">
        <v>0.01</v>
      </c>
      <c r="D75" s="110">
        <v>3210</v>
      </c>
      <c r="E75" s="116">
        <v>0.38</v>
      </c>
      <c r="F75" s="110">
        <v>2359</v>
      </c>
      <c r="G75" s="116">
        <v>0.33</v>
      </c>
      <c r="H75" s="110">
        <v>1676</v>
      </c>
      <c r="I75" s="116">
        <v>0.26</v>
      </c>
      <c r="J75" s="110">
        <v>740</v>
      </c>
      <c r="K75" s="116">
        <v>0.31</v>
      </c>
    </row>
    <row r="76" spans="1:11" ht="14.4">
      <c r="A76" s="108" t="s">
        <v>21</v>
      </c>
      <c r="B76" s="112">
        <v>6954</v>
      </c>
      <c r="C76" s="137">
        <v>0.04</v>
      </c>
      <c r="D76" s="114">
        <v>8365</v>
      </c>
      <c r="E76" s="137">
        <v>0.03</v>
      </c>
      <c r="F76" s="114">
        <v>7134</v>
      </c>
      <c r="G76" s="137">
        <v>0.02</v>
      </c>
      <c r="H76" s="114">
        <v>6541</v>
      </c>
      <c r="I76" s="137">
        <v>0.02</v>
      </c>
      <c r="J76" s="114">
        <v>2380</v>
      </c>
      <c r="K76" s="137">
        <v>0</v>
      </c>
    </row>
    <row r="77" spans="1:11" ht="14.4">
      <c r="A77" s="115" t="s">
        <v>22</v>
      </c>
      <c r="B77" s="109">
        <v>38.729999999999997</v>
      </c>
      <c r="C77" s="137">
        <v>0</v>
      </c>
      <c r="D77" s="110">
        <v>48.04</v>
      </c>
      <c r="E77" s="137">
        <v>0</v>
      </c>
      <c r="F77" s="110">
        <v>40.130000000000003</v>
      </c>
      <c r="G77" s="137">
        <v>0</v>
      </c>
      <c r="H77" s="110">
        <v>36.79</v>
      </c>
      <c r="I77" s="137">
        <v>0</v>
      </c>
      <c r="J77" s="110">
        <v>13.36</v>
      </c>
      <c r="K77" s="137">
        <v>0</v>
      </c>
    </row>
    <row r="78" spans="1:11" ht="14.4">
      <c r="A78" s="115" t="s">
        <v>23</v>
      </c>
      <c r="B78" s="109">
        <v>38.729999999999997</v>
      </c>
      <c r="C78" s="137">
        <v>0</v>
      </c>
      <c r="D78" s="110">
        <v>48.04</v>
      </c>
      <c r="E78" s="137">
        <v>0</v>
      </c>
      <c r="F78" s="110">
        <v>40.130000000000003</v>
      </c>
      <c r="G78" s="137">
        <v>0</v>
      </c>
      <c r="H78" s="110">
        <v>36.74</v>
      </c>
      <c r="I78" s="137">
        <v>0</v>
      </c>
      <c r="J78" s="110">
        <v>13.32</v>
      </c>
      <c r="K78" s="137">
        <v>0</v>
      </c>
    </row>
    <row r="79" spans="1:11" ht="14.4">
      <c r="A79" s="129" t="s">
        <v>209</v>
      </c>
      <c r="B79" s="112" t="s">
        <v>6</v>
      </c>
      <c r="C79" s="114"/>
      <c r="D79" s="114" t="s">
        <v>6</v>
      </c>
      <c r="E79" s="114"/>
      <c r="F79" s="114">
        <v>9089</v>
      </c>
      <c r="G79" s="137">
        <v>0.02</v>
      </c>
      <c r="H79" s="114">
        <v>9009</v>
      </c>
      <c r="I79" s="137">
        <v>0.02</v>
      </c>
      <c r="J79" s="114">
        <v>3325</v>
      </c>
      <c r="K79" s="137">
        <v>0.01</v>
      </c>
    </row>
  </sheetData>
  <mergeCells count="2">
    <mergeCell ref="A1:J1"/>
    <mergeCell ref="A61:J6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5F930-0F43-4583-BE05-980B9A5647A2}">
  <dimension ref="A1:N224"/>
  <sheetViews>
    <sheetView topLeftCell="A45" zoomScale="48" workbookViewId="0"/>
  </sheetViews>
  <sheetFormatPr defaultColWidth="12.6640625" defaultRowHeight="15.75" customHeight="1"/>
  <cols>
    <col min="1" max="1" width="69.5546875" bestFit="1" customWidth="1"/>
  </cols>
  <sheetData>
    <row r="1" spans="1:14" ht="15.75" customHeight="1">
      <c r="A1" s="145"/>
      <c r="B1" s="115"/>
      <c r="C1" s="115"/>
      <c r="D1" s="115"/>
      <c r="E1" s="115"/>
      <c r="F1" s="115"/>
      <c r="G1" s="115"/>
      <c r="H1" s="115"/>
      <c r="I1" s="115"/>
      <c r="J1" s="115"/>
      <c r="K1" s="115"/>
      <c r="L1" s="115"/>
      <c r="M1" s="115"/>
      <c r="N1" s="115"/>
    </row>
    <row r="2" spans="1:14" ht="15.75" customHeight="1">
      <c r="A2" s="115"/>
      <c r="B2" s="115"/>
      <c r="C2" s="115"/>
      <c r="D2" s="115"/>
      <c r="E2" s="115"/>
      <c r="F2" s="115"/>
      <c r="G2" s="146" t="s">
        <v>236</v>
      </c>
      <c r="H2" s="147"/>
      <c r="I2" s="147"/>
      <c r="J2" s="147"/>
      <c r="K2" s="147"/>
      <c r="L2" s="147"/>
      <c r="M2" s="147"/>
      <c r="N2" s="148"/>
    </row>
    <row r="3" spans="1:14" ht="15.75" customHeight="1">
      <c r="A3" s="115"/>
      <c r="B3" s="115"/>
      <c r="C3" s="115"/>
      <c r="D3" s="115"/>
      <c r="E3" s="115"/>
      <c r="F3" s="115"/>
      <c r="G3" s="149">
        <v>2018</v>
      </c>
      <c r="H3" s="148"/>
      <c r="I3" s="150">
        <v>2019</v>
      </c>
      <c r="J3" s="148"/>
      <c r="K3" s="150">
        <v>2020</v>
      </c>
      <c r="L3" s="148"/>
      <c r="M3" s="150">
        <v>2021</v>
      </c>
      <c r="N3" s="148"/>
    </row>
    <row r="4" spans="1:14" ht="14.4">
      <c r="A4" s="178"/>
      <c r="B4" s="179">
        <v>43100</v>
      </c>
      <c r="C4" s="179">
        <v>43465</v>
      </c>
      <c r="D4" s="179">
        <v>43830</v>
      </c>
      <c r="E4" s="179">
        <v>44196</v>
      </c>
      <c r="F4" s="180">
        <v>44561</v>
      </c>
      <c r="G4" s="112"/>
      <c r="H4" s="114"/>
      <c r="I4" s="114"/>
      <c r="J4" s="114"/>
      <c r="K4" s="114"/>
      <c r="L4" s="114"/>
      <c r="M4" s="114"/>
      <c r="N4" s="114"/>
    </row>
    <row r="5" spans="1:14" ht="15.75" customHeight="1">
      <c r="A5" s="138" t="s">
        <v>91</v>
      </c>
      <c r="B5" s="153"/>
      <c r="C5" s="153"/>
      <c r="D5" s="153"/>
      <c r="E5" s="153"/>
      <c r="F5" s="154"/>
      <c r="G5" s="155"/>
      <c r="H5" s="153"/>
      <c r="I5" s="153"/>
      <c r="J5" s="153"/>
      <c r="K5" s="153"/>
      <c r="L5" s="153"/>
      <c r="M5" s="153"/>
      <c r="N5" s="153"/>
    </row>
    <row r="6" spans="1:14" ht="15.75" customHeight="1">
      <c r="A6" s="139" t="s">
        <v>140</v>
      </c>
      <c r="B6" s="142"/>
      <c r="C6" s="142"/>
      <c r="D6" s="142"/>
      <c r="E6" s="142"/>
      <c r="F6" s="129"/>
      <c r="G6" s="155"/>
      <c r="H6" s="153"/>
      <c r="I6" s="153"/>
      <c r="J6" s="153"/>
      <c r="K6" s="153"/>
      <c r="L6" s="153"/>
      <c r="M6" s="153"/>
      <c r="N6" s="153"/>
    </row>
    <row r="7" spans="1:14" ht="15.75" customHeight="1">
      <c r="A7" s="140" t="s">
        <v>141</v>
      </c>
      <c r="B7" s="156">
        <v>7936</v>
      </c>
      <c r="C7" s="156">
        <v>20734</v>
      </c>
      <c r="D7" s="156">
        <v>19777</v>
      </c>
      <c r="E7" s="156">
        <v>17025</v>
      </c>
      <c r="F7" s="157">
        <v>17675</v>
      </c>
      <c r="G7" s="158">
        <v>12798</v>
      </c>
      <c r="H7" s="159">
        <v>1.6127</v>
      </c>
      <c r="I7" s="156">
        <v>11841</v>
      </c>
      <c r="J7" s="159">
        <v>1.4921</v>
      </c>
      <c r="K7" s="156">
        <v>9089</v>
      </c>
      <c r="L7" s="159">
        <v>1.1453</v>
      </c>
      <c r="M7" s="156">
        <v>9739</v>
      </c>
      <c r="N7" s="159">
        <v>1.2272000000000001</v>
      </c>
    </row>
    <row r="8" spans="1:14" ht="15.75" customHeight="1">
      <c r="A8" s="140" t="s">
        <v>210</v>
      </c>
      <c r="B8" s="156" t="s">
        <v>6</v>
      </c>
      <c r="C8" s="156">
        <v>575</v>
      </c>
      <c r="D8" s="156">
        <v>349</v>
      </c>
      <c r="E8" s="156">
        <v>211</v>
      </c>
      <c r="F8" s="157">
        <v>194</v>
      </c>
      <c r="G8" s="155"/>
      <c r="H8" s="153"/>
      <c r="I8" s="153"/>
      <c r="J8" s="153"/>
      <c r="K8" s="153"/>
      <c r="L8" s="153"/>
      <c r="M8" s="153"/>
      <c r="N8" s="153"/>
    </row>
    <row r="9" spans="1:14" ht="15.75" customHeight="1">
      <c r="A9" s="140" t="s">
        <v>93</v>
      </c>
      <c r="B9" s="156">
        <v>7999</v>
      </c>
      <c r="C9" s="156">
        <v>68767</v>
      </c>
      <c r="D9" s="156">
        <v>20063</v>
      </c>
      <c r="E9" s="156">
        <v>21870</v>
      </c>
      <c r="F9" s="157">
        <v>27830</v>
      </c>
      <c r="G9" s="158">
        <v>60768</v>
      </c>
      <c r="H9" s="159">
        <v>7.5968999999999998</v>
      </c>
      <c r="I9" s="156">
        <v>12064</v>
      </c>
      <c r="J9" s="159">
        <v>1.5082</v>
      </c>
      <c r="K9" s="156">
        <v>13871</v>
      </c>
      <c r="L9" s="159">
        <v>1.7341</v>
      </c>
      <c r="M9" s="156">
        <v>19831</v>
      </c>
      <c r="N9" s="159">
        <v>2.4792000000000001</v>
      </c>
    </row>
    <row r="10" spans="1:14" ht="15.75" customHeight="1">
      <c r="A10" s="140" t="s">
        <v>94</v>
      </c>
      <c r="B10" s="156" t="s">
        <v>6</v>
      </c>
      <c r="C10" s="156" t="s">
        <v>6</v>
      </c>
      <c r="D10" s="156">
        <v>48975</v>
      </c>
      <c r="E10" s="156">
        <v>48975</v>
      </c>
      <c r="F10" s="157">
        <v>50007</v>
      </c>
      <c r="G10" s="155"/>
      <c r="H10" s="153"/>
      <c r="I10" s="153"/>
      <c r="J10" s="153"/>
      <c r="K10" s="153"/>
      <c r="L10" s="153"/>
      <c r="M10" s="153"/>
      <c r="N10" s="153"/>
    </row>
    <row r="11" spans="1:14" ht="15.75" customHeight="1">
      <c r="A11" s="140" t="s">
        <v>142</v>
      </c>
      <c r="B11" s="156" t="s">
        <v>6</v>
      </c>
      <c r="C11" s="156" t="s">
        <v>6</v>
      </c>
      <c r="D11" s="156">
        <v>62832</v>
      </c>
      <c r="E11" s="156">
        <v>71593</v>
      </c>
      <c r="F11" s="157">
        <v>74075</v>
      </c>
      <c r="G11" s="155"/>
      <c r="H11" s="153"/>
      <c r="I11" s="153"/>
      <c r="J11" s="153"/>
      <c r="K11" s="153"/>
      <c r="L11" s="153"/>
      <c r="M11" s="153"/>
      <c r="N11" s="153"/>
    </row>
    <row r="12" spans="1:14" ht="15.75" customHeight="1">
      <c r="A12" s="140" t="s">
        <v>143</v>
      </c>
      <c r="B12" s="156" t="s">
        <v>6</v>
      </c>
      <c r="C12" s="156" t="s">
        <v>6</v>
      </c>
      <c r="D12" s="156">
        <v>1982</v>
      </c>
      <c r="E12" s="156">
        <v>1244</v>
      </c>
      <c r="F12" s="157">
        <v>15</v>
      </c>
      <c r="G12" s="155"/>
      <c r="H12" s="153"/>
      <c r="I12" s="153"/>
      <c r="J12" s="153"/>
      <c r="K12" s="153"/>
      <c r="L12" s="153"/>
      <c r="M12" s="153"/>
      <c r="N12" s="153"/>
    </row>
    <row r="13" spans="1:14" ht="15.75" customHeight="1">
      <c r="A13" s="140" t="s">
        <v>95</v>
      </c>
      <c r="B13" s="156">
        <v>2471</v>
      </c>
      <c r="C13" s="156" t="s">
        <v>6</v>
      </c>
      <c r="D13" s="156" t="s">
        <v>6</v>
      </c>
      <c r="E13" s="160" t="s">
        <v>6</v>
      </c>
      <c r="F13" s="161">
        <v>5575</v>
      </c>
      <c r="G13" s="155"/>
      <c r="H13" s="153"/>
      <c r="I13" s="153"/>
      <c r="J13" s="153"/>
      <c r="K13" s="153"/>
      <c r="L13" s="153"/>
      <c r="M13" s="156">
        <v>3104</v>
      </c>
      <c r="N13" s="159">
        <v>1.2562</v>
      </c>
    </row>
    <row r="14" spans="1:14" ht="15.75" customHeight="1">
      <c r="A14" s="140" t="s">
        <v>96</v>
      </c>
      <c r="B14" s="156">
        <v>4264</v>
      </c>
      <c r="C14" s="156">
        <v>5759</v>
      </c>
      <c r="D14" s="156">
        <v>3302</v>
      </c>
      <c r="E14" s="162">
        <v>5714</v>
      </c>
      <c r="F14" s="157">
        <v>5366</v>
      </c>
      <c r="G14" s="158">
        <v>1495</v>
      </c>
      <c r="H14" s="159">
        <v>0.35060000000000002</v>
      </c>
      <c r="I14" s="156">
        <v>-962</v>
      </c>
      <c r="J14" s="159">
        <v>-0.22559999999999999</v>
      </c>
      <c r="K14" s="156">
        <v>1450</v>
      </c>
      <c r="L14" s="159">
        <v>0.34010000000000001</v>
      </c>
      <c r="M14" s="156">
        <v>1102</v>
      </c>
      <c r="N14" s="159">
        <v>0.25840000000000002</v>
      </c>
    </row>
    <row r="15" spans="1:14" ht="15.75" customHeight="1">
      <c r="A15" s="140" t="s">
        <v>144</v>
      </c>
      <c r="B15" s="156">
        <v>993</v>
      </c>
      <c r="C15" s="156">
        <v>2646</v>
      </c>
      <c r="D15" s="156">
        <v>1431</v>
      </c>
      <c r="E15" s="156">
        <v>907</v>
      </c>
      <c r="F15" s="157">
        <v>1632</v>
      </c>
      <c r="G15" s="158">
        <v>1653</v>
      </c>
      <c r="H15" s="159">
        <v>1.6647000000000001</v>
      </c>
      <c r="I15" s="156">
        <v>438</v>
      </c>
      <c r="J15" s="159">
        <v>0.44109999999999999</v>
      </c>
      <c r="K15" s="156">
        <v>-86</v>
      </c>
      <c r="L15" s="159">
        <v>-8.6599999999999996E-2</v>
      </c>
      <c r="M15" s="156">
        <v>639</v>
      </c>
      <c r="N15" s="159">
        <v>0.64349999999999996</v>
      </c>
    </row>
    <row r="16" spans="1:14" ht="15.75" customHeight="1">
      <c r="A16" s="139" t="s">
        <v>97</v>
      </c>
      <c r="B16" s="163">
        <v>23663</v>
      </c>
      <c r="C16" s="163">
        <v>98481</v>
      </c>
      <c r="D16" s="163">
        <v>158711</v>
      </c>
      <c r="E16" s="163">
        <v>167539</v>
      </c>
      <c r="F16" s="164">
        <v>182369</v>
      </c>
      <c r="G16" s="165">
        <v>74818</v>
      </c>
      <c r="H16" s="166">
        <v>3.1617999999999999</v>
      </c>
      <c r="I16" s="163">
        <v>135048</v>
      </c>
      <c r="J16" s="166">
        <v>5.7070999999999996</v>
      </c>
      <c r="K16" s="163">
        <v>143876</v>
      </c>
      <c r="L16" s="166">
        <v>6.0801999999999996</v>
      </c>
      <c r="M16" s="163">
        <v>158706</v>
      </c>
      <c r="N16" s="166">
        <v>6.7069000000000001</v>
      </c>
    </row>
    <row r="17" spans="1:14" ht="15.75" customHeight="1">
      <c r="A17" s="141" t="s">
        <v>98</v>
      </c>
      <c r="B17" s="142"/>
      <c r="C17" s="142"/>
      <c r="D17" s="142"/>
      <c r="E17" s="115"/>
      <c r="F17" s="167"/>
      <c r="G17" s="155"/>
      <c r="H17" s="153"/>
      <c r="I17" s="153"/>
      <c r="J17" s="153"/>
      <c r="K17" s="153"/>
      <c r="L17" s="153"/>
      <c r="M17" s="153"/>
      <c r="N17" s="153"/>
    </row>
    <row r="18" spans="1:14" ht="15.75" customHeight="1">
      <c r="A18" s="140" t="s">
        <v>99</v>
      </c>
      <c r="B18" s="156">
        <v>52283</v>
      </c>
      <c r="C18" s="156">
        <v>113145</v>
      </c>
      <c r="D18" s="156">
        <v>129115</v>
      </c>
      <c r="E18" s="162">
        <v>146994</v>
      </c>
      <c r="F18" s="157">
        <v>163840</v>
      </c>
      <c r="G18" s="158">
        <v>60862</v>
      </c>
      <c r="H18" s="159">
        <v>1.1640999999999999</v>
      </c>
      <c r="I18" s="156">
        <v>76832</v>
      </c>
      <c r="J18" s="159">
        <v>1.4695</v>
      </c>
      <c r="K18" s="156">
        <v>94711</v>
      </c>
      <c r="L18" s="159">
        <v>1.8115000000000001</v>
      </c>
      <c r="M18" s="156">
        <v>111557</v>
      </c>
      <c r="N18" s="159">
        <v>2.1337000000000002</v>
      </c>
    </row>
    <row r="19" spans="1:14" ht="15.75" customHeight="1">
      <c r="A19" s="140" t="s">
        <v>100</v>
      </c>
      <c r="B19" s="156">
        <v>20834</v>
      </c>
      <c r="C19" s="156">
        <v>29631</v>
      </c>
      <c r="D19" s="156">
        <v>34136</v>
      </c>
      <c r="E19" s="156">
        <v>46224</v>
      </c>
      <c r="F19" s="157">
        <v>46865</v>
      </c>
      <c r="G19" s="158">
        <v>8797</v>
      </c>
      <c r="H19" s="159">
        <v>0.42220000000000002</v>
      </c>
      <c r="I19" s="156">
        <v>13302</v>
      </c>
      <c r="J19" s="159">
        <v>0.63849999999999996</v>
      </c>
      <c r="K19" s="156">
        <v>25390</v>
      </c>
      <c r="L19" s="159">
        <v>1.2186999999999999</v>
      </c>
      <c r="M19" s="156">
        <v>26031</v>
      </c>
      <c r="N19" s="159">
        <v>1.2494000000000001</v>
      </c>
    </row>
    <row r="20" spans="1:14" ht="15.75" customHeight="1">
      <c r="A20" s="140" t="s">
        <v>101</v>
      </c>
      <c r="B20" s="156">
        <v>777</v>
      </c>
      <c r="C20" s="156">
        <v>1826</v>
      </c>
      <c r="D20" s="156">
        <v>1181</v>
      </c>
      <c r="E20" s="156">
        <v>1761</v>
      </c>
      <c r="F20" s="157">
        <v>1622</v>
      </c>
      <c r="G20" s="158">
        <v>1049</v>
      </c>
      <c r="H20" s="159">
        <v>1.3501000000000001</v>
      </c>
      <c r="I20" s="156">
        <v>404</v>
      </c>
      <c r="J20" s="159">
        <v>0.51990000000000003</v>
      </c>
      <c r="K20" s="156">
        <v>984</v>
      </c>
      <c r="L20" s="159">
        <v>1.2664</v>
      </c>
      <c r="M20" s="156">
        <v>845</v>
      </c>
      <c r="N20" s="159">
        <v>1.0874999999999999</v>
      </c>
    </row>
    <row r="21" spans="1:14" ht="15.75" customHeight="1">
      <c r="A21" s="140" t="s">
        <v>102</v>
      </c>
      <c r="B21" s="156">
        <v>16</v>
      </c>
      <c r="C21" s="156">
        <v>33</v>
      </c>
      <c r="D21" s="156">
        <v>84</v>
      </c>
      <c r="E21" s="156">
        <v>100</v>
      </c>
      <c r="F21" s="157">
        <v>2637</v>
      </c>
      <c r="G21" s="158">
        <v>17</v>
      </c>
      <c r="H21" s="159">
        <v>1.0625</v>
      </c>
      <c r="I21" s="156">
        <v>68</v>
      </c>
      <c r="J21" s="159">
        <v>4.25</v>
      </c>
      <c r="K21" s="156">
        <v>84</v>
      </c>
      <c r="L21" s="159">
        <v>5.25</v>
      </c>
      <c r="M21" s="156">
        <v>2621</v>
      </c>
      <c r="N21" s="159">
        <v>163.8125</v>
      </c>
    </row>
    <row r="22" spans="1:14" ht="15.75" customHeight="1">
      <c r="A22" s="140" t="s">
        <v>103</v>
      </c>
      <c r="B22" s="156">
        <v>6154</v>
      </c>
      <c r="C22" s="156">
        <v>16112</v>
      </c>
      <c r="D22" s="156">
        <v>21316</v>
      </c>
      <c r="E22" s="156">
        <v>25352</v>
      </c>
      <c r="F22" s="157">
        <v>33910</v>
      </c>
      <c r="G22" s="158">
        <v>9958</v>
      </c>
      <c r="H22" s="159">
        <v>1.6181000000000001</v>
      </c>
      <c r="I22" s="156">
        <v>15162</v>
      </c>
      <c r="J22" s="159">
        <v>2.4638</v>
      </c>
      <c r="K22" s="156">
        <v>19198</v>
      </c>
      <c r="L22" s="159">
        <v>3.1196000000000002</v>
      </c>
      <c r="M22" s="156">
        <v>27756</v>
      </c>
      <c r="N22" s="159">
        <v>4.5102000000000002</v>
      </c>
    </row>
    <row r="23" spans="1:14" ht="15.75" customHeight="1">
      <c r="A23" s="140" t="s">
        <v>104</v>
      </c>
      <c r="B23" s="156">
        <v>7</v>
      </c>
      <c r="C23" s="156">
        <v>43</v>
      </c>
      <c r="D23" s="156">
        <v>44</v>
      </c>
      <c r="E23" s="156">
        <v>60</v>
      </c>
      <c r="F23" s="157">
        <v>68</v>
      </c>
      <c r="G23" s="158">
        <v>36</v>
      </c>
      <c r="H23" s="159">
        <v>5.1429</v>
      </c>
      <c r="I23" s="156">
        <v>37</v>
      </c>
      <c r="J23" s="159">
        <v>5.2857000000000003</v>
      </c>
      <c r="K23" s="156">
        <v>53</v>
      </c>
      <c r="L23" s="159">
        <v>7.5713999999999997</v>
      </c>
      <c r="M23" s="156">
        <v>61</v>
      </c>
      <c r="N23" s="159">
        <v>8.7142999999999997</v>
      </c>
    </row>
    <row r="24" spans="1:14" ht="15.75" customHeight="1">
      <c r="A24" s="140" t="s">
        <v>105</v>
      </c>
      <c r="B24" s="156">
        <v>17791</v>
      </c>
      <c r="C24" s="156">
        <v>25669</v>
      </c>
      <c r="D24" s="156">
        <v>4738</v>
      </c>
      <c r="E24" s="156">
        <v>7445</v>
      </c>
      <c r="F24" s="157">
        <v>12053</v>
      </c>
      <c r="G24" s="158">
        <v>7878</v>
      </c>
      <c r="H24" s="159">
        <v>0.44280000000000003</v>
      </c>
      <c r="I24" s="156">
        <v>-13053</v>
      </c>
      <c r="J24" s="159">
        <v>-0.73370000000000002</v>
      </c>
      <c r="K24" s="156">
        <v>-10346</v>
      </c>
      <c r="L24" s="159">
        <v>-0.58150000000000002</v>
      </c>
      <c r="M24" s="156">
        <v>-5738</v>
      </c>
      <c r="N24" s="159">
        <v>-0.32250000000000001</v>
      </c>
    </row>
    <row r="25" spans="1:14" ht="15.75" customHeight="1">
      <c r="A25" s="140" t="s">
        <v>106</v>
      </c>
      <c r="B25" s="156" t="s">
        <v>6</v>
      </c>
      <c r="C25" s="156">
        <v>494</v>
      </c>
      <c r="D25" s="156">
        <v>303</v>
      </c>
      <c r="E25" s="156">
        <v>1229</v>
      </c>
      <c r="F25" s="157">
        <v>8</v>
      </c>
      <c r="G25" s="155"/>
      <c r="H25" s="153"/>
      <c r="I25" s="153"/>
      <c r="J25" s="153"/>
      <c r="K25" s="153"/>
      <c r="L25" s="153"/>
      <c r="M25" s="153"/>
      <c r="N25" s="153"/>
    </row>
    <row r="26" spans="1:14" ht="15.75" customHeight="1">
      <c r="A26" s="139" t="s">
        <v>107</v>
      </c>
      <c r="B26" s="163">
        <v>97862</v>
      </c>
      <c r="C26" s="163">
        <v>186953</v>
      </c>
      <c r="D26" s="163">
        <v>190917</v>
      </c>
      <c r="E26" s="163">
        <v>229165</v>
      </c>
      <c r="F26" s="164">
        <v>261003</v>
      </c>
      <c r="G26" s="165">
        <v>89091</v>
      </c>
      <c r="H26" s="166">
        <v>0.91039999999999999</v>
      </c>
      <c r="I26" s="163">
        <v>93055</v>
      </c>
      <c r="J26" s="166">
        <v>0.95089999999999997</v>
      </c>
      <c r="K26" s="163">
        <v>131303</v>
      </c>
      <c r="L26" s="166">
        <v>1.3416999999999999</v>
      </c>
      <c r="M26" s="163">
        <v>163141</v>
      </c>
      <c r="N26" s="166">
        <v>1.6671</v>
      </c>
    </row>
    <row r="27" spans="1:14" ht="15.75" customHeight="1">
      <c r="A27" s="138" t="s">
        <v>108</v>
      </c>
      <c r="B27" s="163">
        <v>121525</v>
      </c>
      <c r="C27" s="163">
        <v>285434</v>
      </c>
      <c r="D27" s="163">
        <v>349628</v>
      </c>
      <c r="E27" s="163">
        <v>396704</v>
      </c>
      <c r="F27" s="164">
        <v>443372</v>
      </c>
      <c r="G27" s="165">
        <v>163909</v>
      </c>
      <c r="H27" s="166">
        <v>1.3488</v>
      </c>
      <c r="I27" s="163">
        <v>228103</v>
      </c>
      <c r="J27" s="166">
        <v>1.877</v>
      </c>
      <c r="K27" s="163">
        <v>275179</v>
      </c>
      <c r="L27" s="166">
        <v>2.2644000000000002</v>
      </c>
      <c r="M27" s="163">
        <v>321847</v>
      </c>
      <c r="N27" s="166">
        <v>2.6484000000000001</v>
      </c>
    </row>
    <row r="28" spans="1:14" ht="14.4">
      <c r="A28" s="115"/>
      <c r="B28" s="115"/>
      <c r="C28" s="115"/>
      <c r="D28" s="115"/>
      <c r="E28" s="115"/>
      <c r="F28" s="115"/>
      <c r="G28" s="155"/>
      <c r="H28" s="153"/>
      <c r="I28" s="153"/>
      <c r="J28" s="153"/>
      <c r="K28" s="153"/>
      <c r="L28" s="153"/>
      <c r="M28" s="153"/>
      <c r="N28" s="153"/>
    </row>
    <row r="29" spans="1:14" ht="14.4">
      <c r="A29" s="138" t="s">
        <v>160</v>
      </c>
      <c r="B29" s="168"/>
      <c r="C29" s="168"/>
      <c r="D29" s="168"/>
      <c r="E29" s="168"/>
      <c r="F29" s="169"/>
      <c r="G29" s="155"/>
      <c r="H29" s="153"/>
      <c r="I29" s="153"/>
      <c r="J29" s="153"/>
      <c r="K29" s="153"/>
      <c r="L29" s="153"/>
      <c r="M29" s="153"/>
      <c r="N29" s="153"/>
    </row>
    <row r="30" spans="1:14" ht="14.4">
      <c r="A30" s="140" t="s">
        <v>161</v>
      </c>
      <c r="B30" s="156">
        <v>1798</v>
      </c>
      <c r="C30" s="156">
        <v>1798</v>
      </c>
      <c r="D30" s="156">
        <v>1798</v>
      </c>
      <c r="E30" s="156">
        <v>1798</v>
      </c>
      <c r="F30" s="157">
        <v>1798</v>
      </c>
      <c r="G30" s="158">
        <v>0</v>
      </c>
      <c r="H30" s="159">
        <v>0</v>
      </c>
      <c r="I30" s="156">
        <v>0</v>
      </c>
      <c r="J30" s="159">
        <v>0</v>
      </c>
      <c r="K30" s="156">
        <v>0</v>
      </c>
      <c r="L30" s="159">
        <v>0</v>
      </c>
      <c r="M30" s="156">
        <v>0</v>
      </c>
      <c r="N30" s="159">
        <v>0</v>
      </c>
    </row>
    <row r="31" spans="1:14" ht="14.4">
      <c r="A31" s="140" t="s">
        <v>162</v>
      </c>
      <c r="B31" s="156">
        <v>4576</v>
      </c>
      <c r="C31" s="156">
        <v>4576</v>
      </c>
      <c r="D31" s="156">
        <v>4576</v>
      </c>
      <c r="E31" s="156">
        <v>4576</v>
      </c>
      <c r="F31" s="157">
        <v>4576</v>
      </c>
      <c r="G31" s="158">
        <v>0</v>
      </c>
      <c r="H31" s="159">
        <v>0</v>
      </c>
      <c r="I31" s="156">
        <v>0</v>
      </c>
      <c r="J31" s="159">
        <v>0</v>
      </c>
      <c r="K31" s="156">
        <v>0</v>
      </c>
      <c r="L31" s="159">
        <v>0</v>
      </c>
      <c r="M31" s="156">
        <v>0</v>
      </c>
      <c r="N31" s="159">
        <v>0</v>
      </c>
    </row>
    <row r="32" spans="1:14" ht="14.4">
      <c r="A32" s="140" t="s">
        <v>163</v>
      </c>
      <c r="B32" s="156">
        <v>-52</v>
      </c>
      <c r="C32" s="156">
        <v>-749</v>
      </c>
      <c r="D32" s="156">
        <v>-749</v>
      </c>
      <c r="E32" s="156">
        <v>-749</v>
      </c>
      <c r="F32" s="157">
        <v>-557</v>
      </c>
      <c r="G32" s="158">
        <v>-697</v>
      </c>
      <c r="H32" s="159">
        <v>13.4038</v>
      </c>
      <c r="I32" s="156">
        <v>-697</v>
      </c>
      <c r="J32" s="159">
        <v>13.4038</v>
      </c>
      <c r="K32" s="156">
        <v>-697</v>
      </c>
      <c r="L32" s="159">
        <v>13.4038</v>
      </c>
      <c r="M32" s="156">
        <v>-505</v>
      </c>
      <c r="N32" s="159">
        <v>9.7114999999999991</v>
      </c>
    </row>
    <row r="33" spans="1:14" ht="14.4">
      <c r="A33" s="140" t="s">
        <v>164</v>
      </c>
      <c r="B33" s="156">
        <v>16602</v>
      </c>
      <c r="C33" s="156">
        <v>25240</v>
      </c>
      <c r="D33" s="156">
        <v>26502</v>
      </c>
      <c r="E33" s="156">
        <v>28014</v>
      </c>
      <c r="F33" s="157">
        <v>17395</v>
      </c>
      <c r="G33" s="158">
        <v>8638</v>
      </c>
      <c r="H33" s="159">
        <v>0.52029999999999998</v>
      </c>
      <c r="I33" s="156">
        <v>9900</v>
      </c>
      <c r="J33" s="159">
        <v>0.59630000000000005</v>
      </c>
      <c r="K33" s="156">
        <v>11412</v>
      </c>
      <c r="L33" s="159">
        <v>0.68740000000000001</v>
      </c>
      <c r="M33" s="156">
        <v>793</v>
      </c>
      <c r="N33" s="159">
        <v>4.7800000000000002E-2</v>
      </c>
    </row>
    <row r="34" spans="1:14" ht="14.4">
      <c r="A34" s="140" t="s">
        <v>165</v>
      </c>
      <c r="B34" s="156">
        <v>230</v>
      </c>
      <c r="C34" s="156">
        <v>510</v>
      </c>
      <c r="D34" s="156" t="s">
        <v>6</v>
      </c>
      <c r="E34" s="156" t="s">
        <v>6</v>
      </c>
      <c r="F34" s="157" t="s">
        <v>6</v>
      </c>
      <c r="G34" s="158">
        <v>280</v>
      </c>
      <c r="H34" s="159">
        <v>1.2174</v>
      </c>
      <c r="I34" s="153"/>
      <c r="J34" s="153"/>
      <c r="K34" s="153"/>
      <c r="L34" s="153"/>
      <c r="M34" s="153"/>
      <c r="N34" s="153"/>
    </row>
    <row r="35" spans="1:14" ht="14.4">
      <c r="A35" s="139" t="s">
        <v>166</v>
      </c>
      <c r="B35" s="163">
        <v>23154</v>
      </c>
      <c r="C35" s="163">
        <v>31375</v>
      </c>
      <c r="D35" s="163">
        <v>32127</v>
      </c>
      <c r="E35" s="163">
        <v>33639</v>
      </c>
      <c r="F35" s="164">
        <v>23212</v>
      </c>
      <c r="G35" s="165">
        <v>8221</v>
      </c>
      <c r="H35" s="166">
        <v>0.35510000000000003</v>
      </c>
      <c r="I35" s="163">
        <v>8973</v>
      </c>
      <c r="J35" s="166">
        <v>0.38750000000000001</v>
      </c>
      <c r="K35" s="163">
        <v>10485</v>
      </c>
      <c r="L35" s="166">
        <v>0.45279999999999998</v>
      </c>
      <c r="M35" s="163">
        <v>58</v>
      </c>
      <c r="N35" s="166">
        <v>2.5000000000000001E-3</v>
      </c>
    </row>
    <row r="36" spans="1:14" ht="14.4">
      <c r="A36" s="138" t="s">
        <v>172</v>
      </c>
      <c r="B36" s="142"/>
      <c r="C36" s="142"/>
      <c r="D36" s="142"/>
      <c r="E36" s="142"/>
      <c r="F36" s="129"/>
      <c r="G36" s="155"/>
      <c r="H36" s="153"/>
      <c r="I36" s="153"/>
      <c r="J36" s="153"/>
      <c r="K36" s="153"/>
      <c r="L36" s="153"/>
      <c r="M36" s="153"/>
      <c r="N36" s="153"/>
    </row>
    <row r="37" spans="1:14" ht="14.4">
      <c r="A37" s="140" t="s">
        <v>173</v>
      </c>
      <c r="B37" s="156" t="s">
        <v>6</v>
      </c>
      <c r="C37" s="156">
        <v>45720</v>
      </c>
      <c r="D37" s="156">
        <v>38752</v>
      </c>
      <c r="E37" s="156">
        <v>31733</v>
      </c>
      <c r="F37" s="157">
        <v>28964</v>
      </c>
      <c r="G37" s="155"/>
      <c r="H37" s="153"/>
      <c r="I37" s="153"/>
      <c r="J37" s="153"/>
      <c r="K37" s="153"/>
      <c r="L37" s="153"/>
      <c r="M37" s="153"/>
      <c r="N37" s="153"/>
    </row>
    <row r="38" spans="1:14" ht="14.4">
      <c r="A38" s="140" t="s">
        <v>174</v>
      </c>
      <c r="B38" s="156" t="s">
        <v>6</v>
      </c>
      <c r="C38" s="156" t="s">
        <v>6</v>
      </c>
      <c r="D38" s="156">
        <v>57927</v>
      </c>
      <c r="E38" s="156">
        <v>70702</v>
      </c>
      <c r="F38" s="157">
        <v>68628</v>
      </c>
      <c r="G38" s="155"/>
      <c r="H38" s="153"/>
      <c r="I38" s="153"/>
      <c r="J38" s="153"/>
      <c r="K38" s="153"/>
      <c r="L38" s="153"/>
      <c r="M38" s="153"/>
      <c r="N38" s="153"/>
    </row>
    <row r="39" spans="1:14" ht="14.4">
      <c r="A39" s="140" t="s">
        <v>175</v>
      </c>
      <c r="B39" s="156" t="s">
        <v>6</v>
      </c>
      <c r="C39" s="156">
        <v>1785</v>
      </c>
      <c r="D39" s="156">
        <v>270</v>
      </c>
      <c r="E39" s="156">
        <v>175</v>
      </c>
      <c r="F39" s="157">
        <v>94</v>
      </c>
      <c r="G39" s="155"/>
      <c r="H39" s="153"/>
      <c r="I39" s="153"/>
      <c r="J39" s="153"/>
      <c r="K39" s="153"/>
      <c r="L39" s="153"/>
      <c r="M39" s="153"/>
      <c r="N39" s="153"/>
    </row>
    <row r="40" spans="1:14" ht="14.4">
      <c r="A40" s="140" t="s">
        <v>176</v>
      </c>
      <c r="B40" s="156" t="s">
        <v>6</v>
      </c>
      <c r="C40" s="156">
        <v>573</v>
      </c>
      <c r="D40" s="156">
        <v>373</v>
      </c>
      <c r="E40" s="156">
        <v>454</v>
      </c>
      <c r="F40" s="157">
        <v>577</v>
      </c>
      <c r="G40" s="155"/>
      <c r="H40" s="153"/>
      <c r="I40" s="153"/>
      <c r="J40" s="153"/>
      <c r="K40" s="153"/>
      <c r="L40" s="153"/>
      <c r="M40" s="153"/>
      <c r="N40" s="153"/>
    </row>
    <row r="41" spans="1:14" ht="14.4">
      <c r="A41" s="140" t="s">
        <v>177</v>
      </c>
      <c r="B41" s="156">
        <v>4</v>
      </c>
      <c r="C41" s="156">
        <v>256</v>
      </c>
      <c r="D41" s="156" t="s">
        <v>6</v>
      </c>
      <c r="E41" s="156" t="s">
        <v>6</v>
      </c>
      <c r="F41" s="157" t="s">
        <v>6</v>
      </c>
      <c r="G41" s="158">
        <v>252</v>
      </c>
      <c r="H41" s="170">
        <v>63</v>
      </c>
      <c r="I41" s="153"/>
      <c r="J41" s="153"/>
      <c r="K41" s="153"/>
      <c r="L41" s="153"/>
      <c r="M41" s="153"/>
      <c r="N41" s="153"/>
    </row>
    <row r="42" spans="1:14" ht="14.4">
      <c r="A42" s="139" t="s">
        <v>178</v>
      </c>
      <c r="B42" s="163">
        <v>4</v>
      </c>
      <c r="C42" s="163">
        <v>48334</v>
      </c>
      <c r="D42" s="163">
        <v>97322</v>
      </c>
      <c r="E42" s="163">
        <v>103064</v>
      </c>
      <c r="F42" s="164">
        <v>98263</v>
      </c>
      <c r="G42" s="165">
        <v>48330</v>
      </c>
      <c r="H42" s="171">
        <v>12082.5</v>
      </c>
      <c r="I42" s="163">
        <v>97318</v>
      </c>
      <c r="J42" s="171">
        <v>24329.5</v>
      </c>
      <c r="K42" s="163">
        <v>103060</v>
      </c>
      <c r="L42" s="171">
        <v>25765</v>
      </c>
      <c r="M42" s="163">
        <v>98259</v>
      </c>
      <c r="N42" s="171">
        <v>24564.75</v>
      </c>
    </row>
    <row r="43" spans="1:14" ht="14.4">
      <c r="A43" s="138" t="s">
        <v>183</v>
      </c>
      <c r="B43" s="142"/>
      <c r="C43" s="142"/>
      <c r="D43" s="142"/>
      <c r="E43" s="142"/>
      <c r="F43" s="129"/>
      <c r="G43" s="155"/>
      <c r="H43" s="153"/>
      <c r="I43" s="153"/>
      <c r="J43" s="153"/>
      <c r="K43" s="153"/>
      <c r="L43" s="153"/>
      <c r="M43" s="153"/>
      <c r="N43" s="153"/>
    </row>
    <row r="44" spans="1:14" ht="14.4">
      <c r="A44" s="140" t="s">
        <v>184</v>
      </c>
      <c r="B44" s="156">
        <v>77698</v>
      </c>
      <c r="C44" s="156">
        <v>155420</v>
      </c>
      <c r="D44" s="156">
        <v>176065</v>
      </c>
      <c r="E44" s="156">
        <v>207862</v>
      </c>
      <c r="F44" s="157">
        <v>237324</v>
      </c>
      <c r="G44" s="158">
        <v>77722</v>
      </c>
      <c r="H44" s="159">
        <v>1.0003</v>
      </c>
      <c r="I44" s="156">
        <v>98367</v>
      </c>
      <c r="J44" s="159">
        <v>1.266</v>
      </c>
      <c r="K44" s="156">
        <v>130164</v>
      </c>
      <c r="L44" s="159">
        <v>1.6753</v>
      </c>
      <c r="M44" s="156">
        <v>159626</v>
      </c>
      <c r="N44" s="159">
        <v>2.0543999999999998</v>
      </c>
    </row>
    <row r="45" spans="1:14" ht="14.4">
      <c r="A45" s="140" t="s">
        <v>185</v>
      </c>
      <c r="B45" s="156">
        <v>8708</v>
      </c>
      <c r="C45" s="156">
        <v>22435</v>
      </c>
      <c r="D45" s="156">
        <v>12975</v>
      </c>
      <c r="E45" s="156">
        <v>14346</v>
      </c>
      <c r="F45" s="157">
        <v>18003</v>
      </c>
      <c r="G45" s="158">
        <v>13727</v>
      </c>
      <c r="H45" s="159">
        <v>1.5764</v>
      </c>
      <c r="I45" s="156">
        <v>4267</v>
      </c>
      <c r="J45" s="159">
        <v>0.49</v>
      </c>
      <c r="K45" s="156">
        <v>5638</v>
      </c>
      <c r="L45" s="159">
        <v>0.64749999999999996</v>
      </c>
      <c r="M45" s="156">
        <v>9295</v>
      </c>
      <c r="N45" s="159">
        <v>1.0673999999999999</v>
      </c>
    </row>
    <row r="46" spans="1:14" ht="14.4">
      <c r="A46" s="140" t="s">
        <v>186</v>
      </c>
      <c r="B46" s="156">
        <v>8579</v>
      </c>
      <c r="C46" s="156">
        <v>6940</v>
      </c>
      <c r="D46" s="156">
        <v>8112</v>
      </c>
      <c r="E46" s="156">
        <v>6604</v>
      </c>
      <c r="F46" s="157">
        <v>7998</v>
      </c>
      <c r="G46" s="158">
        <v>-1639</v>
      </c>
      <c r="H46" s="159">
        <v>-0.191</v>
      </c>
      <c r="I46" s="156">
        <v>-467</v>
      </c>
      <c r="J46" s="159">
        <v>-5.4399999999999997E-2</v>
      </c>
      <c r="K46" s="156">
        <v>-1975</v>
      </c>
      <c r="L46" s="159">
        <v>-0.23019999999999999</v>
      </c>
      <c r="M46" s="156">
        <v>-581</v>
      </c>
      <c r="N46" s="159">
        <v>-6.7699999999999996E-2</v>
      </c>
    </row>
    <row r="47" spans="1:14" ht="14.4">
      <c r="A47" s="140" t="s">
        <v>174</v>
      </c>
      <c r="B47" s="156" t="s">
        <v>6</v>
      </c>
      <c r="C47" s="156" t="s">
        <v>6</v>
      </c>
      <c r="D47" s="156">
        <v>10532</v>
      </c>
      <c r="E47" s="156">
        <v>10051</v>
      </c>
      <c r="F47" s="157">
        <v>15797</v>
      </c>
      <c r="G47" s="155"/>
      <c r="H47" s="153"/>
      <c r="I47" s="153"/>
      <c r="J47" s="153"/>
      <c r="K47" s="153"/>
      <c r="L47" s="153"/>
      <c r="M47" s="153"/>
      <c r="N47" s="153"/>
    </row>
    <row r="48" spans="1:14" ht="14.4">
      <c r="A48" s="140" t="s">
        <v>173</v>
      </c>
      <c r="B48" s="156">
        <v>780</v>
      </c>
      <c r="C48" s="156">
        <v>13789</v>
      </c>
      <c r="D48" s="156">
        <v>10658</v>
      </c>
      <c r="E48" s="156">
        <v>16195</v>
      </c>
      <c r="F48" s="157">
        <v>40174</v>
      </c>
      <c r="G48" s="158">
        <v>13009</v>
      </c>
      <c r="H48" s="159">
        <v>16.6782</v>
      </c>
      <c r="I48" s="156">
        <v>9878</v>
      </c>
      <c r="J48" s="159">
        <v>12.664099999999999</v>
      </c>
      <c r="K48" s="156">
        <v>15415</v>
      </c>
      <c r="L48" s="159">
        <v>19.762799999999999</v>
      </c>
      <c r="M48" s="156">
        <v>39394</v>
      </c>
      <c r="N48" s="159">
        <v>50.505099999999999</v>
      </c>
    </row>
    <row r="49" spans="1:14" ht="14.4">
      <c r="A49" s="140" t="s">
        <v>187</v>
      </c>
      <c r="B49" s="156">
        <v>531</v>
      </c>
      <c r="C49" s="156">
        <v>1397</v>
      </c>
      <c r="D49" s="156">
        <v>9</v>
      </c>
      <c r="E49" s="156">
        <v>1643</v>
      </c>
      <c r="F49" s="157">
        <v>9</v>
      </c>
      <c r="G49" s="158">
        <v>866</v>
      </c>
      <c r="H49" s="159">
        <v>1.6309</v>
      </c>
      <c r="I49" s="156">
        <v>-522</v>
      </c>
      <c r="J49" s="159">
        <v>-0.98309999999999997</v>
      </c>
      <c r="K49" s="156">
        <v>1112</v>
      </c>
      <c r="L49" s="159">
        <v>2.0941999999999998</v>
      </c>
      <c r="M49" s="156">
        <v>-522</v>
      </c>
      <c r="N49" s="159">
        <v>-0.98309999999999997</v>
      </c>
    </row>
    <row r="50" spans="1:14" ht="14.4">
      <c r="A50" s="140" t="s">
        <v>188</v>
      </c>
      <c r="B50" s="156">
        <v>1627</v>
      </c>
      <c r="C50" s="156">
        <v>2782</v>
      </c>
      <c r="D50" s="156">
        <v>1460</v>
      </c>
      <c r="E50" s="156">
        <v>2312</v>
      </c>
      <c r="F50" s="157">
        <v>2428</v>
      </c>
      <c r="G50" s="158">
        <v>1155</v>
      </c>
      <c r="H50" s="159">
        <v>0.70989999999999998</v>
      </c>
      <c r="I50" s="156">
        <v>-167</v>
      </c>
      <c r="J50" s="159">
        <v>-0.1026</v>
      </c>
      <c r="K50" s="156">
        <v>685</v>
      </c>
      <c r="L50" s="159">
        <v>0.42099999999999999</v>
      </c>
      <c r="M50" s="156">
        <v>801</v>
      </c>
      <c r="N50" s="159">
        <v>0.49230000000000002</v>
      </c>
    </row>
    <row r="51" spans="1:14" ht="14.4">
      <c r="A51" s="140" t="s">
        <v>177</v>
      </c>
      <c r="B51" s="156">
        <v>444</v>
      </c>
      <c r="C51" s="156">
        <v>2962</v>
      </c>
      <c r="D51" s="156">
        <v>368</v>
      </c>
      <c r="E51" s="156">
        <v>988</v>
      </c>
      <c r="F51" s="157">
        <v>164</v>
      </c>
      <c r="G51" s="158">
        <v>2518</v>
      </c>
      <c r="H51" s="159">
        <v>5.6711999999999998</v>
      </c>
      <c r="I51" s="156">
        <v>-76</v>
      </c>
      <c r="J51" s="159">
        <v>-0.17119999999999999</v>
      </c>
      <c r="K51" s="156">
        <v>544</v>
      </c>
      <c r="L51" s="159">
        <v>1.2252000000000001</v>
      </c>
      <c r="M51" s="156">
        <v>-280</v>
      </c>
      <c r="N51" s="159">
        <v>-0.63060000000000005</v>
      </c>
    </row>
    <row r="52" spans="1:14" ht="14.4">
      <c r="A52" s="142" t="s">
        <v>189</v>
      </c>
      <c r="B52" s="163">
        <v>98367</v>
      </c>
      <c r="C52" s="163">
        <v>205725</v>
      </c>
      <c r="D52" s="163">
        <v>220179</v>
      </c>
      <c r="E52" s="163">
        <v>260001</v>
      </c>
      <c r="F52" s="164">
        <v>321897</v>
      </c>
      <c r="G52" s="165">
        <v>107358</v>
      </c>
      <c r="H52" s="166">
        <v>1.0913999999999999</v>
      </c>
      <c r="I52" s="163">
        <v>121812</v>
      </c>
      <c r="J52" s="166">
        <v>1.2383</v>
      </c>
      <c r="K52" s="163">
        <v>161634</v>
      </c>
      <c r="L52" s="166">
        <v>1.6432</v>
      </c>
      <c r="M52" s="163">
        <v>223530</v>
      </c>
      <c r="N52" s="166">
        <v>2.2724000000000002</v>
      </c>
    </row>
    <row r="53" spans="1:14" ht="14.4">
      <c r="A53" s="143" t="s">
        <v>195</v>
      </c>
      <c r="B53" s="163">
        <v>98371</v>
      </c>
      <c r="C53" s="163">
        <v>254059</v>
      </c>
      <c r="D53" s="163">
        <v>317501</v>
      </c>
      <c r="E53" s="163">
        <v>363065</v>
      </c>
      <c r="F53" s="164">
        <v>420160</v>
      </c>
      <c r="G53" s="165">
        <v>155688</v>
      </c>
      <c r="H53" s="166">
        <v>1.5827</v>
      </c>
      <c r="I53" s="163">
        <v>219130</v>
      </c>
      <c r="J53" s="166">
        <v>2.2275999999999998</v>
      </c>
      <c r="K53" s="163">
        <v>264694</v>
      </c>
      <c r="L53" s="166">
        <v>2.6907999999999999</v>
      </c>
      <c r="M53" s="163">
        <v>321789</v>
      </c>
      <c r="N53" s="166">
        <v>3.2711999999999999</v>
      </c>
    </row>
    <row r="54" spans="1:14" ht="14.4">
      <c r="A54" s="144" t="s">
        <v>201</v>
      </c>
      <c r="B54" s="163">
        <v>121525</v>
      </c>
      <c r="C54" s="163">
        <v>285434</v>
      </c>
      <c r="D54" s="163">
        <v>349628</v>
      </c>
      <c r="E54" s="163">
        <v>396704</v>
      </c>
      <c r="F54" s="164">
        <v>443372</v>
      </c>
      <c r="G54" s="165">
        <v>163909</v>
      </c>
      <c r="H54" s="166">
        <v>1.3488</v>
      </c>
      <c r="I54" s="163">
        <v>228103</v>
      </c>
      <c r="J54" s="166">
        <v>1.877</v>
      </c>
      <c r="K54" s="163">
        <v>275179</v>
      </c>
      <c r="L54" s="166">
        <v>2.2644000000000002</v>
      </c>
      <c r="M54" s="163">
        <v>321847</v>
      </c>
      <c r="N54" s="166">
        <v>2.6484000000000001</v>
      </c>
    </row>
    <row r="55" spans="1:14" ht="14.4">
      <c r="A55" s="115"/>
      <c r="B55" s="115"/>
      <c r="C55" s="115"/>
      <c r="D55" s="115"/>
      <c r="E55" s="115"/>
      <c r="F55" s="115"/>
      <c r="G55" s="155"/>
      <c r="H55" s="153"/>
      <c r="I55" s="153"/>
      <c r="J55" s="153"/>
      <c r="K55" s="153"/>
      <c r="L55" s="153"/>
      <c r="M55" s="153"/>
      <c r="N55" s="153"/>
    </row>
    <row r="56" spans="1:14" ht="14.4">
      <c r="A56" s="151" t="s">
        <v>211</v>
      </c>
      <c r="B56" s="162">
        <v>198197</v>
      </c>
      <c r="C56" s="162">
        <v>321102</v>
      </c>
      <c r="D56" s="162">
        <v>365216</v>
      </c>
      <c r="E56" s="162">
        <v>417857</v>
      </c>
      <c r="F56" s="172">
        <v>476364</v>
      </c>
      <c r="G56" s="158">
        <v>122905</v>
      </c>
      <c r="H56" s="159">
        <v>0.62009999999999998</v>
      </c>
      <c r="I56" s="156">
        <v>167019</v>
      </c>
      <c r="J56" s="159">
        <v>0.8427</v>
      </c>
      <c r="K56" s="156">
        <v>219660</v>
      </c>
      <c r="L56" s="159">
        <v>1.1083000000000001</v>
      </c>
      <c r="M56" s="156">
        <v>278167</v>
      </c>
      <c r="N56" s="159">
        <v>1.4035</v>
      </c>
    </row>
    <row r="57" spans="1:14" ht="14.4">
      <c r="A57" s="140" t="s">
        <v>212</v>
      </c>
      <c r="B57" s="156">
        <v>-151670</v>
      </c>
      <c r="C57" s="156">
        <v>-242463</v>
      </c>
      <c r="D57" s="156">
        <v>-274143</v>
      </c>
      <c r="E57" s="156">
        <v>-320522</v>
      </c>
      <c r="F57" s="157">
        <v>-381419</v>
      </c>
      <c r="G57" s="158">
        <v>-90793</v>
      </c>
      <c r="H57" s="159">
        <v>0.59860000000000002</v>
      </c>
      <c r="I57" s="156">
        <v>-122473</v>
      </c>
      <c r="J57" s="159">
        <v>0.8075</v>
      </c>
      <c r="K57" s="156">
        <v>-168852</v>
      </c>
      <c r="L57" s="159">
        <v>1.1133</v>
      </c>
      <c r="M57" s="156">
        <v>-229749</v>
      </c>
      <c r="N57" s="159">
        <v>1.5147999999999999</v>
      </c>
    </row>
    <row r="58" spans="1:14" ht="14.4">
      <c r="A58" s="138" t="s">
        <v>213</v>
      </c>
      <c r="B58" s="163">
        <v>46527</v>
      </c>
      <c r="C58" s="163">
        <v>78639</v>
      </c>
      <c r="D58" s="163">
        <v>91073</v>
      </c>
      <c r="E58" s="163">
        <v>97335</v>
      </c>
      <c r="F58" s="164">
        <v>94945</v>
      </c>
      <c r="G58" s="165">
        <v>32112</v>
      </c>
      <c r="H58" s="166">
        <v>0.69020000000000004</v>
      </c>
      <c r="I58" s="163">
        <v>44546</v>
      </c>
      <c r="J58" s="166">
        <v>0.95740000000000003</v>
      </c>
      <c r="K58" s="163">
        <v>50808</v>
      </c>
      <c r="L58" s="166">
        <v>1.0920000000000001</v>
      </c>
      <c r="M58" s="163">
        <v>48418</v>
      </c>
      <c r="N58" s="166">
        <v>1.0406</v>
      </c>
    </row>
    <row r="59" spans="1:14" ht="14.4">
      <c r="A59" s="140" t="s">
        <v>214</v>
      </c>
      <c r="B59" s="156">
        <v>-40754</v>
      </c>
      <c r="C59" s="156">
        <v>-69234</v>
      </c>
      <c r="D59" s="156">
        <v>-72546</v>
      </c>
      <c r="E59" s="156">
        <v>-78818</v>
      </c>
      <c r="F59" s="157">
        <v>-87192</v>
      </c>
      <c r="G59" s="158">
        <v>-28480</v>
      </c>
      <c r="H59" s="159">
        <v>0.69879999999999998</v>
      </c>
      <c r="I59" s="156">
        <v>-31792</v>
      </c>
      <c r="J59" s="159">
        <v>0.78010000000000002</v>
      </c>
      <c r="K59" s="156">
        <v>-38064</v>
      </c>
      <c r="L59" s="159">
        <v>0.93400000000000005</v>
      </c>
      <c r="M59" s="156">
        <v>-46438</v>
      </c>
      <c r="N59" s="159">
        <v>1.1395</v>
      </c>
    </row>
    <row r="60" spans="1:14" ht="14.4">
      <c r="A60" s="140" t="s">
        <v>215</v>
      </c>
      <c r="B60" s="156">
        <v>2623</v>
      </c>
      <c r="C60" s="156">
        <v>6079</v>
      </c>
      <c r="D60" s="156">
        <v>6408</v>
      </c>
      <c r="E60" s="156">
        <v>4987</v>
      </c>
      <c r="F60" s="157">
        <v>6403</v>
      </c>
      <c r="G60" s="158">
        <v>3456</v>
      </c>
      <c r="H60" s="159">
        <v>1.3176000000000001</v>
      </c>
      <c r="I60" s="156">
        <v>3785</v>
      </c>
      <c r="J60" s="159">
        <v>1.4430000000000001</v>
      </c>
      <c r="K60" s="156">
        <v>2364</v>
      </c>
      <c r="L60" s="159">
        <v>0.90129999999999999</v>
      </c>
      <c r="M60" s="156">
        <v>3780</v>
      </c>
      <c r="N60" s="159">
        <v>1.4411</v>
      </c>
    </row>
    <row r="61" spans="1:14" ht="14.4">
      <c r="A61" s="140" t="s">
        <v>216</v>
      </c>
      <c r="B61" s="156">
        <v>-216</v>
      </c>
      <c r="C61" s="156">
        <v>-801</v>
      </c>
      <c r="D61" s="156">
        <v>-821</v>
      </c>
      <c r="E61" s="156">
        <v>-577</v>
      </c>
      <c r="F61" s="157">
        <v>-414</v>
      </c>
      <c r="G61" s="158">
        <v>-585</v>
      </c>
      <c r="H61" s="159">
        <v>2.7082999999999999</v>
      </c>
      <c r="I61" s="156">
        <v>-605</v>
      </c>
      <c r="J61" s="159">
        <v>2.8008999999999999</v>
      </c>
      <c r="K61" s="156">
        <v>-361</v>
      </c>
      <c r="L61" s="159">
        <v>1.6713</v>
      </c>
      <c r="M61" s="156">
        <v>-198</v>
      </c>
      <c r="N61" s="159">
        <v>0.91669999999999996</v>
      </c>
    </row>
    <row r="62" spans="1:14" ht="14.4">
      <c r="A62" s="138" t="s">
        <v>217</v>
      </c>
      <c r="B62" s="163">
        <v>8180</v>
      </c>
      <c r="C62" s="163">
        <v>14683</v>
      </c>
      <c r="D62" s="163">
        <v>24114</v>
      </c>
      <c r="E62" s="163">
        <v>22927</v>
      </c>
      <c r="F62" s="164">
        <v>13742</v>
      </c>
      <c r="G62" s="165">
        <v>6503</v>
      </c>
      <c r="H62" s="166">
        <v>0.79500000000000004</v>
      </c>
      <c r="I62" s="163">
        <v>15934</v>
      </c>
      <c r="J62" s="166">
        <v>1.9479</v>
      </c>
      <c r="K62" s="163">
        <v>14747</v>
      </c>
      <c r="L62" s="166">
        <v>1.8028</v>
      </c>
      <c r="M62" s="163">
        <v>5562</v>
      </c>
      <c r="N62" s="166">
        <v>0.68</v>
      </c>
    </row>
    <row r="63" spans="1:14" ht="14.4">
      <c r="A63" s="140" t="s">
        <v>218</v>
      </c>
      <c r="B63" s="156">
        <v>659</v>
      </c>
      <c r="C63" s="156">
        <v>509</v>
      </c>
      <c r="D63" s="156">
        <v>295</v>
      </c>
      <c r="E63" s="156">
        <v>491</v>
      </c>
      <c r="F63" s="157">
        <v>164</v>
      </c>
      <c r="G63" s="158">
        <v>-150</v>
      </c>
      <c r="H63" s="159">
        <v>-0.2276</v>
      </c>
      <c r="I63" s="156">
        <v>-364</v>
      </c>
      <c r="J63" s="159">
        <v>-0.5524</v>
      </c>
      <c r="K63" s="156">
        <v>-168</v>
      </c>
      <c r="L63" s="159">
        <v>-0.25490000000000002</v>
      </c>
      <c r="M63" s="156">
        <v>-495</v>
      </c>
      <c r="N63" s="159">
        <v>-0.75109999999999999</v>
      </c>
    </row>
    <row r="64" spans="1:14" ht="14.4">
      <c r="A64" s="140" t="s">
        <v>219</v>
      </c>
      <c r="B64" s="156" t="s">
        <v>6</v>
      </c>
      <c r="C64" s="156">
        <v>-3617</v>
      </c>
      <c r="D64" s="156">
        <v>-12961</v>
      </c>
      <c r="E64" s="156">
        <v>-12733</v>
      </c>
      <c r="F64" s="157">
        <v>-14417</v>
      </c>
      <c r="G64" s="155"/>
      <c r="H64" s="153"/>
      <c r="I64" s="153"/>
      <c r="J64" s="153"/>
      <c r="K64" s="153"/>
      <c r="L64" s="153"/>
      <c r="M64" s="153"/>
      <c r="N64" s="153"/>
    </row>
    <row r="65" spans="1:14" ht="14.4">
      <c r="A65" s="140" t="s">
        <v>220</v>
      </c>
      <c r="B65" s="156" t="s">
        <v>6</v>
      </c>
      <c r="C65" s="156" t="s">
        <v>6</v>
      </c>
      <c r="D65" s="156" t="s">
        <v>6</v>
      </c>
      <c r="E65" s="160" t="s">
        <v>6</v>
      </c>
      <c r="F65" s="161">
        <v>4576</v>
      </c>
      <c r="G65" s="155"/>
      <c r="H65" s="153"/>
      <c r="I65" s="153"/>
      <c r="J65" s="153"/>
      <c r="K65" s="153"/>
      <c r="L65" s="153"/>
      <c r="M65" s="153"/>
      <c r="N65" s="153"/>
    </row>
    <row r="66" spans="1:14" ht="14.4">
      <c r="A66" s="140" t="s">
        <v>221</v>
      </c>
      <c r="B66" s="156" t="s">
        <v>6</v>
      </c>
      <c r="C66" s="156" t="s">
        <v>6</v>
      </c>
      <c r="D66" s="156">
        <v>-1955</v>
      </c>
      <c r="E66" s="162">
        <v>-2468</v>
      </c>
      <c r="F66" s="157">
        <v>-945</v>
      </c>
      <c r="G66" s="155"/>
      <c r="H66" s="153"/>
      <c r="I66" s="153"/>
      <c r="J66" s="153"/>
      <c r="K66" s="153"/>
      <c r="L66" s="153"/>
      <c r="M66" s="153"/>
      <c r="N66" s="153"/>
    </row>
    <row r="67" spans="1:14" ht="14.4">
      <c r="A67" s="138" t="s">
        <v>222</v>
      </c>
      <c r="B67" s="163">
        <v>8839</v>
      </c>
      <c r="C67" s="163">
        <v>11575</v>
      </c>
      <c r="D67" s="163">
        <v>9493</v>
      </c>
      <c r="E67" s="163">
        <v>8217</v>
      </c>
      <c r="F67" s="164">
        <v>3120</v>
      </c>
      <c r="G67" s="165">
        <v>2736</v>
      </c>
      <c r="H67" s="166">
        <v>0.3095</v>
      </c>
      <c r="I67" s="163">
        <v>654</v>
      </c>
      <c r="J67" s="166">
        <v>7.3999999999999996E-2</v>
      </c>
      <c r="K67" s="163">
        <v>-622</v>
      </c>
      <c r="L67" s="166">
        <v>-7.0400000000000004E-2</v>
      </c>
      <c r="M67" s="163">
        <v>-5719</v>
      </c>
      <c r="N67" s="166">
        <v>-0.64700000000000002</v>
      </c>
    </row>
    <row r="68" spans="1:14" ht="14.4">
      <c r="A68" s="140" t="s">
        <v>223</v>
      </c>
      <c r="B68" s="156">
        <v>-1885</v>
      </c>
      <c r="C68" s="156">
        <v>-3210</v>
      </c>
      <c r="D68" s="156">
        <v>-2359</v>
      </c>
      <c r="E68" s="156">
        <v>-1676</v>
      </c>
      <c r="F68" s="157">
        <v>-740</v>
      </c>
      <c r="G68" s="158">
        <v>-1325</v>
      </c>
      <c r="H68" s="159">
        <v>0.70289999999999997</v>
      </c>
      <c r="I68" s="156">
        <v>-474</v>
      </c>
      <c r="J68" s="159">
        <v>0.2515</v>
      </c>
      <c r="K68" s="156">
        <v>209</v>
      </c>
      <c r="L68" s="159">
        <v>-0.1109</v>
      </c>
      <c r="M68" s="156">
        <v>1145</v>
      </c>
      <c r="N68" s="159">
        <v>-0.60740000000000005</v>
      </c>
    </row>
    <row r="69" spans="1:14" ht="14.4">
      <c r="A69" s="138" t="s">
        <v>224</v>
      </c>
      <c r="B69" s="163">
        <v>6954</v>
      </c>
      <c r="C69" s="163">
        <v>8365</v>
      </c>
      <c r="D69" s="163">
        <v>7134</v>
      </c>
      <c r="E69" s="163">
        <v>6541</v>
      </c>
      <c r="F69" s="164">
        <v>2380</v>
      </c>
      <c r="G69" s="165">
        <v>1411</v>
      </c>
      <c r="H69" s="166">
        <v>0.2029</v>
      </c>
      <c r="I69" s="163">
        <v>180</v>
      </c>
      <c r="J69" s="166">
        <v>2.5899999999999999E-2</v>
      </c>
      <c r="K69" s="163">
        <v>-413</v>
      </c>
      <c r="L69" s="166">
        <v>-5.9400000000000001E-2</v>
      </c>
      <c r="M69" s="163">
        <v>-4574</v>
      </c>
      <c r="N69" s="166">
        <v>-0.65780000000000005</v>
      </c>
    </row>
    <row r="70" spans="1:14" ht="14.4">
      <c r="A70" s="115"/>
      <c r="B70" s="115"/>
      <c r="C70" s="115"/>
      <c r="D70" s="115"/>
      <c r="E70" s="115"/>
      <c r="F70" s="115"/>
      <c r="G70" s="115"/>
      <c r="H70" s="115"/>
      <c r="I70" s="115"/>
      <c r="J70" s="115"/>
      <c r="K70" s="115"/>
      <c r="L70" s="115"/>
      <c r="M70" s="115"/>
      <c r="N70" s="115"/>
    </row>
    <row r="71" spans="1:14" ht="18">
      <c r="A71" s="145" t="s">
        <v>225</v>
      </c>
      <c r="B71" s="115"/>
      <c r="C71" s="115"/>
      <c r="D71" s="115"/>
      <c r="E71" s="115"/>
      <c r="F71" s="115"/>
      <c r="G71" s="115"/>
      <c r="H71" s="115"/>
      <c r="I71" s="115"/>
      <c r="J71" s="115"/>
      <c r="K71" s="115"/>
      <c r="L71" s="115"/>
      <c r="M71" s="115"/>
      <c r="N71" s="115"/>
    </row>
    <row r="72" spans="1:14" ht="14.4">
      <c r="A72" s="115"/>
      <c r="B72" s="173" t="s">
        <v>226</v>
      </c>
      <c r="C72" s="152" t="s">
        <v>227</v>
      </c>
      <c r="D72" s="152" t="s">
        <v>228</v>
      </c>
      <c r="E72" s="152" t="s">
        <v>229</v>
      </c>
      <c r="F72" s="152" t="s">
        <v>230</v>
      </c>
      <c r="G72" s="115"/>
      <c r="H72" s="173" t="s">
        <v>226</v>
      </c>
      <c r="I72" s="152" t="s">
        <v>227</v>
      </c>
      <c r="J72" s="152" t="s">
        <v>228</v>
      </c>
      <c r="K72" s="152" t="s">
        <v>229</v>
      </c>
      <c r="L72" s="152" t="s">
        <v>230</v>
      </c>
      <c r="M72" s="115"/>
      <c r="N72" s="115"/>
    </row>
    <row r="73" spans="1:14" ht="14.4">
      <c r="A73" s="141" t="s">
        <v>231</v>
      </c>
      <c r="B73" s="163">
        <v>121525</v>
      </c>
      <c r="C73" s="163">
        <v>285434</v>
      </c>
      <c r="D73" s="163">
        <v>349628</v>
      </c>
      <c r="E73" s="163">
        <v>396704</v>
      </c>
      <c r="F73" s="163">
        <v>443372</v>
      </c>
      <c r="G73" s="115"/>
      <c r="H73" s="174">
        <v>1</v>
      </c>
      <c r="I73" s="159">
        <v>2.3488000000000002</v>
      </c>
      <c r="J73" s="159">
        <v>2.8769999999999998</v>
      </c>
      <c r="K73" s="159">
        <v>3.2644000000000002</v>
      </c>
      <c r="L73" s="159">
        <v>3.6484000000000001</v>
      </c>
      <c r="M73" s="115"/>
      <c r="N73" s="115"/>
    </row>
    <row r="74" spans="1:14" ht="14.4">
      <c r="A74" s="143" t="s">
        <v>195</v>
      </c>
      <c r="B74" s="163">
        <v>98371</v>
      </c>
      <c r="C74" s="163">
        <v>254059</v>
      </c>
      <c r="D74" s="163">
        <v>317501</v>
      </c>
      <c r="E74" s="163">
        <v>363065</v>
      </c>
      <c r="F74" s="163">
        <v>420160</v>
      </c>
      <c r="G74" s="115"/>
      <c r="H74" s="174">
        <v>1</v>
      </c>
      <c r="I74" s="159">
        <v>2.5827</v>
      </c>
      <c r="J74" s="159">
        <v>3.2275999999999998</v>
      </c>
      <c r="K74" s="159">
        <v>3.6907999999999999</v>
      </c>
      <c r="L74" s="159">
        <v>4.2712000000000003</v>
      </c>
      <c r="M74" s="115"/>
      <c r="N74" s="115"/>
    </row>
    <row r="75" spans="1:14" ht="14.4">
      <c r="A75" s="142" t="s">
        <v>166</v>
      </c>
      <c r="B75" s="163">
        <v>23154</v>
      </c>
      <c r="C75" s="163">
        <v>31375</v>
      </c>
      <c r="D75" s="163">
        <v>32127</v>
      </c>
      <c r="E75" s="163">
        <v>33639</v>
      </c>
      <c r="F75" s="163">
        <v>23212</v>
      </c>
      <c r="G75" s="115"/>
      <c r="H75" s="174">
        <v>1</v>
      </c>
      <c r="I75" s="159">
        <v>1.3551</v>
      </c>
      <c r="J75" s="159">
        <v>1.3875</v>
      </c>
      <c r="K75" s="159">
        <v>1.4528000000000001</v>
      </c>
      <c r="L75" s="159">
        <v>1.0024999999999999</v>
      </c>
      <c r="M75" s="115"/>
      <c r="N75" s="115"/>
    </row>
    <row r="76" spans="1:14" ht="14.4">
      <c r="A76" s="175"/>
      <c r="B76" s="115"/>
      <c r="C76" s="115"/>
      <c r="D76" s="115"/>
      <c r="E76" s="115"/>
      <c r="F76" s="115"/>
      <c r="G76" s="115"/>
      <c r="H76" s="115"/>
      <c r="I76" s="115"/>
      <c r="J76" s="115"/>
      <c r="K76" s="115"/>
      <c r="L76" s="115"/>
      <c r="M76" s="115"/>
      <c r="N76" s="115"/>
    </row>
    <row r="77" spans="1:14" ht="14.4">
      <c r="A77" s="115"/>
      <c r="B77" s="115"/>
      <c r="C77" s="115"/>
      <c r="D77" s="115"/>
      <c r="E77" s="115"/>
      <c r="F77" s="115"/>
      <c r="G77" s="115"/>
      <c r="H77" s="115"/>
      <c r="I77" s="115"/>
      <c r="J77" s="115"/>
      <c r="K77" s="115"/>
      <c r="L77" s="115"/>
      <c r="M77" s="115"/>
      <c r="N77" s="115"/>
    </row>
    <row r="78" spans="1:14" ht="14.4">
      <c r="A78" s="115"/>
      <c r="B78" s="115"/>
      <c r="C78" s="115"/>
      <c r="D78" s="115"/>
      <c r="E78" s="115"/>
      <c r="F78" s="115"/>
      <c r="G78" s="115"/>
      <c r="H78" s="115"/>
      <c r="I78" s="115"/>
      <c r="J78" s="115"/>
      <c r="K78" s="115"/>
      <c r="L78" s="115"/>
      <c r="M78" s="115"/>
      <c r="N78" s="115"/>
    </row>
    <row r="79" spans="1:14" ht="14.4">
      <c r="A79" s="115"/>
      <c r="B79" s="115"/>
      <c r="C79" s="115"/>
      <c r="D79" s="115"/>
      <c r="E79" s="115"/>
      <c r="F79" s="115"/>
      <c r="G79" s="115"/>
      <c r="H79" s="115"/>
      <c r="I79" s="115"/>
      <c r="J79" s="115"/>
      <c r="K79" s="115"/>
      <c r="L79" s="115"/>
      <c r="M79" s="115"/>
      <c r="N79" s="115"/>
    </row>
    <row r="80" spans="1:14" ht="14.4">
      <c r="A80" s="115"/>
      <c r="B80" s="115"/>
      <c r="C80" s="115"/>
      <c r="D80" s="115"/>
      <c r="E80" s="115"/>
      <c r="F80" s="115"/>
      <c r="G80" s="115"/>
      <c r="H80" s="115"/>
      <c r="I80" s="115"/>
      <c r="J80" s="115"/>
      <c r="K80" s="115"/>
      <c r="L80" s="115"/>
      <c r="M80" s="115"/>
      <c r="N80" s="115"/>
    </row>
    <row r="81" spans="1:14" ht="14.4">
      <c r="A81" s="115"/>
      <c r="B81" s="115"/>
      <c r="C81" s="115"/>
      <c r="D81" s="115"/>
      <c r="E81" s="115"/>
      <c r="F81" s="115"/>
      <c r="G81" s="115"/>
      <c r="H81" s="115"/>
      <c r="I81" s="115"/>
      <c r="J81" s="115"/>
      <c r="K81" s="115"/>
      <c r="L81" s="115"/>
      <c r="M81" s="115"/>
      <c r="N81" s="115"/>
    </row>
    <row r="82" spans="1:14" ht="14.4">
      <c r="A82" s="115"/>
      <c r="B82" s="115"/>
      <c r="C82" s="115"/>
      <c r="D82" s="115"/>
      <c r="E82" s="115"/>
      <c r="F82" s="115"/>
      <c r="G82" s="115"/>
      <c r="H82" s="115"/>
      <c r="I82" s="115"/>
      <c r="J82" s="115"/>
      <c r="K82" s="115"/>
      <c r="L82" s="115"/>
      <c r="M82" s="115"/>
      <c r="N82" s="115"/>
    </row>
    <row r="83" spans="1:14" ht="14.4">
      <c r="A83" s="115"/>
      <c r="B83" s="115"/>
      <c r="C83" s="115"/>
      <c r="D83" s="115"/>
      <c r="E83" s="115"/>
      <c r="F83" s="115"/>
      <c r="G83" s="115"/>
      <c r="H83" s="115"/>
      <c r="I83" s="115"/>
      <c r="J83" s="115"/>
      <c r="K83" s="115"/>
      <c r="L83" s="115"/>
      <c r="M83" s="115"/>
      <c r="N83" s="115"/>
    </row>
    <row r="84" spans="1:14" ht="14.4">
      <c r="A84" s="115"/>
      <c r="B84" s="115"/>
      <c r="C84" s="115"/>
      <c r="D84" s="115"/>
      <c r="E84" s="115"/>
      <c r="F84" s="115"/>
      <c r="G84" s="115"/>
      <c r="H84" s="115"/>
      <c r="I84" s="115"/>
      <c r="J84" s="115"/>
      <c r="K84" s="115"/>
      <c r="L84" s="115"/>
      <c r="M84" s="115"/>
      <c r="N84" s="115"/>
    </row>
    <row r="85" spans="1:14" ht="14.4">
      <c r="A85" s="115"/>
      <c r="B85" s="115"/>
      <c r="C85" s="115"/>
      <c r="D85" s="115"/>
      <c r="E85" s="115"/>
      <c r="F85" s="115"/>
      <c r="G85" s="115"/>
      <c r="H85" s="115"/>
      <c r="I85" s="115"/>
      <c r="J85" s="115"/>
      <c r="K85" s="115"/>
      <c r="L85" s="115"/>
      <c r="M85" s="115"/>
      <c r="N85" s="115"/>
    </row>
    <row r="86" spans="1:14" ht="14.4">
      <c r="A86" s="115"/>
      <c r="B86" s="115"/>
      <c r="C86" s="115"/>
      <c r="D86" s="115"/>
      <c r="E86" s="115"/>
      <c r="F86" s="115"/>
      <c r="G86" s="115"/>
      <c r="H86" s="115"/>
      <c r="I86" s="115"/>
      <c r="J86" s="115"/>
      <c r="K86" s="115"/>
      <c r="L86" s="115"/>
      <c r="M86" s="115"/>
      <c r="N86" s="115"/>
    </row>
    <row r="87" spans="1:14" ht="14.4">
      <c r="A87" s="115"/>
      <c r="B87" s="115"/>
      <c r="C87" s="115"/>
      <c r="D87" s="115"/>
      <c r="E87" s="115"/>
      <c r="F87" s="115"/>
      <c r="G87" s="115"/>
      <c r="H87" s="115"/>
      <c r="I87" s="115"/>
      <c r="J87" s="115"/>
      <c r="K87" s="115"/>
      <c r="L87" s="115"/>
      <c r="M87" s="115"/>
      <c r="N87" s="115"/>
    </row>
    <row r="88" spans="1:14" ht="14.4">
      <c r="A88" s="115"/>
      <c r="B88" s="115"/>
      <c r="C88" s="115"/>
      <c r="D88" s="115"/>
      <c r="E88" s="115"/>
      <c r="F88" s="115"/>
      <c r="G88" s="115"/>
      <c r="H88" s="115"/>
      <c r="I88" s="115"/>
      <c r="J88" s="115"/>
      <c r="K88" s="115"/>
      <c r="L88" s="115"/>
      <c r="M88" s="115"/>
      <c r="N88" s="115"/>
    </row>
    <row r="89" spans="1:14" ht="14.4">
      <c r="A89" s="115"/>
      <c r="B89" s="115"/>
      <c r="C89" s="115"/>
      <c r="D89" s="115"/>
      <c r="E89" s="115"/>
      <c r="F89" s="115"/>
      <c r="G89" s="115"/>
      <c r="H89" s="115"/>
      <c r="I89" s="115"/>
      <c r="J89" s="115"/>
      <c r="K89" s="115"/>
      <c r="L89" s="115"/>
      <c r="M89" s="115"/>
      <c r="N89" s="115"/>
    </row>
    <row r="90" spans="1:14" ht="14.4">
      <c r="A90" s="115"/>
      <c r="B90" s="115"/>
      <c r="C90" s="115"/>
      <c r="D90" s="115"/>
      <c r="E90" s="115"/>
      <c r="F90" s="115"/>
      <c r="G90" s="115"/>
      <c r="H90" s="115"/>
      <c r="I90" s="115"/>
      <c r="J90" s="115"/>
      <c r="K90" s="115"/>
      <c r="L90" s="115"/>
      <c r="M90" s="115"/>
      <c r="N90" s="115"/>
    </row>
    <row r="91" spans="1:14" ht="14.4">
      <c r="A91" s="115"/>
      <c r="B91" s="115"/>
      <c r="C91" s="115"/>
      <c r="D91" s="115"/>
      <c r="E91" s="115"/>
      <c r="F91" s="115"/>
      <c r="G91" s="115"/>
      <c r="H91" s="115"/>
      <c r="I91" s="115"/>
      <c r="J91" s="115"/>
      <c r="K91" s="115"/>
      <c r="L91" s="115"/>
      <c r="M91" s="115"/>
      <c r="N91" s="115"/>
    </row>
    <row r="92" spans="1:14" ht="14.4">
      <c r="A92" s="115"/>
      <c r="B92" s="115"/>
      <c r="C92" s="115"/>
      <c r="D92" s="115"/>
      <c r="E92" s="115"/>
      <c r="F92" s="115"/>
      <c r="G92" s="115"/>
      <c r="H92" s="115"/>
      <c r="I92" s="115"/>
      <c r="J92" s="115"/>
      <c r="K92" s="115"/>
      <c r="L92" s="115"/>
      <c r="M92" s="115"/>
      <c r="N92" s="115"/>
    </row>
    <row r="93" spans="1:14" ht="14.4">
      <c r="A93" s="115"/>
      <c r="B93" s="115"/>
      <c r="C93" s="115"/>
      <c r="D93" s="115"/>
      <c r="E93" s="115"/>
      <c r="F93" s="115"/>
      <c r="G93" s="115"/>
      <c r="H93" s="115"/>
      <c r="I93" s="115"/>
      <c r="J93" s="115"/>
      <c r="K93" s="115"/>
      <c r="L93" s="115"/>
      <c r="M93" s="115"/>
      <c r="N93" s="115"/>
    </row>
    <row r="94" spans="1:14" ht="14.4">
      <c r="A94" s="115"/>
      <c r="B94" s="115"/>
      <c r="C94" s="115"/>
      <c r="D94" s="115"/>
      <c r="E94" s="115"/>
      <c r="F94" s="115"/>
      <c r="G94" s="115"/>
      <c r="H94" s="115"/>
      <c r="I94" s="115"/>
      <c r="J94" s="115"/>
      <c r="K94" s="115"/>
      <c r="L94" s="115"/>
      <c r="M94" s="115"/>
      <c r="N94" s="115"/>
    </row>
    <row r="95" spans="1:14" ht="14.4">
      <c r="A95" s="115"/>
      <c r="B95" s="115"/>
      <c r="C95" s="115"/>
      <c r="D95" s="115"/>
      <c r="E95" s="115"/>
      <c r="F95" s="115"/>
      <c r="G95" s="115"/>
      <c r="H95" s="115"/>
      <c r="I95" s="115"/>
      <c r="J95" s="115"/>
      <c r="K95" s="115"/>
      <c r="L95" s="115"/>
      <c r="M95" s="115"/>
      <c r="N95" s="115"/>
    </row>
    <row r="96" spans="1:14" ht="14.4">
      <c r="A96" s="115"/>
      <c r="B96" s="115"/>
      <c r="C96" s="115"/>
      <c r="D96" s="115"/>
      <c r="E96" s="115"/>
      <c r="F96" s="115"/>
      <c r="G96" s="115"/>
      <c r="H96" s="115"/>
      <c r="I96" s="115"/>
      <c r="J96" s="115"/>
      <c r="K96" s="115"/>
      <c r="L96" s="115"/>
      <c r="M96" s="115"/>
      <c r="N96" s="115"/>
    </row>
    <row r="97" spans="1:14" ht="14.4">
      <c r="A97" s="115"/>
      <c r="B97" s="115"/>
      <c r="C97" s="115"/>
      <c r="D97" s="115"/>
      <c r="E97" s="115"/>
      <c r="F97" s="115"/>
      <c r="G97" s="115"/>
      <c r="H97" s="115"/>
      <c r="I97" s="115"/>
      <c r="J97" s="115"/>
      <c r="K97" s="115"/>
      <c r="L97" s="115"/>
      <c r="M97" s="115"/>
      <c r="N97" s="115"/>
    </row>
    <row r="98" spans="1:14" ht="14.4">
      <c r="A98" s="115"/>
      <c r="B98" s="115"/>
      <c r="C98" s="115"/>
      <c r="D98" s="115"/>
      <c r="E98" s="115"/>
      <c r="F98" s="115"/>
      <c r="G98" s="115"/>
      <c r="H98" s="115"/>
      <c r="I98" s="115"/>
      <c r="J98" s="115"/>
      <c r="K98" s="115"/>
      <c r="L98" s="115"/>
      <c r="M98" s="115"/>
      <c r="N98" s="115"/>
    </row>
    <row r="99" spans="1:14" ht="14.4">
      <c r="A99" s="115"/>
      <c r="B99" s="115"/>
      <c r="C99" s="115"/>
      <c r="D99" s="115"/>
      <c r="E99" s="115"/>
      <c r="F99" s="115"/>
      <c r="G99" s="115"/>
      <c r="H99" s="115"/>
      <c r="I99" s="115"/>
      <c r="J99" s="115"/>
      <c r="K99" s="115"/>
      <c r="L99" s="115"/>
      <c r="M99" s="115"/>
      <c r="N99" s="115"/>
    </row>
    <row r="100" spans="1:14" ht="14.4">
      <c r="A100" s="115"/>
      <c r="B100" s="173" t="s">
        <v>226</v>
      </c>
      <c r="C100" s="152" t="s">
        <v>227</v>
      </c>
      <c r="D100" s="152" t="s">
        <v>228</v>
      </c>
      <c r="E100" s="152" t="s">
        <v>229</v>
      </c>
      <c r="F100" s="152" t="s">
        <v>230</v>
      </c>
      <c r="G100" s="115"/>
      <c r="H100" s="173" t="s">
        <v>226</v>
      </c>
      <c r="I100" s="152" t="s">
        <v>227</v>
      </c>
      <c r="J100" s="152" t="s">
        <v>228</v>
      </c>
      <c r="K100" s="152" t="s">
        <v>229</v>
      </c>
      <c r="L100" s="152" t="s">
        <v>230</v>
      </c>
      <c r="M100" s="115"/>
      <c r="N100" s="115"/>
    </row>
    <row r="101" spans="1:14" ht="14.4">
      <c r="A101" s="176" t="s">
        <v>211</v>
      </c>
      <c r="B101" s="156">
        <v>198197</v>
      </c>
      <c r="C101" s="156">
        <v>321102</v>
      </c>
      <c r="D101" s="156">
        <v>365216</v>
      </c>
      <c r="E101" s="156">
        <v>417857</v>
      </c>
      <c r="F101" s="156">
        <v>476364</v>
      </c>
      <c r="G101" s="115"/>
      <c r="H101" s="174">
        <v>1</v>
      </c>
      <c r="I101" s="159">
        <v>1.6201000000000001</v>
      </c>
      <c r="J101" s="159">
        <v>1.8427</v>
      </c>
      <c r="K101" s="159">
        <v>2.1082999999999998</v>
      </c>
      <c r="L101" s="159">
        <v>2.4035000000000002</v>
      </c>
      <c r="M101" s="115"/>
      <c r="N101" s="115"/>
    </row>
    <row r="102" spans="1:14" ht="14.4">
      <c r="A102" s="155" t="s">
        <v>212</v>
      </c>
      <c r="B102" s="156">
        <v>-151670</v>
      </c>
      <c r="C102" s="156">
        <v>-242463</v>
      </c>
      <c r="D102" s="156">
        <v>-274143</v>
      </c>
      <c r="E102" s="156">
        <v>-320522</v>
      </c>
      <c r="F102" s="156">
        <v>-381419</v>
      </c>
      <c r="G102" s="115"/>
      <c r="H102" s="174">
        <v>1</v>
      </c>
      <c r="I102" s="159">
        <v>1.5986</v>
      </c>
      <c r="J102" s="159">
        <v>1.8075000000000001</v>
      </c>
      <c r="K102" s="159">
        <v>2.1133000000000002</v>
      </c>
      <c r="L102" s="159">
        <v>2.5148000000000001</v>
      </c>
      <c r="M102" s="115"/>
      <c r="N102" s="115"/>
    </row>
    <row r="103" spans="1:14" ht="14.4">
      <c r="A103" s="155" t="s">
        <v>232</v>
      </c>
      <c r="B103" s="156">
        <v>46527</v>
      </c>
      <c r="C103" s="156">
        <v>78639</v>
      </c>
      <c r="D103" s="156">
        <v>91073</v>
      </c>
      <c r="E103" s="156">
        <v>97335</v>
      </c>
      <c r="F103" s="156">
        <v>94945</v>
      </c>
      <c r="G103" s="115"/>
      <c r="H103" s="174">
        <v>1</v>
      </c>
      <c r="I103" s="159">
        <v>1.6901999999999999</v>
      </c>
      <c r="J103" s="159">
        <v>1.9574</v>
      </c>
      <c r="K103" s="159">
        <v>2.0920000000000001</v>
      </c>
      <c r="L103" s="159">
        <v>2.0406</v>
      </c>
      <c r="M103" s="115"/>
      <c r="N103" s="115"/>
    </row>
    <row r="109" spans="1:14" ht="14.4">
      <c r="A109" s="115"/>
      <c r="B109" s="173" t="s">
        <v>226</v>
      </c>
      <c r="C109" s="152" t="s">
        <v>227</v>
      </c>
      <c r="D109" s="152" t="s">
        <v>228</v>
      </c>
      <c r="E109" s="152" t="s">
        <v>229</v>
      </c>
      <c r="F109" s="152" t="s">
        <v>230</v>
      </c>
      <c r="G109" s="115"/>
      <c r="H109" s="173" t="s">
        <v>226</v>
      </c>
      <c r="I109" s="152" t="s">
        <v>227</v>
      </c>
      <c r="J109" s="152" t="s">
        <v>228</v>
      </c>
      <c r="K109" s="152" t="s">
        <v>229</v>
      </c>
      <c r="L109" s="152" t="s">
        <v>230</v>
      </c>
    </row>
    <row r="110" spans="1:14" ht="14.4">
      <c r="A110" s="176" t="s">
        <v>211</v>
      </c>
      <c r="B110" s="156">
        <v>198197</v>
      </c>
      <c r="C110" s="156">
        <v>321102</v>
      </c>
      <c r="D110" s="156">
        <v>365216</v>
      </c>
      <c r="E110" s="156">
        <v>417857</v>
      </c>
      <c r="F110" s="156">
        <v>476364</v>
      </c>
      <c r="G110" s="115"/>
      <c r="H110" s="174">
        <v>1</v>
      </c>
      <c r="I110" s="159">
        <v>1.6201000000000001</v>
      </c>
      <c r="J110" s="159">
        <v>1.8427</v>
      </c>
      <c r="K110" s="159">
        <v>2.1082999999999998</v>
      </c>
      <c r="L110" s="159">
        <v>2.4035000000000002</v>
      </c>
    </row>
    <row r="111" spans="1:14" ht="14.4">
      <c r="A111" s="155" t="s">
        <v>212</v>
      </c>
      <c r="B111" s="156">
        <v>-151670</v>
      </c>
      <c r="C111" s="156">
        <v>-242463</v>
      </c>
      <c r="D111" s="156">
        <v>-274143</v>
      </c>
      <c r="E111" s="156">
        <v>-320522</v>
      </c>
      <c r="F111" s="156">
        <v>-381419</v>
      </c>
      <c r="G111" s="115"/>
      <c r="H111" s="174">
        <v>1</v>
      </c>
      <c r="I111" s="159">
        <v>1.5986</v>
      </c>
      <c r="J111" s="159">
        <v>1.8075000000000001</v>
      </c>
      <c r="K111" s="159">
        <v>2.1133000000000002</v>
      </c>
      <c r="L111" s="159">
        <v>2.5148000000000001</v>
      </c>
    </row>
    <row r="112" spans="1:14" ht="14.4">
      <c r="A112" s="155" t="s">
        <v>232</v>
      </c>
      <c r="B112" s="156">
        <v>46527</v>
      </c>
      <c r="C112" s="156">
        <v>78639</v>
      </c>
      <c r="D112" s="156">
        <v>91073</v>
      </c>
      <c r="E112" s="156">
        <v>97335</v>
      </c>
      <c r="F112" s="156">
        <v>94945</v>
      </c>
      <c r="G112" s="115"/>
      <c r="H112" s="174">
        <v>1</v>
      </c>
      <c r="I112" s="159">
        <v>1.6901999999999999</v>
      </c>
      <c r="J112" s="159">
        <v>1.9574</v>
      </c>
      <c r="K112" s="159">
        <v>2.0920000000000001</v>
      </c>
      <c r="L112" s="159">
        <v>2.0406</v>
      </c>
    </row>
    <row r="144" spans="1:12" ht="14.4">
      <c r="A144" s="115"/>
      <c r="B144" s="173" t="s">
        <v>226</v>
      </c>
      <c r="C144" s="152" t="s">
        <v>227</v>
      </c>
      <c r="D144" s="152" t="s">
        <v>228</v>
      </c>
      <c r="E144" s="152" t="s">
        <v>229</v>
      </c>
      <c r="F144" s="152" t="s">
        <v>230</v>
      </c>
      <c r="G144" s="115"/>
      <c r="H144" s="173" t="s">
        <v>226</v>
      </c>
      <c r="I144" s="152" t="s">
        <v>227</v>
      </c>
      <c r="J144" s="152" t="s">
        <v>228</v>
      </c>
      <c r="K144" s="152" t="s">
        <v>229</v>
      </c>
      <c r="L144" s="152" t="s">
        <v>230</v>
      </c>
    </row>
    <row r="145" spans="1:12" ht="14.4">
      <c r="A145" s="141" t="s">
        <v>213</v>
      </c>
      <c r="B145" s="163">
        <v>46527</v>
      </c>
      <c r="C145" s="163">
        <v>78639</v>
      </c>
      <c r="D145" s="163">
        <v>91073</v>
      </c>
      <c r="E145" s="163">
        <v>97335</v>
      </c>
      <c r="F145" s="163">
        <v>94945</v>
      </c>
      <c r="G145" s="115"/>
      <c r="H145" s="174">
        <v>1</v>
      </c>
      <c r="I145" s="159">
        <v>1.6901999999999999</v>
      </c>
      <c r="J145" s="159">
        <v>1.9574</v>
      </c>
      <c r="K145" s="159">
        <v>2.0920000000000001</v>
      </c>
      <c r="L145" s="159">
        <v>2.0406</v>
      </c>
    </row>
    <row r="146" spans="1:12" ht="14.4">
      <c r="A146" s="143" t="s">
        <v>217</v>
      </c>
      <c r="B146" s="163">
        <v>8180</v>
      </c>
      <c r="C146" s="163">
        <v>14683</v>
      </c>
      <c r="D146" s="163">
        <v>24114</v>
      </c>
      <c r="E146" s="163">
        <v>22927</v>
      </c>
      <c r="F146" s="163">
        <v>13742</v>
      </c>
      <c r="G146" s="115"/>
      <c r="H146" s="174">
        <v>1</v>
      </c>
      <c r="I146" s="159">
        <v>1.7949999999999999</v>
      </c>
      <c r="J146" s="159">
        <v>2.9479000000000002</v>
      </c>
      <c r="K146" s="159">
        <v>2.8028</v>
      </c>
      <c r="L146" s="159">
        <v>1.68</v>
      </c>
    </row>
    <row r="147" spans="1:12" ht="14.4">
      <c r="A147" s="143" t="s">
        <v>222</v>
      </c>
      <c r="B147" s="163">
        <v>8839</v>
      </c>
      <c r="C147" s="163">
        <v>11575</v>
      </c>
      <c r="D147" s="163">
        <v>9493</v>
      </c>
      <c r="E147" s="163">
        <v>8217</v>
      </c>
      <c r="F147" s="163">
        <v>3120</v>
      </c>
      <c r="G147" s="115"/>
      <c r="H147" s="174">
        <v>1</v>
      </c>
      <c r="I147" s="159">
        <v>1.3095000000000001</v>
      </c>
      <c r="J147" s="159">
        <v>1.0740000000000001</v>
      </c>
      <c r="K147" s="159">
        <v>0.92959999999999998</v>
      </c>
      <c r="L147" s="159">
        <v>0.35299999999999998</v>
      </c>
    </row>
    <row r="148" spans="1:12" ht="14.4">
      <c r="A148" s="143" t="s">
        <v>233</v>
      </c>
      <c r="B148" s="163">
        <v>6954</v>
      </c>
      <c r="C148" s="163">
        <v>8365</v>
      </c>
      <c r="D148" s="163">
        <v>7134</v>
      </c>
      <c r="E148" s="163">
        <v>6541</v>
      </c>
      <c r="F148" s="163">
        <v>2380</v>
      </c>
      <c r="G148" s="115"/>
      <c r="H148" s="174">
        <v>1</v>
      </c>
      <c r="I148" s="159">
        <v>1.2029000000000001</v>
      </c>
      <c r="J148" s="159">
        <v>1.0259</v>
      </c>
      <c r="K148" s="159">
        <v>0.94059999999999999</v>
      </c>
      <c r="L148" s="159">
        <v>0.3422</v>
      </c>
    </row>
    <row r="181" spans="1:12" ht="14.4">
      <c r="A181" s="115"/>
      <c r="B181" s="173" t="s">
        <v>226</v>
      </c>
      <c r="C181" s="152" t="s">
        <v>227</v>
      </c>
      <c r="D181" s="152" t="s">
        <v>228</v>
      </c>
      <c r="E181" s="152" t="s">
        <v>229</v>
      </c>
      <c r="F181" s="152" t="s">
        <v>230</v>
      </c>
      <c r="G181" s="115"/>
      <c r="H181" s="173" t="s">
        <v>226</v>
      </c>
      <c r="I181" s="152" t="s">
        <v>227</v>
      </c>
      <c r="J181" s="152" t="s">
        <v>228</v>
      </c>
      <c r="K181" s="152" t="s">
        <v>229</v>
      </c>
      <c r="L181" s="152" t="s">
        <v>230</v>
      </c>
    </row>
    <row r="182" spans="1:12" ht="14.4">
      <c r="A182" s="176" t="s">
        <v>214</v>
      </c>
      <c r="B182" s="156">
        <v>-40754</v>
      </c>
      <c r="C182" s="156">
        <v>-69234</v>
      </c>
      <c r="D182" s="156">
        <v>-72546</v>
      </c>
      <c r="E182" s="156">
        <v>-78818</v>
      </c>
      <c r="F182" s="156">
        <v>-87192</v>
      </c>
      <c r="G182" s="115"/>
      <c r="H182" s="174">
        <v>1</v>
      </c>
      <c r="I182" s="159">
        <v>1.6988000000000001</v>
      </c>
      <c r="J182" s="159">
        <v>1.7801</v>
      </c>
      <c r="K182" s="159">
        <v>1.9339999999999999</v>
      </c>
      <c r="L182" s="159">
        <v>2.1395</v>
      </c>
    </row>
    <row r="183" spans="1:12" ht="14.4">
      <c r="A183" s="155" t="s">
        <v>215</v>
      </c>
      <c r="B183" s="156">
        <v>2623</v>
      </c>
      <c r="C183" s="156">
        <v>6079</v>
      </c>
      <c r="D183" s="156">
        <v>6408</v>
      </c>
      <c r="E183" s="156">
        <v>4987</v>
      </c>
      <c r="F183" s="156">
        <v>6403</v>
      </c>
      <c r="G183" s="115"/>
      <c r="H183" s="174">
        <v>1</v>
      </c>
      <c r="I183" s="159">
        <v>2.3176000000000001</v>
      </c>
      <c r="J183" s="159">
        <v>2.4430000000000001</v>
      </c>
      <c r="K183" s="159">
        <v>1.9013</v>
      </c>
      <c r="L183" s="159">
        <v>2.4411</v>
      </c>
    </row>
    <row r="184" spans="1:12" ht="14.4">
      <c r="A184" s="155" t="s">
        <v>216</v>
      </c>
      <c r="B184" s="156">
        <v>-216</v>
      </c>
      <c r="C184" s="156">
        <v>-801</v>
      </c>
      <c r="D184" s="156">
        <v>-821</v>
      </c>
      <c r="E184" s="156">
        <v>-577</v>
      </c>
      <c r="F184" s="156">
        <v>-414</v>
      </c>
      <c r="G184" s="115"/>
      <c r="H184" s="174">
        <v>1</v>
      </c>
      <c r="I184" s="159">
        <v>3.7082999999999999</v>
      </c>
      <c r="J184" s="159">
        <v>3.8008999999999999</v>
      </c>
      <c r="K184" s="159">
        <v>2.6713</v>
      </c>
      <c r="L184" s="159">
        <v>1.9167000000000001</v>
      </c>
    </row>
    <row r="185" spans="1:12" ht="14.4">
      <c r="A185" s="155" t="s">
        <v>234</v>
      </c>
      <c r="B185" s="156">
        <v>8180</v>
      </c>
      <c r="C185" s="156">
        <v>14683</v>
      </c>
      <c r="D185" s="156">
        <v>24114</v>
      </c>
      <c r="E185" s="156">
        <v>22927</v>
      </c>
      <c r="F185" s="156">
        <v>13742</v>
      </c>
      <c r="G185" s="115"/>
      <c r="H185" s="174">
        <v>1</v>
      </c>
      <c r="I185" s="159">
        <v>1.7949999999999999</v>
      </c>
      <c r="J185" s="159">
        <v>2.9479000000000002</v>
      </c>
      <c r="K185" s="159">
        <v>2.8028</v>
      </c>
      <c r="L185" s="159">
        <v>1.68</v>
      </c>
    </row>
    <row r="224" spans="1:1" ht="14.4">
      <c r="A224" s="177" t="s">
        <v>235</v>
      </c>
    </row>
  </sheetData>
  <mergeCells count="5">
    <mergeCell ref="G2:N2"/>
    <mergeCell ref="G3:H3"/>
    <mergeCell ref="I3:J3"/>
    <mergeCell ref="K3:L3"/>
    <mergeCell ref="M3:N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80"/>
  <sheetViews>
    <sheetView topLeftCell="A9" zoomScale="74" zoomScaleNormal="70" workbookViewId="0">
      <selection activeCell="A78" sqref="A78"/>
    </sheetView>
  </sheetViews>
  <sheetFormatPr defaultColWidth="8.88671875" defaultRowHeight="14.4"/>
  <cols>
    <col min="1" max="1" width="70.6640625" style="91" customWidth="1"/>
    <col min="2" max="3" width="13.5546875" style="88" bestFit="1" customWidth="1"/>
    <col min="4" max="7" width="15.44140625" bestFit="1" customWidth="1"/>
    <col min="8" max="8" width="13.5546875" bestFit="1" customWidth="1"/>
    <col min="9" max="9" width="13.77734375" bestFit="1" customWidth="1"/>
    <col min="10" max="12" width="9.44140625" bestFit="1" customWidth="1"/>
    <col min="14" max="14" width="54.5546875" customWidth="1"/>
  </cols>
  <sheetData>
    <row r="1" spans="1:15" ht="93.6">
      <c r="A1" s="90" t="s">
        <v>129</v>
      </c>
      <c r="B1" s="87"/>
      <c r="C1" s="87"/>
      <c r="D1" s="87"/>
      <c r="E1" s="87"/>
      <c r="F1" s="87"/>
      <c r="G1" s="87"/>
      <c r="K1" s="88"/>
      <c r="L1" s="88"/>
      <c r="M1" s="88"/>
      <c r="N1" s="88"/>
      <c r="O1" s="88"/>
    </row>
    <row r="2" spans="1:15" ht="14.4" customHeight="1">
      <c r="A2" s="90"/>
      <c r="B2" s="26">
        <v>2017</v>
      </c>
      <c r="C2" s="26">
        <v>2018</v>
      </c>
      <c r="D2" s="26">
        <v>2019</v>
      </c>
      <c r="E2" s="26">
        <v>2020</v>
      </c>
      <c r="F2" s="26">
        <v>2021</v>
      </c>
      <c r="G2" s="87"/>
      <c r="K2" s="88"/>
      <c r="L2" s="88"/>
      <c r="M2" s="88"/>
      <c r="N2" s="88"/>
      <c r="O2" s="88"/>
    </row>
    <row r="3" spans="1:15" ht="14.4" customHeight="1">
      <c r="A3" s="90"/>
      <c r="B3" s="27">
        <f>'Data and ratios'!$B$33/'Data and ratios'!$B$25</f>
        <v>0.19052869779880682</v>
      </c>
      <c r="C3" s="27">
        <f>'Data and ratios'!$C$33/'Data and ratios'!$C$25</f>
        <v>0.10992033184554048</v>
      </c>
      <c r="D3" s="27">
        <f>'Data and ratios'!$D$33/'Data and ratios'!$D$25</f>
        <v>9.1889093550859766E-2</v>
      </c>
      <c r="E3" s="27">
        <f>'Data and ratios'!$E$33/'Data and ratios'!$E$25</f>
        <v>8.479622085988546E-2</v>
      </c>
      <c r="F3" s="27">
        <f>'Data and ratios'!$F$33/'Data and ratios'!$F$25</f>
        <v>5.2353328581868044E-2</v>
      </c>
      <c r="G3" s="87"/>
      <c r="K3" s="88"/>
      <c r="L3" s="88"/>
      <c r="M3" s="88"/>
      <c r="N3" s="88"/>
      <c r="O3" s="88"/>
    </row>
    <row r="4" spans="1:15" ht="14.4" customHeight="1">
      <c r="A4" s="90"/>
      <c r="G4" s="87"/>
      <c r="K4" s="88"/>
      <c r="L4" s="88"/>
      <c r="M4" s="88"/>
      <c r="N4" s="88"/>
      <c r="O4" s="88"/>
    </row>
    <row r="5" spans="1:15" ht="14.4" customHeight="1">
      <c r="A5" s="90"/>
      <c r="B5"/>
      <c r="C5"/>
      <c r="G5" s="87"/>
      <c r="K5" s="88"/>
      <c r="L5" s="88"/>
      <c r="M5" s="88"/>
      <c r="N5" s="88"/>
      <c r="O5" s="88"/>
    </row>
    <row r="6" spans="1:15" ht="46.8">
      <c r="A6" s="90" t="s">
        <v>130</v>
      </c>
      <c r="B6"/>
      <c r="C6"/>
      <c r="G6" s="87"/>
      <c r="K6" s="88"/>
      <c r="L6" s="88"/>
      <c r="M6" s="88"/>
      <c r="N6" s="88"/>
      <c r="O6" s="88"/>
    </row>
    <row r="7" spans="1:15">
      <c r="B7"/>
      <c r="C7"/>
      <c r="K7" s="88"/>
      <c r="L7" s="88"/>
      <c r="M7" s="88"/>
      <c r="N7" s="88"/>
      <c r="O7" s="88"/>
    </row>
    <row r="8" spans="1:15">
      <c r="B8"/>
      <c r="C8"/>
      <c r="K8" s="93"/>
      <c r="L8" s="93"/>
      <c r="M8" s="93"/>
      <c r="N8" s="93"/>
      <c r="O8" s="93"/>
    </row>
    <row r="9" spans="1:15">
      <c r="B9"/>
      <c r="C9"/>
      <c r="K9" s="93"/>
      <c r="L9" s="93"/>
      <c r="M9" s="93"/>
      <c r="N9" s="93"/>
      <c r="O9" s="93"/>
    </row>
    <row r="10" spans="1:15">
      <c r="B10"/>
      <c r="C10"/>
      <c r="K10" s="93"/>
      <c r="L10" s="93"/>
      <c r="M10" s="93"/>
      <c r="N10" s="93"/>
      <c r="O10" s="93"/>
    </row>
    <row r="11" spans="1:15">
      <c r="B11"/>
      <c r="C11"/>
      <c r="K11" s="93"/>
      <c r="L11" s="93"/>
      <c r="M11" s="93"/>
      <c r="N11" s="93"/>
      <c r="O11" s="93"/>
    </row>
    <row r="12" spans="1:15" ht="15.6">
      <c r="B12" s="87"/>
      <c r="C12" s="87"/>
      <c r="D12" s="87"/>
      <c r="E12" s="87"/>
      <c r="K12" s="93"/>
      <c r="L12" s="93"/>
      <c r="M12" s="93"/>
      <c r="N12" s="93"/>
      <c r="O12" s="93"/>
    </row>
    <row r="13" spans="1:15" ht="15.6">
      <c r="B13" s="87"/>
      <c r="C13" s="87"/>
      <c r="D13" s="87"/>
      <c r="E13" s="87"/>
      <c r="K13" s="93"/>
      <c r="L13" s="93"/>
      <c r="M13" s="93"/>
      <c r="N13" s="93"/>
      <c r="O13" s="93"/>
    </row>
    <row r="14" spans="1:15" ht="15.6">
      <c r="B14" s="87"/>
      <c r="C14" s="87"/>
      <c r="D14" s="87"/>
      <c r="E14" s="87"/>
      <c r="K14" s="93"/>
      <c r="L14" s="93"/>
      <c r="M14" s="93"/>
      <c r="N14" s="93"/>
      <c r="O14" s="93"/>
    </row>
    <row r="15" spans="1:15" ht="15.6">
      <c r="B15" s="87"/>
      <c r="C15" s="87"/>
      <c r="D15" s="87"/>
      <c r="E15" s="87"/>
      <c r="K15" s="93"/>
      <c r="L15" s="93"/>
      <c r="M15" s="93"/>
      <c r="N15" s="93"/>
      <c r="O15" s="93"/>
    </row>
    <row r="16" spans="1:15" ht="15.6">
      <c r="B16" s="87"/>
      <c r="C16" s="87"/>
      <c r="D16" s="87"/>
      <c r="E16" s="87"/>
      <c r="K16" s="93"/>
      <c r="L16" s="93"/>
      <c r="M16" s="93"/>
      <c r="N16" s="93"/>
      <c r="O16" s="93"/>
    </row>
    <row r="17" spans="1:15" ht="15.6">
      <c r="B17" s="87"/>
      <c r="C17" s="87"/>
      <c r="D17" s="87"/>
      <c r="E17" s="87"/>
      <c r="K17" s="88"/>
      <c r="L17" s="88"/>
      <c r="M17" s="88"/>
      <c r="N17" s="88"/>
      <c r="O17" s="88"/>
    </row>
    <row r="18" spans="1:15">
      <c r="B18"/>
      <c r="C18"/>
      <c r="K18" s="88"/>
      <c r="L18" s="88"/>
      <c r="M18" s="88"/>
      <c r="N18" s="88"/>
      <c r="O18" s="88"/>
    </row>
    <row r="19" spans="1:15" ht="62.4">
      <c r="A19" s="90" t="s">
        <v>122</v>
      </c>
      <c r="B19"/>
      <c r="C19"/>
      <c r="K19" s="88"/>
      <c r="L19" s="88"/>
      <c r="M19" s="88"/>
      <c r="N19" s="88"/>
      <c r="O19" s="88"/>
    </row>
    <row r="20" spans="1:15" ht="14.4" customHeight="1">
      <c r="A20" s="90"/>
      <c r="B20" s="26">
        <v>2017</v>
      </c>
      <c r="C20" s="26">
        <v>2018</v>
      </c>
      <c r="D20" s="26">
        <v>2019</v>
      </c>
      <c r="E20" s="26">
        <v>2020</v>
      </c>
      <c r="F20" s="26">
        <v>2021</v>
      </c>
      <c r="K20" s="88"/>
      <c r="L20" s="88"/>
      <c r="M20" s="88"/>
      <c r="N20" s="88"/>
      <c r="O20" s="88"/>
    </row>
    <row r="21" spans="1:15" ht="14.4" customHeight="1">
      <c r="A21" s="90"/>
      <c r="B21">
        <f>('Data and ratios'!B33+'Data and ratios'!B40)/'Data and ratios'!B25</f>
        <v>0.19056161283686485</v>
      </c>
      <c r="C21">
        <f>('Data and ratios'!C33+'Data and ratios'!C40)/'Data and ratios'!C25</f>
        <v>0.27925544959605375</v>
      </c>
      <c r="D21">
        <f>('Data and ratios'!D33+'Data and ratios'!D40)/'Data and ratios'!D25</f>
        <v>0.37024780623977482</v>
      </c>
      <c r="E21">
        <f>('Data and ratios'!E33+'Data and ratios'!E40)/'Data and ratios'!E25</f>
        <v>0.3445969791078487</v>
      </c>
      <c r="F21">
        <f>('Data and ratios'!F33+'Data and ratios'!F40)/'Data and ratios'!F25</f>
        <v>0.27397986341040931</v>
      </c>
      <c r="K21" s="88"/>
      <c r="L21" s="88"/>
      <c r="M21" s="88"/>
      <c r="N21" s="88"/>
      <c r="O21" s="88"/>
    </row>
    <row r="22" spans="1:15" ht="14.4" customHeight="1">
      <c r="A22" s="90"/>
      <c r="K22" s="88"/>
      <c r="L22" s="88"/>
      <c r="M22" s="88"/>
      <c r="N22" s="88"/>
      <c r="O22" s="88"/>
    </row>
    <row r="23" spans="1:15" ht="14.4" customHeight="1">
      <c r="A23" s="90"/>
      <c r="B23"/>
      <c r="C23"/>
      <c r="K23" s="88"/>
      <c r="L23" s="88"/>
      <c r="M23" s="88"/>
      <c r="N23" s="88"/>
      <c r="O23" s="88"/>
    </row>
    <row r="24" spans="1:15" ht="109.2">
      <c r="A24" s="90" t="s">
        <v>123</v>
      </c>
      <c r="B24"/>
      <c r="C24"/>
      <c r="K24" s="88"/>
      <c r="L24" s="88"/>
      <c r="M24" s="88"/>
      <c r="N24" s="88"/>
      <c r="O24" s="88"/>
    </row>
    <row r="25" spans="1:15">
      <c r="B25"/>
      <c r="C25"/>
      <c r="K25" s="88"/>
      <c r="L25" s="88"/>
      <c r="M25" s="88"/>
      <c r="N25" s="88"/>
      <c r="O25" s="88"/>
    </row>
    <row r="26" spans="1:15">
      <c r="B26"/>
      <c r="C26"/>
      <c r="K26" s="93"/>
      <c r="L26" s="93"/>
      <c r="M26" s="93"/>
      <c r="N26" s="93"/>
      <c r="O26" s="93"/>
    </row>
    <row r="27" spans="1:15">
      <c r="B27"/>
      <c r="C27"/>
      <c r="K27" s="93"/>
      <c r="L27" s="93"/>
      <c r="M27" s="93"/>
      <c r="N27" s="93"/>
      <c r="O27" s="93"/>
    </row>
    <row r="28" spans="1:15">
      <c r="B28"/>
      <c r="C28"/>
      <c r="K28" s="93"/>
      <c r="L28" s="93"/>
      <c r="M28" s="93"/>
      <c r="N28" s="93"/>
      <c r="O28" s="93"/>
    </row>
    <row r="29" spans="1:15">
      <c r="B29"/>
      <c r="C29"/>
      <c r="K29" s="93"/>
      <c r="L29" s="93"/>
      <c r="M29" s="93"/>
      <c r="N29" s="93"/>
      <c r="O29" s="93"/>
    </row>
    <row r="30" spans="1:15" ht="15.6">
      <c r="B30" s="87"/>
      <c r="C30" s="87"/>
      <c r="D30" s="87"/>
      <c r="E30" s="87"/>
      <c r="K30" s="93"/>
      <c r="L30" s="93"/>
      <c r="M30" s="93"/>
      <c r="N30" s="93"/>
      <c r="O30" s="93"/>
    </row>
    <row r="31" spans="1:15" ht="15.6">
      <c r="B31" s="87"/>
      <c r="C31" s="87"/>
      <c r="D31" s="87"/>
      <c r="E31" s="87"/>
      <c r="K31" s="93"/>
      <c r="L31" s="93"/>
      <c r="M31" s="93"/>
      <c r="N31" s="93"/>
      <c r="O31" s="93"/>
    </row>
    <row r="32" spans="1:15" ht="15.6">
      <c r="B32" s="87"/>
      <c r="C32" s="87"/>
      <c r="D32" s="87"/>
      <c r="E32" s="87"/>
      <c r="K32" s="93"/>
      <c r="L32" s="93"/>
      <c r="M32" s="93"/>
      <c r="N32" s="93"/>
      <c r="O32" s="93"/>
    </row>
    <row r="33" spans="1:15" ht="15.6">
      <c r="B33" s="87"/>
      <c r="C33" s="87"/>
      <c r="D33" s="87"/>
      <c r="E33" s="87"/>
      <c r="K33" s="93"/>
      <c r="L33" s="93"/>
      <c r="M33" s="93"/>
      <c r="N33" s="93"/>
      <c r="O33" s="93"/>
    </row>
    <row r="34" spans="1:15" ht="15.6">
      <c r="B34" s="87"/>
      <c r="C34" s="87"/>
      <c r="D34" s="87"/>
      <c r="E34" s="87"/>
      <c r="K34" s="93"/>
      <c r="L34" s="93"/>
      <c r="M34" s="93"/>
      <c r="N34" s="93"/>
      <c r="O34" s="93"/>
    </row>
    <row r="35" spans="1:15" ht="15.6">
      <c r="B35" s="87"/>
      <c r="C35" s="87"/>
      <c r="D35" s="87"/>
      <c r="E35" s="87"/>
      <c r="K35" s="88"/>
      <c r="L35" s="88"/>
      <c r="M35" s="88"/>
      <c r="N35" s="88"/>
      <c r="O35" s="88"/>
    </row>
    <row r="36" spans="1:15">
      <c r="B36"/>
      <c r="C36"/>
      <c r="K36" s="88"/>
      <c r="L36" s="88"/>
      <c r="M36" s="88"/>
      <c r="N36" s="88"/>
      <c r="O36" s="88"/>
    </row>
    <row r="37" spans="1:15" ht="31.2">
      <c r="A37" s="90" t="s">
        <v>131</v>
      </c>
      <c r="B37"/>
      <c r="C37"/>
      <c r="K37" s="88"/>
      <c r="L37" s="88"/>
      <c r="M37" s="88"/>
      <c r="N37" s="88"/>
      <c r="O37" s="88"/>
    </row>
    <row r="38" spans="1:15" ht="14.4" customHeight="1">
      <c r="A38" s="90"/>
      <c r="B38" s="26">
        <v>2017</v>
      </c>
      <c r="C38" s="26">
        <v>2018</v>
      </c>
      <c r="D38" s="26">
        <v>2019</v>
      </c>
      <c r="E38" s="26">
        <v>2020</v>
      </c>
      <c r="F38" s="26">
        <v>2021</v>
      </c>
      <c r="K38" s="88"/>
      <c r="L38" s="88"/>
      <c r="M38" s="88"/>
      <c r="N38" s="88"/>
      <c r="O38" s="88"/>
    </row>
    <row r="39" spans="1:15" ht="14.4" customHeight="1">
      <c r="A39" s="90"/>
      <c r="B39" s="27">
        <f>'Data and ratios'!B51/'Data and ratios'!B25</f>
        <v>0.80947130220119312</v>
      </c>
      <c r="C39" s="27">
        <f>'Data and ratios'!C51/'Data and ratios'!C25</f>
        <v>0.89007966815445949</v>
      </c>
      <c r="D39" s="27">
        <f>'Data and ratios'!D51/'Data and ratios'!D25</f>
        <v>0.90811090644914028</v>
      </c>
      <c r="E39" s="27">
        <f>'Data and ratios'!E51/'Data and ratios'!E25</f>
        <v>0.91520377914011453</v>
      </c>
      <c r="F39" s="27">
        <f>'Data and ratios'!F51/'Data and ratios'!F25</f>
        <v>0.94764667141813197</v>
      </c>
      <c r="K39" s="88"/>
      <c r="L39" s="88"/>
      <c r="M39" s="88"/>
      <c r="N39" s="88"/>
      <c r="O39" s="88"/>
    </row>
    <row r="40" spans="1:15" ht="14.4" customHeight="1">
      <c r="A40" s="90"/>
      <c r="K40" s="88"/>
      <c r="L40" s="88"/>
      <c r="M40" s="88"/>
      <c r="N40" s="88"/>
      <c r="O40" s="88"/>
    </row>
    <row r="41" spans="1:15" ht="14.4" customHeight="1">
      <c r="A41" s="90"/>
      <c r="B41"/>
      <c r="C41"/>
      <c r="K41" s="88"/>
      <c r="L41" s="88"/>
      <c r="M41" s="88"/>
      <c r="N41" s="88"/>
      <c r="O41" s="88"/>
    </row>
    <row r="42" spans="1:15" ht="62.4">
      <c r="A42" s="90" t="s">
        <v>124</v>
      </c>
      <c r="B42"/>
      <c r="C42"/>
      <c r="K42" s="88"/>
      <c r="L42" s="88"/>
      <c r="M42" s="88"/>
      <c r="N42" s="88"/>
      <c r="O42" s="88"/>
    </row>
    <row r="43" spans="1:15">
      <c r="B43"/>
      <c r="C43"/>
      <c r="K43" s="88"/>
      <c r="L43" s="88"/>
      <c r="M43" s="88"/>
      <c r="N43" s="88"/>
      <c r="O43" s="88"/>
    </row>
    <row r="44" spans="1:15">
      <c r="B44"/>
      <c r="C44"/>
      <c r="K44" s="93"/>
      <c r="L44" s="93"/>
      <c r="M44" s="93"/>
      <c r="N44" s="93"/>
      <c r="O44" s="93"/>
    </row>
    <row r="45" spans="1:15">
      <c r="B45"/>
      <c r="C45"/>
      <c r="K45" s="93"/>
      <c r="L45" s="93"/>
      <c r="M45" s="93"/>
      <c r="N45" s="93"/>
      <c r="O45" s="93"/>
    </row>
    <row r="46" spans="1:15">
      <c r="B46"/>
      <c r="C46"/>
      <c r="K46" s="93"/>
      <c r="L46" s="93"/>
      <c r="M46" s="93"/>
      <c r="N46" s="93"/>
      <c r="O46" s="93"/>
    </row>
    <row r="47" spans="1:15">
      <c r="B47"/>
      <c r="C47"/>
      <c r="K47" s="93"/>
      <c r="L47" s="93"/>
      <c r="M47" s="93"/>
      <c r="N47" s="93"/>
      <c r="O47" s="93"/>
    </row>
    <row r="48" spans="1:15" ht="15.6">
      <c r="B48" s="87"/>
      <c r="C48" s="87"/>
      <c r="D48" s="87"/>
      <c r="E48" s="87"/>
      <c r="K48" s="93"/>
      <c r="L48" s="93"/>
      <c r="M48" s="93"/>
      <c r="N48" s="93"/>
      <c r="O48" s="93"/>
    </row>
    <row r="49" spans="1:15" ht="15.6">
      <c r="B49" s="87"/>
      <c r="C49" s="87"/>
      <c r="D49" s="87"/>
      <c r="E49" s="87"/>
      <c r="K49" s="93"/>
      <c r="L49" s="93"/>
      <c r="M49" s="93"/>
      <c r="N49" s="93"/>
      <c r="O49" s="93"/>
    </row>
    <row r="50" spans="1:15" ht="15.6">
      <c r="B50" s="87"/>
      <c r="C50" s="87"/>
      <c r="D50" s="87"/>
      <c r="E50" s="87"/>
      <c r="K50" s="93"/>
      <c r="L50" s="93"/>
      <c r="M50" s="93"/>
      <c r="N50" s="93"/>
      <c r="O50" s="93"/>
    </row>
    <row r="51" spans="1:15" ht="15.6">
      <c r="B51" s="87"/>
      <c r="C51" s="87"/>
      <c r="D51" s="87"/>
      <c r="E51" s="87"/>
      <c r="K51" s="93"/>
      <c r="L51" s="93"/>
      <c r="M51" s="93"/>
      <c r="N51" s="93"/>
      <c r="O51" s="93"/>
    </row>
    <row r="52" spans="1:15" ht="15.6">
      <c r="B52" s="87"/>
      <c r="C52" s="87"/>
      <c r="D52" s="87"/>
      <c r="E52" s="87"/>
      <c r="K52" s="93"/>
      <c r="L52" s="93"/>
      <c r="M52" s="93"/>
      <c r="N52" s="93"/>
      <c r="O52" s="93"/>
    </row>
    <row r="53" spans="1:15" ht="15.6">
      <c r="B53" s="87"/>
      <c r="C53" s="87"/>
      <c r="D53" s="87"/>
      <c r="E53" s="87"/>
      <c r="K53" s="88"/>
      <c r="L53" s="88"/>
      <c r="M53" s="88"/>
      <c r="N53" s="88"/>
      <c r="O53" s="88"/>
    </row>
    <row r="54" spans="1:15">
      <c r="B54"/>
      <c r="C54"/>
      <c r="K54" s="88"/>
      <c r="L54" s="88"/>
      <c r="M54" s="88"/>
      <c r="N54" s="88"/>
      <c r="O54" s="88"/>
    </row>
    <row r="55" spans="1:15" ht="31.2">
      <c r="A55" s="90" t="s">
        <v>132</v>
      </c>
      <c r="B55"/>
      <c r="C55"/>
      <c r="K55" s="88"/>
      <c r="L55" s="88"/>
      <c r="M55" s="88"/>
      <c r="N55" s="88"/>
      <c r="O55" s="88"/>
    </row>
    <row r="56" spans="1:15" ht="14.4" customHeight="1">
      <c r="A56" s="90"/>
      <c r="B56" s="26">
        <v>2017</v>
      </c>
      <c r="C56" s="26">
        <v>2018</v>
      </c>
      <c r="D56" s="26">
        <v>2019</v>
      </c>
      <c r="E56" s="26">
        <v>2020</v>
      </c>
      <c r="F56" s="26">
        <v>2021</v>
      </c>
      <c r="K56" s="88"/>
      <c r="L56" s="88"/>
      <c r="M56" s="88"/>
      <c r="N56" s="88"/>
      <c r="O56" s="88"/>
    </row>
    <row r="57" spans="1:15" ht="14.4" customHeight="1">
      <c r="A57" s="90"/>
      <c r="B57" s="27">
        <f>('Data and ratios'!B33-'Data and ratios'!B14)/'Data and ratios'!B24</f>
        <v>-5.2012016921787821E-3</v>
      </c>
      <c r="C57" s="27">
        <f>('Data and ratios'!C33-'Data and ratios'!C14)/'Data and ratios'!C24</f>
        <v>-0.35894583130519436</v>
      </c>
      <c r="D57" s="27">
        <f>('Data and ratios'!D33-'Data and ratios'!D14)/'Data and ratios'!D24</f>
        <v>-0.66303157916791067</v>
      </c>
      <c r="E57" s="27">
        <f>('Data and ratios'!E33-'Data and ratios'!E14)/'Data and ratios'!E24</f>
        <v>-0.58429515851024372</v>
      </c>
      <c r="F57" s="27">
        <f>('Data and ratios'!F33-'Data and ratios'!F14)/'Data and ratios'!F24</f>
        <v>-0.60978992578629365</v>
      </c>
      <c r="K57" s="88"/>
      <c r="L57" s="88"/>
      <c r="M57" s="88"/>
      <c r="N57" s="88"/>
      <c r="O57" s="88"/>
    </row>
    <row r="58" spans="1:15" ht="14.4" customHeight="1">
      <c r="A58" s="90"/>
      <c r="K58" s="88"/>
      <c r="L58" s="88"/>
      <c r="M58" s="88"/>
      <c r="N58" s="88"/>
      <c r="O58" s="88"/>
    </row>
    <row r="59" spans="1:15" ht="14.4" customHeight="1">
      <c r="A59" s="90"/>
      <c r="B59"/>
      <c r="C59"/>
      <c r="K59" s="88"/>
      <c r="L59" s="88"/>
      <c r="M59" s="88"/>
      <c r="N59" s="88"/>
      <c r="O59" s="88"/>
    </row>
    <row r="60" spans="1:15" ht="78">
      <c r="A60" s="90" t="s">
        <v>133</v>
      </c>
      <c r="B60"/>
      <c r="C60"/>
      <c r="K60" s="88"/>
      <c r="L60" s="88"/>
      <c r="M60" s="88"/>
      <c r="N60" s="88"/>
      <c r="O60" s="88"/>
    </row>
    <row r="61" spans="1:15">
      <c r="A61" s="92"/>
      <c r="B61"/>
      <c r="C61"/>
      <c r="K61" s="88"/>
      <c r="L61" s="88"/>
      <c r="M61" s="88"/>
      <c r="N61" s="88"/>
      <c r="O61" s="88"/>
    </row>
    <row r="62" spans="1:15">
      <c r="B62"/>
      <c r="C62"/>
      <c r="K62" s="93"/>
      <c r="L62" s="93"/>
      <c r="M62" s="93"/>
      <c r="N62" s="93"/>
      <c r="O62" s="93"/>
    </row>
    <row r="63" spans="1:15">
      <c r="B63"/>
      <c r="C63"/>
      <c r="K63" s="93"/>
      <c r="L63" s="93"/>
      <c r="M63" s="93"/>
      <c r="N63" s="93"/>
      <c r="O63" s="93"/>
    </row>
    <row r="64" spans="1:15">
      <c r="B64"/>
      <c r="C64"/>
      <c r="K64" s="93"/>
      <c r="L64" s="93"/>
      <c r="M64" s="93"/>
      <c r="N64" s="93"/>
      <c r="O64" s="93"/>
    </row>
    <row r="65" spans="1:15">
      <c r="B65"/>
      <c r="C65"/>
      <c r="K65" s="93"/>
      <c r="L65" s="93"/>
      <c r="M65" s="93"/>
      <c r="N65" s="93"/>
      <c r="O65" s="93"/>
    </row>
    <row r="66" spans="1:15" ht="15.6">
      <c r="B66" s="87"/>
      <c r="C66" s="87"/>
      <c r="D66" s="87"/>
      <c r="E66" s="87"/>
      <c r="K66" s="93"/>
      <c r="L66" s="93"/>
      <c r="M66" s="93"/>
      <c r="N66" s="93"/>
      <c r="O66" s="93"/>
    </row>
    <row r="67" spans="1:15" ht="15.6">
      <c r="B67" s="87"/>
      <c r="C67" s="87"/>
      <c r="D67" s="87"/>
      <c r="E67" s="87"/>
      <c r="K67" s="93"/>
      <c r="L67" s="93"/>
      <c r="M67" s="93"/>
      <c r="N67" s="93"/>
      <c r="O67" s="93"/>
    </row>
    <row r="68" spans="1:15" ht="15.6">
      <c r="B68" s="87"/>
      <c r="C68" s="87"/>
      <c r="D68" s="87"/>
      <c r="E68" s="87"/>
      <c r="K68" s="93"/>
      <c r="L68" s="93"/>
      <c r="M68" s="93"/>
      <c r="N68" s="93"/>
      <c r="O68" s="93"/>
    </row>
    <row r="69" spans="1:15" ht="15.6">
      <c r="B69" s="87"/>
      <c r="C69" s="87"/>
      <c r="D69" s="87"/>
      <c r="E69" s="87"/>
      <c r="K69" s="93"/>
      <c r="L69" s="93"/>
      <c r="M69" s="93"/>
      <c r="N69" s="93"/>
      <c r="O69" s="93"/>
    </row>
    <row r="70" spans="1:15" ht="15.6">
      <c r="B70" s="87"/>
      <c r="C70" s="87"/>
      <c r="D70" s="87"/>
      <c r="E70" s="87"/>
      <c r="K70" s="93"/>
      <c r="L70" s="93"/>
      <c r="M70" s="93"/>
      <c r="N70" s="93"/>
      <c r="O70" s="93"/>
    </row>
    <row r="71" spans="1:15" ht="15.6">
      <c r="B71" s="87"/>
      <c r="C71" s="87"/>
      <c r="D71" s="87"/>
      <c r="E71" s="87"/>
      <c r="K71" s="88"/>
      <c r="L71" s="88"/>
      <c r="M71" s="88"/>
      <c r="N71" s="88"/>
      <c r="O71" s="88"/>
    </row>
    <row r="72" spans="1:15">
      <c r="B72"/>
      <c r="C72"/>
      <c r="K72" s="88"/>
      <c r="L72" s="88"/>
      <c r="M72" s="88"/>
      <c r="N72" s="88"/>
      <c r="O72" s="88"/>
    </row>
    <row r="73" spans="1:15" ht="31.2">
      <c r="A73" s="90" t="s">
        <v>134</v>
      </c>
      <c r="B73"/>
      <c r="C73"/>
      <c r="K73" s="88"/>
      <c r="L73" s="88"/>
      <c r="M73" s="88"/>
      <c r="N73" s="88"/>
      <c r="O73" s="88"/>
    </row>
    <row r="74" spans="1:15" ht="14.4" customHeight="1">
      <c r="A74" s="90"/>
      <c r="B74" s="26">
        <v>2017</v>
      </c>
      <c r="C74" s="26">
        <v>2018</v>
      </c>
      <c r="D74" s="26">
        <v>2019</v>
      </c>
      <c r="E74" s="26">
        <v>2020</v>
      </c>
      <c r="F74" s="26">
        <v>2021</v>
      </c>
      <c r="K74" s="88"/>
      <c r="L74" s="88"/>
      <c r="M74" s="88"/>
      <c r="N74" s="88"/>
      <c r="O74" s="88"/>
    </row>
    <row r="75" spans="1:15" ht="14.4" customHeight="1">
      <c r="A75" s="90"/>
      <c r="B75" s="27">
        <f>'Data and ratios'!B51/'Data and ratios'!B33</f>
        <v>4.248553165759696</v>
      </c>
      <c r="C75" s="27">
        <f>'Data and ratios'!C51/'Data and ratios'!C33</f>
        <v>8.0974980079681274</v>
      </c>
      <c r="D75" s="27">
        <f>'Data and ratios'!D51/'Data and ratios'!D33</f>
        <v>9.8826843464998291</v>
      </c>
      <c r="E75" s="27">
        <f>'Data and ratios'!E51/'Data and ratios'!E33</f>
        <v>10.792978388180385</v>
      </c>
      <c r="F75" s="27">
        <f>'Data and ratios'!F51/'Data and ratios'!F33</f>
        <v>18.100982250560055</v>
      </c>
      <c r="K75" s="88"/>
      <c r="L75" s="88"/>
      <c r="M75" s="88"/>
      <c r="N75" s="88"/>
      <c r="O75" s="88"/>
    </row>
    <row r="76" spans="1:15" ht="14.4" customHeight="1">
      <c r="A76" s="90"/>
      <c r="K76" s="88"/>
      <c r="L76" s="88"/>
      <c r="M76" s="88"/>
      <c r="N76" s="88"/>
      <c r="O76" s="88"/>
    </row>
    <row r="77" spans="1:15" ht="14.4" customHeight="1">
      <c r="A77" s="90"/>
      <c r="B77"/>
      <c r="C77"/>
      <c r="K77" s="88"/>
      <c r="L77" s="88"/>
      <c r="M77" s="88"/>
      <c r="N77" s="88"/>
      <c r="O77" s="88"/>
    </row>
    <row r="78" spans="1:15" ht="62.4">
      <c r="A78" s="90" t="s">
        <v>125</v>
      </c>
      <c r="B78"/>
      <c r="C78"/>
      <c r="K78" s="88"/>
      <c r="L78" s="88"/>
      <c r="M78" s="88"/>
      <c r="N78" s="88"/>
      <c r="O78" s="88"/>
    </row>
    <row r="79" spans="1:15">
      <c r="A79" s="92"/>
      <c r="B79"/>
      <c r="C79"/>
      <c r="K79" s="88"/>
      <c r="L79" s="88"/>
      <c r="M79" s="88"/>
      <c r="N79" s="88"/>
      <c r="O79" s="88"/>
    </row>
    <row r="80" spans="1:15">
      <c r="B80"/>
      <c r="C80"/>
      <c r="K80" s="93"/>
      <c r="L80" s="93"/>
      <c r="M80" s="93"/>
      <c r="N80" s="93"/>
      <c r="O80" s="93"/>
    </row>
    <row r="81" spans="1:15">
      <c r="B81"/>
      <c r="C81"/>
      <c r="K81" s="93"/>
      <c r="L81" s="93"/>
      <c r="M81" s="93"/>
      <c r="N81" s="93"/>
      <c r="O81" s="93"/>
    </row>
    <row r="82" spans="1:15">
      <c r="B82"/>
      <c r="C82"/>
      <c r="K82" s="93"/>
      <c r="L82" s="93"/>
      <c r="M82" s="93"/>
      <c r="N82" s="93"/>
      <c r="O82" s="93"/>
    </row>
    <row r="83" spans="1:15">
      <c r="B83"/>
      <c r="C83"/>
      <c r="K83" s="93"/>
      <c r="L83" s="93"/>
      <c r="M83" s="93"/>
      <c r="N83" s="93"/>
      <c r="O83" s="93"/>
    </row>
    <row r="84" spans="1:15" ht="15.6">
      <c r="B84" s="87"/>
      <c r="C84" s="87"/>
      <c r="D84" s="87"/>
      <c r="E84" s="87"/>
      <c r="K84" s="93"/>
      <c r="L84" s="93"/>
      <c r="M84" s="93"/>
      <c r="N84" s="93"/>
      <c r="O84" s="93"/>
    </row>
    <row r="85" spans="1:15" ht="15.6">
      <c r="B85" s="87"/>
      <c r="C85" s="87"/>
      <c r="D85" s="87"/>
      <c r="E85" s="87"/>
      <c r="K85" s="93"/>
      <c r="L85" s="93"/>
      <c r="M85" s="93"/>
      <c r="N85" s="93"/>
      <c r="O85" s="93"/>
    </row>
    <row r="86" spans="1:15" ht="15.6">
      <c r="B86" s="87"/>
      <c r="C86" s="87"/>
      <c r="D86" s="87"/>
      <c r="E86" s="87"/>
      <c r="K86" s="93"/>
      <c r="L86" s="93"/>
      <c r="M86" s="93"/>
      <c r="N86" s="93"/>
      <c r="O86" s="93"/>
    </row>
    <row r="87" spans="1:15" ht="15.6">
      <c r="B87" s="87"/>
      <c r="C87" s="87"/>
      <c r="D87" s="87"/>
      <c r="E87" s="87"/>
      <c r="K87" s="93"/>
      <c r="L87" s="93"/>
      <c r="M87" s="93"/>
      <c r="N87" s="93"/>
      <c r="O87" s="93"/>
    </row>
    <row r="88" spans="1:15" ht="15.6">
      <c r="B88" s="87"/>
      <c r="C88" s="87"/>
      <c r="D88" s="87"/>
      <c r="E88" s="87"/>
      <c r="K88" s="93"/>
      <c r="L88" s="93"/>
      <c r="M88" s="93"/>
      <c r="N88" s="93"/>
      <c r="O88" s="93"/>
    </row>
    <row r="89" spans="1:15" ht="15.6">
      <c r="B89" s="87"/>
      <c r="C89" s="87"/>
      <c r="D89" s="87"/>
      <c r="E89" s="87"/>
      <c r="K89" s="88"/>
      <c r="L89" s="88"/>
      <c r="M89" s="88"/>
      <c r="N89" s="88"/>
      <c r="O89" s="88"/>
    </row>
    <row r="90" spans="1:15">
      <c r="B90"/>
      <c r="C90"/>
      <c r="K90" s="88"/>
      <c r="L90" s="88"/>
      <c r="M90" s="88"/>
      <c r="N90" s="88"/>
      <c r="O90" s="88"/>
    </row>
    <row r="91" spans="1:15" ht="31.2">
      <c r="A91" s="90" t="s">
        <v>135</v>
      </c>
      <c r="B91"/>
      <c r="C91"/>
      <c r="K91" s="88"/>
      <c r="L91" s="88"/>
      <c r="M91" s="88"/>
      <c r="N91" s="88"/>
      <c r="O91" s="88"/>
    </row>
    <row r="92" spans="1:15" ht="14.4" customHeight="1">
      <c r="A92" s="90"/>
      <c r="B92" s="26">
        <v>2017</v>
      </c>
      <c r="C92" s="26">
        <v>2018</v>
      </c>
      <c r="D92" s="26">
        <v>2019</v>
      </c>
      <c r="E92" s="26">
        <v>2020</v>
      </c>
      <c r="F92" s="26">
        <v>2021</v>
      </c>
      <c r="K92" s="88"/>
      <c r="L92" s="88"/>
      <c r="M92" s="88"/>
      <c r="N92" s="88"/>
      <c r="O92" s="88"/>
    </row>
    <row r="93" spans="1:15" ht="14.4" customHeight="1">
      <c r="A93" s="90"/>
      <c r="B93" s="27">
        <f>'Data and ratios'!B33/'Data and ratios'!B51</f>
        <v>0.23537424647507904</v>
      </c>
      <c r="C93" s="27">
        <f>'Data and ratios'!C33/'Data and ratios'!C51</f>
        <v>0.12349493621560347</v>
      </c>
      <c r="D93" s="27">
        <f>'Data and ratios'!D33/'Data and ratios'!D51</f>
        <v>0.10118708287532953</v>
      </c>
      <c r="E93" s="27">
        <f>'Data and ratios'!E33/'Data and ratios'!E51</f>
        <v>9.2652830760332178E-2</v>
      </c>
      <c r="F93" s="27">
        <f>'Data and ratios'!F33/'Data and ratios'!F51</f>
        <v>5.5245620715917744E-2</v>
      </c>
      <c r="K93" s="88"/>
      <c r="L93" s="88"/>
      <c r="M93" s="88"/>
      <c r="N93" s="88"/>
      <c r="O93" s="88"/>
    </row>
    <row r="94" spans="1:15" ht="14.4" customHeight="1">
      <c r="A94" s="90"/>
      <c r="K94" s="88"/>
      <c r="L94" s="88"/>
      <c r="M94" s="88"/>
      <c r="N94" s="88"/>
      <c r="O94" s="88"/>
    </row>
    <row r="95" spans="1:15" ht="14.4" customHeight="1">
      <c r="A95" s="90"/>
      <c r="B95"/>
      <c r="C95"/>
      <c r="K95" s="88"/>
      <c r="L95" s="88"/>
      <c r="M95" s="88"/>
      <c r="N95" s="88"/>
      <c r="O95" s="88"/>
    </row>
    <row r="96" spans="1:15" ht="78">
      <c r="A96" s="90" t="s">
        <v>126</v>
      </c>
      <c r="B96"/>
      <c r="C96"/>
      <c r="K96" s="88"/>
      <c r="L96" s="88"/>
      <c r="M96" s="88"/>
      <c r="N96" s="88"/>
      <c r="O96" s="88"/>
    </row>
    <row r="97" spans="1:15">
      <c r="B97"/>
      <c r="C97"/>
      <c r="K97" s="88"/>
      <c r="L97" s="88"/>
      <c r="M97" s="88"/>
      <c r="N97" s="88"/>
      <c r="O97" s="88"/>
    </row>
    <row r="98" spans="1:15">
      <c r="B98"/>
      <c r="C98"/>
      <c r="K98" s="93"/>
      <c r="L98" s="93"/>
      <c r="M98" s="93"/>
      <c r="N98" s="93"/>
      <c r="O98" s="93"/>
    </row>
    <row r="99" spans="1:15">
      <c r="B99"/>
      <c r="C99"/>
      <c r="K99" s="93"/>
      <c r="L99" s="93"/>
      <c r="M99" s="93"/>
      <c r="N99" s="93"/>
      <c r="O99" s="93"/>
    </row>
    <row r="100" spans="1:15">
      <c r="B100"/>
      <c r="C100"/>
      <c r="K100" s="93"/>
      <c r="L100" s="93"/>
      <c r="M100" s="93"/>
      <c r="N100" s="93"/>
      <c r="O100" s="93"/>
    </row>
    <row r="101" spans="1:15">
      <c r="B101"/>
      <c r="C101"/>
      <c r="K101" s="93"/>
      <c r="L101" s="93"/>
      <c r="M101" s="93"/>
      <c r="N101" s="93"/>
      <c r="O101" s="93"/>
    </row>
    <row r="102" spans="1:15" ht="15.6">
      <c r="B102" s="87"/>
      <c r="C102" s="87"/>
      <c r="D102" s="87"/>
      <c r="E102" s="87"/>
      <c r="K102" s="93"/>
      <c r="L102" s="93"/>
      <c r="M102" s="93"/>
      <c r="N102" s="93"/>
      <c r="O102" s="93"/>
    </row>
    <row r="103" spans="1:15" ht="15.6">
      <c r="B103" s="87"/>
      <c r="C103" s="87"/>
      <c r="D103" s="87"/>
      <c r="E103" s="87"/>
      <c r="K103" s="93"/>
      <c r="L103" s="93"/>
      <c r="M103" s="93"/>
      <c r="N103" s="93"/>
      <c r="O103" s="93"/>
    </row>
    <row r="104" spans="1:15" ht="15.6">
      <c r="B104" s="87"/>
      <c r="C104" s="87"/>
      <c r="D104" s="87"/>
      <c r="E104" s="87"/>
      <c r="K104" s="93"/>
      <c r="L104" s="93"/>
      <c r="M104" s="93"/>
      <c r="N104" s="93"/>
      <c r="O104" s="93"/>
    </row>
    <row r="105" spans="1:15" ht="15.6">
      <c r="B105" s="87"/>
      <c r="C105" s="87"/>
      <c r="D105" s="87"/>
      <c r="E105" s="87"/>
      <c r="K105" s="93"/>
      <c r="L105" s="93"/>
      <c r="M105" s="93"/>
      <c r="N105" s="93"/>
      <c r="O105" s="93"/>
    </row>
    <row r="106" spans="1:15" ht="15.6">
      <c r="B106" s="87"/>
      <c r="C106" s="87"/>
      <c r="D106" s="87"/>
      <c r="E106" s="87"/>
      <c r="K106" s="93"/>
      <c r="L106" s="93"/>
      <c r="M106" s="93"/>
      <c r="N106" s="93"/>
      <c r="O106" s="93"/>
    </row>
    <row r="107" spans="1:15" ht="15.6">
      <c r="B107" s="87"/>
      <c r="C107" s="87"/>
      <c r="D107" s="87"/>
      <c r="E107" s="87"/>
      <c r="K107" s="88"/>
      <c r="L107" s="88"/>
      <c r="M107" s="88"/>
      <c r="N107" s="88"/>
      <c r="O107" s="88"/>
    </row>
    <row r="108" spans="1:15">
      <c r="B108"/>
      <c r="C108"/>
      <c r="K108" s="88"/>
      <c r="L108" s="88"/>
      <c r="M108" s="88"/>
      <c r="N108" s="88"/>
      <c r="O108" s="88"/>
    </row>
    <row r="109" spans="1:15" ht="62.4">
      <c r="A109" s="90" t="s">
        <v>136</v>
      </c>
      <c r="B109"/>
      <c r="C109"/>
      <c r="K109" s="88"/>
      <c r="L109" s="88"/>
      <c r="M109" s="88"/>
      <c r="N109" s="88"/>
      <c r="O109" s="88"/>
    </row>
    <row r="110" spans="1:15" ht="14.4" customHeight="1">
      <c r="A110" s="90"/>
      <c r="B110" s="26">
        <v>2017</v>
      </c>
      <c r="C110" s="26">
        <v>2018</v>
      </c>
      <c r="D110" s="26">
        <v>2019</v>
      </c>
      <c r="E110" s="26">
        <v>2020</v>
      </c>
      <c r="F110" s="26">
        <v>2021</v>
      </c>
      <c r="K110" s="88"/>
      <c r="L110" s="88"/>
      <c r="M110" s="88"/>
      <c r="N110" s="88"/>
      <c r="O110" s="88"/>
    </row>
    <row r="111" spans="1:15" ht="14.4" customHeight="1">
      <c r="A111" s="90"/>
      <c r="B111" s="94">
        <f>'Data and ratios'!B40/('Data and ratios'!B40+'Data and ratios'!B33)</f>
        <v>1.7272648760687453E-4</v>
      </c>
      <c r="C111" s="94">
        <f>'Data and ratios'!C40/('Data and ratios'!C40+'Data and ratios'!C33)</f>
        <v>0.60638070983201398</v>
      </c>
      <c r="D111" s="94">
        <f>'Data and ratios'!D40/('Data and ratios'!D40+'Data and ratios'!D33)</f>
        <v>0.75181731801713414</v>
      </c>
      <c r="E111" s="94">
        <f>'Data and ratios'!E40/('Data and ratios'!E40+'Data and ratios'!E33)</f>
        <v>0.7539263951778673</v>
      </c>
      <c r="F111" s="94">
        <f>'Data and ratios'!F40/('Data and ratios'!F40+'Data and ratios'!F33)</f>
        <v>0.80891541469438155</v>
      </c>
      <c r="K111" s="88"/>
      <c r="L111" s="88"/>
      <c r="M111" s="88"/>
      <c r="N111" s="88"/>
      <c r="O111" s="88"/>
    </row>
    <row r="112" spans="1:15" ht="14.4" customHeight="1">
      <c r="A112" s="90"/>
      <c r="K112" s="88"/>
      <c r="L112" s="88"/>
      <c r="M112" s="88"/>
      <c r="N112" s="88"/>
      <c r="O112" s="88"/>
    </row>
    <row r="113" spans="1:15" ht="14.4" customHeight="1">
      <c r="A113" s="90"/>
      <c r="B113"/>
      <c r="C113"/>
      <c r="K113" s="88"/>
      <c r="L113" s="88"/>
      <c r="M113" s="88"/>
      <c r="N113" s="88"/>
      <c r="O113" s="88"/>
    </row>
    <row r="114" spans="1:15" ht="72">
      <c r="A114" s="92" t="s">
        <v>127</v>
      </c>
      <c r="B114"/>
      <c r="C114"/>
      <c r="K114" s="88"/>
      <c r="L114" s="88"/>
      <c r="M114" s="88"/>
      <c r="N114" s="88"/>
      <c r="O114" s="88"/>
    </row>
    <row r="115" spans="1:15">
      <c r="A115" s="92"/>
      <c r="B115"/>
      <c r="C115"/>
      <c r="K115" s="88"/>
      <c r="L115" s="88"/>
      <c r="M115" s="88"/>
      <c r="N115" s="88"/>
      <c r="O115" s="88"/>
    </row>
    <row r="116" spans="1:15">
      <c r="B116"/>
      <c r="C116"/>
      <c r="K116" s="93"/>
      <c r="L116" s="93"/>
      <c r="M116" s="93"/>
      <c r="N116" s="93"/>
      <c r="O116" s="93"/>
    </row>
    <row r="117" spans="1:15">
      <c r="B117"/>
      <c r="C117"/>
      <c r="K117" s="93"/>
      <c r="L117" s="93"/>
      <c r="M117" s="93"/>
      <c r="N117" s="93"/>
      <c r="O117" s="93"/>
    </row>
    <row r="118" spans="1:15">
      <c r="B118"/>
      <c r="C118"/>
      <c r="K118" s="93"/>
      <c r="L118" s="93"/>
      <c r="M118" s="93"/>
      <c r="N118" s="93"/>
      <c r="O118" s="93"/>
    </row>
    <row r="119" spans="1:15">
      <c r="B119"/>
      <c r="C119"/>
      <c r="K119" s="93"/>
      <c r="L119" s="93"/>
      <c r="M119" s="93"/>
      <c r="N119" s="93"/>
      <c r="O119" s="93"/>
    </row>
    <row r="120" spans="1:15">
      <c r="B120"/>
      <c r="C120"/>
      <c r="K120" s="93"/>
      <c r="L120" s="93"/>
      <c r="M120" s="93"/>
      <c r="N120" s="93"/>
      <c r="O120" s="93"/>
    </row>
    <row r="121" spans="1:15" ht="15.6">
      <c r="B121" s="87"/>
      <c r="C121" s="87"/>
      <c r="D121" s="87"/>
      <c r="E121" s="87"/>
      <c r="K121" s="93"/>
      <c r="L121" s="93"/>
      <c r="M121" s="93"/>
      <c r="N121" s="93"/>
      <c r="O121" s="93"/>
    </row>
    <row r="122" spans="1:15" ht="15.6">
      <c r="B122" s="87"/>
      <c r="C122" s="87"/>
      <c r="D122" s="87"/>
      <c r="E122" s="87"/>
      <c r="K122" s="93"/>
      <c r="L122" s="93"/>
      <c r="M122" s="93"/>
      <c r="N122" s="93"/>
      <c r="O122" s="93"/>
    </row>
    <row r="123" spans="1:15" ht="15.6">
      <c r="B123" s="87"/>
      <c r="C123" s="87"/>
      <c r="D123" s="87"/>
      <c r="E123" s="87"/>
      <c r="K123" s="93"/>
      <c r="L123" s="93"/>
      <c r="M123" s="93"/>
      <c r="N123" s="93"/>
      <c r="O123" s="93"/>
    </row>
    <row r="124" spans="1:15" ht="15.6">
      <c r="B124" s="87"/>
      <c r="C124" s="87"/>
      <c r="D124" s="87"/>
      <c r="E124" s="87"/>
      <c r="K124" s="93"/>
      <c r="L124" s="93"/>
      <c r="M124" s="93"/>
      <c r="N124" s="93"/>
      <c r="O124" s="93"/>
    </row>
    <row r="125" spans="1:15" ht="15.6">
      <c r="B125" s="87"/>
      <c r="C125" s="87"/>
      <c r="D125" s="87"/>
      <c r="E125" s="87"/>
      <c r="K125" s="88"/>
      <c r="L125" s="88"/>
      <c r="M125" s="88"/>
      <c r="N125" s="88"/>
      <c r="O125" s="88"/>
    </row>
    <row r="126" spans="1:15" ht="15.6">
      <c r="B126" s="87"/>
      <c r="C126" s="87"/>
      <c r="D126" s="87"/>
      <c r="E126" s="87"/>
      <c r="K126" s="88"/>
      <c r="L126" s="88"/>
      <c r="M126" s="88"/>
      <c r="N126" s="88"/>
      <c r="O126" s="88"/>
    </row>
    <row r="127" spans="1:15" ht="31.2">
      <c r="A127" s="90" t="s">
        <v>137</v>
      </c>
      <c r="B127"/>
      <c r="C127"/>
      <c r="K127" s="88"/>
      <c r="L127" s="88"/>
      <c r="M127" s="88"/>
      <c r="N127" s="88"/>
      <c r="O127" s="88"/>
    </row>
    <row r="128" spans="1:15" ht="14.4" customHeight="1">
      <c r="A128" s="90"/>
      <c r="B128"/>
      <c r="C128"/>
      <c r="K128" s="88"/>
      <c r="L128" s="88"/>
      <c r="M128" s="88"/>
      <c r="N128" s="88"/>
      <c r="O128" s="88"/>
    </row>
    <row r="129" spans="1:15" ht="14.4" customHeight="1">
      <c r="A129" s="90"/>
      <c r="B129" s="26">
        <v>2017</v>
      </c>
      <c r="C129" s="26">
        <v>2018</v>
      </c>
      <c r="D129" s="26">
        <v>2019</v>
      </c>
      <c r="E129" s="26">
        <v>2020</v>
      </c>
      <c r="F129" s="26">
        <v>2021</v>
      </c>
      <c r="K129" s="88"/>
      <c r="L129" s="88"/>
      <c r="M129" s="88"/>
      <c r="N129" s="88"/>
      <c r="O129" s="88"/>
    </row>
    <row r="130" spans="1:15" ht="14.4" customHeight="1">
      <c r="A130" s="90"/>
      <c r="B130" s="94">
        <f>('Data and ratios'!B33+'Data and ratios'!B40-'Data and ratios'!B14)/'Data and ratios'!B33</f>
        <v>-2.1810486309061069E-2</v>
      </c>
      <c r="C130" s="94">
        <f>('Data and ratios'!C33+'Data and ratios'!C40-'Data and ratios'!C14)/'Data and ratios'!C33</f>
        <v>-0.59831075697211156</v>
      </c>
      <c r="D130" s="94">
        <f>('Data and ratios'!D33+'Data and ratios'!D40-'Data and ratios'!D14)/'Data and ratios'!D33</f>
        <v>-0.9108226725184424</v>
      </c>
      <c r="E130" s="94">
        <f>('Data and ratios'!E33+'Data and ratios'!E40-'Data and ratios'!E14)/'Data and ratios'!E33</f>
        <v>-0.91667409851660275</v>
      </c>
      <c r="F130" s="94">
        <f>('Data and ratios'!F33+'Data and ratios'!F40-'Data and ratios'!F14)/'Data and ratios'!F33</f>
        <v>-2.6233844563156987</v>
      </c>
      <c r="K130" s="88"/>
      <c r="L130" s="88"/>
      <c r="M130" s="88"/>
      <c r="N130" s="88"/>
      <c r="O130" s="88"/>
    </row>
    <row r="131" spans="1:15" ht="14.4" customHeight="1">
      <c r="A131" s="90"/>
      <c r="K131" s="88"/>
      <c r="L131" s="88"/>
      <c r="M131" s="88"/>
      <c r="N131" s="88"/>
      <c r="O131" s="88"/>
    </row>
    <row r="132" spans="1:15" ht="78">
      <c r="A132" s="90" t="s">
        <v>128</v>
      </c>
      <c r="K132" s="88"/>
      <c r="L132" s="88"/>
      <c r="M132" s="88"/>
      <c r="N132" s="88"/>
      <c r="O132" s="88"/>
    </row>
    <row r="133" spans="1:15">
      <c r="A133" s="92"/>
      <c r="K133" s="88"/>
      <c r="L133" s="88"/>
      <c r="M133" s="88"/>
      <c r="N133" s="88"/>
      <c r="O133" s="88"/>
    </row>
    <row r="134" spans="1:15">
      <c r="K134" s="93"/>
      <c r="L134" s="93"/>
      <c r="M134" s="93"/>
      <c r="N134" s="93"/>
      <c r="O134" s="93"/>
    </row>
    <row r="135" spans="1:15">
      <c r="K135" s="93"/>
      <c r="L135" s="93"/>
      <c r="M135" s="93"/>
      <c r="N135" s="93"/>
      <c r="O135" s="93"/>
    </row>
    <row r="136" spans="1:15">
      <c r="K136" s="93"/>
      <c r="L136" s="93"/>
      <c r="M136" s="93"/>
      <c r="N136" s="93"/>
      <c r="O136" s="93"/>
    </row>
    <row r="137" spans="1:15">
      <c r="K137" s="93"/>
      <c r="L137" s="93"/>
      <c r="M137" s="93"/>
      <c r="N137" s="93"/>
      <c r="O137" s="93"/>
    </row>
    <row r="138" spans="1:15">
      <c r="K138" s="93"/>
      <c r="L138" s="93"/>
      <c r="M138" s="93"/>
      <c r="N138" s="93"/>
      <c r="O138" s="93"/>
    </row>
    <row r="139" spans="1:15">
      <c r="K139" s="93"/>
      <c r="L139" s="93"/>
      <c r="M139" s="93"/>
      <c r="N139" s="93"/>
      <c r="O139" s="93"/>
    </row>
    <row r="140" spans="1:15">
      <c r="K140" s="93"/>
      <c r="L140" s="93"/>
      <c r="M140" s="93"/>
      <c r="N140" s="93"/>
      <c r="O140" s="93"/>
    </row>
    <row r="141" spans="1:15">
      <c r="K141" s="93"/>
      <c r="L141" s="93"/>
      <c r="M141" s="93"/>
      <c r="N141" s="93"/>
      <c r="O141" s="93"/>
    </row>
    <row r="142" spans="1:15">
      <c r="K142" s="93"/>
      <c r="L142" s="93"/>
      <c r="M142" s="93"/>
      <c r="N142" s="93"/>
      <c r="O142" s="93"/>
    </row>
    <row r="149" spans="1:14">
      <c r="D149" s="88"/>
      <c r="E149" s="88"/>
      <c r="F149" s="88"/>
      <c r="G149" s="88"/>
      <c r="H149" s="88"/>
      <c r="I149" s="88"/>
      <c r="J149" s="88"/>
      <c r="K149" s="88"/>
      <c r="L149" s="88"/>
      <c r="M149" s="88"/>
      <c r="N149" s="88"/>
    </row>
    <row r="150" spans="1:14">
      <c r="D150" s="88"/>
      <c r="E150" s="88"/>
      <c r="F150" s="88"/>
      <c r="G150" s="88"/>
      <c r="H150" s="88"/>
      <c r="I150" s="88"/>
      <c r="J150" s="88"/>
      <c r="K150" s="88"/>
      <c r="L150" s="88"/>
      <c r="M150" s="88"/>
      <c r="N150" s="88"/>
    </row>
    <row r="151" spans="1:14">
      <c r="D151" s="88"/>
      <c r="E151" s="88"/>
      <c r="F151" s="88"/>
      <c r="G151" s="88"/>
      <c r="H151" s="88"/>
      <c r="I151" s="88"/>
      <c r="J151" s="88"/>
      <c r="K151" s="88"/>
      <c r="L151" s="88"/>
      <c r="M151" s="88"/>
      <c r="N151" s="88"/>
    </row>
    <row r="152" spans="1:14" ht="14.4" customHeight="1">
      <c r="A152" s="98"/>
      <c r="B152" s="98"/>
      <c r="C152" s="98"/>
      <c r="D152" s="98"/>
      <c r="E152" s="98"/>
      <c r="F152" s="98"/>
      <c r="G152" s="98"/>
      <c r="H152" s="88"/>
      <c r="I152" s="88"/>
      <c r="J152" s="88"/>
      <c r="K152" s="88"/>
      <c r="L152" s="88"/>
      <c r="M152" s="88"/>
      <c r="N152" s="88"/>
    </row>
    <row r="153" spans="1:14" ht="14.4" customHeight="1">
      <c r="A153" s="98"/>
      <c r="B153" s="98"/>
      <c r="C153" s="98"/>
      <c r="D153" s="98"/>
      <c r="E153" s="98"/>
      <c r="F153" s="98"/>
      <c r="G153" s="98"/>
      <c r="H153" s="88"/>
      <c r="I153" s="88"/>
      <c r="J153" s="88"/>
      <c r="K153" s="88"/>
      <c r="L153" s="88"/>
      <c r="M153" s="88"/>
      <c r="N153" s="88"/>
    </row>
    <row r="154" spans="1:14" ht="14.4" customHeight="1">
      <c r="A154" s="98"/>
      <c r="B154" s="98"/>
      <c r="C154" s="98"/>
      <c r="D154" s="98"/>
      <c r="E154" s="98"/>
      <c r="F154" s="98"/>
      <c r="G154" s="98"/>
      <c r="H154" s="88"/>
      <c r="I154" s="88"/>
      <c r="J154" s="88"/>
      <c r="K154" s="88"/>
      <c r="L154" s="88"/>
      <c r="M154" s="88"/>
      <c r="N154" s="88"/>
    </row>
    <row r="155" spans="1:14" ht="14.4" customHeight="1">
      <c r="A155" s="98"/>
      <c r="B155" s="98"/>
      <c r="C155" s="98"/>
      <c r="D155" s="98"/>
      <c r="E155" s="98"/>
      <c r="F155" s="98"/>
      <c r="G155" s="98"/>
      <c r="H155" s="88"/>
      <c r="I155" s="99"/>
      <c r="J155" s="99"/>
      <c r="K155" s="99"/>
      <c r="L155" s="99"/>
      <c r="M155" s="99"/>
      <c r="N155" s="99"/>
    </row>
    <row r="156" spans="1:14">
      <c r="D156" s="88"/>
      <c r="E156" s="88"/>
      <c r="F156" s="88"/>
      <c r="G156" s="88"/>
      <c r="H156" s="88"/>
      <c r="I156" s="99"/>
      <c r="J156" s="99"/>
      <c r="K156" s="99"/>
      <c r="L156" s="99"/>
      <c r="M156" s="99"/>
      <c r="N156" s="99"/>
    </row>
    <row r="157" spans="1:14">
      <c r="D157" s="88"/>
      <c r="E157" s="88"/>
      <c r="F157" s="88"/>
      <c r="G157" s="88"/>
      <c r="H157" s="88"/>
      <c r="I157" s="99"/>
      <c r="J157" s="99"/>
      <c r="K157" s="99"/>
      <c r="L157" s="99"/>
      <c r="M157" s="99"/>
      <c r="N157" s="99"/>
    </row>
    <row r="158" spans="1:14" ht="14.4" customHeight="1">
      <c r="D158" s="94"/>
      <c r="E158" s="94"/>
      <c r="F158" s="94"/>
      <c r="G158" s="94"/>
      <c r="H158" s="88"/>
      <c r="I158" s="100"/>
      <c r="J158" s="101"/>
      <c r="K158" s="101"/>
      <c r="L158" s="101"/>
      <c r="M158" s="101"/>
      <c r="N158" s="101"/>
    </row>
    <row r="159" spans="1:14" ht="15" customHeight="1">
      <c r="D159" s="94"/>
      <c r="E159" s="94"/>
      <c r="F159" s="94"/>
      <c r="G159" s="94"/>
      <c r="H159" s="88"/>
      <c r="I159" s="100"/>
      <c r="J159" s="101"/>
      <c r="K159" s="101"/>
      <c r="L159" s="101"/>
      <c r="M159" s="101"/>
      <c r="N159" s="101"/>
    </row>
    <row r="160" spans="1:14" ht="14.4" customHeight="1">
      <c r="D160" s="94"/>
      <c r="E160" s="94"/>
      <c r="F160" s="94"/>
      <c r="G160" s="94"/>
      <c r="H160" s="88"/>
      <c r="I160" s="100"/>
      <c r="J160" s="101"/>
      <c r="K160" s="101"/>
      <c r="L160" s="101"/>
      <c r="M160" s="101"/>
      <c r="N160" s="101"/>
    </row>
    <row r="161" spans="4:14" ht="14.4" customHeight="1">
      <c r="D161" s="94"/>
      <c r="E161" s="94"/>
      <c r="F161" s="94"/>
      <c r="G161" s="94"/>
      <c r="H161" s="88"/>
      <c r="I161" s="100"/>
      <c r="J161" s="101"/>
      <c r="K161" s="101"/>
      <c r="L161" s="101"/>
      <c r="M161" s="101"/>
      <c r="N161" s="101"/>
    </row>
    <row r="162" spans="4:14" ht="14.4" customHeight="1">
      <c r="D162" s="94"/>
      <c r="E162" s="94"/>
      <c r="F162" s="94"/>
      <c r="G162" s="94"/>
      <c r="H162" s="88"/>
      <c r="I162" s="100"/>
      <c r="J162" s="101"/>
      <c r="K162" s="101"/>
      <c r="L162" s="101"/>
      <c r="M162" s="101"/>
      <c r="N162" s="101"/>
    </row>
    <row r="163" spans="4:14" ht="14.4" customHeight="1">
      <c r="D163" s="94"/>
      <c r="E163" s="94"/>
      <c r="F163" s="94"/>
      <c r="G163" s="94"/>
      <c r="H163" s="88"/>
      <c r="I163" s="100"/>
      <c r="J163" s="101"/>
      <c r="K163" s="101"/>
      <c r="L163" s="101"/>
      <c r="M163" s="101"/>
      <c r="N163" s="101"/>
    </row>
    <row r="164" spans="4:14" ht="14.4" customHeight="1">
      <c r="D164" s="94"/>
      <c r="E164" s="94"/>
      <c r="F164" s="94"/>
      <c r="G164" s="94"/>
      <c r="H164" s="88"/>
      <c r="I164" s="100"/>
      <c r="J164" s="101"/>
      <c r="K164" s="101"/>
      <c r="L164" s="101"/>
      <c r="M164" s="101"/>
      <c r="N164" s="101"/>
    </row>
    <row r="165" spans="4:14" ht="14.4" customHeight="1">
      <c r="D165" s="94"/>
      <c r="E165" s="94"/>
      <c r="F165" s="94"/>
      <c r="G165" s="94"/>
      <c r="H165" s="88"/>
      <c r="I165" s="100"/>
      <c r="J165" s="101"/>
      <c r="K165" s="101"/>
      <c r="L165" s="101"/>
      <c r="M165" s="101"/>
      <c r="N165" s="101"/>
    </row>
    <row r="166" spans="4:14" ht="14.4" customHeight="1">
      <c r="D166" s="94"/>
      <c r="E166" s="94"/>
      <c r="F166" s="94"/>
      <c r="G166" s="94"/>
      <c r="H166" s="88"/>
      <c r="I166" s="100"/>
      <c r="J166" s="101"/>
      <c r="K166" s="101"/>
      <c r="L166" s="101"/>
      <c r="M166" s="101"/>
      <c r="N166" s="101"/>
    </row>
    <row r="167" spans="4:14" ht="14.4" customHeight="1">
      <c r="D167" s="94"/>
      <c r="E167" s="94"/>
      <c r="F167" s="94"/>
      <c r="G167" s="94"/>
      <c r="H167" s="88"/>
      <c r="I167" s="100"/>
      <c r="J167" s="101"/>
      <c r="K167" s="101"/>
      <c r="L167" s="101"/>
      <c r="M167" s="101"/>
      <c r="N167" s="101"/>
    </row>
    <row r="168" spans="4:14">
      <c r="D168" s="88"/>
      <c r="E168" s="88"/>
      <c r="F168" s="88"/>
      <c r="G168" s="88"/>
      <c r="H168" s="88"/>
      <c r="I168" s="88"/>
      <c r="J168" s="88"/>
      <c r="K168" s="88"/>
      <c r="L168" s="88"/>
      <c r="M168" s="88"/>
      <c r="N168" s="88"/>
    </row>
    <row r="169" spans="4:14">
      <c r="D169" s="88"/>
      <c r="E169" s="88"/>
      <c r="F169" s="88"/>
      <c r="G169" s="88"/>
      <c r="H169" s="88"/>
      <c r="I169" s="88"/>
      <c r="J169" s="88"/>
      <c r="K169" s="88"/>
      <c r="L169" s="88"/>
      <c r="M169" s="88"/>
      <c r="N169" s="88"/>
    </row>
    <row r="170" spans="4:14">
      <c r="D170" s="88"/>
      <c r="E170" s="88"/>
      <c r="F170" s="88"/>
      <c r="G170" s="88"/>
      <c r="H170" s="88"/>
      <c r="I170" s="88"/>
      <c r="J170" s="88"/>
      <c r="K170" s="88"/>
      <c r="L170" s="88"/>
      <c r="M170" s="88"/>
      <c r="N170" s="88"/>
    </row>
    <row r="171" spans="4:14">
      <c r="D171" s="88"/>
      <c r="E171" s="88"/>
      <c r="F171" s="88"/>
      <c r="G171" s="88"/>
      <c r="H171" s="88"/>
      <c r="I171" s="88"/>
      <c r="J171" s="88"/>
      <c r="K171" s="88"/>
      <c r="L171" s="88"/>
      <c r="M171" s="88"/>
      <c r="N171" s="88"/>
    </row>
    <row r="172" spans="4:14" ht="15.6">
      <c r="D172" s="88"/>
      <c r="E172" s="88"/>
      <c r="F172" s="88"/>
      <c r="G172" s="97"/>
      <c r="H172" s="88"/>
      <c r="I172" s="88"/>
      <c r="J172" s="88"/>
      <c r="K172" s="88"/>
      <c r="L172" s="88"/>
      <c r="M172" s="88"/>
      <c r="N172" s="88"/>
    </row>
    <row r="173" spans="4:14">
      <c r="D173" s="88"/>
      <c r="E173" s="88"/>
      <c r="F173" s="88"/>
      <c r="G173" s="88"/>
      <c r="H173" s="88"/>
      <c r="I173" s="88"/>
      <c r="J173" s="88"/>
      <c r="K173" s="88"/>
      <c r="L173" s="88"/>
      <c r="M173" s="88"/>
      <c r="N173" s="88"/>
    </row>
    <row r="174" spans="4:14">
      <c r="D174" s="88"/>
      <c r="E174" s="88"/>
      <c r="F174" s="88"/>
      <c r="G174" s="88"/>
      <c r="H174" s="88"/>
      <c r="I174" s="88"/>
      <c r="J174" s="88"/>
      <c r="K174" s="88"/>
      <c r="L174" s="88"/>
      <c r="M174" s="88"/>
      <c r="N174" s="88"/>
    </row>
    <row r="175" spans="4:14">
      <c r="D175" s="88"/>
      <c r="E175" s="88"/>
      <c r="F175" s="88"/>
      <c r="G175" s="88"/>
      <c r="H175" s="88"/>
      <c r="I175" s="88"/>
      <c r="J175" s="88"/>
      <c r="K175" s="88"/>
      <c r="L175" s="88"/>
      <c r="M175" s="88"/>
      <c r="N175" s="88"/>
    </row>
    <row r="176" spans="4:14">
      <c r="D176" s="88"/>
      <c r="E176" s="88"/>
      <c r="F176" s="88"/>
      <c r="G176" s="88"/>
      <c r="H176" s="88"/>
      <c r="I176" s="88"/>
      <c r="J176" s="88"/>
      <c r="K176" s="88"/>
      <c r="L176" s="88"/>
      <c r="M176" s="88"/>
      <c r="N176" s="88"/>
    </row>
    <row r="177" spans="4:14">
      <c r="D177" s="88"/>
      <c r="E177" s="88"/>
      <c r="F177" s="88"/>
      <c r="G177" s="88"/>
      <c r="H177" s="88"/>
      <c r="I177" s="88"/>
      <c r="J177" s="88"/>
      <c r="K177" s="88"/>
      <c r="L177" s="88"/>
      <c r="M177" s="88"/>
      <c r="N177" s="88"/>
    </row>
    <row r="178" spans="4:14">
      <c r="D178" s="88"/>
      <c r="E178" s="88"/>
      <c r="F178" s="88"/>
      <c r="G178" s="88"/>
      <c r="H178" s="88"/>
      <c r="I178" s="88"/>
      <c r="J178" s="88"/>
      <c r="K178" s="88"/>
      <c r="L178" s="88"/>
      <c r="M178" s="88"/>
      <c r="N178" s="88"/>
    </row>
    <row r="179" spans="4:14">
      <c r="D179" s="88"/>
      <c r="E179" s="88"/>
      <c r="F179" s="88"/>
      <c r="G179" s="88"/>
      <c r="H179" s="88"/>
      <c r="I179" s="88"/>
      <c r="J179" s="88"/>
      <c r="K179" s="88"/>
      <c r="L179" s="88"/>
      <c r="M179" s="88"/>
      <c r="N179" s="88"/>
    </row>
    <row r="180" spans="4:14">
      <c r="D180" s="88"/>
      <c r="E180" s="88"/>
      <c r="F180" s="88"/>
      <c r="G180" s="88"/>
      <c r="H180" s="88"/>
      <c r="I180" s="88"/>
      <c r="J180" s="88"/>
      <c r="K180" s="88"/>
      <c r="L180" s="88"/>
      <c r="M180" s="88"/>
      <c r="N180" s="88"/>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48DC0-FA93-473C-A7B3-9C10ADCF47FE}">
  <dimension ref="A1:M32"/>
  <sheetViews>
    <sheetView tabSelected="1" zoomScale="60" workbookViewId="0">
      <selection activeCell="H2" sqref="H2"/>
    </sheetView>
  </sheetViews>
  <sheetFormatPr defaultRowHeight="14.4"/>
  <cols>
    <col min="1" max="1" width="57" customWidth="1"/>
    <col min="2" max="2" width="13.21875" customWidth="1"/>
    <col min="3" max="3" width="13.44140625" bestFit="1" customWidth="1"/>
    <col min="4" max="4" width="12.33203125" bestFit="1" customWidth="1"/>
    <col min="5" max="6" width="9.5546875" bestFit="1" customWidth="1"/>
    <col min="7" max="7" width="11.5546875" bestFit="1" customWidth="1"/>
    <col min="8" max="8" width="27.21875" customWidth="1"/>
    <col min="13" max="13" width="45.33203125" customWidth="1"/>
  </cols>
  <sheetData>
    <row r="1" spans="1:13">
      <c r="A1" s="96" t="s">
        <v>121</v>
      </c>
      <c r="B1" s="96"/>
      <c r="C1" s="96"/>
    </row>
    <row r="2" spans="1:13">
      <c r="A2" s="91"/>
      <c r="B2" s="88"/>
      <c r="C2" s="88"/>
    </row>
    <row r="3" spans="1:13">
      <c r="A3" s="91"/>
      <c r="B3" s="88"/>
      <c r="C3" s="88"/>
    </row>
    <row r="4" spans="1:13">
      <c r="A4" s="69" t="s">
        <v>33</v>
      </c>
      <c r="B4" s="69"/>
      <c r="C4" s="69"/>
      <c r="D4" s="69"/>
      <c r="E4" s="69"/>
      <c r="F4" s="69"/>
      <c r="G4" s="69"/>
    </row>
    <row r="5" spans="1:13">
      <c r="A5" s="69"/>
      <c r="B5" s="69"/>
      <c r="C5" s="69"/>
      <c r="D5" s="69"/>
      <c r="E5" s="69"/>
      <c r="F5" s="69"/>
      <c r="G5" s="69"/>
    </row>
    <row r="6" spans="1:13">
      <c r="A6" s="69"/>
      <c r="B6" s="69"/>
      <c r="C6" s="69"/>
      <c r="D6" s="69"/>
      <c r="E6" s="69"/>
      <c r="F6" s="69"/>
      <c r="G6" s="69"/>
    </row>
    <row r="7" spans="1:13">
      <c r="A7" s="69"/>
      <c r="B7" s="69"/>
      <c r="C7" s="69"/>
      <c r="D7" s="69"/>
      <c r="E7" s="69"/>
      <c r="F7" s="69"/>
      <c r="G7" s="69"/>
    </row>
    <row r="8" spans="1:13">
      <c r="A8" s="91"/>
      <c r="B8" s="88"/>
      <c r="C8" s="88"/>
    </row>
    <row r="9" spans="1:13" ht="28.8">
      <c r="A9" s="91"/>
      <c r="B9" s="88"/>
      <c r="C9" s="89" t="s">
        <v>34</v>
      </c>
      <c r="D9" s="26">
        <v>2018</v>
      </c>
      <c r="E9" s="26">
        <v>2019</v>
      </c>
      <c r="F9" s="26">
        <v>2020</v>
      </c>
      <c r="G9" s="26">
        <v>2021</v>
      </c>
    </row>
    <row r="10" spans="1:13">
      <c r="A10" s="92" t="s">
        <v>35</v>
      </c>
      <c r="B10" s="88"/>
      <c r="C10" s="27">
        <v>45291</v>
      </c>
      <c r="D10" s="27">
        <v>45291</v>
      </c>
      <c r="E10" s="27">
        <v>45291</v>
      </c>
      <c r="F10" s="27">
        <v>45291</v>
      </c>
      <c r="H10" s="70" t="s">
        <v>38</v>
      </c>
      <c r="I10" s="82" t="s">
        <v>39</v>
      </c>
      <c r="J10" s="82"/>
      <c r="K10" s="82"/>
      <c r="L10" s="82"/>
      <c r="M10" s="82"/>
    </row>
    <row r="11" spans="1:13" ht="28.8">
      <c r="A11" s="92" t="s">
        <v>40</v>
      </c>
      <c r="B11" s="88" t="s">
        <v>41</v>
      </c>
      <c r="C11" s="27">
        <v>0.39266217328982278</v>
      </c>
      <c r="D11" s="27">
        <v>0.26880544416089441</v>
      </c>
      <c r="E11" s="27">
        <v>0.17655634733557696</v>
      </c>
      <c r="F11" s="27">
        <v>0.20641843685216596</v>
      </c>
      <c r="H11" s="70"/>
      <c r="I11" s="82"/>
      <c r="J11" s="82"/>
      <c r="K11" s="82"/>
      <c r="L11" s="82"/>
      <c r="M11" s="82"/>
    </row>
    <row r="12" spans="1:13" ht="28.8">
      <c r="A12" s="92" t="s">
        <v>42</v>
      </c>
      <c r="B12" s="88"/>
      <c r="C12" s="27"/>
      <c r="D12" s="27"/>
      <c r="E12" s="27"/>
      <c r="F12" s="27"/>
      <c r="H12" s="70"/>
      <c r="I12" s="82" t="s">
        <v>43</v>
      </c>
      <c r="J12" s="82"/>
      <c r="K12" s="82"/>
      <c r="L12" s="82"/>
      <c r="M12" s="82"/>
    </row>
    <row r="13" spans="1:13" ht="43.2">
      <c r="A13" s="92" t="s">
        <v>44</v>
      </c>
      <c r="B13" s="88" t="s">
        <v>45</v>
      </c>
      <c r="C13" s="27">
        <v>0.45538646090660484</v>
      </c>
      <c r="D13" s="27">
        <v>0.34728399562522783</v>
      </c>
      <c r="E13" s="27">
        <v>0.273749994322801</v>
      </c>
      <c r="F13" s="27">
        <v>0.30431036803704603</v>
      </c>
      <c r="H13" s="70"/>
      <c r="I13" s="82"/>
      <c r="J13" s="82"/>
      <c r="K13" s="82"/>
      <c r="L13" s="82"/>
      <c r="M13" s="82"/>
    </row>
    <row r="14" spans="1:13" ht="28.8">
      <c r="A14" s="92" t="s">
        <v>46</v>
      </c>
      <c r="B14" s="88"/>
      <c r="C14" s="27"/>
      <c r="D14" s="27"/>
      <c r="E14" s="27"/>
      <c r="F14" s="27"/>
      <c r="H14" s="70"/>
      <c r="I14" s="82" t="s">
        <v>47</v>
      </c>
      <c r="J14" s="82"/>
      <c r="K14" s="82"/>
      <c r="L14" s="82"/>
      <c r="M14" s="82"/>
    </row>
    <row r="15" spans="1:13" ht="28.8">
      <c r="A15" s="92" t="s">
        <v>48</v>
      </c>
      <c r="B15" s="88" t="s">
        <v>49</v>
      </c>
      <c r="C15" s="27">
        <v>0.99486616446572529</v>
      </c>
      <c r="D15" s="27">
        <v>0.90875197472353875</v>
      </c>
      <c r="E15" s="27">
        <v>0.86709904214298361</v>
      </c>
      <c r="F15" s="27">
        <v>0.88140045615209173</v>
      </c>
      <c r="H15" s="70"/>
      <c r="I15" s="82"/>
      <c r="J15" s="82"/>
      <c r="K15" s="82"/>
      <c r="L15" s="82"/>
      <c r="M15" s="82"/>
    </row>
    <row r="16" spans="1:13" ht="28.8">
      <c r="A16" s="92" t="s">
        <v>50</v>
      </c>
      <c r="B16" s="88"/>
      <c r="C16" s="27"/>
      <c r="D16" s="27"/>
      <c r="E16" s="27"/>
      <c r="F16" s="27" t="s">
        <v>90</v>
      </c>
      <c r="H16" s="70"/>
      <c r="I16" s="82" t="s">
        <v>51</v>
      </c>
      <c r="J16" s="82"/>
      <c r="K16" s="82"/>
      <c r="L16" s="82"/>
      <c r="M16" s="82"/>
    </row>
    <row r="17" spans="1:13" ht="43.2">
      <c r="A17" s="92" t="s">
        <v>52</v>
      </c>
      <c r="B17" s="88" t="s">
        <v>53</v>
      </c>
      <c r="C17" s="27">
        <v>0.23537424647507904</v>
      </c>
      <c r="D17" s="27">
        <v>0.12349493621560347</v>
      </c>
      <c r="E17" s="27">
        <v>0.10118708287532953</v>
      </c>
      <c r="F17" s="27">
        <v>9.2652830760332178E-2</v>
      </c>
      <c r="H17" s="70"/>
      <c r="I17" s="82"/>
      <c r="J17" s="82"/>
      <c r="K17" s="82"/>
      <c r="L17" s="82"/>
      <c r="M17" s="82"/>
    </row>
    <row r="18" spans="1:13">
      <c r="A18" s="92" t="s">
        <v>54</v>
      </c>
      <c r="B18" s="88"/>
      <c r="C18" s="27"/>
      <c r="D18" s="27"/>
      <c r="E18" s="27"/>
      <c r="F18" s="27"/>
      <c r="H18" s="70"/>
      <c r="I18" s="82" t="s">
        <v>55</v>
      </c>
      <c r="J18" s="82"/>
      <c r="K18" s="82"/>
      <c r="L18" s="82"/>
      <c r="M18" s="82"/>
    </row>
    <row r="19" spans="1:13">
      <c r="A19" s="92" t="s">
        <v>56</v>
      </c>
      <c r="B19" s="88" t="s">
        <v>57</v>
      </c>
      <c r="C19" s="27">
        <v>4.1272067690227399E-2</v>
      </c>
      <c r="D19" s="27">
        <v>4.5726902977869958E-2</v>
      </c>
      <c r="E19" s="27">
        <v>6.602668010163848E-2</v>
      </c>
      <c r="F19" s="27">
        <v>5.4868052946342886E-2</v>
      </c>
      <c r="H19" s="70"/>
      <c r="I19" s="82"/>
      <c r="J19" s="82"/>
      <c r="K19" s="82"/>
      <c r="L19" s="82"/>
      <c r="M19" s="82"/>
    </row>
    <row r="20" spans="1:13">
      <c r="A20" s="91"/>
      <c r="B20" s="88"/>
      <c r="C20" s="88"/>
    </row>
    <row r="21" spans="1:13">
      <c r="A21" s="91"/>
      <c r="B21" s="88"/>
      <c r="C21" s="88"/>
    </row>
    <row r="22" spans="1:13">
      <c r="A22" s="91"/>
      <c r="B22" s="88"/>
      <c r="C22" s="88"/>
    </row>
    <row r="23" spans="1:13">
      <c r="A23" s="91"/>
      <c r="B23" s="88"/>
      <c r="C23" s="88"/>
    </row>
    <row r="24" spans="1:13" ht="15.6">
      <c r="A24" s="91"/>
      <c r="B24" s="88"/>
      <c r="C24" s="88"/>
      <c r="G24" s="53" t="s">
        <v>58</v>
      </c>
    </row>
    <row r="25" spans="1:13">
      <c r="A25" s="91"/>
      <c r="B25" s="88"/>
      <c r="C25" s="88"/>
      <c r="G25" s="26" t="s">
        <v>59</v>
      </c>
      <c r="H25" s="26">
        <v>2018</v>
      </c>
      <c r="I25" s="26">
        <v>2019</v>
      </c>
      <c r="J25" s="26">
        <v>2020</v>
      </c>
      <c r="K25" s="26">
        <v>2021</v>
      </c>
      <c r="M25" s="26" t="s">
        <v>60</v>
      </c>
    </row>
    <row r="26" spans="1:13">
      <c r="A26" s="91" t="s">
        <v>59</v>
      </c>
      <c r="B26" s="88" t="s">
        <v>61</v>
      </c>
      <c r="C26" s="88" t="s">
        <v>62</v>
      </c>
      <c r="D26" s="26" t="s">
        <v>63</v>
      </c>
      <c r="G26" s="52">
        <v>0.11</v>
      </c>
      <c r="H26">
        <v>1</v>
      </c>
      <c r="I26">
        <v>1</v>
      </c>
      <c r="J26">
        <v>2</v>
      </c>
      <c r="K26">
        <v>1</v>
      </c>
    </row>
    <row r="27" spans="1:13">
      <c r="A27" s="91" t="s">
        <v>64</v>
      </c>
      <c r="B27" s="88" t="s">
        <v>65</v>
      </c>
      <c r="C27" s="88" t="s">
        <v>66</v>
      </c>
      <c r="D27" t="s">
        <v>67</v>
      </c>
      <c r="G27" s="52">
        <v>0.05</v>
      </c>
      <c r="H27">
        <v>3</v>
      </c>
      <c r="I27">
        <v>3</v>
      </c>
      <c r="J27">
        <v>3</v>
      </c>
      <c r="K27">
        <v>3</v>
      </c>
      <c r="M27" s="52" t="s">
        <v>68</v>
      </c>
    </row>
    <row r="28" spans="1:13">
      <c r="A28" s="91" t="s">
        <v>69</v>
      </c>
      <c r="B28" s="88" t="s">
        <v>70</v>
      </c>
      <c r="C28" s="88" t="s">
        <v>71</v>
      </c>
      <c r="D28" t="s">
        <v>72</v>
      </c>
      <c r="G28" s="52">
        <v>0.42</v>
      </c>
      <c r="H28">
        <v>3</v>
      </c>
      <c r="I28">
        <v>3</v>
      </c>
      <c r="J28">
        <v>3</v>
      </c>
      <c r="K28">
        <v>3</v>
      </c>
      <c r="M28" s="52" t="s">
        <v>73</v>
      </c>
    </row>
    <row r="29" spans="1:13">
      <c r="A29" s="91" t="s">
        <v>74</v>
      </c>
      <c r="B29" s="88" t="s">
        <v>75</v>
      </c>
      <c r="C29" s="88" t="s">
        <v>76</v>
      </c>
      <c r="D29" t="s">
        <v>77</v>
      </c>
      <c r="G29" s="52">
        <v>0.21</v>
      </c>
      <c r="H29">
        <v>3</v>
      </c>
      <c r="I29">
        <v>3</v>
      </c>
      <c r="J29">
        <v>3</v>
      </c>
      <c r="K29">
        <v>3</v>
      </c>
      <c r="M29" s="52" t="s">
        <v>78</v>
      </c>
    </row>
    <row r="30" spans="1:13">
      <c r="A30" s="91" t="s">
        <v>79</v>
      </c>
      <c r="B30" s="88" t="s">
        <v>80</v>
      </c>
      <c r="C30" s="88" t="s">
        <v>81</v>
      </c>
      <c r="D30" t="s">
        <v>82</v>
      </c>
      <c r="G30" s="52">
        <v>0.21</v>
      </c>
      <c r="H30">
        <v>3</v>
      </c>
      <c r="I30">
        <v>3</v>
      </c>
      <c r="J30">
        <v>3</v>
      </c>
      <c r="K30">
        <v>3</v>
      </c>
    </row>
    <row r="31" spans="1:13">
      <c r="A31" s="91" t="s">
        <v>83</v>
      </c>
      <c r="B31" s="88" t="s">
        <v>84</v>
      </c>
      <c r="C31" s="88" t="s">
        <v>85</v>
      </c>
      <c r="D31" t="s">
        <v>86</v>
      </c>
      <c r="G31" s="52" t="s">
        <v>87</v>
      </c>
      <c r="H31">
        <v>2.78</v>
      </c>
      <c r="I31">
        <v>2.78</v>
      </c>
      <c r="J31">
        <v>2.8899999999999997</v>
      </c>
      <c r="K31">
        <v>2.78</v>
      </c>
    </row>
    <row r="32" spans="1:13">
      <c r="A32" s="91"/>
      <c r="B32" s="88"/>
      <c r="C32" s="88"/>
      <c r="G32" s="52" t="s">
        <v>88</v>
      </c>
      <c r="H32" s="95" t="s">
        <v>89</v>
      </c>
      <c r="I32" s="95" t="s">
        <v>89</v>
      </c>
      <c r="J32" s="95" t="s">
        <v>89</v>
      </c>
      <c r="K32" s="95" t="s">
        <v>89</v>
      </c>
    </row>
  </sheetData>
  <mergeCells count="8">
    <mergeCell ref="A1:C1"/>
    <mergeCell ref="A4:G7"/>
    <mergeCell ref="H10:H19"/>
    <mergeCell ref="I10:M11"/>
    <mergeCell ref="I12:M13"/>
    <mergeCell ref="I14:M15"/>
    <mergeCell ref="I16:M17"/>
    <mergeCell ref="I18:M1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Документ" ma:contentTypeID="0x0101006C93F93F8E4416429BFC95989228B7D5" ma:contentTypeVersion="5" ma:contentTypeDescription="Создание документа." ma:contentTypeScope="" ma:versionID="0feede81fa07f034a51862d4473ef748">
  <xsd:schema xmlns:xsd="http://www.w3.org/2001/XMLSchema" xmlns:xs="http://www.w3.org/2001/XMLSchema" xmlns:p="http://schemas.microsoft.com/office/2006/metadata/properties" xmlns:ns3="ea25bba2-0aea-4939-910a-1f45fda6beba" xmlns:ns4="e6cb3121-7e84-48ac-82d6-6ad35512c3e6" targetNamespace="http://schemas.microsoft.com/office/2006/metadata/properties" ma:root="true" ma:fieldsID="78f15622346661cab1eef248debae305" ns3:_="" ns4:_="">
    <xsd:import namespace="ea25bba2-0aea-4939-910a-1f45fda6beba"/>
    <xsd:import namespace="e6cb3121-7e84-48ac-82d6-6ad35512c3e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25bba2-0aea-4939-910a-1f45fda6be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6cb3121-7e84-48ac-82d6-6ad35512c3e6" elementFormDefault="qualified">
    <xsd:import namespace="http://schemas.microsoft.com/office/2006/documentManagement/types"/>
    <xsd:import namespace="http://schemas.microsoft.com/office/infopath/2007/PartnerControls"/>
    <xsd:element name="SharedWithUsers" ma:index="10" nillable="true" ma:displayName="Общий доступ с использованием"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Совместно с подробностями" ma:internalName="SharedWithDetails" ma:readOnly="true">
      <xsd:simpleType>
        <xsd:restriction base="dms:Note">
          <xsd:maxLength value="255"/>
        </xsd:restriction>
      </xsd:simpleType>
    </xsd:element>
    <xsd:element name="SharingHintHash" ma:index="12" nillable="true" ma:displayName="Хэш подсказки о совместном доступе"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C2AF50-2FC2-4726-AC2A-3008B429B0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25bba2-0aea-4939-910a-1f45fda6beba"/>
    <ds:schemaRef ds:uri="e6cb3121-7e84-48ac-82d6-6ad35512c3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60B7F6-A3E9-4E32-9849-058BD68671EE}">
  <ds:schemaRefs>
    <ds:schemaRef ds:uri="http://schemas.microsoft.com/sharepoint/v3/contenttype/forms"/>
  </ds:schemaRefs>
</ds:datastoreItem>
</file>

<file path=customXml/itemProps3.xml><?xml version="1.0" encoding="utf-8"?>
<ds:datastoreItem xmlns:ds="http://schemas.openxmlformats.org/officeDocument/2006/customXml" ds:itemID="{E0432E91-1198-4FF4-B41E-3033457FD1F3}">
  <ds:schemaRefs>
    <ds:schemaRef ds:uri="http://schemas.microsoft.com/office/2006/documentManagement/types"/>
    <ds:schemaRef ds:uri="http://purl.org/dc/terms/"/>
    <ds:schemaRef ds:uri="http://purl.org/dc/dcmitype/"/>
    <ds:schemaRef ds:uri="http://schemas.microsoft.com/office/infopath/2007/PartnerControls"/>
    <ds:schemaRef ds:uri="http://purl.org/dc/elements/1.1/"/>
    <ds:schemaRef ds:uri="e6cb3121-7e84-48ac-82d6-6ad35512c3e6"/>
    <ds:schemaRef ds:uri="http://schemas.openxmlformats.org/package/2006/metadata/core-properties"/>
    <ds:schemaRef ds:uri="ea25bba2-0aea-4939-910a-1f45fda6beba"/>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Data and ratios</vt:lpstr>
      <vt:lpstr>Vertical</vt:lpstr>
      <vt:lpstr>Horizontal</vt:lpstr>
      <vt:lpstr>Ratio analysis</vt:lpstr>
      <vt:lpstr>Creditworthiness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Перепелова Екатерина Сергеевна</dc:creator>
  <cp:keywords/>
  <dc:description/>
  <cp:lastModifiedBy>Alina</cp:lastModifiedBy>
  <cp:revision/>
  <dcterms:created xsi:type="dcterms:W3CDTF">2020-05-16T14:32:00Z</dcterms:created>
  <dcterms:modified xsi:type="dcterms:W3CDTF">2023-03-03T20:49:17Z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0x0101006C93F93F8E4416429BFC95989228B7D5</vt:lpwstr>
  </property>
</Properties>
</file>